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worksheets/sheet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olors2.xml" ContentType="application/vnd.ms-office.chartcolorstyle+xml"/>
  <Override PartName="/xl/charts/style2.xml" ContentType="application/vnd.ms-office.chartstyle+xml"/>
  <Override PartName="/xl/charts/chart2.xml" ContentType="application/vnd.openxmlformats-officedocument.drawingml.chart+xml"/>
  <Override PartName="/xl/worksheets/sheet1.xml" ContentType="application/vnd.openxmlformats-officedocument.spreadsheetml.worksheet+xml"/>
  <Override PartName="/xl/charts/colors1.xml" ContentType="application/vnd.ms-office.chartcolorstyle+xml"/>
  <Override PartName="/xl/worksheets/sheet4.xml" ContentType="application/vnd.openxmlformats-officedocument.spreadsheetml.worksheet+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harts/style1.xml" ContentType="application/vnd.ms-office.chartsty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codeName="ThisWorkbook"/>
  <mc:AlternateContent xmlns:mc="http://schemas.openxmlformats.org/markup-compatibility/2006">
    <mc:Choice Requires="x15">
      <x15ac:absPath xmlns:x15ac="http://schemas.microsoft.com/office/spreadsheetml/2010/11/ac" url="K:\Ape\COMUN\SCPT\Balanza_Fiscal_2013\Para_colgar_en_la_Web_del_Ministerio\Resumen_de_resultados_13\"/>
    </mc:Choice>
  </mc:AlternateContent>
  <bookViews>
    <workbookView xWindow="50" yWindow="0" windowWidth="10894" windowHeight="10055" tabRatio="683" activeTab="1"/>
  </bookViews>
  <sheets>
    <sheet name="Tot_res" sheetId="9" r:id="rId1"/>
    <sheet name="Resumen" sheetId="2" r:id="rId2"/>
    <sheet name="Gasto_o_ing_total" sheetId="1" r:id="rId3"/>
    <sheet name="Gasto_o_ing_per_capita" sheetId="3" r:id="rId4"/>
    <sheet name="Indices_per_capita" sheetId="6" r:id="rId5"/>
    <sheet name="Saldo_relativo_per_capita" sheetId="4" r:id="rId6"/>
    <sheet name="Saldo_relativo_total" sheetId="5" r:id="rId7"/>
    <sheet name="Cuadros Informe Corto" sheetId="7" r:id="rId8"/>
    <sheet name="Gráficos" sheetId="13" r:id="rId9"/>
  </sheets>
  <definedNames>
    <definedName name="_xlnm._FilterDatabase" localSheetId="2" hidden="1">Gasto_o_ing_total!$B$7:$AB$541</definedName>
    <definedName name="_xlnm._FilterDatabase" localSheetId="0" hidden="1">Tot_res!$B$8:$W$477</definedName>
    <definedName name="_Toc409002302" localSheetId="2">Gasto_o_ing_total!$C$95</definedName>
    <definedName name="_Toc409683604" localSheetId="2">Gasto_o_ing_total!$C$434</definedName>
    <definedName name="_Toc409700208" localSheetId="2">Gasto_o_ing_total!$C$355</definedName>
    <definedName name="_Toc410736660" localSheetId="2">Gasto_o_ing_total!$C$448</definedName>
  </definedNames>
  <calcPr calcId="152511" concurrentCalc="0"/>
</workbook>
</file>

<file path=xl/calcChain.xml><?xml version="1.0" encoding="utf-8"?>
<calcChain xmlns="http://schemas.openxmlformats.org/spreadsheetml/2006/main">
  <c r="A276" i="6" l="1"/>
  <c r="A276" i="4"/>
  <c r="A276" i="5"/>
  <c r="C276" i="3"/>
  <c r="C276" i="6"/>
  <c r="C276" i="4"/>
  <c r="C276" i="5"/>
  <c r="C276" i="1"/>
  <c r="D276" i="1"/>
  <c r="E276" i="1"/>
  <c r="F276" i="1"/>
  <c r="G276" i="1"/>
  <c r="H276" i="1"/>
  <c r="I276" i="1"/>
  <c r="J276" i="1"/>
  <c r="K276" i="1"/>
  <c r="L276" i="1"/>
  <c r="M276" i="1"/>
  <c r="N276" i="1"/>
  <c r="O276" i="1"/>
  <c r="P276" i="1"/>
  <c r="Q276" i="1"/>
  <c r="R276" i="1"/>
  <c r="S276" i="1"/>
  <c r="T276" i="1"/>
  <c r="U276" i="1"/>
  <c r="V276" i="1"/>
  <c r="B27" i="13"/>
  <c r="B26" i="13"/>
  <c r="I8" i="13"/>
  <c r="I9" i="13"/>
  <c r="I10" i="13"/>
  <c r="I11" i="13"/>
  <c r="I12" i="13"/>
  <c r="I13" i="13"/>
  <c r="I14" i="13"/>
  <c r="I15" i="13"/>
  <c r="I16" i="13"/>
  <c r="I17" i="13"/>
  <c r="I18" i="13"/>
  <c r="I19" i="13"/>
  <c r="I20" i="13"/>
  <c r="I21" i="13"/>
  <c r="B16" i="7"/>
  <c r="B49" i="13"/>
  <c r="B50" i="13"/>
  <c r="B51" i="13"/>
  <c r="B52" i="13"/>
  <c r="B53" i="13"/>
  <c r="B54" i="13"/>
  <c r="B55" i="13"/>
  <c r="B56" i="13"/>
  <c r="B57" i="13"/>
  <c r="B58" i="13"/>
  <c r="B59" i="13"/>
  <c r="B60" i="13"/>
  <c r="B61" i="13"/>
  <c r="B62" i="13"/>
  <c r="B63" i="13"/>
  <c r="B64" i="13"/>
  <c r="B65" i="13"/>
  <c r="B66" i="13"/>
  <c r="B67" i="13"/>
  <c r="F66" i="13"/>
  <c r="B68" i="13"/>
  <c r="B48" i="13"/>
  <c r="F25" i="13"/>
  <c r="E25" i="13"/>
  <c r="F24" i="13"/>
  <c r="E24" i="13"/>
  <c r="F23" i="13"/>
  <c r="E23" i="13"/>
  <c r="F22" i="13"/>
  <c r="E22" i="13"/>
  <c r="F21" i="13"/>
  <c r="E21" i="13"/>
  <c r="F20" i="13"/>
  <c r="E20" i="13"/>
  <c r="F19" i="13"/>
  <c r="E19" i="13"/>
  <c r="F18" i="13"/>
  <c r="E18" i="13"/>
  <c r="F17" i="13"/>
  <c r="E17" i="13"/>
  <c r="F16" i="13"/>
  <c r="E16" i="13"/>
  <c r="F15" i="13"/>
  <c r="E15" i="13"/>
  <c r="F14" i="13"/>
  <c r="E14" i="13"/>
  <c r="F13" i="13"/>
  <c r="E13" i="13"/>
  <c r="F12" i="13"/>
  <c r="E12" i="13"/>
  <c r="F11" i="13"/>
  <c r="E11" i="13"/>
  <c r="F10" i="13"/>
  <c r="E10" i="13"/>
  <c r="F9" i="13"/>
  <c r="E9" i="13"/>
  <c r="F8" i="13"/>
  <c r="E8" i="13"/>
  <c r="M46" i="7"/>
  <c r="M47" i="7"/>
  <c r="M48" i="7"/>
  <c r="M49" i="7"/>
  <c r="M50" i="7"/>
  <c r="M51" i="7"/>
  <c r="M52" i="7"/>
  <c r="M53" i="7"/>
  <c r="M54" i="7"/>
  <c r="M55" i="7"/>
  <c r="M56" i="7"/>
  <c r="M57" i="7"/>
  <c r="M58" i="7"/>
  <c r="M59" i="7"/>
  <c r="M60" i="7"/>
  <c r="M61" i="7"/>
  <c r="M62" i="7"/>
  <c r="M63" i="7"/>
  <c r="M45" i="7"/>
  <c r="C22" i="13"/>
  <c r="D489" i="1"/>
  <c r="D490" i="1"/>
  <c r="D491" i="1"/>
  <c r="D492" i="1"/>
  <c r="D493" i="1"/>
  <c r="D496" i="1"/>
  <c r="D497" i="1"/>
  <c r="D498" i="1"/>
  <c r="D499" i="1"/>
  <c r="D500" i="1"/>
  <c r="D501" i="1"/>
  <c r="D502" i="1"/>
  <c r="D503" i="1"/>
  <c r="D504" i="1"/>
  <c r="D505" i="1"/>
  <c r="D506" i="1"/>
  <c r="D528" i="1"/>
  <c r="U34" i="2"/>
  <c r="D523" i="1"/>
  <c r="V34" i="2"/>
  <c r="V61" i="2"/>
  <c r="D531" i="1"/>
  <c r="D532" i="1"/>
  <c r="D533" i="1"/>
  <c r="D534" i="1"/>
  <c r="D535" i="1"/>
  <c r="D536" i="1"/>
  <c r="D509" i="1"/>
  <c r="D510" i="1"/>
  <c r="D511" i="1"/>
  <c r="D512" i="1"/>
  <c r="D513" i="1"/>
  <c r="D514" i="1"/>
  <c r="D515" i="1"/>
  <c r="D516" i="1"/>
  <c r="D517" i="1"/>
  <c r="D518" i="1"/>
  <c r="D519" i="1"/>
  <c r="D520" i="1"/>
  <c r="E489" i="1"/>
  <c r="E490" i="1"/>
  <c r="E491" i="1"/>
  <c r="E492" i="1"/>
  <c r="E493" i="1"/>
  <c r="E496" i="1"/>
  <c r="E497" i="1"/>
  <c r="E498" i="1"/>
  <c r="E499" i="1"/>
  <c r="E500" i="1"/>
  <c r="E501" i="1"/>
  <c r="E502" i="1"/>
  <c r="E503" i="1"/>
  <c r="E504" i="1"/>
  <c r="E505" i="1"/>
  <c r="E506" i="1"/>
  <c r="E528" i="1"/>
  <c r="U35" i="2"/>
  <c r="E523" i="1"/>
  <c r="V35" i="2"/>
  <c r="E531" i="1"/>
  <c r="E532" i="1"/>
  <c r="E533" i="1"/>
  <c r="E534" i="1"/>
  <c r="E535" i="1"/>
  <c r="E536" i="1"/>
  <c r="E509" i="1"/>
  <c r="E510" i="1"/>
  <c r="E511" i="1"/>
  <c r="E512" i="1"/>
  <c r="E513" i="1"/>
  <c r="E514" i="1"/>
  <c r="E515" i="1"/>
  <c r="E516" i="1"/>
  <c r="E517" i="1"/>
  <c r="E518" i="1"/>
  <c r="E519" i="1"/>
  <c r="E520" i="1"/>
  <c r="F489" i="1"/>
  <c r="F490" i="1"/>
  <c r="F491" i="1"/>
  <c r="F492" i="1"/>
  <c r="F493" i="1"/>
  <c r="F496" i="1"/>
  <c r="F497" i="1"/>
  <c r="F498" i="1"/>
  <c r="F499" i="1"/>
  <c r="F500" i="1"/>
  <c r="F501" i="1"/>
  <c r="F502" i="1"/>
  <c r="F503" i="1"/>
  <c r="F504" i="1"/>
  <c r="F505" i="1"/>
  <c r="F506" i="1"/>
  <c r="F528" i="1"/>
  <c r="U36" i="2"/>
  <c r="U63" i="2"/>
  <c r="F523" i="1"/>
  <c r="V36" i="2"/>
  <c r="V63" i="2"/>
  <c r="F531" i="1"/>
  <c r="F532" i="1"/>
  <c r="F533" i="1"/>
  <c r="F534" i="1"/>
  <c r="F535" i="1"/>
  <c r="F536" i="1"/>
  <c r="F509" i="1"/>
  <c r="F510" i="1"/>
  <c r="F511" i="1"/>
  <c r="F512" i="1"/>
  <c r="F513" i="1"/>
  <c r="F514" i="1"/>
  <c r="F515" i="1"/>
  <c r="F516" i="1"/>
  <c r="F517" i="1"/>
  <c r="F518" i="1"/>
  <c r="F519" i="1"/>
  <c r="F520" i="1"/>
  <c r="G489" i="1"/>
  <c r="G490" i="1"/>
  <c r="G491" i="1"/>
  <c r="G492" i="1"/>
  <c r="G493" i="1"/>
  <c r="G496" i="1"/>
  <c r="G497" i="1"/>
  <c r="G498" i="1"/>
  <c r="G499" i="1"/>
  <c r="G500" i="1"/>
  <c r="G501" i="1"/>
  <c r="G502" i="1"/>
  <c r="G503" i="1"/>
  <c r="G504" i="1"/>
  <c r="G505" i="1"/>
  <c r="G506" i="1"/>
  <c r="G528" i="1"/>
  <c r="U37" i="2"/>
  <c r="G523" i="1"/>
  <c r="V37" i="2"/>
  <c r="V64" i="2"/>
  <c r="G531" i="1"/>
  <c r="G532" i="1"/>
  <c r="G533" i="1"/>
  <c r="G534" i="1"/>
  <c r="G535" i="1"/>
  <c r="G536" i="1"/>
  <c r="G509" i="1"/>
  <c r="G510" i="1"/>
  <c r="G511" i="1"/>
  <c r="G512" i="1"/>
  <c r="G513" i="1"/>
  <c r="G514" i="1"/>
  <c r="G515" i="1"/>
  <c r="G516" i="1"/>
  <c r="G517" i="1"/>
  <c r="G518" i="1"/>
  <c r="G519" i="1"/>
  <c r="G520" i="1"/>
  <c r="H489" i="1"/>
  <c r="H490" i="1"/>
  <c r="H491" i="1"/>
  <c r="H492" i="1"/>
  <c r="H493" i="1"/>
  <c r="H496" i="1"/>
  <c r="H497" i="1"/>
  <c r="H498" i="1"/>
  <c r="H499" i="1"/>
  <c r="H500" i="1"/>
  <c r="H501" i="1"/>
  <c r="H502" i="1"/>
  <c r="H503" i="1"/>
  <c r="H504" i="1"/>
  <c r="H505" i="1"/>
  <c r="H506" i="1"/>
  <c r="H528" i="1"/>
  <c r="U38" i="2"/>
  <c r="H523" i="1"/>
  <c r="V38" i="2"/>
  <c r="V65" i="2"/>
  <c r="H531" i="1"/>
  <c r="H532" i="1"/>
  <c r="H533" i="1"/>
  <c r="H534" i="1"/>
  <c r="H535" i="1"/>
  <c r="H536" i="1"/>
  <c r="H509" i="1"/>
  <c r="H510" i="1"/>
  <c r="H511" i="1"/>
  <c r="H512" i="1"/>
  <c r="H513" i="1"/>
  <c r="H514" i="1"/>
  <c r="H515" i="1"/>
  <c r="H516" i="1"/>
  <c r="H517" i="1"/>
  <c r="H518" i="1"/>
  <c r="H519" i="1"/>
  <c r="H520" i="1"/>
  <c r="I489" i="1"/>
  <c r="I490" i="1"/>
  <c r="I491" i="1"/>
  <c r="I492" i="1"/>
  <c r="I493" i="1"/>
  <c r="I496" i="1"/>
  <c r="I497" i="1"/>
  <c r="I498" i="1"/>
  <c r="I499" i="1"/>
  <c r="I500" i="1"/>
  <c r="I501" i="1"/>
  <c r="I502" i="1"/>
  <c r="I503" i="1"/>
  <c r="I504" i="1"/>
  <c r="I505" i="1"/>
  <c r="I506" i="1"/>
  <c r="I528" i="1"/>
  <c r="U39" i="2"/>
  <c r="I523" i="1"/>
  <c r="V39" i="2"/>
  <c r="V66" i="2"/>
  <c r="I531" i="1"/>
  <c r="I532" i="1"/>
  <c r="I533" i="1"/>
  <c r="I534" i="1"/>
  <c r="I535" i="1"/>
  <c r="I536" i="1"/>
  <c r="I509" i="1"/>
  <c r="I510" i="1"/>
  <c r="I511" i="1"/>
  <c r="I512" i="1"/>
  <c r="I513" i="1"/>
  <c r="I514" i="1"/>
  <c r="I515" i="1"/>
  <c r="I516" i="1"/>
  <c r="I517" i="1"/>
  <c r="I518" i="1"/>
  <c r="I519" i="1"/>
  <c r="I520" i="1"/>
  <c r="J489" i="1"/>
  <c r="J490" i="1"/>
  <c r="J491" i="1"/>
  <c r="J492" i="1"/>
  <c r="J493" i="1"/>
  <c r="J496" i="1"/>
  <c r="J497" i="1"/>
  <c r="J498" i="1"/>
  <c r="J499" i="1"/>
  <c r="J500" i="1"/>
  <c r="J501" i="1"/>
  <c r="J502" i="1"/>
  <c r="J503" i="1"/>
  <c r="J504" i="1"/>
  <c r="J505" i="1"/>
  <c r="J506" i="1"/>
  <c r="J528" i="1"/>
  <c r="U40" i="2"/>
  <c r="J523" i="1"/>
  <c r="V40" i="2"/>
  <c r="V67" i="2"/>
  <c r="J531" i="1"/>
  <c r="J532" i="1"/>
  <c r="J533" i="1"/>
  <c r="J534" i="1"/>
  <c r="J535" i="1"/>
  <c r="J536" i="1"/>
  <c r="J509" i="1"/>
  <c r="J510" i="1"/>
  <c r="J511" i="1"/>
  <c r="J512" i="1"/>
  <c r="J513" i="1"/>
  <c r="J514" i="1"/>
  <c r="J515" i="1"/>
  <c r="J516" i="1"/>
  <c r="J517" i="1"/>
  <c r="J518" i="1"/>
  <c r="J519" i="1"/>
  <c r="J520" i="1"/>
  <c r="K489" i="1"/>
  <c r="K490" i="1"/>
  <c r="K491" i="1"/>
  <c r="K492" i="1"/>
  <c r="K493" i="1"/>
  <c r="K496" i="1"/>
  <c r="K497" i="1"/>
  <c r="K498" i="1"/>
  <c r="K499" i="1"/>
  <c r="K500" i="1"/>
  <c r="K501" i="1"/>
  <c r="K502" i="1"/>
  <c r="K503" i="1"/>
  <c r="K504" i="1"/>
  <c r="K505" i="1"/>
  <c r="K506" i="1"/>
  <c r="K528" i="1"/>
  <c r="U41" i="2"/>
  <c r="K523" i="1"/>
  <c r="V41" i="2"/>
  <c r="V68" i="2"/>
  <c r="K531" i="1"/>
  <c r="K532" i="1"/>
  <c r="K533" i="1"/>
  <c r="K534" i="1"/>
  <c r="K535" i="1"/>
  <c r="K536" i="1"/>
  <c r="K509" i="1"/>
  <c r="K510" i="1"/>
  <c r="K511" i="1"/>
  <c r="K512" i="1"/>
  <c r="K513" i="1"/>
  <c r="K514" i="1"/>
  <c r="K515" i="1"/>
  <c r="K516" i="1"/>
  <c r="K517" i="1"/>
  <c r="K518" i="1"/>
  <c r="K519" i="1"/>
  <c r="K520" i="1"/>
  <c r="L489" i="1"/>
  <c r="L490" i="1"/>
  <c r="L491" i="1"/>
  <c r="L492" i="1"/>
  <c r="L493" i="1"/>
  <c r="L496" i="1"/>
  <c r="L497" i="1"/>
  <c r="L498" i="1"/>
  <c r="L499" i="1"/>
  <c r="L500" i="1"/>
  <c r="L501" i="1"/>
  <c r="L502" i="1"/>
  <c r="L503" i="1"/>
  <c r="L504" i="1"/>
  <c r="L505" i="1"/>
  <c r="L506" i="1"/>
  <c r="L528" i="1"/>
  <c r="U42" i="2"/>
  <c r="L523" i="1"/>
  <c r="V42" i="2"/>
  <c r="V69" i="2"/>
  <c r="L531" i="1"/>
  <c r="L532" i="1"/>
  <c r="L533" i="1"/>
  <c r="L534" i="1"/>
  <c r="L535" i="1"/>
  <c r="L536" i="1"/>
  <c r="L509" i="1"/>
  <c r="L510" i="1"/>
  <c r="L511" i="1"/>
  <c r="L512" i="1"/>
  <c r="L513" i="1"/>
  <c r="L514" i="1"/>
  <c r="L515" i="1"/>
  <c r="L516" i="1"/>
  <c r="L517" i="1"/>
  <c r="L518" i="1"/>
  <c r="L519" i="1"/>
  <c r="L520" i="1"/>
  <c r="M489" i="1"/>
  <c r="M490" i="1"/>
  <c r="M491" i="1"/>
  <c r="M492" i="1"/>
  <c r="M493" i="1"/>
  <c r="M496" i="1"/>
  <c r="M497" i="1"/>
  <c r="M498" i="1"/>
  <c r="M499" i="1"/>
  <c r="M500" i="1"/>
  <c r="M501" i="1"/>
  <c r="M502" i="1"/>
  <c r="M503" i="1"/>
  <c r="M504" i="1"/>
  <c r="M505" i="1"/>
  <c r="M506" i="1"/>
  <c r="M528" i="1"/>
  <c r="U43" i="2"/>
  <c r="M523" i="1"/>
  <c r="V43" i="2"/>
  <c r="V70" i="2"/>
  <c r="M531" i="1"/>
  <c r="M532" i="1"/>
  <c r="M533" i="1"/>
  <c r="M534" i="1"/>
  <c r="M535" i="1"/>
  <c r="M536" i="1"/>
  <c r="M509" i="1"/>
  <c r="M510" i="1"/>
  <c r="M511" i="1"/>
  <c r="M512" i="1"/>
  <c r="M513" i="1"/>
  <c r="M514" i="1"/>
  <c r="M515" i="1"/>
  <c r="M516" i="1"/>
  <c r="M517" i="1"/>
  <c r="M518" i="1"/>
  <c r="M519" i="1"/>
  <c r="M520" i="1"/>
  <c r="N489" i="1"/>
  <c r="N490" i="1"/>
  <c r="N491" i="1"/>
  <c r="N492" i="1"/>
  <c r="N493" i="1"/>
  <c r="N496" i="1"/>
  <c r="N497" i="1"/>
  <c r="N498" i="1"/>
  <c r="N499" i="1"/>
  <c r="N500" i="1"/>
  <c r="N501" i="1"/>
  <c r="N502" i="1"/>
  <c r="N503" i="1"/>
  <c r="N504" i="1"/>
  <c r="N505" i="1"/>
  <c r="N506" i="1"/>
  <c r="N528" i="1"/>
  <c r="U44" i="2"/>
  <c r="N523" i="1"/>
  <c r="V44" i="2"/>
  <c r="V71" i="2"/>
  <c r="N531" i="1"/>
  <c r="N532" i="1"/>
  <c r="N533" i="1"/>
  <c r="N534" i="1"/>
  <c r="N535" i="1"/>
  <c r="N536" i="1"/>
  <c r="N509" i="1"/>
  <c r="N510" i="1"/>
  <c r="N511" i="1"/>
  <c r="N512" i="1"/>
  <c r="N513" i="1"/>
  <c r="N514" i="1"/>
  <c r="N515" i="1"/>
  <c r="N516" i="1"/>
  <c r="N517" i="1"/>
  <c r="N518" i="1"/>
  <c r="N519" i="1"/>
  <c r="N520" i="1"/>
  <c r="O489" i="1"/>
  <c r="O490" i="1"/>
  <c r="O491" i="1"/>
  <c r="O492" i="1"/>
  <c r="O493" i="1"/>
  <c r="O496" i="1"/>
  <c r="O497" i="1"/>
  <c r="O498" i="1"/>
  <c r="O499" i="1"/>
  <c r="O500" i="1"/>
  <c r="O501" i="1"/>
  <c r="O502" i="1"/>
  <c r="O503" i="1"/>
  <c r="O504" i="1"/>
  <c r="O505" i="1"/>
  <c r="O506" i="1"/>
  <c r="O528" i="1"/>
  <c r="U45" i="2"/>
  <c r="O523" i="1"/>
  <c r="V45" i="2"/>
  <c r="V72" i="2"/>
  <c r="O531" i="1"/>
  <c r="O532" i="1"/>
  <c r="O533" i="1"/>
  <c r="O534" i="1"/>
  <c r="O535" i="1"/>
  <c r="O536" i="1"/>
  <c r="O509" i="1"/>
  <c r="O510" i="1"/>
  <c r="O511" i="1"/>
  <c r="O512" i="1"/>
  <c r="O513" i="1"/>
  <c r="O514" i="1"/>
  <c r="O515" i="1"/>
  <c r="O516" i="1"/>
  <c r="O517" i="1"/>
  <c r="O518" i="1"/>
  <c r="O519" i="1"/>
  <c r="O520" i="1"/>
  <c r="P489" i="1"/>
  <c r="P490" i="1"/>
  <c r="P491" i="1"/>
  <c r="P492" i="1"/>
  <c r="P493" i="1"/>
  <c r="P496" i="1"/>
  <c r="P497" i="1"/>
  <c r="P498" i="1"/>
  <c r="P499" i="1"/>
  <c r="P500" i="1"/>
  <c r="P501" i="1"/>
  <c r="P502" i="1"/>
  <c r="P503" i="1"/>
  <c r="P504" i="1"/>
  <c r="P505" i="1"/>
  <c r="P506" i="1"/>
  <c r="P528" i="1"/>
  <c r="U46" i="2"/>
  <c r="P523" i="1"/>
  <c r="V46" i="2"/>
  <c r="V73" i="2"/>
  <c r="P531" i="1"/>
  <c r="P532" i="1"/>
  <c r="P533" i="1"/>
  <c r="P534" i="1"/>
  <c r="P535" i="1"/>
  <c r="P536" i="1"/>
  <c r="P509" i="1"/>
  <c r="P510" i="1"/>
  <c r="P511" i="1"/>
  <c r="P512" i="1"/>
  <c r="P513" i="1"/>
  <c r="P514" i="1"/>
  <c r="P515" i="1"/>
  <c r="P516" i="1"/>
  <c r="P517" i="1"/>
  <c r="P518" i="1"/>
  <c r="P519" i="1"/>
  <c r="P520" i="1"/>
  <c r="Q489" i="1"/>
  <c r="Q490" i="1"/>
  <c r="Q491" i="1"/>
  <c r="Q492" i="1"/>
  <c r="Q493" i="1"/>
  <c r="Q496" i="1"/>
  <c r="Q497" i="1"/>
  <c r="Q498" i="1"/>
  <c r="Q499" i="1"/>
  <c r="Q500" i="1"/>
  <c r="Q501" i="1"/>
  <c r="Q502" i="1"/>
  <c r="Q503" i="1"/>
  <c r="Q504" i="1"/>
  <c r="Q505" i="1"/>
  <c r="Q506" i="1"/>
  <c r="Q528" i="1"/>
  <c r="U47" i="2"/>
  <c r="Q523" i="1"/>
  <c r="V47" i="2"/>
  <c r="V74" i="2"/>
  <c r="Q531" i="1"/>
  <c r="Q532" i="1"/>
  <c r="Q533" i="1"/>
  <c r="Q534" i="1"/>
  <c r="Q535" i="1"/>
  <c r="Q536" i="1"/>
  <c r="Q509" i="1"/>
  <c r="Q510" i="1"/>
  <c r="Q511" i="1"/>
  <c r="Q512" i="1"/>
  <c r="Q513" i="1"/>
  <c r="Q514" i="1"/>
  <c r="Q515" i="1"/>
  <c r="Q516" i="1"/>
  <c r="Q517" i="1"/>
  <c r="Q518" i="1"/>
  <c r="Q519" i="1"/>
  <c r="Q520" i="1"/>
  <c r="R489" i="1"/>
  <c r="R490" i="1"/>
  <c r="R491" i="1"/>
  <c r="R492" i="1"/>
  <c r="R493" i="1"/>
  <c r="R496" i="1"/>
  <c r="R497" i="1"/>
  <c r="R498" i="1"/>
  <c r="R499" i="1"/>
  <c r="R500" i="1"/>
  <c r="R501" i="1"/>
  <c r="R502" i="1"/>
  <c r="R503" i="1"/>
  <c r="R504" i="1"/>
  <c r="R505" i="1"/>
  <c r="R506" i="1"/>
  <c r="R528" i="1"/>
  <c r="U48" i="2"/>
  <c r="R523" i="1"/>
  <c r="V48" i="2"/>
  <c r="V75" i="2"/>
  <c r="R531" i="1"/>
  <c r="R532" i="1"/>
  <c r="R533" i="1"/>
  <c r="R534" i="1"/>
  <c r="R535" i="1"/>
  <c r="R536" i="1"/>
  <c r="R509" i="1"/>
  <c r="R510" i="1"/>
  <c r="R511" i="1"/>
  <c r="R512" i="1"/>
  <c r="R513" i="1"/>
  <c r="R514" i="1"/>
  <c r="R515" i="1"/>
  <c r="R516" i="1"/>
  <c r="R517" i="1"/>
  <c r="R518" i="1"/>
  <c r="R519" i="1"/>
  <c r="R520" i="1"/>
  <c r="S489" i="1"/>
  <c r="S490" i="1"/>
  <c r="S491" i="1"/>
  <c r="S492" i="1"/>
  <c r="S493" i="1"/>
  <c r="S496" i="1"/>
  <c r="S497" i="1"/>
  <c r="S498" i="1"/>
  <c r="S499" i="1"/>
  <c r="S500" i="1"/>
  <c r="S501" i="1"/>
  <c r="S502" i="1"/>
  <c r="S503" i="1"/>
  <c r="S504" i="1"/>
  <c r="S505" i="1"/>
  <c r="S506" i="1"/>
  <c r="S528" i="1"/>
  <c r="U49" i="2"/>
  <c r="S523" i="1"/>
  <c r="V49" i="2"/>
  <c r="V76" i="2"/>
  <c r="S531" i="1"/>
  <c r="S532" i="1"/>
  <c r="S533" i="1"/>
  <c r="S534" i="1"/>
  <c r="S535" i="1"/>
  <c r="S536" i="1"/>
  <c r="S509" i="1"/>
  <c r="S510" i="1"/>
  <c r="S511" i="1"/>
  <c r="S512" i="1"/>
  <c r="S513" i="1"/>
  <c r="S514" i="1"/>
  <c r="S515" i="1"/>
  <c r="S516" i="1"/>
  <c r="S517" i="1"/>
  <c r="S518" i="1"/>
  <c r="S519" i="1"/>
  <c r="S520" i="1"/>
  <c r="T489" i="1"/>
  <c r="T490" i="1"/>
  <c r="T491" i="1"/>
  <c r="T492" i="1"/>
  <c r="T493" i="1"/>
  <c r="T496" i="1"/>
  <c r="T497" i="1"/>
  <c r="T498" i="1"/>
  <c r="T499" i="1"/>
  <c r="T500" i="1"/>
  <c r="T501" i="1"/>
  <c r="T502" i="1"/>
  <c r="T503" i="1"/>
  <c r="T504" i="1"/>
  <c r="T505" i="1"/>
  <c r="T506" i="1"/>
  <c r="T528" i="1"/>
  <c r="U50" i="2"/>
  <c r="T523" i="1"/>
  <c r="V50" i="2"/>
  <c r="V77" i="2"/>
  <c r="T531" i="1"/>
  <c r="T532" i="1"/>
  <c r="T533" i="1"/>
  <c r="T534" i="1"/>
  <c r="T535" i="1"/>
  <c r="T536" i="1"/>
  <c r="T509" i="1"/>
  <c r="T510" i="1"/>
  <c r="T511" i="1"/>
  <c r="T512" i="1"/>
  <c r="T513" i="1"/>
  <c r="T514" i="1"/>
  <c r="T515" i="1"/>
  <c r="T516" i="1"/>
  <c r="T517" i="1"/>
  <c r="T518" i="1"/>
  <c r="T519" i="1"/>
  <c r="T520" i="1"/>
  <c r="U489" i="1"/>
  <c r="U490" i="1"/>
  <c r="U491" i="1"/>
  <c r="U492" i="1"/>
  <c r="U493" i="1"/>
  <c r="U496" i="1"/>
  <c r="U497" i="1"/>
  <c r="U498" i="1"/>
  <c r="U499" i="1"/>
  <c r="U500" i="1"/>
  <c r="U501" i="1"/>
  <c r="U502" i="1"/>
  <c r="U503" i="1"/>
  <c r="U504" i="1"/>
  <c r="U505" i="1"/>
  <c r="U506" i="1"/>
  <c r="U528" i="1"/>
  <c r="U51" i="2"/>
  <c r="U523" i="1"/>
  <c r="V51" i="2"/>
  <c r="V78" i="2"/>
  <c r="U531" i="1"/>
  <c r="U532" i="1"/>
  <c r="U533" i="1"/>
  <c r="U534" i="1"/>
  <c r="U535" i="1"/>
  <c r="U536" i="1"/>
  <c r="U509" i="1"/>
  <c r="U510" i="1"/>
  <c r="U511" i="1"/>
  <c r="U512" i="1"/>
  <c r="U513" i="1"/>
  <c r="U514" i="1"/>
  <c r="U515" i="1"/>
  <c r="U516" i="1"/>
  <c r="U517" i="1"/>
  <c r="U518" i="1"/>
  <c r="U519" i="1"/>
  <c r="U520" i="1"/>
  <c r="D78" i="1"/>
  <c r="D79" i="1"/>
  <c r="D80" i="1"/>
  <c r="D81" i="1"/>
  <c r="D82" i="1"/>
  <c r="D83" i="1"/>
  <c r="D84" i="1"/>
  <c r="D85" i="1"/>
  <c r="D86" i="1"/>
  <c r="D87" i="1"/>
  <c r="D88" i="1"/>
  <c r="D89" i="1"/>
  <c r="D90" i="1"/>
  <c r="D62" i="1"/>
  <c r="D63" i="1"/>
  <c r="D64" i="1"/>
  <c r="D65" i="1"/>
  <c r="D66" i="1"/>
  <c r="D67" i="1"/>
  <c r="D68" i="1"/>
  <c r="D69" i="1"/>
  <c r="D70" i="1"/>
  <c r="D71" i="1"/>
  <c r="D72" i="1"/>
  <c r="D73" i="1"/>
  <c r="D74" i="1"/>
  <c r="D75" i="1"/>
  <c r="D48" i="1"/>
  <c r="D49" i="1"/>
  <c r="D50" i="1"/>
  <c r="D51" i="1"/>
  <c r="D52" i="1"/>
  <c r="D53" i="1"/>
  <c r="D54" i="1"/>
  <c r="D55" i="1"/>
  <c r="D56" i="1"/>
  <c r="D57" i="1"/>
  <c r="D58" i="1"/>
  <c r="D59" i="1"/>
  <c r="D36" i="1"/>
  <c r="D37" i="1"/>
  <c r="D38" i="1"/>
  <c r="D39" i="1"/>
  <c r="D40" i="1"/>
  <c r="D41" i="1"/>
  <c r="D42" i="1"/>
  <c r="D43" i="1"/>
  <c r="D44" i="1"/>
  <c r="D45" i="1"/>
  <c r="D26" i="1"/>
  <c r="D27" i="1"/>
  <c r="D28" i="1"/>
  <c r="D29" i="1"/>
  <c r="D30" i="1"/>
  <c r="D31" i="1"/>
  <c r="D32" i="1"/>
  <c r="D33" i="1"/>
  <c r="D11" i="1"/>
  <c r="D12" i="1"/>
  <c r="D13" i="1"/>
  <c r="D14" i="1"/>
  <c r="D15" i="1"/>
  <c r="D16" i="1"/>
  <c r="D17" i="1"/>
  <c r="D18" i="1"/>
  <c r="D19" i="1"/>
  <c r="D20" i="1"/>
  <c r="D21" i="1"/>
  <c r="D22" i="1"/>
  <c r="D23" i="1"/>
  <c r="D93" i="1"/>
  <c r="D94" i="1"/>
  <c r="D95" i="1"/>
  <c r="D96" i="1"/>
  <c r="D97" i="1"/>
  <c r="D98" i="1"/>
  <c r="D99" i="1"/>
  <c r="D100" i="1"/>
  <c r="D109" i="1"/>
  <c r="D110" i="1"/>
  <c r="D111" i="1"/>
  <c r="D112" i="1"/>
  <c r="D113" i="1"/>
  <c r="D114" i="1"/>
  <c r="D115" i="1"/>
  <c r="D116" i="1"/>
  <c r="D117" i="1"/>
  <c r="D118" i="1"/>
  <c r="D119" i="1"/>
  <c r="D120" i="1"/>
  <c r="D121" i="1"/>
  <c r="D124" i="1"/>
  <c r="D123" i="1"/>
  <c r="D127" i="1"/>
  <c r="D128" i="1"/>
  <c r="D129" i="1"/>
  <c r="D130" i="1"/>
  <c r="D131" i="1"/>
  <c r="D132" i="1"/>
  <c r="D133" i="1"/>
  <c r="D134" i="1"/>
  <c r="D135" i="1"/>
  <c r="D136" i="1"/>
  <c r="D137" i="1"/>
  <c r="D138" i="1"/>
  <c r="D139" i="1"/>
  <c r="D140" i="1"/>
  <c r="D141" i="1"/>
  <c r="D142" i="1"/>
  <c r="D143" i="1"/>
  <c r="D144" i="1"/>
  <c r="D147" i="1"/>
  <c r="D148" i="1"/>
  <c r="D149" i="1"/>
  <c r="D150" i="1"/>
  <c r="D151" i="1"/>
  <c r="D152" i="1"/>
  <c r="D153" i="1"/>
  <c r="D154" i="1"/>
  <c r="D155" i="1"/>
  <c r="D156" i="1"/>
  <c r="D159" i="1"/>
  <c r="D160" i="1"/>
  <c r="D161" i="1"/>
  <c r="D164" i="1"/>
  <c r="D165" i="1"/>
  <c r="D166" i="1"/>
  <c r="D167" i="1"/>
  <c r="D168" i="1"/>
  <c r="D169" i="1"/>
  <c r="D170" i="1"/>
  <c r="D171" i="1"/>
  <c r="D172" i="1"/>
  <c r="D173" i="1"/>
  <c r="D174" i="1"/>
  <c r="D175" i="1"/>
  <c r="D176" i="1"/>
  <c r="D177" i="1"/>
  <c r="D178" i="1"/>
  <c r="D179" i="1"/>
  <c r="D180" i="1"/>
  <c r="D181" i="1"/>
  <c r="D182" i="1"/>
  <c r="D183" i="1"/>
  <c r="D184" i="1"/>
  <c r="D185" i="1"/>
  <c r="D186" i="1"/>
  <c r="D187" i="1"/>
  <c r="D211" i="1"/>
  <c r="D212" i="1"/>
  <c r="D213" i="1"/>
  <c r="D214" i="1"/>
  <c r="D215" i="1"/>
  <c r="D216" i="1"/>
  <c r="D217" i="1"/>
  <c r="D218" i="1"/>
  <c r="D219" i="1"/>
  <c r="D222" i="1"/>
  <c r="D223" i="1"/>
  <c r="D224" i="1"/>
  <c r="D225" i="1"/>
  <c r="D226" i="1"/>
  <c r="D227" i="1"/>
  <c r="D228" i="1"/>
  <c r="D229" i="1"/>
  <c r="D230"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2" i="1"/>
  <c r="D273" i="1"/>
  <c r="D274" i="1"/>
  <c r="D275" i="1"/>
  <c r="D277" i="1"/>
  <c r="D278" i="1"/>
  <c r="D279" i="1"/>
  <c r="D280" i="1"/>
  <c r="D281" i="1"/>
  <c r="D282" i="1"/>
  <c r="D283" i="1"/>
  <c r="D284" i="1"/>
  <c r="D285" i="1"/>
  <c r="D286" i="1"/>
  <c r="D291" i="1"/>
  <c r="D292" i="1"/>
  <c r="D293" i="1"/>
  <c r="D294" i="1"/>
  <c r="D295" i="1"/>
  <c r="D296" i="1"/>
  <c r="D297" i="1"/>
  <c r="D298" i="1"/>
  <c r="D299" i="1"/>
  <c r="D300" i="1"/>
  <c r="D301" i="1"/>
  <c r="D302" i="1"/>
  <c r="D303" i="1"/>
  <c r="D304" i="1"/>
  <c r="D305" i="1"/>
  <c r="D306" i="1"/>
  <c r="D307" i="1"/>
  <c r="D308" i="1"/>
  <c r="D309" i="1"/>
  <c r="D310" i="1"/>
  <c r="D311" i="1"/>
  <c r="D315" i="1"/>
  <c r="D316" i="1"/>
  <c r="D317" i="1"/>
  <c r="D318" i="1"/>
  <c r="D319" i="1"/>
  <c r="D320" i="1"/>
  <c r="D321" i="1"/>
  <c r="D322" i="1"/>
  <c r="D323" i="1"/>
  <c r="D324" i="1"/>
  <c r="D325" i="1"/>
  <c r="D326" i="1"/>
  <c r="D327" i="1"/>
  <c r="D330" i="1"/>
  <c r="D331" i="1"/>
  <c r="D332" i="1"/>
  <c r="D333" i="1"/>
  <c r="D334" i="1"/>
  <c r="D335" i="1"/>
  <c r="D336" i="1"/>
  <c r="D337" i="1"/>
  <c r="D338" i="1"/>
  <c r="D339" i="1"/>
  <c r="D340" i="1"/>
  <c r="D341" i="1"/>
  <c r="D342" i="1"/>
  <c r="D343" i="1"/>
  <c r="D344" i="1"/>
  <c r="D345" i="1"/>
  <c r="D346" i="1"/>
  <c r="D347" i="1"/>
  <c r="D350" i="1"/>
  <c r="D351" i="1"/>
  <c r="D352" i="1"/>
  <c r="D355" i="1"/>
  <c r="D356" i="1"/>
  <c r="D357" i="1"/>
  <c r="D358" i="1"/>
  <c r="D359" i="1"/>
  <c r="D360" i="1"/>
  <c r="D361" i="1"/>
  <c r="D362" i="1"/>
  <c r="D363" i="1"/>
  <c r="D364" i="1"/>
  <c r="D365" i="1"/>
  <c r="D366" i="1"/>
  <c r="D367" i="1"/>
  <c r="D368" i="1"/>
  <c r="D369" i="1"/>
  <c r="D370" i="1"/>
  <c r="D371" i="1"/>
  <c r="D372" i="1"/>
  <c r="D373" i="1"/>
  <c r="D378" i="1"/>
  <c r="D379" i="1"/>
  <c r="D380" i="1"/>
  <c r="D381" i="1"/>
  <c r="D382" i="1"/>
  <c r="D383" i="1"/>
  <c r="D384" i="1"/>
  <c r="D385" i="1"/>
  <c r="D386" i="1"/>
  <c r="D387" i="1"/>
  <c r="D388" i="1"/>
  <c r="D389" i="1"/>
  <c r="D390" i="1"/>
  <c r="D391" i="1"/>
  <c r="D392" i="1"/>
  <c r="D393" i="1"/>
  <c r="D394" i="1"/>
  <c r="D397" i="1"/>
  <c r="D398" i="1"/>
  <c r="D399" i="1"/>
  <c r="D400" i="1"/>
  <c r="D401" i="1"/>
  <c r="D402" i="1"/>
  <c r="D403" i="1"/>
  <c r="D404" i="1"/>
  <c r="D405" i="1"/>
  <c r="D406" i="1"/>
  <c r="D407" i="1"/>
  <c r="D408" i="1"/>
  <c r="D411" i="1"/>
  <c r="D412" i="1"/>
  <c r="D413" i="1"/>
  <c r="D414" i="1"/>
  <c r="D415" i="1"/>
  <c r="D416" i="1"/>
  <c r="D417" i="1"/>
  <c r="D418" i="1"/>
  <c r="D419" i="1"/>
  <c r="D420" i="1"/>
  <c r="D421" i="1"/>
  <c r="D422" i="1"/>
  <c r="D428" i="1"/>
  <c r="D429" i="1"/>
  <c r="D430" i="1"/>
  <c r="D431" i="1"/>
  <c r="D432" i="1"/>
  <c r="D433" i="1"/>
  <c r="D434" i="1"/>
  <c r="D435" i="1"/>
  <c r="D436" i="1"/>
  <c r="D439" i="1"/>
  <c r="D440" i="1"/>
  <c r="D441" i="1"/>
  <c r="D442" i="1"/>
  <c r="D443" i="1"/>
  <c r="D444" i="1"/>
  <c r="D445" i="1"/>
  <c r="D446" i="1"/>
  <c r="D447" i="1"/>
  <c r="D448" i="1"/>
  <c r="D451" i="1"/>
  <c r="D452" i="1"/>
  <c r="D453" i="1"/>
  <c r="D454" i="1"/>
  <c r="D455" i="1"/>
  <c r="D456" i="1"/>
  <c r="D457" i="1"/>
  <c r="D458" i="1"/>
  <c r="D459" i="1"/>
  <c r="D460" i="1"/>
  <c r="D461" i="1"/>
  <c r="D462" i="1"/>
  <c r="D463" i="1"/>
  <c r="D464" i="1"/>
  <c r="D465" i="1"/>
  <c r="D466" i="1"/>
  <c r="D467" i="1"/>
  <c r="D472" i="1"/>
  <c r="D473" i="1"/>
  <c r="D192" i="1"/>
  <c r="D193" i="1"/>
  <c r="D194" i="1"/>
  <c r="D195" i="1"/>
  <c r="D196" i="1"/>
  <c r="D197" i="1"/>
  <c r="D198" i="1"/>
  <c r="D199" i="1"/>
  <c r="D200" i="1"/>
  <c r="D201" i="1"/>
  <c r="D202" i="1"/>
  <c r="D203" i="1"/>
  <c r="D204" i="1"/>
  <c r="D205" i="1"/>
  <c r="D206" i="1"/>
  <c r="E78" i="1"/>
  <c r="E79" i="1"/>
  <c r="E80" i="1"/>
  <c r="E81" i="1"/>
  <c r="E82" i="1"/>
  <c r="E83" i="1"/>
  <c r="E84" i="1"/>
  <c r="E85" i="1"/>
  <c r="E86" i="1"/>
  <c r="E87" i="1"/>
  <c r="E88" i="1"/>
  <c r="E89" i="1"/>
  <c r="E90" i="1"/>
  <c r="E62" i="1"/>
  <c r="E63" i="1"/>
  <c r="E64" i="1"/>
  <c r="E65" i="1"/>
  <c r="E66" i="1"/>
  <c r="E67" i="1"/>
  <c r="E68" i="1"/>
  <c r="E69" i="1"/>
  <c r="E70" i="1"/>
  <c r="E71" i="1"/>
  <c r="E72" i="1"/>
  <c r="E73" i="1"/>
  <c r="E74" i="1"/>
  <c r="E75" i="1"/>
  <c r="E48" i="1"/>
  <c r="E49" i="1"/>
  <c r="E50" i="1"/>
  <c r="E51" i="1"/>
  <c r="E52" i="1"/>
  <c r="E53" i="1"/>
  <c r="E54" i="1"/>
  <c r="E55" i="1"/>
  <c r="E56" i="1"/>
  <c r="E57" i="1"/>
  <c r="E58" i="1"/>
  <c r="E59" i="1"/>
  <c r="E36" i="1"/>
  <c r="E37" i="1"/>
  <c r="E38" i="1"/>
  <c r="E39" i="1"/>
  <c r="E40" i="1"/>
  <c r="E41" i="1"/>
  <c r="E42" i="1"/>
  <c r="E43" i="1"/>
  <c r="E44" i="1"/>
  <c r="E45" i="1"/>
  <c r="E26" i="1"/>
  <c r="E27" i="1"/>
  <c r="E28" i="1"/>
  <c r="E29" i="1"/>
  <c r="E30" i="1"/>
  <c r="E31" i="1"/>
  <c r="E32" i="1"/>
  <c r="E33" i="1"/>
  <c r="E11" i="1"/>
  <c r="E12" i="1"/>
  <c r="E13" i="1"/>
  <c r="E14" i="1"/>
  <c r="E15" i="1"/>
  <c r="E16" i="1"/>
  <c r="E17" i="1"/>
  <c r="E18" i="1"/>
  <c r="E19" i="1"/>
  <c r="E20" i="1"/>
  <c r="E21" i="1"/>
  <c r="E22" i="1"/>
  <c r="E23" i="1"/>
  <c r="E93" i="1"/>
  <c r="E94" i="1"/>
  <c r="E95" i="1"/>
  <c r="E96" i="1"/>
  <c r="E97" i="1"/>
  <c r="E98" i="1"/>
  <c r="E99" i="1"/>
  <c r="E100" i="1"/>
  <c r="E109" i="1"/>
  <c r="E110" i="1"/>
  <c r="E111" i="1"/>
  <c r="E112" i="1"/>
  <c r="E113" i="1"/>
  <c r="E114" i="1"/>
  <c r="E115" i="1"/>
  <c r="E116" i="1"/>
  <c r="E117" i="1"/>
  <c r="E118" i="1"/>
  <c r="E119" i="1"/>
  <c r="E120" i="1"/>
  <c r="E121" i="1"/>
  <c r="E124" i="1"/>
  <c r="E123" i="1"/>
  <c r="E127" i="1"/>
  <c r="E128" i="1"/>
  <c r="E129" i="1"/>
  <c r="E130" i="1"/>
  <c r="E131" i="1"/>
  <c r="E132" i="1"/>
  <c r="E133" i="1"/>
  <c r="E134" i="1"/>
  <c r="E135" i="1"/>
  <c r="E136" i="1"/>
  <c r="E137" i="1"/>
  <c r="E138" i="1"/>
  <c r="E139" i="1"/>
  <c r="E140" i="1"/>
  <c r="E141" i="1"/>
  <c r="E142" i="1"/>
  <c r="E143" i="1"/>
  <c r="E144" i="1"/>
  <c r="E147" i="1"/>
  <c r="E148" i="1"/>
  <c r="E149" i="1"/>
  <c r="E150" i="1"/>
  <c r="E151" i="1"/>
  <c r="E152" i="1"/>
  <c r="E153" i="1"/>
  <c r="E154" i="1"/>
  <c r="E155" i="1"/>
  <c r="E156" i="1"/>
  <c r="E159" i="1"/>
  <c r="E160" i="1"/>
  <c r="E161" i="1"/>
  <c r="E164" i="1"/>
  <c r="E165" i="1"/>
  <c r="E166" i="1"/>
  <c r="E167" i="1"/>
  <c r="E168" i="1"/>
  <c r="E169" i="1"/>
  <c r="E170" i="1"/>
  <c r="E171" i="1"/>
  <c r="E172" i="1"/>
  <c r="E173" i="1"/>
  <c r="E174" i="1"/>
  <c r="E175" i="1"/>
  <c r="E176" i="1"/>
  <c r="E177" i="1"/>
  <c r="E178" i="1"/>
  <c r="E179" i="1"/>
  <c r="E180" i="1"/>
  <c r="E181" i="1"/>
  <c r="E182" i="1"/>
  <c r="E183" i="1"/>
  <c r="E184" i="1"/>
  <c r="E185" i="1"/>
  <c r="E186" i="1"/>
  <c r="E187" i="1"/>
  <c r="E211" i="1"/>
  <c r="E212" i="1"/>
  <c r="E213" i="1"/>
  <c r="E214" i="1"/>
  <c r="E215" i="1"/>
  <c r="E216" i="1"/>
  <c r="E217" i="1"/>
  <c r="E218" i="1"/>
  <c r="E219" i="1"/>
  <c r="E222" i="1"/>
  <c r="E223" i="1"/>
  <c r="E224" i="1"/>
  <c r="E225" i="1"/>
  <c r="E226" i="1"/>
  <c r="E227" i="1"/>
  <c r="E228" i="1"/>
  <c r="E229" i="1"/>
  <c r="E230"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2" i="1"/>
  <c r="E273" i="1"/>
  <c r="E274" i="1"/>
  <c r="E275" i="1"/>
  <c r="E277" i="1"/>
  <c r="E278" i="1"/>
  <c r="E279" i="1"/>
  <c r="E280" i="1"/>
  <c r="E281" i="1"/>
  <c r="E282" i="1"/>
  <c r="E283" i="1"/>
  <c r="E284" i="1"/>
  <c r="E285" i="1"/>
  <c r="E286" i="1"/>
  <c r="E291" i="1"/>
  <c r="E292" i="1"/>
  <c r="E293" i="1"/>
  <c r="E294" i="1"/>
  <c r="E295" i="1"/>
  <c r="E296" i="1"/>
  <c r="E297" i="1"/>
  <c r="E298" i="1"/>
  <c r="E299" i="1"/>
  <c r="E300" i="1"/>
  <c r="E301" i="1"/>
  <c r="E302" i="1"/>
  <c r="E303" i="1"/>
  <c r="E304" i="1"/>
  <c r="E305" i="1"/>
  <c r="E306" i="1"/>
  <c r="E307" i="1"/>
  <c r="E308" i="1"/>
  <c r="E309" i="1"/>
  <c r="E310" i="1"/>
  <c r="E311" i="1"/>
  <c r="E315" i="1"/>
  <c r="E316" i="1"/>
  <c r="E317" i="1"/>
  <c r="E318" i="1"/>
  <c r="E319" i="1"/>
  <c r="E320" i="1"/>
  <c r="E321" i="1"/>
  <c r="E322" i="1"/>
  <c r="E323" i="1"/>
  <c r="E324" i="1"/>
  <c r="E325" i="1"/>
  <c r="E326" i="1"/>
  <c r="E327" i="1"/>
  <c r="E330" i="1"/>
  <c r="E331" i="1"/>
  <c r="E332" i="1"/>
  <c r="E333" i="1"/>
  <c r="E334" i="1"/>
  <c r="E335" i="1"/>
  <c r="E336" i="1"/>
  <c r="E337" i="1"/>
  <c r="E338" i="1"/>
  <c r="E339" i="1"/>
  <c r="E340" i="1"/>
  <c r="E341" i="1"/>
  <c r="E342" i="1"/>
  <c r="E343" i="1"/>
  <c r="E344" i="1"/>
  <c r="E345" i="1"/>
  <c r="E346" i="1"/>
  <c r="E347" i="1"/>
  <c r="E350" i="1"/>
  <c r="E351" i="1"/>
  <c r="E352" i="1"/>
  <c r="E355" i="1"/>
  <c r="E356" i="1"/>
  <c r="E357" i="1"/>
  <c r="E358" i="1"/>
  <c r="E359" i="1"/>
  <c r="E360" i="1"/>
  <c r="E361" i="1"/>
  <c r="E362" i="1"/>
  <c r="E363" i="1"/>
  <c r="E364" i="1"/>
  <c r="E365" i="1"/>
  <c r="E366" i="1"/>
  <c r="E367" i="1"/>
  <c r="E368" i="1"/>
  <c r="E369" i="1"/>
  <c r="E370" i="1"/>
  <c r="E371" i="1"/>
  <c r="E372" i="1"/>
  <c r="E373" i="1"/>
  <c r="E378" i="1"/>
  <c r="E379" i="1"/>
  <c r="E380" i="1"/>
  <c r="E381" i="1"/>
  <c r="E382" i="1"/>
  <c r="E383" i="1"/>
  <c r="E384" i="1"/>
  <c r="E385" i="1"/>
  <c r="E386" i="1"/>
  <c r="E387" i="1"/>
  <c r="E388" i="1"/>
  <c r="E389" i="1"/>
  <c r="E390" i="1"/>
  <c r="E391" i="1"/>
  <c r="E392" i="1"/>
  <c r="E393" i="1"/>
  <c r="E394" i="1"/>
  <c r="E397" i="1"/>
  <c r="E398" i="1"/>
  <c r="E399" i="1"/>
  <c r="E400" i="1"/>
  <c r="E401" i="1"/>
  <c r="E402" i="1"/>
  <c r="E403" i="1"/>
  <c r="E404" i="1"/>
  <c r="E405" i="1"/>
  <c r="E406" i="1"/>
  <c r="E407" i="1"/>
  <c r="E408" i="1"/>
  <c r="E411" i="1"/>
  <c r="E412" i="1"/>
  <c r="E413" i="1"/>
  <c r="E414" i="1"/>
  <c r="E415" i="1"/>
  <c r="E416" i="1"/>
  <c r="E417" i="1"/>
  <c r="E418" i="1"/>
  <c r="E419" i="1"/>
  <c r="E420" i="1"/>
  <c r="E421" i="1"/>
  <c r="E422" i="1"/>
  <c r="E428" i="1"/>
  <c r="E429" i="1"/>
  <c r="E430" i="1"/>
  <c r="E431" i="1"/>
  <c r="E432" i="1"/>
  <c r="E433" i="1"/>
  <c r="E434" i="1"/>
  <c r="E435" i="1"/>
  <c r="E436" i="1"/>
  <c r="E439" i="1"/>
  <c r="E440" i="1"/>
  <c r="E441" i="1"/>
  <c r="E442" i="1"/>
  <c r="E443" i="1"/>
  <c r="E444" i="1"/>
  <c r="E445" i="1"/>
  <c r="E446" i="1"/>
  <c r="E447" i="1"/>
  <c r="E448" i="1"/>
  <c r="E451" i="1"/>
  <c r="E452" i="1"/>
  <c r="E453" i="1"/>
  <c r="E454" i="1"/>
  <c r="E455" i="1"/>
  <c r="E456" i="1"/>
  <c r="E457" i="1"/>
  <c r="E458" i="1"/>
  <c r="E459" i="1"/>
  <c r="E460" i="1"/>
  <c r="E461" i="1"/>
  <c r="E462" i="1"/>
  <c r="E463" i="1"/>
  <c r="E464" i="1"/>
  <c r="E465" i="1"/>
  <c r="E466" i="1"/>
  <c r="E467" i="1"/>
  <c r="E472" i="1"/>
  <c r="E473" i="1"/>
  <c r="E192" i="1"/>
  <c r="E193" i="1"/>
  <c r="E194" i="1"/>
  <c r="E195" i="1"/>
  <c r="E196" i="1"/>
  <c r="E197" i="1"/>
  <c r="E198" i="1"/>
  <c r="E199" i="1"/>
  <c r="E200" i="1"/>
  <c r="E201" i="1"/>
  <c r="E202" i="1"/>
  <c r="E203" i="1"/>
  <c r="E204" i="1"/>
  <c r="E205" i="1"/>
  <c r="E206" i="1"/>
  <c r="F78" i="1"/>
  <c r="F79" i="1"/>
  <c r="F80" i="1"/>
  <c r="F81" i="1"/>
  <c r="F82" i="1"/>
  <c r="F83" i="1"/>
  <c r="F84" i="1"/>
  <c r="F85" i="1"/>
  <c r="F86" i="1"/>
  <c r="F87" i="1"/>
  <c r="F88" i="1"/>
  <c r="F89" i="1"/>
  <c r="F90" i="1"/>
  <c r="F62" i="1"/>
  <c r="F63" i="1"/>
  <c r="F64" i="1"/>
  <c r="F65" i="1"/>
  <c r="F66" i="1"/>
  <c r="F67" i="1"/>
  <c r="F68" i="1"/>
  <c r="F69" i="1"/>
  <c r="F70" i="1"/>
  <c r="F71" i="1"/>
  <c r="F72" i="1"/>
  <c r="F73" i="1"/>
  <c r="F74" i="1"/>
  <c r="F75" i="1"/>
  <c r="F48" i="1"/>
  <c r="F49" i="1"/>
  <c r="F50" i="1"/>
  <c r="F51" i="1"/>
  <c r="F52" i="1"/>
  <c r="F53" i="1"/>
  <c r="F54" i="1"/>
  <c r="F55" i="1"/>
  <c r="F56" i="1"/>
  <c r="F57" i="1"/>
  <c r="F58" i="1"/>
  <c r="F59" i="1"/>
  <c r="F36" i="1"/>
  <c r="F37" i="1"/>
  <c r="F38" i="1"/>
  <c r="F39" i="1"/>
  <c r="F40" i="1"/>
  <c r="F41" i="1"/>
  <c r="F42" i="1"/>
  <c r="F43" i="1"/>
  <c r="F44" i="1"/>
  <c r="F45" i="1"/>
  <c r="F26" i="1"/>
  <c r="F27" i="1"/>
  <c r="F28" i="1"/>
  <c r="F29" i="1"/>
  <c r="F30" i="1"/>
  <c r="F31" i="1"/>
  <c r="F32" i="1"/>
  <c r="F33" i="1"/>
  <c r="F11" i="1"/>
  <c r="F12" i="1"/>
  <c r="F13" i="1"/>
  <c r="F14" i="1"/>
  <c r="F15" i="1"/>
  <c r="F16" i="1"/>
  <c r="F17" i="1"/>
  <c r="F18" i="1"/>
  <c r="F19" i="1"/>
  <c r="F20" i="1"/>
  <c r="F21" i="1"/>
  <c r="F22" i="1"/>
  <c r="F23" i="1"/>
  <c r="F93" i="1"/>
  <c r="F94" i="1"/>
  <c r="F95" i="1"/>
  <c r="F96" i="1"/>
  <c r="F97" i="1"/>
  <c r="F98" i="1"/>
  <c r="F99" i="1"/>
  <c r="F100" i="1"/>
  <c r="F109" i="1"/>
  <c r="F110" i="1"/>
  <c r="F111" i="1"/>
  <c r="F112" i="1"/>
  <c r="F113" i="1"/>
  <c r="F114" i="1"/>
  <c r="F115" i="1"/>
  <c r="F116" i="1"/>
  <c r="F117" i="1"/>
  <c r="F118" i="1"/>
  <c r="F119" i="1"/>
  <c r="F120" i="1"/>
  <c r="F121" i="1"/>
  <c r="F124" i="1"/>
  <c r="F123" i="1"/>
  <c r="F127" i="1"/>
  <c r="F128" i="1"/>
  <c r="F129" i="1"/>
  <c r="F130" i="1"/>
  <c r="F131" i="1"/>
  <c r="F132" i="1"/>
  <c r="F133" i="1"/>
  <c r="F134" i="1"/>
  <c r="F135" i="1"/>
  <c r="F136" i="1"/>
  <c r="F137" i="1"/>
  <c r="F138" i="1"/>
  <c r="F139" i="1"/>
  <c r="F140" i="1"/>
  <c r="F141" i="1"/>
  <c r="F142" i="1"/>
  <c r="F143" i="1"/>
  <c r="F144" i="1"/>
  <c r="F147" i="1"/>
  <c r="F148" i="1"/>
  <c r="F149" i="1"/>
  <c r="F150" i="1"/>
  <c r="F151" i="1"/>
  <c r="F152" i="1"/>
  <c r="F153" i="1"/>
  <c r="F154" i="1"/>
  <c r="F155" i="1"/>
  <c r="F156" i="1"/>
  <c r="F159" i="1"/>
  <c r="F160" i="1"/>
  <c r="F161" i="1"/>
  <c r="F164" i="1"/>
  <c r="F165" i="1"/>
  <c r="F166" i="1"/>
  <c r="F167" i="1"/>
  <c r="F168" i="1"/>
  <c r="F169" i="1"/>
  <c r="F170" i="1"/>
  <c r="F171" i="1"/>
  <c r="F172" i="1"/>
  <c r="F173" i="1"/>
  <c r="F174" i="1"/>
  <c r="F175" i="1"/>
  <c r="F176" i="1"/>
  <c r="F177" i="1"/>
  <c r="F178" i="1"/>
  <c r="F179" i="1"/>
  <c r="F180" i="1"/>
  <c r="F181" i="1"/>
  <c r="F182" i="1"/>
  <c r="F183" i="1"/>
  <c r="F184" i="1"/>
  <c r="F185" i="1"/>
  <c r="F186" i="1"/>
  <c r="F187" i="1"/>
  <c r="F211" i="1"/>
  <c r="F212" i="1"/>
  <c r="F213" i="1"/>
  <c r="F214" i="1"/>
  <c r="F215" i="1"/>
  <c r="F216" i="1"/>
  <c r="F217" i="1"/>
  <c r="F218" i="1"/>
  <c r="F219" i="1"/>
  <c r="F222" i="1"/>
  <c r="F223" i="1"/>
  <c r="F224" i="1"/>
  <c r="F225" i="1"/>
  <c r="F226" i="1"/>
  <c r="F227" i="1"/>
  <c r="F228" i="1"/>
  <c r="F229" i="1"/>
  <c r="F230"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2" i="1"/>
  <c r="F273" i="1"/>
  <c r="F274" i="1"/>
  <c r="F275" i="1"/>
  <c r="F277" i="1"/>
  <c r="F278" i="1"/>
  <c r="F279" i="1"/>
  <c r="F280" i="1"/>
  <c r="F281" i="1"/>
  <c r="F282" i="1"/>
  <c r="F283" i="1"/>
  <c r="F284" i="1"/>
  <c r="F285" i="1"/>
  <c r="F286" i="1"/>
  <c r="F291" i="1"/>
  <c r="F292" i="1"/>
  <c r="F293" i="1"/>
  <c r="F294" i="1"/>
  <c r="F295" i="1"/>
  <c r="F296" i="1"/>
  <c r="F297" i="1"/>
  <c r="F298" i="1"/>
  <c r="F299" i="1"/>
  <c r="F300" i="1"/>
  <c r="F301" i="1"/>
  <c r="F302" i="1"/>
  <c r="F303" i="1"/>
  <c r="F304" i="1"/>
  <c r="F305" i="1"/>
  <c r="F306" i="1"/>
  <c r="F307" i="1"/>
  <c r="F308" i="1"/>
  <c r="F309" i="1"/>
  <c r="F310" i="1"/>
  <c r="F311" i="1"/>
  <c r="F315" i="1"/>
  <c r="F316" i="1"/>
  <c r="F317" i="1"/>
  <c r="F318" i="1"/>
  <c r="F319" i="1"/>
  <c r="F320" i="1"/>
  <c r="F321" i="1"/>
  <c r="F322" i="1"/>
  <c r="F323" i="1"/>
  <c r="F324" i="1"/>
  <c r="F325" i="1"/>
  <c r="F326" i="1"/>
  <c r="F327" i="1"/>
  <c r="F330" i="1"/>
  <c r="F331" i="1"/>
  <c r="F332" i="1"/>
  <c r="F333" i="1"/>
  <c r="F334" i="1"/>
  <c r="F335" i="1"/>
  <c r="F336" i="1"/>
  <c r="F337" i="1"/>
  <c r="F338" i="1"/>
  <c r="F339" i="1"/>
  <c r="F340" i="1"/>
  <c r="F341" i="1"/>
  <c r="F342" i="1"/>
  <c r="F343" i="1"/>
  <c r="F344" i="1"/>
  <c r="F345" i="1"/>
  <c r="F346" i="1"/>
  <c r="F347" i="1"/>
  <c r="F350" i="1"/>
  <c r="F351" i="1"/>
  <c r="F352" i="1"/>
  <c r="F355" i="1"/>
  <c r="F356" i="1"/>
  <c r="F357" i="1"/>
  <c r="F358" i="1"/>
  <c r="F359" i="1"/>
  <c r="F360" i="1"/>
  <c r="F361" i="1"/>
  <c r="F362" i="1"/>
  <c r="F363" i="1"/>
  <c r="F364" i="1"/>
  <c r="F365" i="1"/>
  <c r="F366" i="1"/>
  <c r="F367" i="1"/>
  <c r="F368" i="1"/>
  <c r="F369" i="1"/>
  <c r="F370" i="1"/>
  <c r="F371" i="1"/>
  <c r="F372" i="1"/>
  <c r="F373" i="1"/>
  <c r="F378" i="1"/>
  <c r="F379" i="1"/>
  <c r="F380" i="1"/>
  <c r="F381" i="1"/>
  <c r="F382" i="1"/>
  <c r="F383" i="1"/>
  <c r="F384" i="1"/>
  <c r="F385" i="1"/>
  <c r="F386" i="1"/>
  <c r="F387" i="1"/>
  <c r="F388" i="1"/>
  <c r="F389" i="1"/>
  <c r="F390" i="1"/>
  <c r="F391" i="1"/>
  <c r="F392" i="1"/>
  <c r="F393" i="1"/>
  <c r="F394" i="1"/>
  <c r="F397" i="1"/>
  <c r="F398" i="1"/>
  <c r="F399" i="1"/>
  <c r="F400" i="1"/>
  <c r="F401" i="1"/>
  <c r="F402" i="1"/>
  <c r="F403" i="1"/>
  <c r="F404" i="1"/>
  <c r="F405" i="1"/>
  <c r="F406" i="1"/>
  <c r="F407" i="1"/>
  <c r="F408" i="1"/>
  <c r="F411" i="1"/>
  <c r="F412" i="1"/>
  <c r="F413" i="1"/>
  <c r="F414" i="1"/>
  <c r="F415" i="1"/>
  <c r="F416" i="1"/>
  <c r="F417" i="1"/>
  <c r="F418" i="1"/>
  <c r="F419" i="1"/>
  <c r="F420" i="1"/>
  <c r="F421" i="1"/>
  <c r="F422" i="1"/>
  <c r="F428" i="1"/>
  <c r="F429" i="1"/>
  <c r="F430" i="1"/>
  <c r="F431" i="1"/>
  <c r="F432" i="1"/>
  <c r="F433" i="1"/>
  <c r="F434" i="1"/>
  <c r="F435" i="1"/>
  <c r="F436" i="1"/>
  <c r="F439" i="1"/>
  <c r="F440" i="1"/>
  <c r="F441" i="1"/>
  <c r="F442" i="1"/>
  <c r="F443" i="1"/>
  <c r="F444" i="1"/>
  <c r="F445" i="1"/>
  <c r="F446" i="1"/>
  <c r="F447" i="1"/>
  <c r="F448" i="1"/>
  <c r="F451" i="1"/>
  <c r="F452" i="1"/>
  <c r="F453" i="1"/>
  <c r="F454" i="1"/>
  <c r="F455" i="1"/>
  <c r="F456" i="1"/>
  <c r="F457" i="1"/>
  <c r="F458" i="1"/>
  <c r="F459" i="1"/>
  <c r="F460" i="1"/>
  <c r="F461" i="1"/>
  <c r="F462" i="1"/>
  <c r="F463" i="1"/>
  <c r="F464" i="1"/>
  <c r="F465" i="1"/>
  <c r="F466" i="1"/>
  <c r="F467" i="1"/>
  <c r="F472" i="1"/>
  <c r="F473" i="1"/>
  <c r="F192" i="1"/>
  <c r="F193" i="1"/>
  <c r="F194" i="1"/>
  <c r="F195" i="1"/>
  <c r="F196" i="1"/>
  <c r="F197" i="1"/>
  <c r="F198" i="1"/>
  <c r="F199" i="1"/>
  <c r="F200" i="1"/>
  <c r="F201" i="1"/>
  <c r="F202" i="1"/>
  <c r="F203" i="1"/>
  <c r="F204" i="1"/>
  <c r="F205" i="1"/>
  <c r="F206" i="1"/>
  <c r="G78" i="1"/>
  <c r="G79" i="1"/>
  <c r="G80" i="1"/>
  <c r="G81" i="1"/>
  <c r="G82" i="1"/>
  <c r="G83" i="1"/>
  <c r="G84" i="1"/>
  <c r="G85" i="1"/>
  <c r="G86" i="1"/>
  <c r="G87" i="1"/>
  <c r="G88" i="1"/>
  <c r="G89" i="1"/>
  <c r="G90" i="1"/>
  <c r="G62" i="1"/>
  <c r="G63" i="1"/>
  <c r="G64" i="1"/>
  <c r="G65" i="1"/>
  <c r="G66" i="1"/>
  <c r="G67" i="1"/>
  <c r="G68" i="1"/>
  <c r="G69" i="1"/>
  <c r="G70" i="1"/>
  <c r="G71" i="1"/>
  <c r="G72" i="1"/>
  <c r="G73" i="1"/>
  <c r="G74" i="1"/>
  <c r="G75" i="1"/>
  <c r="G48" i="1"/>
  <c r="G49" i="1"/>
  <c r="G50" i="1"/>
  <c r="G51" i="1"/>
  <c r="G52" i="1"/>
  <c r="G53" i="1"/>
  <c r="G54" i="1"/>
  <c r="G55" i="1"/>
  <c r="G56" i="1"/>
  <c r="G57" i="1"/>
  <c r="G58" i="1"/>
  <c r="G59" i="1"/>
  <c r="G36" i="1"/>
  <c r="G37" i="1"/>
  <c r="G38" i="1"/>
  <c r="G39" i="1"/>
  <c r="G40" i="1"/>
  <c r="G41" i="1"/>
  <c r="G42" i="1"/>
  <c r="G43" i="1"/>
  <c r="G44" i="1"/>
  <c r="G45" i="1"/>
  <c r="G26" i="1"/>
  <c r="G27" i="1"/>
  <c r="G28" i="1"/>
  <c r="G29" i="1"/>
  <c r="G30" i="1"/>
  <c r="G31" i="1"/>
  <c r="G32" i="1"/>
  <c r="G33" i="1"/>
  <c r="G11" i="1"/>
  <c r="G12" i="1"/>
  <c r="G13" i="1"/>
  <c r="G14" i="1"/>
  <c r="G15" i="1"/>
  <c r="G16" i="1"/>
  <c r="G17" i="1"/>
  <c r="G18" i="1"/>
  <c r="G19" i="1"/>
  <c r="G20" i="1"/>
  <c r="G21" i="1"/>
  <c r="G22" i="1"/>
  <c r="G23" i="1"/>
  <c r="G93" i="1"/>
  <c r="G94" i="1"/>
  <c r="G95" i="1"/>
  <c r="G96" i="1"/>
  <c r="G97" i="1"/>
  <c r="G98" i="1"/>
  <c r="G99" i="1"/>
  <c r="G100" i="1"/>
  <c r="G109" i="1"/>
  <c r="G110" i="1"/>
  <c r="G111" i="1"/>
  <c r="G112" i="1"/>
  <c r="G113" i="1"/>
  <c r="G114" i="1"/>
  <c r="G115" i="1"/>
  <c r="G116" i="1"/>
  <c r="G117" i="1"/>
  <c r="G118" i="1"/>
  <c r="G119" i="1"/>
  <c r="G120" i="1"/>
  <c r="G121" i="1"/>
  <c r="G124" i="1"/>
  <c r="G123" i="1"/>
  <c r="G127" i="1"/>
  <c r="G128" i="1"/>
  <c r="G129" i="1"/>
  <c r="G130" i="1"/>
  <c r="G131" i="1"/>
  <c r="G132" i="1"/>
  <c r="G133" i="1"/>
  <c r="G134" i="1"/>
  <c r="G135" i="1"/>
  <c r="G136" i="1"/>
  <c r="G137" i="1"/>
  <c r="G138" i="1"/>
  <c r="G139" i="1"/>
  <c r="G140" i="1"/>
  <c r="G141" i="1"/>
  <c r="G142" i="1"/>
  <c r="G143" i="1"/>
  <c r="G144" i="1"/>
  <c r="G147" i="1"/>
  <c r="G148" i="1"/>
  <c r="G149" i="1"/>
  <c r="G150" i="1"/>
  <c r="G151" i="1"/>
  <c r="G152" i="1"/>
  <c r="G153" i="1"/>
  <c r="G154" i="1"/>
  <c r="G155" i="1"/>
  <c r="G156" i="1"/>
  <c r="G159" i="1"/>
  <c r="G160" i="1"/>
  <c r="G161" i="1"/>
  <c r="G164" i="1"/>
  <c r="G165" i="1"/>
  <c r="G166" i="1"/>
  <c r="G167" i="1"/>
  <c r="G168" i="1"/>
  <c r="G169" i="1"/>
  <c r="G170" i="1"/>
  <c r="G171" i="1"/>
  <c r="G172" i="1"/>
  <c r="G173" i="1"/>
  <c r="G174" i="1"/>
  <c r="G175" i="1"/>
  <c r="G176" i="1"/>
  <c r="G177" i="1"/>
  <c r="G178" i="1"/>
  <c r="G179" i="1"/>
  <c r="G180" i="1"/>
  <c r="G181" i="1"/>
  <c r="G182" i="1"/>
  <c r="G183" i="1"/>
  <c r="G184" i="1"/>
  <c r="G185" i="1"/>
  <c r="G186" i="1"/>
  <c r="G187" i="1"/>
  <c r="G211" i="1"/>
  <c r="G212" i="1"/>
  <c r="G213" i="1"/>
  <c r="G214" i="1"/>
  <c r="G215" i="1"/>
  <c r="G216" i="1"/>
  <c r="G217" i="1"/>
  <c r="G218" i="1"/>
  <c r="G219" i="1"/>
  <c r="G222" i="1"/>
  <c r="G223" i="1"/>
  <c r="G224" i="1"/>
  <c r="G225" i="1"/>
  <c r="G226" i="1"/>
  <c r="G227" i="1"/>
  <c r="G228" i="1"/>
  <c r="G229" i="1"/>
  <c r="G230"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2" i="1"/>
  <c r="G273" i="1"/>
  <c r="G274" i="1"/>
  <c r="G275" i="1"/>
  <c r="G277" i="1"/>
  <c r="G278" i="1"/>
  <c r="G279" i="1"/>
  <c r="G280" i="1"/>
  <c r="G281" i="1"/>
  <c r="G282" i="1"/>
  <c r="G283" i="1"/>
  <c r="G284" i="1"/>
  <c r="G285" i="1"/>
  <c r="G286" i="1"/>
  <c r="G291" i="1"/>
  <c r="G292" i="1"/>
  <c r="G293" i="1"/>
  <c r="G294" i="1"/>
  <c r="G295" i="1"/>
  <c r="G296" i="1"/>
  <c r="G297" i="1"/>
  <c r="G298" i="1"/>
  <c r="G299" i="1"/>
  <c r="G300" i="1"/>
  <c r="G301" i="1"/>
  <c r="G302" i="1"/>
  <c r="G303" i="1"/>
  <c r="G304" i="1"/>
  <c r="G305" i="1"/>
  <c r="G306" i="1"/>
  <c r="G307" i="1"/>
  <c r="G308" i="1"/>
  <c r="G309" i="1"/>
  <c r="G310" i="1"/>
  <c r="G311" i="1"/>
  <c r="G315" i="1"/>
  <c r="G316" i="1"/>
  <c r="G317" i="1"/>
  <c r="G318" i="1"/>
  <c r="G319" i="1"/>
  <c r="G320" i="1"/>
  <c r="G321" i="1"/>
  <c r="G322" i="1"/>
  <c r="G323" i="1"/>
  <c r="G324" i="1"/>
  <c r="G325" i="1"/>
  <c r="G326" i="1"/>
  <c r="G327" i="1"/>
  <c r="G330" i="1"/>
  <c r="G331" i="1"/>
  <c r="G332" i="1"/>
  <c r="G333" i="1"/>
  <c r="G334" i="1"/>
  <c r="G335" i="1"/>
  <c r="G336" i="1"/>
  <c r="G337" i="1"/>
  <c r="G338" i="1"/>
  <c r="G339" i="1"/>
  <c r="G340" i="1"/>
  <c r="G341" i="1"/>
  <c r="G342" i="1"/>
  <c r="G343" i="1"/>
  <c r="G344" i="1"/>
  <c r="G345" i="1"/>
  <c r="G346" i="1"/>
  <c r="G347" i="1"/>
  <c r="G350" i="1"/>
  <c r="G351" i="1"/>
  <c r="G352" i="1"/>
  <c r="G355" i="1"/>
  <c r="G356" i="1"/>
  <c r="G357" i="1"/>
  <c r="G358" i="1"/>
  <c r="G359" i="1"/>
  <c r="G360" i="1"/>
  <c r="G361" i="1"/>
  <c r="G362" i="1"/>
  <c r="G363" i="1"/>
  <c r="G364" i="1"/>
  <c r="G365" i="1"/>
  <c r="G366" i="1"/>
  <c r="G367" i="1"/>
  <c r="G368" i="1"/>
  <c r="G369" i="1"/>
  <c r="G370" i="1"/>
  <c r="G371" i="1"/>
  <c r="G372" i="1"/>
  <c r="G373" i="1"/>
  <c r="G378" i="1"/>
  <c r="G379" i="1"/>
  <c r="G380" i="1"/>
  <c r="G381" i="1"/>
  <c r="G382" i="1"/>
  <c r="G383" i="1"/>
  <c r="G384" i="1"/>
  <c r="G385" i="1"/>
  <c r="G386" i="1"/>
  <c r="G387" i="1"/>
  <c r="G388" i="1"/>
  <c r="G389" i="1"/>
  <c r="G390" i="1"/>
  <c r="G391" i="1"/>
  <c r="G392" i="1"/>
  <c r="G393" i="1"/>
  <c r="G394" i="1"/>
  <c r="G397" i="1"/>
  <c r="G398" i="1"/>
  <c r="G399" i="1"/>
  <c r="G400" i="1"/>
  <c r="G401" i="1"/>
  <c r="G402" i="1"/>
  <c r="G403" i="1"/>
  <c r="G404" i="1"/>
  <c r="G405" i="1"/>
  <c r="G406" i="1"/>
  <c r="G407" i="1"/>
  <c r="G408" i="1"/>
  <c r="G411" i="1"/>
  <c r="G412" i="1"/>
  <c r="G413" i="1"/>
  <c r="G414" i="1"/>
  <c r="G415" i="1"/>
  <c r="G416" i="1"/>
  <c r="G417" i="1"/>
  <c r="G418" i="1"/>
  <c r="G419" i="1"/>
  <c r="G420" i="1"/>
  <c r="G421" i="1"/>
  <c r="G422" i="1"/>
  <c r="G428" i="1"/>
  <c r="G429" i="1"/>
  <c r="G430" i="1"/>
  <c r="G431" i="1"/>
  <c r="G432" i="1"/>
  <c r="G433" i="1"/>
  <c r="G434" i="1"/>
  <c r="G435" i="1"/>
  <c r="G436" i="1"/>
  <c r="G439" i="1"/>
  <c r="G440" i="1"/>
  <c r="G441" i="1"/>
  <c r="G442" i="1"/>
  <c r="G443" i="1"/>
  <c r="G444" i="1"/>
  <c r="G445" i="1"/>
  <c r="G446" i="1"/>
  <c r="G447" i="1"/>
  <c r="G448" i="1"/>
  <c r="G451" i="1"/>
  <c r="G452" i="1"/>
  <c r="G453" i="1"/>
  <c r="G454" i="1"/>
  <c r="G455" i="1"/>
  <c r="G456" i="1"/>
  <c r="G457" i="1"/>
  <c r="G458" i="1"/>
  <c r="G459" i="1"/>
  <c r="G460" i="1"/>
  <c r="G461" i="1"/>
  <c r="G462" i="1"/>
  <c r="G463" i="1"/>
  <c r="G464" i="1"/>
  <c r="G465" i="1"/>
  <c r="G466" i="1"/>
  <c r="G467" i="1"/>
  <c r="G472" i="1"/>
  <c r="G473" i="1"/>
  <c r="G192" i="1"/>
  <c r="G193" i="1"/>
  <c r="G194" i="1"/>
  <c r="G195" i="1"/>
  <c r="G196" i="1"/>
  <c r="G197" i="1"/>
  <c r="G198" i="1"/>
  <c r="G199" i="1"/>
  <c r="G200" i="1"/>
  <c r="G201" i="1"/>
  <c r="G202" i="1"/>
  <c r="G203" i="1"/>
  <c r="G204" i="1"/>
  <c r="G205" i="1"/>
  <c r="G206" i="1"/>
  <c r="H78" i="1"/>
  <c r="H79" i="1"/>
  <c r="H80" i="1"/>
  <c r="H81" i="1"/>
  <c r="H82" i="1"/>
  <c r="H83" i="1"/>
  <c r="H84" i="1"/>
  <c r="H85" i="1"/>
  <c r="H86" i="1"/>
  <c r="H87" i="1"/>
  <c r="H88" i="1"/>
  <c r="H89" i="1"/>
  <c r="H90" i="1"/>
  <c r="H62" i="1"/>
  <c r="H63" i="1"/>
  <c r="H64" i="1"/>
  <c r="H65" i="1"/>
  <c r="H66" i="1"/>
  <c r="H67" i="1"/>
  <c r="H68" i="1"/>
  <c r="H69" i="1"/>
  <c r="H70" i="1"/>
  <c r="H71" i="1"/>
  <c r="H72" i="1"/>
  <c r="H73" i="1"/>
  <c r="H74" i="1"/>
  <c r="H75" i="1"/>
  <c r="H48" i="1"/>
  <c r="H49" i="1"/>
  <c r="H50" i="1"/>
  <c r="H51" i="1"/>
  <c r="H52" i="1"/>
  <c r="H53" i="1"/>
  <c r="H54" i="1"/>
  <c r="H55" i="1"/>
  <c r="H56" i="1"/>
  <c r="H57" i="1"/>
  <c r="H58" i="1"/>
  <c r="H59" i="1"/>
  <c r="H36" i="1"/>
  <c r="H37" i="1"/>
  <c r="H38" i="1"/>
  <c r="H39" i="1"/>
  <c r="H40" i="1"/>
  <c r="H41" i="1"/>
  <c r="H42" i="1"/>
  <c r="H43" i="1"/>
  <c r="H44" i="1"/>
  <c r="H45" i="1"/>
  <c r="H26" i="1"/>
  <c r="H27" i="1"/>
  <c r="H28" i="1"/>
  <c r="H29" i="1"/>
  <c r="H30" i="1"/>
  <c r="H31" i="1"/>
  <c r="H32" i="1"/>
  <c r="H33" i="1"/>
  <c r="H11" i="1"/>
  <c r="H12" i="1"/>
  <c r="H13" i="1"/>
  <c r="H14" i="1"/>
  <c r="H15" i="1"/>
  <c r="H16" i="1"/>
  <c r="H17" i="1"/>
  <c r="H18" i="1"/>
  <c r="H19" i="1"/>
  <c r="H20" i="1"/>
  <c r="H21" i="1"/>
  <c r="H22" i="1"/>
  <c r="H23" i="1"/>
  <c r="H93" i="1"/>
  <c r="H94" i="1"/>
  <c r="H95" i="1"/>
  <c r="H96" i="1"/>
  <c r="H97" i="1"/>
  <c r="H98" i="1"/>
  <c r="H99" i="1"/>
  <c r="H100" i="1"/>
  <c r="H109" i="1"/>
  <c r="H110" i="1"/>
  <c r="H111" i="1"/>
  <c r="H112" i="1"/>
  <c r="H113" i="1"/>
  <c r="H114" i="1"/>
  <c r="H115" i="1"/>
  <c r="H116" i="1"/>
  <c r="H117" i="1"/>
  <c r="H118" i="1"/>
  <c r="H119" i="1"/>
  <c r="H120" i="1"/>
  <c r="H121" i="1"/>
  <c r="H124" i="1"/>
  <c r="H123" i="1"/>
  <c r="H127" i="1"/>
  <c r="H128" i="1"/>
  <c r="H129" i="1"/>
  <c r="H130" i="1"/>
  <c r="H131" i="1"/>
  <c r="H132" i="1"/>
  <c r="H133" i="1"/>
  <c r="H134" i="1"/>
  <c r="H135" i="1"/>
  <c r="H136" i="1"/>
  <c r="H137" i="1"/>
  <c r="H138" i="1"/>
  <c r="H139" i="1"/>
  <c r="H140" i="1"/>
  <c r="H141" i="1"/>
  <c r="H142" i="1"/>
  <c r="H143" i="1"/>
  <c r="H144" i="1"/>
  <c r="H147" i="1"/>
  <c r="H148" i="1"/>
  <c r="H149" i="1"/>
  <c r="H150" i="1"/>
  <c r="H151" i="1"/>
  <c r="H152" i="1"/>
  <c r="H153" i="1"/>
  <c r="H154" i="1"/>
  <c r="H155" i="1"/>
  <c r="H156" i="1"/>
  <c r="H159" i="1"/>
  <c r="H160" i="1"/>
  <c r="H161" i="1"/>
  <c r="H164" i="1"/>
  <c r="H165" i="1"/>
  <c r="H166" i="1"/>
  <c r="H167" i="1"/>
  <c r="H168" i="1"/>
  <c r="H169" i="1"/>
  <c r="H170" i="1"/>
  <c r="H171" i="1"/>
  <c r="H172" i="1"/>
  <c r="H173" i="1"/>
  <c r="H174" i="1"/>
  <c r="H175" i="1"/>
  <c r="H176" i="1"/>
  <c r="H177" i="1"/>
  <c r="H178" i="1"/>
  <c r="H179" i="1"/>
  <c r="H180" i="1"/>
  <c r="H181" i="1"/>
  <c r="H182" i="1"/>
  <c r="H183" i="1"/>
  <c r="H184" i="1"/>
  <c r="H185" i="1"/>
  <c r="H186" i="1"/>
  <c r="H187" i="1"/>
  <c r="H211" i="1"/>
  <c r="H212" i="1"/>
  <c r="H213" i="1"/>
  <c r="H214" i="1"/>
  <c r="H215" i="1"/>
  <c r="H216" i="1"/>
  <c r="H217" i="1"/>
  <c r="H218" i="1"/>
  <c r="H219" i="1"/>
  <c r="H222" i="1"/>
  <c r="H223" i="1"/>
  <c r="H224" i="1"/>
  <c r="H225" i="1"/>
  <c r="H226" i="1"/>
  <c r="H227" i="1"/>
  <c r="H228" i="1"/>
  <c r="H229" i="1"/>
  <c r="H230"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2" i="1"/>
  <c r="H273" i="1"/>
  <c r="H274" i="1"/>
  <c r="H275" i="1"/>
  <c r="H277" i="1"/>
  <c r="H278" i="1"/>
  <c r="H279" i="1"/>
  <c r="H280" i="1"/>
  <c r="H281" i="1"/>
  <c r="H282" i="1"/>
  <c r="H283" i="1"/>
  <c r="H284" i="1"/>
  <c r="H285" i="1"/>
  <c r="H286" i="1"/>
  <c r="H291" i="1"/>
  <c r="H292" i="1"/>
  <c r="H293" i="1"/>
  <c r="H294" i="1"/>
  <c r="H295" i="1"/>
  <c r="H296" i="1"/>
  <c r="H297" i="1"/>
  <c r="H298" i="1"/>
  <c r="H299" i="1"/>
  <c r="H300" i="1"/>
  <c r="H301" i="1"/>
  <c r="H302" i="1"/>
  <c r="H303" i="1"/>
  <c r="H304" i="1"/>
  <c r="H305" i="1"/>
  <c r="H306" i="1"/>
  <c r="H307" i="1"/>
  <c r="H308" i="1"/>
  <c r="H309" i="1"/>
  <c r="H310" i="1"/>
  <c r="H311" i="1"/>
  <c r="H315" i="1"/>
  <c r="H316" i="1"/>
  <c r="H317" i="1"/>
  <c r="H318" i="1"/>
  <c r="H319" i="1"/>
  <c r="H320" i="1"/>
  <c r="H321" i="1"/>
  <c r="H322" i="1"/>
  <c r="H323" i="1"/>
  <c r="H324" i="1"/>
  <c r="H325" i="1"/>
  <c r="H326" i="1"/>
  <c r="H327" i="1"/>
  <c r="H330" i="1"/>
  <c r="H331" i="1"/>
  <c r="H332" i="1"/>
  <c r="H333" i="1"/>
  <c r="H334" i="1"/>
  <c r="H335" i="1"/>
  <c r="H336" i="1"/>
  <c r="H337" i="1"/>
  <c r="H338" i="1"/>
  <c r="H339" i="1"/>
  <c r="H340" i="1"/>
  <c r="H341" i="1"/>
  <c r="H342" i="1"/>
  <c r="H343" i="1"/>
  <c r="H344" i="1"/>
  <c r="H345" i="1"/>
  <c r="H346" i="1"/>
  <c r="H347" i="1"/>
  <c r="H350" i="1"/>
  <c r="H351" i="1"/>
  <c r="H352" i="1"/>
  <c r="H355" i="1"/>
  <c r="H356" i="1"/>
  <c r="H357" i="1"/>
  <c r="H358" i="1"/>
  <c r="H359" i="1"/>
  <c r="H360" i="1"/>
  <c r="H361" i="1"/>
  <c r="H362" i="1"/>
  <c r="H363" i="1"/>
  <c r="H364" i="1"/>
  <c r="H365" i="1"/>
  <c r="H366" i="1"/>
  <c r="H367" i="1"/>
  <c r="H368" i="1"/>
  <c r="H369" i="1"/>
  <c r="H370" i="1"/>
  <c r="H371" i="1"/>
  <c r="H372" i="1"/>
  <c r="H373" i="1"/>
  <c r="H378" i="1"/>
  <c r="H379" i="1"/>
  <c r="H380" i="1"/>
  <c r="H381" i="1"/>
  <c r="H382" i="1"/>
  <c r="H383" i="1"/>
  <c r="H384" i="1"/>
  <c r="H385" i="1"/>
  <c r="H386" i="1"/>
  <c r="H387" i="1"/>
  <c r="H388" i="1"/>
  <c r="H389" i="1"/>
  <c r="H390" i="1"/>
  <c r="H391" i="1"/>
  <c r="H392" i="1"/>
  <c r="H393" i="1"/>
  <c r="H394" i="1"/>
  <c r="H397" i="1"/>
  <c r="H398" i="1"/>
  <c r="H399" i="1"/>
  <c r="H400" i="1"/>
  <c r="H401" i="1"/>
  <c r="H402" i="1"/>
  <c r="H403" i="1"/>
  <c r="H404" i="1"/>
  <c r="H405" i="1"/>
  <c r="H406" i="1"/>
  <c r="H407" i="1"/>
  <c r="H408" i="1"/>
  <c r="H411" i="1"/>
  <c r="H412" i="1"/>
  <c r="H413" i="1"/>
  <c r="H414" i="1"/>
  <c r="H415" i="1"/>
  <c r="H416" i="1"/>
  <c r="H417" i="1"/>
  <c r="H418" i="1"/>
  <c r="H419" i="1"/>
  <c r="H420" i="1"/>
  <c r="H421" i="1"/>
  <c r="H422" i="1"/>
  <c r="H428" i="1"/>
  <c r="H429" i="1"/>
  <c r="H430" i="1"/>
  <c r="H431" i="1"/>
  <c r="H432" i="1"/>
  <c r="H433" i="1"/>
  <c r="H434" i="1"/>
  <c r="H435" i="1"/>
  <c r="H436" i="1"/>
  <c r="H439" i="1"/>
  <c r="H440" i="1"/>
  <c r="H441" i="1"/>
  <c r="H442" i="1"/>
  <c r="H443" i="1"/>
  <c r="H444" i="1"/>
  <c r="H445" i="1"/>
  <c r="H446" i="1"/>
  <c r="H447" i="1"/>
  <c r="H448" i="1"/>
  <c r="H451" i="1"/>
  <c r="H452" i="1"/>
  <c r="H453" i="1"/>
  <c r="H454" i="1"/>
  <c r="H455" i="1"/>
  <c r="H456" i="1"/>
  <c r="H457" i="1"/>
  <c r="H458" i="1"/>
  <c r="H459" i="1"/>
  <c r="H460" i="1"/>
  <c r="H461" i="1"/>
  <c r="H462" i="1"/>
  <c r="H463" i="1"/>
  <c r="H464" i="1"/>
  <c r="H465" i="1"/>
  <c r="H466" i="1"/>
  <c r="H467" i="1"/>
  <c r="H472" i="1"/>
  <c r="H473" i="1"/>
  <c r="H192" i="1"/>
  <c r="H193" i="1"/>
  <c r="H194" i="1"/>
  <c r="H195" i="1"/>
  <c r="H196" i="1"/>
  <c r="H197" i="1"/>
  <c r="H198" i="1"/>
  <c r="H199" i="1"/>
  <c r="H200" i="1"/>
  <c r="H201" i="1"/>
  <c r="H202" i="1"/>
  <c r="H203" i="1"/>
  <c r="H204" i="1"/>
  <c r="H205" i="1"/>
  <c r="H206" i="1"/>
  <c r="I78" i="1"/>
  <c r="I79" i="1"/>
  <c r="I80" i="1"/>
  <c r="I81" i="1"/>
  <c r="I82" i="1"/>
  <c r="I83" i="1"/>
  <c r="I84" i="1"/>
  <c r="I85" i="1"/>
  <c r="I86" i="1"/>
  <c r="I87" i="1"/>
  <c r="I88" i="1"/>
  <c r="I89" i="1"/>
  <c r="I90" i="1"/>
  <c r="I62" i="1"/>
  <c r="I63" i="1"/>
  <c r="I64" i="1"/>
  <c r="I65" i="1"/>
  <c r="I66" i="1"/>
  <c r="I67" i="1"/>
  <c r="I68" i="1"/>
  <c r="I69" i="1"/>
  <c r="I70" i="1"/>
  <c r="I71" i="1"/>
  <c r="I72" i="1"/>
  <c r="I73" i="1"/>
  <c r="I74" i="1"/>
  <c r="I75" i="1"/>
  <c r="I48" i="1"/>
  <c r="I49" i="1"/>
  <c r="I50" i="1"/>
  <c r="I51" i="1"/>
  <c r="I52" i="1"/>
  <c r="I53" i="1"/>
  <c r="I54" i="1"/>
  <c r="I55" i="1"/>
  <c r="I56" i="1"/>
  <c r="I57" i="1"/>
  <c r="I58" i="1"/>
  <c r="I59" i="1"/>
  <c r="I36" i="1"/>
  <c r="I37" i="1"/>
  <c r="I38" i="1"/>
  <c r="I39" i="1"/>
  <c r="I40" i="1"/>
  <c r="I41" i="1"/>
  <c r="I42" i="1"/>
  <c r="I43" i="1"/>
  <c r="I44" i="1"/>
  <c r="I45" i="1"/>
  <c r="I26" i="1"/>
  <c r="I27" i="1"/>
  <c r="I28" i="1"/>
  <c r="I29" i="1"/>
  <c r="I30" i="1"/>
  <c r="I31" i="1"/>
  <c r="I32" i="1"/>
  <c r="I33" i="1"/>
  <c r="I11" i="1"/>
  <c r="I12" i="1"/>
  <c r="I13" i="1"/>
  <c r="I14" i="1"/>
  <c r="I15" i="1"/>
  <c r="I16" i="1"/>
  <c r="I17" i="1"/>
  <c r="I18" i="1"/>
  <c r="I19" i="1"/>
  <c r="I20" i="1"/>
  <c r="I21" i="1"/>
  <c r="I22" i="1"/>
  <c r="I23" i="1"/>
  <c r="I93" i="1"/>
  <c r="I94" i="1"/>
  <c r="I95" i="1"/>
  <c r="I96" i="1"/>
  <c r="I97" i="1"/>
  <c r="I98" i="1"/>
  <c r="I99" i="1"/>
  <c r="I100" i="1"/>
  <c r="I109" i="1"/>
  <c r="I110" i="1"/>
  <c r="I111" i="1"/>
  <c r="I112" i="1"/>
  <c r="I113" i="1"/>
  <c r="I114" i="1"/>
  <c r="I115" i="1"/>
  <c r="I116" i="1"/>
  <c r="I117" i="1"/>
  <c r="I118" i="1"/>
  <c r="I119" i="1"/>
  <c r="I120" i="1"/>
  <c r="I121" i="1"/>
  <c r="I124" i="1"/>
  <c r="I123" i="1"/>
  <c r="I127" i="1"/>
  <c r="I128" i="1"/>
  <c r="I129" i="1"/>
  <c r="I130" i="1"/>
  <c r="I131" i="1"/>
  <c r="I132" i="1"/>
  <c r="I133" i="1"/>
  <c r="I134" i="1"/>
  <c r="I135" i="1"/>
  <c r="I136" i="1"/>
  <c r="I137" i="1"/>
  <c r="I138" i="1"/>
  <c r="I139" i="1"/>
  <c r="I140" i="1"/>
  <c r="I141" i="1"/>
  <c r="I142" i="1"/>
  <c r="I143" i="1"/>
  <c r="I144" i="1"/>
  <c r="I147" i="1"/>
  <c r="I148" i="1"/>
  <c r="I149" i="1"/>
  <c r="I150" i="1"/>
  <c r="I151" i="1"/>
  <c r="I152" i="1"/>
  <c r="I153" i="1"/>
  <c r="I154" i="1"/>
  <c r="I155" i="1"/>
  <c r="I156" i="1"/>
  <c r="I159" i="1"/>
  <c r="I160" i="1"/>
  <c r="I161" i="1"/>
  <c r="I164" i="1"/>
  <c r="I165" i="1"/>
  <c r="I166" i="1"/>
  <c r="I167" i="1"/>
  <c r="I168" i="1"/>
  <c r="I169" i="1"/>
  <c r="I170" i="1"/>
  <c r="I171" i="1"/>
  <c r="I172" i="1"/>
  <c r="I173" i="1"/>
  <c r="I174" i="1"/>
  <c r="I175" i="1"/>
  <c r="I176" i="1"/>
  <c r="I177" i="1"/>
  <c r="I178" i="1"/>
  <c r="I179" i="1"/>
  <c r="I180" i="1"/>
  <c r="I181" i="1"/>
  <c r="I182" i="1"/>
  <c r="I183" i="1"/>
  <c r="I184" i="1"/>
  <c r="I185" i="1"/>
  <c r="I186" i="1"/>
  <c r="I187" i="1"/>
  <c r="I211" i="1"/>
  <c r="I212" i="1"/>
  <c r="I213" i="1"/>
  <c r="I214" i="1"/>
  <c r="I215" i="1"/>
  <c r="I216" i="1"/>
  <c r="I217" i="1"/>
  <c r="I218" i="1"/>
  <c r="I219" i="1"/>
  <c r="I222" i="1"/>
  <c r="I223" i="1"/>
  <c r="I224" i="1"/>
  <c r="I225" i="1"/>
  <c r="I226" i="1"/>
  <c r="I227" i="1"/>
  <c r="I228" i="1"/>
  <c r="I229" i="1"/>
  <c r="I230"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2" i="1"/>
  <c r="I273" i="1"/>
  <c r="I274" i="1"/>
  <c r="I275" i="1"/>
  <c r="I277" i="1"/>
  <c r="I278" i="1"/>
  <c r="I279" i="1"/>
  <c r="I280" i="1"/>
  <c r="I281" i="1"/>
  <c r="I282" i="1"/>
  <c r="I283" i="1"/>
  <c r="I284" i="1"/>
  <c r="I285" i="1"/>
  <c r="I286" i="1"/>
  <c r="I291" i="1"/>
  <c r="I292" i="1"/>
  <c r="I293" i="1"/>
  <c r="I294" i="1"/>
  <c r="I295" i="1"/>
  <c r="I296" i="1"/>
  <c r="I297" i="1"/>
  <c r="I298" i="1"/>
  <c r="I299" i="1"/>
  <c r="I300" i="1"/>
  <c r="I301" i="1"/>
  <c r="I302" i="1"/>
  <c r="I303" i="1"/>
  <c r="I304" i="1"/>
  <c r="I305" i="1"/>
  <c r="I306" i="1"/>
  <c r="I307" i="1"/>
  <c r="I308" i="1"/>
  <c r="I309" i="1"/>
  <c r="I310" i="1"/>
  <c r="I311" i="1"/>
  <c r="I315" i="1"/>
  <c r="I316" i="1"/>
  <c r="I317" i="1"/>
  <c r="I318" i="1"/>
  <c r="I319" i="1"/>
  <c r="I320" i="1"/>
  <c r="I321" i="1"/>
  <c r="I322" i="1"/>
  <c r="I323" i="1"/>
  <c r="I324" i="1"/>
  <c r="I325" i="1"/>
  <c r="I326" i="1"/>
  <c r="I327" i="1"/>
  <c r="I330" i="1"/>
  <c r="I331" i="1"/>
  <c r="I332" i="1"/>
  <c r="I333" i="1"/>
  <c r="I334" i="1"/>
  <c r="I335" i="1"/>
  <c r="I336" i="1"/>
  <c r="I337" i="1"/>
  <c r="I338" i="1"/>
  <c r="I339" i="1"/>
  <c r="I340" i="1"/>
  <c r="I341" i="1"/>
  <c r="I342" i="1"/>
  <c r="I343" i="1"/>
  <c r="I344" i="1"/>
  <c r="I345" i="1"/>
  <c r="I346" i="1"/>
  <c r="I347" i="1"/>
  <c r="I350" i="1"/>
  <c r="I351" i="1"/>
  <c r="I352" i="1"/>
  <c r="I355" i="1"/>
  <c r="I356" i="1"/>
  <c r="I357" i="1"/>
  <c r="I358" i="1"/>
  <c r="I359" i="1"/>
  <c r="I360" i="1"/>
  <c r="I361" i="1"/>
  <c r="I362" i="1"/>
  <c r="I363" i="1"/>
  <c r="I364" i="1"/>
  <c r="I365" i="1"/>
  <c r="I366" i="1"/>
  <c r="I367" i="1"/>
  <c r="I368" i="1"/>
  <c r="I369" i="1"/>
  <c r="I370" i="1"/>
  <c r="I371" i="1"/>
  <c r="I372" i="1"/>
  <c r="I373" i="1"/>
  <c r="I378" i="1"/>
  <c r="I379" i="1"/>
  <c r="I380" i="1"/>
  <c r="I381" i="1"/>
  <c r="I382" i="1"/>
  <c r="I383" i="1"/>
  <c r="I384" i="1"/>
  <c r="I385" i="1"/>
  <c r="I386" i="1"/>
  <c r="I387" i="1"/>
  <c r="I388" i="1"/>
  <c r="I389" i="1"/>
  <c r="I390" i="1"/>
  <c r="I391" i="1"/>
  <c r="I392" i="1"/>
  <c r="I393" i="1"/>
  <c r="I394" i="1"/>
  <c r="I397" i="1"/>
  <c r="I398" i="1"/>
  <c r="I399" i="1"/>
  <c r="I400" i="1"/>
  <c r="I401" i="1"/>
  <c r="I402" i="1"/>
  <c r="I403" i="1"/>
  <c r="I404" i="1"/>
  <c r="I405" i="1"/>
  <c r="I406" i="1"/>
  <c r="I407" i="1"/>
  <c r="I408" i="1"/>
  <c r="I411" i="1"/>
  <c r="I412" i="1"/>
  <c r="I413" i="1"/>
  <c r="I414" i="1"/>
  <c r="I415" i="1"/>
  <c r="I416" i="1"/>
  <c r="I417" i="1"/>
  <c r="I418" i="1"/>
  <c r="I419" i="1"/>
  <c r="I420" i="1"/>
  <c r="I421" i="1"/>
  <c r="I422" i="1"/>
  <c r="I428" i="1"/>
  <c r="I429" i="1"/>
  <c r="I430" i="1"/>
  <c r="I431" i="1"/>
  <c r="I432" i="1"/>
  <c r="I433" i="1"/>
  <c r="I434" i="1"/>
  <c r="I435" i="1"/>
  <c r="I436" i="1"/>
  <c r="I439" i="1"/>
  <c r="I440" i="1"/>
  <c r="I441" i="1"/>
  <c r="I442" i="1"/>
  <c r="I443" i="1"/>
  <c r="I444" i="1"/>
  <c r="I445" i="1"/>
  <c r="I446" i="1"/>
  <c r="I447" i="1"/>
  <c r="I448" i="1"/>
  <c r="I451" i="1"/>
  <c r="I452" i="1"/>
  <c r="I453" i="1"/>
  <c r="I454" i="1"/>
  <c r="I455" i="1"/>
  <c r="I456" i="1"/>
  <c r="I457" i="1"/>
  <c r="I458" i="1"/>
  <c r="I459" i="1"/>
  <c r="I460" i="1"/>
  <c r="I461" i="1"/>
  <c r="I462" i="1"/>
  <c r="I463" i="1"/>
  <c r="I464" i="1"/>
  <c r="I465" i="1"/>
  <c r="I466" i="1"/>
  <c r="I467" i="1"/>
  <c r="I472" i="1"/>
  <c r="I473" i="1"/>
  <c r="I192" i="1"/>
  <c r="I193" i="1"/>
  <c r="I194" i="1"/>
  <c r="I195" i="1"/>
  <c r="I196" i="1"/>
  <c r="I197" i="1"/>
  <c r="I198" i="1"/>
  <c r="I199" i="1"/>
  <c r="I200" i="1"/>
  <c r="I201" i="1"/>
  <c r="I202" i="1"/>
  <c r="I203" i="1"/>
  <c r="I204" i="1"/>
  <c r="I205" i="1"/>
  <c r="I206" i="1"/>
  <c r="J78" i="1"/>
  <c r="J79" i="1"/>
  <c r="J80" i="1"/>
  <c r="J81" i="1"/>
  <c r="J82" i="1"/>
  <c r="J83" i="1"/>
  <c r="J84" i="1"/>
  <c r="J85" i="1"/>
  <c r="J86" i="1"/>
  <c r="J87" i="1"/>
  <c r="J88" i="1"/>
  <c r="J89" i="1"/>
  <c r="J90" i="1"/>
  <c r="J62" i="1"/>
  <c r="J63" i="1"/>
  <c r="J64" i="1"/>
  <c r="J65" i="1"/>
  <c r="J66" i="1"/>
  <c r="J67" i="1"/>
  <c r="J68" i="1"/>
  <c r="J69" i="1"/>
  <c r="J70" i="1"/>
  <c r="J71" i="1"/>
  <c r="J72" i="1"/>
  <c r="J73" i="1"/>
  <c r="J74" i="1"/>
  <c r="J75" i="1"/>
  <c r="J48" i="1"/>
  <c r="J49" i="1"/>
  <c r="J50" i="1"/>
  <c r="J51" i="1"/>
  <c r="J52" i="1"/>
  <c r="J53" i="1"/>
  <c r="J54" i="1"/>
  <c r="J55" i="1"/>
  <c r="J56" i="1"/>
  <c r="J57" i="1"/>
  <c r="J58" i="1"/>
  <c r="J59" i="1"/>
  <c r="J36" i="1"/>
  <c r="J37" i="1"/>
  <c r="J38" i="1"/>
  <c r="J39" i="1"/>
  <c r="J40" i="1"/>
  <c r="J41" i="1"/>
  <c r="J42" i="1"/>
  <c r="J43" i="1"/>
  <c r="J44" i="1"/>
  <c r="J45" i="1"/>
  <c r="J26" i="1"/>
  <c r="J27" i="1"/>
  <c r="J28" i="1"/>
  <c r="J29" i="1"/>
  <c r="J30" i="1"/>
  <c r="J31" i="1"/>
  <c r="J32" i="1"/>
  <c r="J33" i="1"/>
  <c r="J11" i="1"/>
  <c r="J12" i="1"/>
  <c r="J13" i="1"/>
  <c r="J14" i="1"/>
  <c r="J15" i="1"/>
  <c r="J16" i="1"/>
  <c r="J17" i="1"/>
  <c r="J18" i="1"/>
  <c r="J19" i="1"/>
  <c r="J20" i="1"/>
  <c r="J21" i="1"/>
  <c r="J22" i="1"/>
  <c r="J23" i="1"/>
  <c r="J93" i="1"/>
  <c r="J94" i="1"/>
  <c r="J95" i="1"/>
  <c r="J96" i="1"/>
  <c r="J97" i="1"/>
  <c r="J98" i="1"/>
  <c r="J99" i="1"/>
  <c r="J100" i="1"/>
  <c r="J109" i="1"/>
  <c r="J110" i="1"/>
  <c r="J111" i="1"/>
  <c r="J112" i="1"/>
  <c r="J113" i="1"/>
  <c r="J114" i="1"/>
  <c r="J115" i="1"/>
  <c r="J116" i="1"/>
  <c r="J117" i="1"/>
  <c r="J118" i="1"/>
  <c r="J119" i="1"/>
  <c r="J120" i="1"/>
  <c r="J121" i="1"/>
  <c r="J124" i="1"/>
  <c r="J123" i="1"/>
  <c r="J127" i="1"/>
  <c r="J128" i="1"/>
  <c r="J129" i="1"/>
  <c r="J130" i="1"/>
  <c r="J131" i="1"/>
  <c r="J132" i="1"/>
  <c r="J133" i="1"/>
  <c r="J134" i="1"/>
  <c r="J135" i="1"/>
  <c r="J136" i="1"/>
  <c r="J137" i="1"/>
  <c r="J138" i="1"/>
  <c r="J139" i="1"/>
  <c r="J140" i="1"/>
  <c r="J141" i="1"/>
  <c r="J142" i="1"/>
  <c r="J143" i="1"/>
  <c r="J144" i="1"/>
  <c r="J147" i="1"/>
  <c r="J148" i="1"/>
  <c r="J149" i="1"/>
  <c r="J150" i="1"/>
  <c r="J151" i="1"/>
  <c r="J152" i="1"/>
  <c r="J153" i="1"/>
  <c r="J154" i="1"/>
  <c r="J155" i="1"/>
  <c r="J156" i="1"/>
  <c r="J159" i="1"/>
  <c r="J160" i="1"/>
  <c r="J161" i="1"/>
  <c r="J164" i="1"/>
  <c r="J165" i="1"/>
  <c r="J166" i="1"/>
  <c r="J167" i="1"/>
  <c r="J168" i="1"/>
  <c r="J169" i="1"/>
  <c r="J170" i="1"/>
  <c r="J171" i="1"/>
  <c r="J172" i="1"/>
  <c r="J173" i="1"/>
  <c r="J174" i="1"/>
  <c r="J175" i="1"/>
  <c r="J176" i="1"/>
  <c r="J177" i="1"/>
  <c r="J178" i="1"/>
  <c r="J179" i="1"/>
  <c r="J180" i="1"/>
  <c r="J181" i="1"/>
  <c r="J182" i="1"/>
  <c r="J183" i="1"/>
  <c r="J184" i="1"/>
  <c r="J185" i="1"/>
  <c r="J186" i="1"/>
  <c r="J187" i="1"/>
  <c r="J211" i="1"/>
  <c r="J212" i="1"/>
  <c r="J213" i="1"/>
  <c r="J214" i="1"/>
  <c r="J215" i="1"/>
  <c r="J216" i="1"/>
  <c r="J217" i="1"/>
  <c r="J218" i="1"/>
  <c r="J219" i="1"/>
  <c r="J222" i="1"/>
  <c r="J223" i="1"/>
  <c r="J224" i="1"/>
  <c r="J225" i="1"/>
  <c r="J226" i="1"/>
  <c r="J227" i="1"/>
  <c r="J228" i="1"/>
  <c r="J229" i="1"/>
  <c r="J230"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2" i="1"/>
  <c r="J273" i="1"/>
  <c r="J274" i="1"/>
  <c r="J275" i="1"/>
  <c r="J277" i="1"/>
  <c r="J278" i="1"/>
  <c r="J279" i="1"/>
  <c r="J280" i="1"/>
  <c r="J281" i="1"/>
  <c r="J282" i="1"/>
  <c r="J283" i="1"/>
  <c r="J284" i="1"/>
  <c r="J285" i="1"/>
  <c r="J286" i="1"/>
  <c r="J291" i="1"/>
  <c r="J292" i="1"/>
  <c r="J293" i="1"/>
  <c r="J294" i="1"/>
  <c r="J295" i="1"/>
  <c r="J296" i="1"/>
  <c r="J297" i="1"/>
  <c r="J298" i="1"/>
  <c r="J299" i="1"/>
  <c r="J300" i="1"/>
  <c r="J301" i="1"/>
  <c r="J302" i="1"/>
  <c r="J303" i="1"/>
  <c r="J304" i="1"/>
  <c r="J305" i="1"/>
  <c r="J306" i="1"/>
  <c r="J307" i="1"/>
  <c r="J308" i="1"/>
  <c r="J309" i="1"/>
  <c r="J310" i="1"/>
  <c r="J311" i="1"/>
  <c r="J315" i="1"/>
  <c r="J316" i="1"/>
  <c r="J317" i="1"/>
  <c r="J318" i="1"/>
  <c r="J319" i="1"/>
  <c r="J320" i="1"/>
  <c r="J321" i="1"/>
  <c r="J322" i="1"/>
  <c r="J323" i="1"/>
  <c r="J324" i="1"/>
  <c r="J325" i="1"/>
  <c r="J326" i="1"/>
  <c r="J327" i="1"/>
  <c r="J330" i="1"/>
  <c r="J331" i="1"/>
  <c r="J332" i="1"/>
  <c r="J333" i="1"/>
  <c r="J334" i="1"/>
  <c r="J335" i="1"/>
  <c r="J336" i="1"/>
  <c r="J337" i="1"/>
  <c r="J338" i="1"/>
  <c r="J339" i="1"/>
  <c r="J340" i="1"/>
  <c r="J341" i="1"/>
  <c r="J342" i="1"/>
  <c r="J343" i="1"/>
  <c r="J344" i="1"/>
  <c r="J345" i="1"/>
  <c r="J346" i="1"/>
  <c r="J347" i="1"/>
  <c r="J350" i="1"/>
  <c r="J351" i="1"/>
  <c r="J352" i="1"/>
  <c r="J355" i="1"/>
  <c r="J356" i="1"/>
  <c r="J357" i="1"/>
  <c r="J358" i="1"/>
  <c r="J359" i="1"/>
  <c r="J360" i="1"/>
  <c r="J361" i="1"/>
  <c r="J362" i="1"/>
  <c r="J363" i="1"/>
  <c r="J364" i="1"/>
  <c r="J365" i="1"/>
  <c r="J366" i="1"/>
  <c r="J367" i="1"/>
  <c r="J368" i="1"/>
  <c r="J369" i="1"/>
  <c r="J370" i="1"/>
  <c r="J371" i="1"/>
  <c r="J372" i="1"/>
  <c r="J373" i="1"/>
  <c r="J378" i="1"/>
  <c r="J379" i="1"/>
  <c r="J380" i="1"/>
  <c r="J381" i="1"/>
  <c r="J382" i="1"/>
  <c r="J383" i="1"/>
  <c r="J384" i="1"/>
  <c r="J385" i="1"/>
  <c r="J386" i="1"/>
  <c r="J387" i="1"/>
  <c r="J388" i="1"/>
  <c r="J389" i="1"/>
  <c r="J390" i="1"/>
  <c r="J391" i="1"/>
  <c r="J392" i="1"/>
  <c r="J393" i="1"/>
  <c r="J394" i="1"/>
  <c r="J397" i="1"/>
  <c r="J398" i="1"/>
  <c r="J399" i="1"/>
  <c r="J400" i="1"/>
  <c r="J401" i="1"/>
  <c r="J402" i="1"/>
  <c r="J403" i="1"/>
  <c r="J404" i="1"/>
  <c r="J405" i="1"/>
  <c r="J406" i="1"/>
  <c r="J407" i="1"/>
  <c r="J408" i="1"/>
  <c r="J411" i="1"/>
  <c r="J412" i="1"/>
  <c r="J413" i="1"/>
  <c r="J414" i="1"/>
  <c r="J415" i="1"/>
  <c r="J416" i="1"/>
  <c r="J417" i="1"/>
  <c r="J418" i="1"/>
  <c r="J419" i="1"/>
  <c r="J420" i="1"/>
  <c r="J421" i="1"/>
  <c r="J422" i="1"/>
  <c r="J428" i="1"/>
  <c r="J429" i="1"/>
  <c r="J430" i="1"/>
  <c r="J431" i="1"/>
  <c r="J432" i="1"/>
  <c r="J433" i="1"/>
  <c r="J434" i="1"/>
  <c r="J435" i="1"/>
  <c r="J436" i="1"/>
  <c r="J439" i="1"/>
  <c r="J440" i="1"/>
  <c r="J441" i="1"/>
  <c r="J442" i="1"/>
  <c r="J443" i="1"/>
  <c r="J444" i="1"/>
  <c r="J445" i="1"/>
  <c r="J446" i="1"/>
  <c r="J447" i="1"/>
  <c r="J448" i="1"/>
  <c r="J451" i="1"/>
  <c r="J452" i="1"/>
  <c r="J453" i="1"/>
  <c r="J454" i="1"/>
  <c r="J455" i="1"/>
  <c r="J456" i="1"/>
  <c r="J457" i="1"/>
  <c r="J458" i="1"/>
  <c r="J459" i="1"/>
  <c r="J460" i="1"/>
  <c r="J461" i="1"/>
  <c r="J462" i="1"/>
  <c r="J463" i="1"/>
  <c r="J464" i="1"/>
  <c r="J465" i="1"/>
  <c r="J466" i="1"/>
  <c r="J467" i="1"/>
  <c r="J472" i="1"/>
  <c r="J473" i="1"/>
  <c r="J192" i="1"/>
  <c r="J193" i="1"/>
  <c r="J194" i="1"/>
  <c r="J195" i="1"/>
  <c r="J196" i="1"/>
  <c r="J197" i="1"/>
  <c r="J198" i="1"/>
  <c r="J199" i="1"/>
  <c r="J200" i="1"/>
  <c r="J201" i="1"/>
  <c r="J202" i="1"/>
  <c r="J203" i="1"/>
  <c r="J204" i="1"/>
  <c r="J205" i="1"/>
  <c r="J206" i="1"/>
  <c r="K78" i="1"/>
  <c r="K79" i="1"/>
  <c r="K80" i="1"/>
  <c r="K81" i="1"/>
  <c r="K82" i="1"/>
  <c r="K83" i="1"/>
  <c r="K84" i="1"/>
  <c r="K85" i="1"/>
  <c r="K86" i="1"/>
  <c r="K87" i="1"/>
  <c r="K88" i="1"/>
  <c r="K89" i="1"/>
  <c r="K90" i="1"/>
  <c r="K62" i="1"/>
  <c r="K63" i="1"/>
  <c r="K64" i="1"/>
  <c r="K65" i="1"/>
  <c r="K66" i="1"/>
  <c r="K67" i="1"/>
  <c r="K68" i="1"/>
  <c r="K69" i="1"/>
  <c r="K70" i="1"/>
  <c r="K71" i="1"/>
  <c r="K72" i="1"/>
  <c r="K73" i="1"/>
  <c r="K74" i="1"/>
  <c r="K75" i="1"/>
  <c r="K48" i="1"/>
  <c r="K49" i="1"/>
  <c r="K50" i="1"/>
  <c r="K51" i="1"/>
  <c r="K52" i="1"/>
  <c r="K53" i="1"/>
  <c r="K54" i="1"/>
  <c r="K55" i="1"/>
  <c r="K56" i="1"/>
  <c r="K57" i="1"/>
  <c r="K58" i="1"/>
  <c r="K59" i="1"/>
  <c r="K36" i="1"/>
  <c r="K37" i="1"/>
  <c r="K38" i="1"/>
  <c r="K39" i="1"/>
  <c r="K40" i="1"/>
  <c r="K41" i="1"/>
  <c r="K42" i="1"/>
  <c r="K43" i="1"/>
  <c r="K44" i="1"/>
  <c r="K45" i="1"/>
  <c r="K26" i="1"/>
  <c r="K27" i="1"/>
  <c r="K28" i="1"/>
  <c r="K29" i="1"/>
  <c r="K30" i="1"/>
  <c r="K31" i="1"/>
  <c r="K32" i="1"/>
  <c r="K33" i="1"/>
  <c r="K11" i="1"/>
  <c r="K12" i="1"/>
  <c r="K13" i="1"/>
  <c r="K14" i="1"/>
  <c r="K15" i="1"/>
  <c r="K16" i="1"/>
  <c r="K17" i="1"/>
  <c r="K18" i="1"/>
  <c r="K19" i="1"/>
  <c r="K20" i="1"/>
  <c r="K21" i="1"/>
  <c r="K22" i="1"/>
  <c r="K23" i="1"/>
  <c r="K93" i="1"/>
  <c r="K94" i="1"/>
  <c r="K95" i="1"/>
  <c r="K96" i="1"/>
  <c r="K97" i="1"/>
  <c r="K98" i="1"/>
  <c r="K99" i="1"/>
  <c r="K100" i="1"/>
  <c r="K109" i="1"/>
  <c r="K110" i="1"/>
  <c r="K111" i="1"/>
  <c r="K112" i="1"/>
  <c r="K113" i="1"/>
  <c r="K114" i="1"/>
  <c r="K115" i="1"/>
  <c r="K116" i="1"/>
  <c r="K117" i="1"/>
  <c r="K118" i="1"/>
  <c r="K119" i="1"/>
  <c r="K120" i="1"/>
  <c r="K121" i="1"/>
  <c r="K124" i="1"/>
  <c r="K123" i="1"/>
  <c r="K127" i="1"/>
  <c r="K128" i="1"/>
  <c r="K129" i="1"/>
  <c r="K130" i="1"/>
  <c r="K131" i="1"/>
  <c r="K132" i="1"/>
  <c r="K133" i="1"/>
  <c r="K134" i="1"/>
  <c r="K135" i="1"/>
  <c r="K136" i="1"/>
  <c r="K137" i="1"/>
  <c r="K138" i="1"/>
  <c r="K139" i="1"/>
  <c r="K140" i="1"/>
  <c r="K141" i="1"/>
  <c r="K142" i="1"/>
  <c r="K143" i="1"/>
  <c r="K144" i="1"/>
  <c r="K147" i="1"/>
  <c r="K148" i="1"/>
  <c r="K149" i="1"/>
  <c r="K150" i="1"/>
  <c r="K151" i="1"/>
  <c r="K152" i="1"/>
  <c r="K153" i="1"/>
  <c r="K154" i="1"/>
  <c r="K155" i="1"/>
  <c r="K156" i="1"/>
  <c r="K159" i="1"/>
  <c r="K160" i="1"/>
  <c r="K161" i="1"/>
  <c r="K164" i="1"/>
  <c r="K165" i="1"/>
  <c r="K166" i="1"/>
  <c r="K167" i="1"/>
  <c r="K168" i="1"/>
  <c r="K169" i="1"/>
  <c r="K170" i="1"/>
  <c r="K171" i="1"/>
  <c r="K172" i="1"/>
  <c r="K173" i="1"/>
  <c r="K174" i="1"/>
  <c r="K175" i="1"/>
  <c r="K176" i="1"/>
  <c r="K177" i="1"/>
  <c r="K178" i="1"/>
  <c r="K179" i="1"/>
  <c r="K180" i="1"/>
  <c r="K181" i="1"/>
  <c r="K182" i="1"/>
  <c r="K183" i="1"/>
  <c r="K184" i="1"/>
  <c r="K185" i="1"/>
  <c r="K186" i="1"/>
  <c r="K187" i="1"/>
  <c r="K211" i="1"/>
  <c r="K212" i="1"/>
  <c r="K213" i="1"/>
  <c r="K214" i="1"/>
  <c r="K215" i="1"/>
  <c r="K216" i="1"/>
  <c r="K217" i="1"/>
  <c r="K218" i="1"/>
  <c r="K219" i="1"/>
  <c r="K222" i="1"/>
  <c r="K223" i="1"/>
  <c r="K224" i="1"/>
  <c r="K225" i="1"/>
  <c r="K226" i="1"/>
  <c r="K227" i="1"/>
  <c r="K228" i="1"/>
  <c r="K229" i="1"/>
  <c r="K230"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2" i="1"/>
  <c r="K273" i="1"/>
  <c r="K274" i="1"/>
  <c r="K275" i="1"/>
  <c r="K277" i="1"/>
  <c r="K278" i="1"/>
  <c r="K279" i="1"/>
  <c r="K280" i="1"/>
  <c r="K281" i="1"/>
  <c r="K282" i="1"/>
  <c r="K283" i="1"/>
  <c r="K284" i="1"/>
  <c r="K285" i="1"/>
  <c r="K286" i="1"/>
  <c r="K291" i="1"/>
  <c r="K292" i="1"/>
  <c r="K293" i="1"/>
  <c r="K294" i="1"/>
  <c r="K295" i="1"/>
  <c r="K296" i="1"/>
  <c r="K297" i="1"/>
  <c r="K298" i="1"/>
  <c r="K299" i="1"/>
  <c r="K300" i="1"/>
  <c r="K301" i="1"/>
  <c r="K302" i="1"/>
  <c r="K303" i="1"/>
  <c r="K304" i="1"/>
  <c r="K305" i="1"/>
  <c r="K306" i="1"/>
  <c r="K307" i="1"/>
  <c r="K308" i="1"/>
  <c r="K309" i="1"/>
  <c r="K310" i="1"/>
  <c r="K311" i="1"/>
  <c r="K315" i="1"/>
  <c r="K316" i="1"/>
  <c r="K317" i="1"/>
  <c r="K318" i="1"/>
  <c r="K319" i="1"/>
  <c r="K320" i="1"/>
  <c r="K321" i="1"/>
  <c r="K322" i="1"/>
  <c r="K323" i="1"/>
  <c r="K324" i="1"/>
  <c r="K325" i="1"/>
  <c r="K326" i="1"/>
  <c r="K327" i="1"/>
  <c r="K330" i="1"/>
  <c r="K331" i="1"/>
  <c r="K332" i="1"/>
  <c r="K333" i="1"/>
  <c r="K334" i="1"/>
  <c r="K335" i="1"/>
  <c r="K336" i="1"/>
  <c r="K337" i="1"/>
  <c r="K338" i="1"/>
  <c r="K339" i="1"/>
  <c r="K340" i="1"/>
  <c r="K341" i="1"/>
  <c r="K342" i="1"/>
  <c r="K343" i="1"/>
  <c r="K344" i="1"/>
  <c r="K345" i="1"/>
  <c r="K346" i="1"/>
  <c r="K347" i="1"/>
  <c r="K350" i="1"/>
  <c r="K351" i="1"/>
  <c r="K352" i="1"/>
  <c r="K355" i="1"/>
  <c r="K356" i="1"/>
  <c r="K357" i="1"/>
  <c r="K358" i="1"/>
  <c r="K359" i="1"/>
  <c r="K360" i="1"/>
  <c r="K361" i="1"/>
  <c r="K362" i="1"/>
  <c r="K363" i="1"/>
  <c r="K364" i="1"/>
  <c r="K365" i="1"/>
  <c r="K366" i="1"/>
  <c r="K367" i="1"/>
  <c r="K368" i="1"/>
  <c r="K369" i="1"/>
  <c r="K370" i="1"/>
  <c r="K371" i="1"/>
  <c r="K372" i="1"/>
  <c r="K373" i="1"/>
  <c r="K378" i="1"/>
  <c r="K379" i="1"/>
  <c r="K380" i="1"/>
  <c r="K381" i="1"/>
  <c r="K382" i="1"/>
  <c r="K383" i="1"/>
  <c r="K384" i="1"/>
  <c r="K385" i="1"/>
  <c r="K386" i="1"/>
  <c r="K387" i="1"/>
  <c r="K388" i="1"/>
  <c r="K389" i="1"/>
  <c r="K390" i="1"/>
  <c r="K391" i="1"/>
  <c r="K392" i="1"/>
  <c r="K393" i="1"/>
  <c r="K394" i="1"/>
  <c r="K397" i="1"/>
  <c r="K398" i="1"/>
  <c r="K399" i="1"/>
  <c r="K400" i="1"/>
  <c r="K401" i="1"/>
  <c r="K402" i="1"/>
  <c r="K403" i="1"/>
  <c r="K404" i="1"/>
  <c r="K405" i="1"/>
  <c r="K406" i="1"/>
  <c r="K407" i="1"/>
  <c r="K408" i="1"/>
  <c r="K411" i="1"/>
  <c r="K412" i="1"/>
  <c r="K413" i="1"/>
  <c r="K414" i="1"/>
  <c r="K415" i="1"/>
  <c r="K416" i="1"/>
  <c r="K417" i="1"/>
  <c r="K418" i="1"/>
  <c r="K419" i="1"/>
  <c r="K420" i="1"/>
  <c r="K421" i="1"/>
  <c r="K422" i="1"/>
  <c r="K428" i="1"/>
  <c r="K429" i="1"/>
  <c r="K430" i="1"/>
  <c r="K431" i="1"/>
  <c r="K432" i="1"/>
  <c r="K433" i="1"/>
  <c r="K434" i="1"/>
  <c r="K435" i="1"/>
  <c r="K436" i="1"/>
  <c r="K439" i="1"/>
  <c r="K440" i="1"/>
  <c r="K441" i="1"/>
  <c r="K442" i="1"/>
  <c r="K443" i="1"/>
  <c r="K444" i="1"/>
  <c r="K445" i="1"/>
  <c r="K446" i="1"/>
  <c r="K447" i="1"/>
  <c r="K448" i="1"/>
  <c r="K451" i="1"/>
  <c r="K452" i="1"/>
  <c r="K453" i="1"/>
  <c r="K454" i="1"/>
  <c r="K455" i="1"/>
  <c r="K456" i="1"/>
  <c r="K457" i="1"/>
  <c r="K458" i="1"/>
  <c r="K459" i="1"/>
  <c r="K460" i="1"/>
  <c r="K461" i="1"/>
  <c r="K462" i="1"/>
  <c r="K463" i="1"/>
  <c r="K464" i="1"/>
  <c r="K465" i="1"/>
  <c r="K466" i="1"/>
  <c r="K467" i="1"/>
  <c r="K472" i="1"/>
  <c r="K473" i="1"/>
  <c r="K192" i="1"/>
  <c r="K193" i="1"/>
  <c r="K194" i="1"/>
  <c r="K195" i="1"/>
  <c r="K196" i="1"/>
  <c r="K197" i="1"/>
  <c r="K198" i="1"/>
  <c r="K199" i="1"/>
  <c r="K200" i="1"/>
  <c r="K201" i="1"/>
  <c r="K202" i="1"/>
  <c r="K203" i="1"/>
  <c r="K204" i="1"/>
  <c r="K205" i="1"/>
  <c r="K206" i="1"/>
  <c r="L78" i="1"/>
  <c r="L79" i="1"/>
  <c r="L80" i="1"/>
  <c r="L81" i="1"/>
  <c r="L82" i="1"/>
  <c r="L83" i="1"/>
  <c r="L84" i="1"/>
  <c r="L85" i="1"/>
  <c r="L86" i="1"/>
  <c r="L87" i="1"/>
  <c r="L88" i="1"/>
  <c r="L89" i="1"/>
  <c r="L90" i="1"/>
  <c r="L62" i="1"/>
  <c r="L63" i="1"/>
  <c r="L64" i="1"/>
  <c r="L65" i="1"/>
  <c r="L66" i="1"/>
  <c r="L67" i="1"/>
  <c r="L68" i="1"/>
  <c r="L69" i="1"/>
  <c r="L70" i="1"/>
  <c r="L71" i="1"/>
  <c r="L72" i="1"/>
  <c r="L73" i="1"/>
  <c r="L74" i="1"/>
  <c r="L75" i="1"/>
  <c r="L48" i="1"/>
  <c r="L49" i="1"/>
  <c r="L50" i="1"/>
  <c r="L51" i="1"/>
  <c r="L52" i="1"/>
  <c r="L53" i="1"/>
  <c r="L54" i="1"/>
  <c r="L55" i="1"/>
  <c r="L56" i="1"/>
  <c r="L57" i="1"/>
  <c r="L58" i="1"/>
  <c r="L59" i="1"/>
  <c r="L36" i="1"/>
  <c r="L37" i="1"/>
  <c r="L38" i="1"/>
  <c r="L39" i="1"/>
  <c r="L40" i="1"/>
  <c r="L41" i="1"/>
  <c r="L42" i="1"/>
  <c r="L43" i="1"/>
  <c r="L44" i="1"/>
  <c r="L45" i="1"/>
  <c r="L26" i="1"/>
  <c r="L27" i="1"/>
  <c r="L28" i="1"/>
  <c r="L29" i="1"/>
  <c r="L30" i="1"/>
  <c r="L31" i="1"/>
  <c r="L32" i="1"/>
  <c r="L33" i="1"/>
  <c r="L11" i="1"/>
  <c r="L12" i="1"/>
  <c r="L13" i="1"/>
  <c r="L14" i="1"/>
  <c r="L15" i="1"/>
  <c r="L16" i="1"/>
  <c r="L17" i="1"/>
  <c r="L18" i="1"/>
  <c r="L19" i="1"/>
  <c r="L20" i="1"/>
  <c r="L21" i="1"/>
  <c r="L22" i="1"/>
  <c r="L23" i="1"/>
  <c r="L93" i="1"/>
  <c r="L94" i="1"/>
  <c r="L95" i="1"/>
  <c r="L96" i="1"/>
  <c r="L97" i="1"/>
  <c r="L98" i="1"/>
  <c r="L99" i="1"/>
  <c r="L100" i="1"/>
  <c r="L109" i="1"/>
  <c r="L110" i="1"/>
  <c r="L111" i="1"/>
  <c r="L112" i="1"/>
  <c r="L113" i="1"/>
  <c r="L114" i="1"/>
  <c r="L115" i="1"/>
  <c r="L116" i="1"/>
  <c r="L117" i="1"/>
  <c r="L118" i="1"/>
  <c r="L119" i="1"/>
  <c r="L120" i="1"/>
  <c r="L121" i="1"/>
  <c r="L124" i="1"/>
  <c r="L123" i="1"/>
  <c r="L127" i="1"/>
  <c r="L128" i="1"/>
  <c r="L129" i="1"/>
  <c r="L130" i="1"/>
  <c r="L131" i="1"/>
  <c r="L132" i="1"/>
  <c r="L133" i="1"/>
  <c r="L134" i="1"/>
  <c r="L135" i="1"/>
  <c r="L136" i="1"/>
  <c r="L137" i="1"/>
  <c r="L138" i="1"/>
  <c r="L139" i="1"/>
  <c r="L140" i="1"/>
  <c r="L141" i="1"/>
  <c r="L142" i="1"/>
  <c r="L143" i="1"/>
  <c r="L144" i="1"/>
  <c r="L147" i="1"/>
  <c r="L148" i="1"/>
  <c r="L149" i="1"/>
  <c r="L150" i="1"/>
  <c r="L151" i="1"/>
  <c r="L152" i="1"/>
  <c r="L153" i="1"/>
  <c r="L154" i="1"/>
  <c r="L155" i="1"/>
  <c r="L156" i="1"/>
  <c r="L159" i="1"/>
  <c r="L160" i="1"/>
  <c r="L161" i="1"/>
  <c r="L164" i="1"/>
  <c r="L165" i="1"/>
  <c r="L166" i="1"/>
  <c r="L167" i="1"/>
  <c r="L168" i="1"/>
  <c r="L169" i="1"/>
  <c r="L170" i="1"/>
  <c r="L171" i="1"/>
  <c r="L172" i="1"/>
  <c r="L173" i="1"/>
  <c r="L174" i="1"/>
  <c r="L175" i="1"/>
  <c r="L176" i="1"/>
  <c r="L177" i="1"/>
  <c r="L178" i="1"/>
  <c r="L179" i="1"/>
  <c r="L180" i="1"/>
  <c r="L181" i="1"/>
  <c r="L182" i="1"/>
  <c r="L183" i="1"/>
  <c r="L184" i="1"/>
  <c r="L185" i="1"/>
  <c r="L186" i="1"/>
  <c r="L187" i="1"/>
  <c r="L211" i="1"/>
  <c r="L212" i="1"/>
  <c r="L213" i="1"/>
  <c r="L214" i="1"/>
  <c r="L215" i="1"/>
  <c r="L216" i="1"/>
  <c r="L217" i="1"/>
  <c r="L218" i="1"/>
  <c r="L219" i="1"/>
  <c r="L222" i="1"/>
  <c r="L223" i="1"/>
  <c r="L224" i="1"/>
  <c r="L225" i="1"/>
  <c r="L226" i="1"/>
  <c r="L227" i="1"/>
  <c r="L228" i="1"/>
  <c r="L229" i="1"/>
  <c r="L230"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2" i="1"/>
  <c r="L273" i="1"/>
  <c r="L274" i="1"/>
  <c r="L275" i="1"/>
  <c r="L277" i="1"/>
  <c r="L278" i="1"/>
  <c r="L279" i="1"/>
  <c r="L280" i="1"/>
  <c r="L281" i="1"/>
  <c r="L282" i="1"/>
  <c r="L283" i="1"/>
  <c r="L284" i="1"/>
  <c r="L285" i="1"/>
  <c r="L286" i="1"/>
  <c r="L291" i="1"/>
  <c r="L292" i="1"/>
  <c r="L293" i="1"/>
  <c r="L294" i="1"/>
  <c r="L295" i="1"/>
  <c r="L296" i="1"/>
  <c r="L297" i="1"/>
  <c r="L298" i="1"/>
  <c r="L299" i="1"/>
  <c r="L300" i="1"/>
  <c r="L301" i="1"/>
  <c r="L302" i="1"/>
  <c r="L303" i="1"/>
  <c r="L304" i="1"/>
  <c r="L305" i="1"/>
  <c r="L306" i="1"/>
  <c r="L307" i="1"/>
  <c r="L308" i="1"/>
  <c r="L309" i="1"/>
  <c r="L310" i="1"/>
  <c r="L311" i="1"/>
  <c r="L315" i="1"/>
  <c r="L316" i="1"/>
  <c r="L317" i="1"/>
  <c r="L318" i="1"/>
  <c r="L319" i="1"/>
  <c r="L320" i="1"/>
  <c r="L321" i="1"/>
  <c r="L322" i="1"/>
  <c r="L323" i="1"/>
  <c r="L324" i="1"/>
  <c r="L325" i="1"/>
  <c r="L326" i="1"/>
  <c r="L327" i="1"/>
  <c r="L330" i="1"/>
  <c r="L331" i="1"/>
  <c r="L332" i="1"/>
  <c r="L333" i="1"/>
  <c r="L334" i="1"/>
  <c r="L335" i="1"/>
  <c r="L336" i="1"/>
  <c r="L337" i="1"/>
  <c r="L338" i="1"/>
  <c r="L339" i="1"/>
  <c r="L340" i="1"/>
  <c r="L341" i="1"/>
  <c r="L342" i="1"/>
  <c r="L343" i="1"/>
  <c r="L344" i="1"/>
  <c r="L345" i="1"/>
  <c r="L346" i="1"/>
  <c r="L347" i="1"/>
  <c r="L350" i="1"/>
  <c r="L351" i="1"/>
  <c r="L352" i="1"/>
  <c r="L355" i="1"/>
  <c r="L356" i="1"/>
  <c r="L357" i="1"/>
  <c r="L358" i="1"/>
  <c r="L359" i="1"/>
  <c r="L360" i="1"/>
  <c r="L361" i="1"/>
  <c r="L362" i="1"/>
  <c r="L363" i="1"/>
  <c r="L364" i="1"/>
  <c r="L365" i="1"/>
  <c r="L366" i="1"/>
  <c r="L367" i="1"/>
  <c r="L368" i="1"/>
  <c r="L369" i="1"/>
  <c r="L370" i="1"/>
  <c r="L371" i="1"/>
  <c r="L372" i="1"/>
  <c r="L373" i="1"/>
  <c r="L378" i="1"/>
  <c r="L379" i="1"/>
  <c r="L380" i="1"/>
  <c r="L381" i="1"/>
  <c r="L382" i="1"/>
  <c r="L383" i="1"/>
  <c r="L384" i="1"/>
  <c r="L385" i="1"/>
  <c r="L386" i="1"/>
  <c r="L387" i="1"/>
  <c r="L388" i="1"/>
  <c r="L389" i="1"/>
  <c r="L390" i="1"/>
  <c r="L391" i="1"/>
  <c r="L392" i="1"/>
  <c r="L393" i="1"/>
  <c r="L394" i="1"/>
  <c r="L397" i="1"/>
  <c r="L398" i="1"/>
  <c r="L399" i="1"/>
  <c r="L400" i="1"/>
  <c r="L401" i="1"/>
  <c r="L402" i="1"/>
  <c r="L403" i="1"/>
  <c r="L404" i="1"/>
  <c r="L405" i="1"/>
  <c r="L406" i="1"/>
  <c r="L407" i="1"/>
  <c r="L408" i="1"/>
  <c r="L411" i="1"/>
  <c r="L412" i="1"/>
  <c r="L413" i="1"/>
  <c r="L414" i="1"/>
  <c r="L415" i="1"/>
  <c r="L416" i="1"/>
  <c r="L417" i="1"/>
  <c r="L418" i="1"/>
  <c r="L419" i="1"/>
  <c r="L420" i="1"/>
  <c r="L421" i="1"/>
  <c r="L422" i="1"/>
  <c r="L428" i="1"/>
  <c r="L429" i="1"/>
  <c r="L430" i="1"/>
  <c r="L431" i="1"/>
  <c r="L432" i="1"/>
  <c r="L433" i="1"/>
  <c r="L434" i="1"/>
  <c r="L435" i="1"/>
  <c r="L436" i="1"/>
  <c r="L439" i="1"/>
  <c r="L440" i="1"/>
  <c r="L441" i="1"/>
  <c r="L442" i="1"/>
  <c r="L443" i="1"/>
  <c r="L444" i="1"/>
  <c r="L445" i="1"/>
  <c r="L446" i="1"/>
  <c r="L447" i="1"/>
  <c r="L448" i="1"/>
  <c r="L451" i="1"/>
  <c r="L452" i="1"/>
  <c r="L453" i="1"/>
  <c r="L454" i="1"/>
  <c r="L455" i="1"/>
  <c r="L456" i="1"/>
  <c r="L457" i="1"/>
  <c r="L458" i="1"/>
  <c r="L459" i="1"/>
  <c r="L460" i="1"/>
  <c r="L461" i="1"/>
  <c r="L462" i="1"/>
  <c r="L463" i="1"/>
  <c r="L464" i="1"/>
  <c r="L465" i="1"/>
  <c r="L466" i="1"/>
  <c r="L467" i="1"/>
  <c r="L472" i="1"/>
  <c r="L473" i="1"/>
  <c r="L192" i="1"/>
  <c r="L193" i="1"/>
  <c r="L194" i="1"/>
  <c r="L195" i="1"/>
  <c r="L196" i="1"/>
  <c r="L197" i="1"/>
  <c r="L198" i="1"/>
  <c r="L199" i="1"/>
  <c r="L200" i="1"/>
  <c r="L201" i="1"/>
  <c r="L202" i="1"/>
  <c r="L203" i="1"/>
  <c r="L204" i="1"/>
  <c r="L205" i="1"/>
  <c r="L206" i="1"/>
  <c r="M78" i="1"/>
  <c r="M79" i="1"/>
  <c r="M80" i="1"/>
  <c r="M81" i="1"/>
  <c r="M82" i="1"/>
  <c r="M83" i="1"/>
  <c r="M84" i="1"/>
  <c r="M85" i="1"/>
  <c r="M86" i="1"/>
  <c r="M87" i="1"/>
  <c r="M88" i="1"/>
  <c r="M89" i="1"/>
  <c r="M90" i="1"/>
  <c r="M62" i="1"/>
  <c r="M63" i="1"/>
  <c r="M64" i="1"/>
  <c r="M65" i="1"/>
  <c r="M66" i="1"/>
  <c r="M67" i="1"/>
  <c r="M68" i="1"/>
  <c r="M69" i="1"/>
  <c r="M70" i="1"/>
  <c r="M71" i="1"/>
  <c r="M72" i="1"/>
  <c r="M73" i="1"/>
  <c r="M74" i="1"/>
  <c r="M75" i="1"/>
  <c r="M48" i="1"/>
  <c r="M49" i="1"/>
  <c r="M50" i="1"/>
  <c r="M51" i="1"/>
  <c r="M52" i="1"/>
  <c r="M53" i="1"/>
  <c r="M54" i="1"/>
  <c r="M55" i="1"/>
  <c r="M56" i="1"/>
  <c r="M57" i="1"/>
  <c r="M58" i="1"/>
  <c r="M59" i="1"/>
  <c r="M36" i="1"/>
  <c r="M37" i="1"/>
  <c r="M38" i="1"/>
  <c r="M39" i="1"/>
  <c r="M40" i="1"/>
  <c r="M41" i="1"/>
  <c r="M42" i="1"/>
  <c r="M43" i="1"/>
  <c r="M44" i="1"/>
  <c r="M45" i="1"/>
  <c r="M26" i="1"/>
  <c r="M27" i="1"/>
  <c r="M28" i="1"/>
  <c r="M29" i="1"/>
  <c r="M30" i="1"/>
  <c r="M31" i="1"/>
  <c r="M32" i="1"/>
  <c r="M33" i="1"/>
  <c r="M11" i="1"/>
  <c r="M12" i="1"/>
  <c r="M13" i="1"/>
  <c r="M14" i="1"/>
  <c r="M15" i="1"/>
  <c r="M16" i="1"/>
  <c r="M17" i="1"/>
  <c r="M18" i="1"/>
  <c r="M19" i="1"/>
  <c r="M20" i="1"/>
  <c r="M21" i="1"/>
  <c r="M22" i="1"/>
  <c r="M23" i="1"/>
  <c r="M93" i="1"/>
  <c r="M94" i="1"/>
  <c r="M95" i="1"/>
  <c r="M96" i="1"/>
  <c r="M97" i="1"/>
  <c r="M98" i="1"/>
  <c r="M99" i="1"/>
  <c r="M100" i="1"/>
  <c r="M109" i="1"/>
  <c r="M110" i="1"/>
  <c r="M111" i="1"/>
  <c r="M112" i="1"/>
  <c r="M113" i="1"/>
  <c r="M114" i="1"/>
  <c r="M115" i="1"/>
  <c r="M116" i="1"/>
  <c r="M117" i="1"/>
  <c r="M118" i="1"/>
  <c r="M119" i="1"/>
  <c r="M120" i="1"/>
  <c r="M121" i="1"/>
  <c r="M124" i="1"/>
  <c r="M123" i="1"/>
  <c r="M127" i="1"/>
  <c r="M128" i="1"/>
  <c r="M129" i="1"/>
  <c r="M130" i="1"/>
  <c r="M131" i="1"/>
  <c r="M132" i="1"/>
  <c r="M133" i="1"/>
  <c r="M134" i="1"/>
  <c r="M135" i="1"/>
  <c r="M136" i="1"/>
  <c r="M137" i="1"/>
  <c r="M138" i="1"/>
  <c r="M139" i="1"/>
  <c r="M140" i="1"/>
  <c r="M141" i="1"/>
  <c r="M142" i="1"/>
  <c r="M143" i="1"/>
  <c r="M144" i="1"/>
  <c r="M147" i="1"/>
  <c r="M148" i="1"/>
  <c r="M149" i="1"/>
  <c r="M150" i="1"/>
  <c r="M151" i="1"/>
  <c r="M152" i="1"/>
  <c r="M153" i="1"/>
  <c r="M154" i="1"/>
  <c r="M155" i="1"/>
  <c r="M156" i="1"/>
  <c r="M159" i="1"/>
  <c r="M160" i="1"/>
  <c r="M161" i="1"/>
  <c r="M164" i="1"/>
  <c r="M165" i="1"/>
  <c r="M166" i="1"/>
  <c r="M167" i="1"/>
  <c r="M168" i="1"/>
  <c r="M169" i="1"/>
  <c r="M170" i="1"/>
  <c r="M171" i="1"/>
  <c r="M172" i="1"/>
  <c r="M173" i="1"/>
  <c r="M174" i="1"/>
  <c r="M175" i="1"/>
  <c r="M176" i="1"/>
  <c r="M177" i="1"/>
  <c r="M178" i="1"/>
  <c r="M179" i="1"/>
  <c r="M180" i="1"/>
  <c r="M181" i="1"/>
  <c r="M182" i="1"/>
  <c r="M183" i="1"/>
  <c r="M184" i="1"/>
  <c r="M185" i="1"/>
  <c r="M186" i="1"/>
  <c r="M187" i="1"/>
  <c r="M211" i="1"/>
  <c r="M212" i="1"/>
  <c r="M213" i="1"/>
  <c r="M214" i="1"/>
  <c r="M215" i="1"/>
  <c r="M216" i="1"/>
  <c r="M217" i="1"/>
  <c r="M218" i="1"/>
  <c r="M219" i="1"/>
  <c r="M222" i="1"/>
  <c r="M223" i="1"/>
  <c r="M224" i="1"/>
  <c r="M225" i="1"/>
  <c r="M226" i="1"/>
  <c r="M227" i="1"/>
  <c r="M228" i="1"/>
  <c r="M229" i="1"/>
  <c r="M230"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2" i="1"/>
  <c r="M273" i="1"/>
  <c r="M274" i="1"/>
  <c r="M275" i="1"/>
  <c r="M277" i="1"/>
  <c r="M278" i="1"/>
  <c r="M279" i="1"/>
  <c r="M280" i="1"/>
  <c r="M281" i="1"/>
  <c r="M282" i="1"/>
  <c r="M283" i="1"/>
  <c r="M284" i="1"/>
  <c r="M285" i="1"/>
  <c r="M286" i="1"/>
  <c r="M291" i="1"/>
  <c r="M292" i="1"/>
  <c r="M293" i="1"/>
  <c r="M294" i="1"/>
  <c r="M295" i="1"/>
  <c r="M296" i="1"/>
  <c r="M297" i="1"/>
  <c r="M298" i="1"/>
  <c r="M299" i="1"/>
  <c r="M300" i="1"/>
  <c r="M301" i="1"/>
  <c r="M302" i="1"/>
  <c r="M303" i="1"/>
  <c r="M304" i="1"/>
  <c r="M305" i="1"/>
  <c r="M306" i="1"/>
  <c r="M307" i="1"/>
  <c r="M308" i="1"/>
  <c r="M309" i="1"/>
  <c r="M310" i="1"/>
  <c r="M311" i="1"/>
  <c r="M315" i="1"/>
  <c r="M316" i="1"/>
  <c r="M317" i="1"/>
  <c r="M318" i="1"/>
  <c r="M319" i="1"/>
  <c r="M320" i="1"/>
  <c r="M321" i="1"/>
  <c r="M322" i="1"/>
  <c r="M323" i="1"/>
  <c r="M324" i="1"/>
  <c r="M325" i="1"/>
  <c r="M326" i="1"/>
  <c r="M327" i="1"/>
  <c r="M330" i="1"/>
  <c r="M331" i="1"/>
  <c r="M332" i="1"/>
  <c r="M333" i="1"/>
  <c r="M334" i="1"/>
  <c r="M335" i="1"/>
  <c r="M336" i="1"/>
  <c r="M337" i="1"/>
  <c r="M338" i="1"/>
  <c r="M339" i="1"/>
  <c r="M340" i="1"/>
  <c r="M341" i="1"/>
  <c r="M342" i="1"/>
  <c r="M343" i="1"/>
  <c r="M344" i="1"/>
  <c r="M345" i="1"/>
  <c r="M346" i="1"/>
  <c r="M347" i="1"/>
  <c r="M350" i="1"/>
  <c r="M351" i="1"/>
  <c r="M352" i="1"/>
  <c r="M355" i="1"/>
  <c r="M356" i="1"/>
  <c r="M357" i="1"/>
  <c r="M358" i="1"/>
  <c r="M359" i="1"/>
  <c r="M360" i="1"/>
  <c r="M361" i="1"/>
  <c r="M362" i="1"/>
  <c r="M363" i="1"/>
  <c r="M364" i="1"/>
  <c r="M365" i="1"/>
  <c r="M366" i="1"/>
  <c r="M367" i="1"/>
  <c r="M368" i="1"/>
  <c r="M369" i="1"/>
  <c r="M370" i="1"/>
  <c r="M371" i="1"/>
  <c r="M372" i="1"/>
  <c r="M373" i="1"/>
  <c r="M378" i="1"/>
  <c r="M379" i="1"/>
  <c r="M380" i="1"/>
  <c r="M381" i="1"/>
  <c r="M382" i="1"/>
  <c r="M383" i="1"/>
  <c r="M384" i="1"/>
  <c r="M385" i="1"/>
  <c r="M386" i="1"/>
  <c r="M387" i="1"/>
  <c r="M388" i="1"/>
  <c r="M389" i="1"/>
  <c r="M390" i="1"/>
  <c r="M391" i="1"/>
  <c r="M392" i="1"/>
  <c r="M393" i="1"/>
  <c r="M394" i="1"/>
  <c r="M397" i="1"/>
  <c r="M398" i="1"/>
  <c r="M399" i="1"/>
  <c r="M400" i="1"/>
  <c r="M401" i="1"/>
  <c r="M402" i="1"/>
  <c r="M403" i="1"/>
  <c r="M404" i="1"/>
  <c r="M405" i="1"/>
  <c r="M406" i="1"/>
  <c r="M407" i="1"/>
  <c r="M408" i="1"/>
  <c r="M411" i="1"/>
  <c r="M412" i="1"/>
  <c r="M413" i="1"/>
  <c r="M414" i="1"/>
  <c r="M415" i="1"/>
  <c r="M416" i="1"/>
  <c r="M417" i="1"/>
  <c r="M418" i="1"/>
  <c r="M419" i="1"/>
  <c r="M420" i="1"/>
  <c r="M421" i="1"/>
  <c r="M422" i="1"/>
  <c r="M428" i="1"/>
  <c r="M429" i="1"/>
  <c r="M430" i="1"/>
  <c r="M431" i="1"/>
  <c r="M432" i="1"/>
  <c r="M433" i="1"/>
  <c r="M434" i="1"/>
  <c r="M435" i="1"/>
  <c r="M436" i="1"/>
  <c r="M439" i="1"/>
  <c r="M440" i="1"/>
  <c r="M441" i="1"/>
  <c r="M442" i="1"/>
  <c r="M443" i="1"/>
  <c r="M444" i="1"/>
  <c r="M445" i="1"/>
  <c r="M446" i="1"/>
  <c r="M447" i="1"/>
  <c r="M448" i="1"/>
  <c r="M451" i="1"/>
  <c r="M452" i="1"/>
  <c r="M453" i="1"/>
  <c r="M454" i="1"/>
  <c r="M455" i="1"/>
  <c r="M456" i="1"/>
  <c r="M457" i="1"/>
  <c r="M458" i="1"/>
  <c r="M459" i="1"/>
  <c r="M460" i="1"/>
  <c r="M461" i="1"/>
  <c r="M462" i="1"/>
  <c r="M463" i="1"/>
  <c r="M464" i="1"/>
  <c r="M465" i="1"/>
  <c r="M466" i="1"/>
  <c r="M467" i="1"/>
  <c r="M472" i="1"/>
  <c r="M473" i="1"/>
  <c r="M192" i="1"/>
  <c r="M193" i="1"/>
  <c r="M194" i="1"/>
  <c r="M195" i="1"/>
  <c r="M196" i="1"/>
  <c r="M197" i="1"/>
  <c r="M198" i="1"/>
  <c r="M199" i="1"/>
  <c r="M200" i="1"/>
  <c r="M201" i="1"/>
  <c r="M202" i="1"/>
  <c r="M203" i="1"/>
  <c r="M204" i="1"/>
  <c r="M205" i="1"/>
  <c r="M206" i="1"/>
  <c r="N78" i="1"/>
  <c r="N79" i="1"/>
  <c r="N80" i="1"/>
  <c r="N81" i="1"/>
  <c r="N82" i="1"/>
  <c r="N83" i="1"/>
  <c r="N84" i="1"/>
  <c r="N85" i="1"/>
  <c r="N86" i="1"/>
  <c r="N87" i="1"/>
  <c r="N88" i="1"/>
  <c r="N89" i="1"/>
  <c r="N90" i="1"/>
  <c r="N62" i="1"/>
  <c r="N63" i="1"/>
  <c r="N64" i="1"/>
  <c r="N65" i="1"/>
  <c r="N66" i="1"/>
  <c r="N67" i="1"/>
  <c r="N68" i="1"/>
  <c r="N69" i="1"/>
  <c r="N70" i="1"/>
  <c r="N71" i="1"/>
  <c r="N72" i="1"/>
  <c r="N73" i="1"/>
  <c r="N74" i="1"/>
  <c r="N75" i="1"/>
  <c r="N48" i="1"/>
  <c r="N49" i="1"/>
  <c r="N50" i="1"/>
  <c r="N51" i="1"/>
  <c r="N52" i="1"/>
  <c r="N53" i="1"/>
  <c r="N54" i="1"/>
  <c r="N55" i="1"/>
  <c r="N56" i="1"/>
  <c r="N57" i="1"/>
  <c r="N58" i="1"/>
  <c r="N59" i="1"/>
  <c r="N36" i="1"/>
  <c r="N37" i="1"/>
  <c r="N38" i="1"/>
  <c r="N39" i="1"/>
  <c r="N40" i="1"/>
  <c r="N41" i="1"/>
  <c r="N42" i="1"/>
  <c r="N43" i="1"/>
  <c r="N44" i="1"/>
  <c r="N45" i="1"/>
  <c r="N26" i="1"/>
  <c r="N27" i="1"/>
  <c r="N28" i="1"/>
  <c r="N29" i="1"/>
  <c r="N30" i="1"/>
  <c r="N31" i="1"/>
  <c r="N32" i="1"/>
  <c r="N33" i="1"/>
  <c r="N11" i="1"/>
  <c r="N12" i="1"/>
  <c r="N13" i="1"/>
  <c r="N14" i="1"/>
  <c r="N15" i="1"/>
  <c r="N16" i="1"/>
  <c r="N17" i="1"/>
  <c r="N18" i="1"/>
  <c r="N19" i="1"/>
  <c r="N20" i="1"/>
  <c r="N21" i="1"/>
  <c r="N22" i="1"/>
  <c r="N23" i="1"/>
  <c r="N93" i="1"/>
  <c r="N94" i="1"/>
  <c r="N95" i="1"/>
  <c r="N96" i="1"/>
  <c r="N97" i="1"/>
  <c r="N98" i="1"/>
  <c r="N99" i="1"/>
  <c r="N100" i="1"/>
  <c r="N109" i="1"/>
  <c r="N110" i="1"/>
  <c r="N111" i="1"/>
  <c r="N112" i="1"/>
  <c r="N113" i="1"/>
  <c r="N114" i="1"/>
  <c r="N115" i="1"/>
  <c r="N116" i="1"/>
  <c r="N117" i="1"/>
  <c r="N118" i="1"/>
  <c r="N119" i="1"/>
  <c r="N120" i="1"/>
  <c r="N121" i="1"/>
  <c r="N124" i="1"/>
  <c r="N123" i="1"/>
  <c r="N127" i="1"/>
  <c r="N128" i="1"/>
  <c r="N129" i="1"/>
  <c r="N130" i="1"/>
  <c r="N131" i="1"/>
  <c r="N132" i="1"/>
  <c r="N133" i="1"/>
  <c r="N134" i="1"/>
  <c r="N135" i="1"/>
  <c r="N136" i="1"/>
  <c r="N137" i="1"/>
  <c r="N138" i="1"/>
  <c r="N139" i="1"/>
  <c r="N140" i="1"/>
  <c r="N141" i="1"/>
  <c r="N142" i="1"/>
  <c r="N143" i="1"/>
  <c r="N144" i="1"/>
  <c r="N147" i="1"/>
  <c r="N148" i="1"/>
  <c r="N149" i="1"/>
  <c r="N150" i="1"/>
  <c r="N151" i="1"/>
  <c r="N152" i="1"/>
  <c r="N153" i="1"/>
  <c r="N154" i="1"/>
  <c r="N155" i="1"/>
  <c r="N156" i="1"/>
  <c r="N159" i="1"/>
  <c r="N160" i="1"/>
  <c r="N161" i="1"/>
  <c r="N164" i="1"/>
  <c r="N165" i="1"/>
  <c r="N166" i="1"/>
  <c r="N167" i="1"/>
  <c r="N168" i="1"/>
  <c r="N169" i="1"/>
  <c r="N170" i="1"/>
  <c r="N171" i="1"/>
  <c r="N172" i="1"/>
  <c r="N173" i="1"/>
  <c r="N174" i="1"/>
  <c r="N175" i="1"/>
  <c r="N176" i="1"/>
  <c r="N177" i="1"/>
  <c r="N178" i="1"/>
  <c r="N179" i="1"/>
  <c r="N180" i="1"/>
  <c r="N181" i="1"/>
  <c r="N182" i="1"/>
  <c r="N183" i="1"/>
  <c r="N184" i="1"/>
  <c r="N185" i="1"/>
  <c r="N186" i="1"/>
  <c r="N187" i="1"/>
  <c r="N211" i="1"/>
  <c r="N212" i="1"/>
  <c r="N213" i="1"/>
  <c r="N214" i="1"/>
  <c r="N215" i="1"/>
  <c r="N216" i="1"/>
  <c r="N217" i="1"/>
  <c r="N218" i="1"/>
  <c r="N219" i="1"/>
  <c r="N222" i="1"/>
  <c r="N223" i="1"/>
  <c r="N224" i="1"/>
  <c r="N225" i="1"/>
  <c r="N226" i="1"/>
  <c r="N227" i="1"/>
  <c r="N228" i="1"/>
  <c r="N229" i="1"/>
  <c r="N230"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2" i="1"/>
  <c r="N273" i="1"/>
  <c r="N274" i="1"/>
  <c r="N275" i="1"/>
  <c r="N277" i="1"/>
  <c r="N278" i="1"/>
  <c r="N279" i="1"/>
  <c r="N280" i="1"/>
  <c r="N281" i="1"/>
  <c r="N282" i="1"/>
  <c r="N283" i="1"/>
  <c r="N284" i="1"/>
  <c r="N285" i="1"/>
  <c r="N286" i="1"/>
  <c r="N291" i="1"/>
  <c r="N292" i="1"/>
  <c r="N293" i="1"/>
  <c r="N294" i="1"/>
  <c r="N295" i="1"/>
  <c r="N296" i="1"/>
  <c r="N297" i="1"/>
  <c r="N298" i="1"/>
  <c r="N299" i="1"/>
  <c r="N300" i="1"/>
  <c r="N301" i="1"/>
  <c r="N302" i="1"/>
  <c r="N303" i="1"/>
  <c r="N304" i="1"/>
  <c r="N305" i="1"/>
  <c r="N306" i="1"/>
  <c r="N307" i="1"/>
  <c r="N308" i="1"/>
  <c r="N309" i="1"/>
  <c r="N310" i="1"/>
  <c r="N311" i="1"/>
  <c r="N315" i="1"/>
  <c r="N316" i="1"/>
  <c r="N317" i="1"/>
  <c r="N318" i="1"/>
  <c r="N319" i="1"/>
  <c r="N320" i="1"/>
  <c r="N321" i="1"/>
  <c r="N322" i="1"/>
  <c r="N323" i="1"/>
  <c r="N324" i="1"/>
  <c r="N325" i="1"/>
  <c r="N326" i="1"/>
  <c r="N327" i="1"/>
  <c r="N330" i="1"/>
  <c r="N331" i="1"/>
  <c r="N332" i="1"/>
  <c r="N333" i="1"/>
  <c r="N334" i="1"/>
  <c r="N335" i="1"/>
  <c r="N336" i="1"/>
  <c r="N337" i="1"/>
  <c r="N338" i="1"/>
  <c r="N339" i="1"/>
  <c r="N340" i="1"/>
  <c r="N341" i="1"/>
  <c r="N342" i="1"/>
  <c r="N343" i="1"/>
  <c r="N344" i="1"/>
  <c r="N345" i="1"/>
  <c r="N346" i="1"/>
  <c r="N347" i="1"/>
  <c r="N350" i="1"/>
  <c r="N351" i="1"/>
  <c r="N352" i="1"/>
  <c r="N355" i="1"/>
  <c r="N356" i="1"/>
  <c r="N357" i="1"/>
  <c r="N358" i="1"/>
  <c r="N359" i="1"/>
  <c r="N360" i="1"/>
  <c r="N361" i="1"/>
  <c r="N362" i="1"/>
  <c r="N363" i="1"/>
  <c r="N364" i="1"/>
  <c r="N365" i="1"/>
  <c r="N366" i="1"/>
  <c r="N367" i="1"/>
  <c r="N368" i="1"/>
  <c r="N369" i="1"/>
  <c r="N370" i="1"/>
  <c r="N371" i="1"/>
  <c r="N372" i="1"/>
  <c r="N373" i="1"/>
  <c r="N378" i="1"/>
  <c r="N379" i="1"/>
  <c r="N380" i="1"/>
  <c r="N381" i="1"/>
  <c r="N382" i="1"/>
  <c r="N383" i="1"/>
  <c r="N384" i="1"/>
  <c r="N385" i="1"/>
  <c r="N386" i="1"/>
  <c r="N387" i="1"/>
  <c r="N388" i="1"/>
  <c r="N389" i="1"/>
  <c r="N390" i="1"/>
  <c r="N391" i="1"/>
  <c r="N392" i="1"/>
  <c r="N393" i="1"/>
  <c r="N394" i="1"/>
  <c r="N397" i="1"/>
  <c r="N398" i="1"/>
  <c r="N399" i="1"/>
  <c r="N400" i="1"/>
  <c r="N401" i="1"/>
  <c r="N402" i="1"/>
  <c r="N403" i="1"/>
  <c r="N404" i="1"/>
  <c r="N405" i="1"/>
  <c r="N406" i="1"/>
  <c r="N407" i="1"/>
  <c r="N408" i="1"/>
  <c r="N411" i="1"/>
  <c r="N412" i="1"/>
  <c r="N413" i="1"/>
  <c r="N414" i="1"/>
  <c r="N415" i="1"/>
  <c r="N416" i="1"/>
  <c r="N417" i="1"/>
  <c r="N418" i="1"/>
  <c r="N419" i="1"/>
  <c r="N420" i="1"/>
  <c r="N421" i="1"/>
  <c r="N422" i="1"/>
  <c r="N428" i="1"/>
  <c r="N429" i="1"/>
  <c r="N430" i="1"/>
  <c r="N431" i="1"/>
  <c r="N432" i="1"/>
  <c r="N433" i="1"/>
  <c r="N434" i="1"/>
  <c r="N435" i="1"/>
  <c r="N436" i="1"/>
  <c r="N439" i="1"/>
  <c r="N440" i="1"/>
  <c r="N441" i="1"/>
  <c r="N442" i="1"/>
  <c r="N443" i="1"/>
  <c r="N444" i="1"/>
  <c r="N445" i="1"/>
  <c r="N446" i="1"/>
  <c r="N447" i="1"/>
  <c r="N448" i="1"/>
  <c r="N451" i="1"/>
  <c r="N452" i="1"/>
  <c r="N453" i="1"/>
  <c r="N454" i="1"/>
  <c r="N455" i="1"/>
  <c r="N456" i="1"/>
  <c r="N457" i="1"/>
  <c r="N458" i="1"/>
  <c r="N459" i="1"/>
  <c r="N460" i="1"/>
  <c r="N461" i="1"/>
  <c r="N462" i="1"/>
  <c r="N463" i="1"/>
  <c r="N464" i="1"/>
  <c r="N465" i="1"/>
  <c r="N466" i="1"/>
  <c r="N467" i="1"/>
  <c r="N472" i="1"/>
  <c r="N473" i="1"/>
  <c r="N192" i="1"/>
  <c r="N193" i="1"/>
  <c r="N194" i="1"/>
  <c r="N195" i="1"/>
  <c r="N196" i="1"/>
  <c r="N197" i="1"/>
  <c r="N198" i="1"/>
  <c r="N199" i="1"/>
  <c r="N200" i="1"/>
  <c r="N201" i="1"/>
  <c r="N202" i="1"/>
  <c r="N203" i="1"/>
  <c r="N204" i="1"/>
  <c r="N205" i="1"/>
  <c r="N206" i="1"/>
  <c r="O78" i="1"/>
  <c r="O79" i="1"/>
  <c r="O80" i="1"/>
  <c r="O81" i="1"/>
  <c r="O82" i="1"/>
  <c r="O83" i="1"/>
  <c r="O84" i="1"/>
  <c r="O85" i="1"/>
  <c r="O86" i="1"/>
  <c r="O87" i="1"/>
  <c r="O88" i="1"/>
  <c r="O89" i="1"/>
  <c r="O90" i="1"/>
  <c r="O62" i="1"/>
  <c r="O63" i="1"/>
  <c r="O64" i="1"/>
  <c r="O65" i="1"/>
  <c r="O66" i="1"/>
  <c r="O67" i="1"/>
  <c r="O68" i="1"/>
  <c r="O69" i="1"/>
  <c r="O70" i="1"/>
  <c r="O71" i="1"/>
  <c r="O72" i="1"/>
  <c r="O73" i="1"/>
  <c r="O74" i="1"/>
  <c r="O75" i="1"/>
  <c r="O48" i="1"/>
  <c r="O49" i="1"/>
  <c r="O50" i="1"/>
  <c r="O51" i="1"/>
  <c r="O52" i="1"/>
  <c r="O53" i="1"/>
  <c r="O54" i="1"/>
  <c r="O55" i="1"/>
  <c r="O56" i="1"/>
  <c r="O57" i="1"/>
  <c r="O58" i="1"/>
  <c r="O59" i="1"/>
  <c r="O36" i="1"/>
  <c r="O37" i="1"/>
  <c r="O38" i="1"/>
  <c r="O39" i="1"/>
  <c r="O40" i="1"/>
  <c r="O41" i="1"/>
  <c r="O42" i="1"/>
  <c r="O43" i="1"/>
  <c r="O44" i="1"/>
  <c r="O45" i="1"/>
  <c r="O26" i="1"/>
  <c r="O27" i="1"/>
  <c r="O28" i="1"/>
  <c r="O29" i="1"/>
  <c r="O30" i="1"/>
  <c r="O31" i="1"/>
  <c r="O32" i="1"/>
  <c r="O33" i="1"/>
  <c r="O11" i="1"/>
  <c r="O12" i="1"/>
  <c r="O13" i="1"/>
  <c r="O14" i="1"/>
  <c r="O15" i="1"/>
  <c r="O16" i="1"/>
  <c r="O17" i="1"/>
  <c r="O18" i="1"/>
  <c r="O19" i="1"/>
  <c r="O20" i="1"/>
  <c r="O21" i="1"/>
  <c r="O22" i="1"/>
  <c r="O23" i="1"/>
  <c r="O93" i="1"/>
  <c r="O94" i="1"/>
  <c r="O95" i="1"/>
  <c r="O96" i="1"/>
  <c r="O97" i="1"/>
  <c r="O98" i="1"/>
  <c r="O99" i="1"/>
  <c r="O100" i="1"/>
  <c r="O109" i="1"/>
  <c r="O110" i="1"/>
  <c r="O111" i="1"/>
  <c r="O112" i="1"/>
  <c r="O113" i="1"/>
  <c r="O114" i="1"/>
  <c r="O115" i="1"/>
  <c r="O116" i="1"/>
  <c r="O117" i="1"/>
  <c r="O118" i="1"/>
  <c r="O119" i="1"/>
  <c r="O120" i="1"/>
  <c r="O121" i="1"/>
  <c r="O124" i="1"/>
  <c r="O123" i="1"/>
  <c r="O127" i="1"/>
  <c r="O128" i="1"/>
  <c r="O129" i="1"/>
  <c r="O130" i="1"/>
  <c r="O131" i="1"/>
  <c r="O132" i="1"/>
  <c r="O133" i="1"/>
  <c r="O134" i="1"/>
  <c r="O135" i="1"/>
  <c r="O136" i="1"/>
  <c r="O137" i="1"/>
  <c r="O138" i="1"/>
  <c r="O139" i="1"/>
  <c r="O140" i="1"/>
  <c r="O141" i="1"/>
  <c r="O142" i="1"/>
  <c r="O143" i="1"/>
  <c r="O144" i="1"/>
  <c r="O147" i="1"/>
  <c r="O148" i="1"/>
  <c r="O149" i="1"/>
  <c r="O150" i="1"/>
  <c r="O151" i="1"/>
  <c r="O152" i="1"/>
  <c r="O153" i="1"/>
  <c r="O154" i="1"/>
  <c r="O155" i="1"/>
  <c r="O156" i="1"/>
  <c r="O159" i="1"/>
  <c r="O160" i="1"/>
  <c r="O161" i="1"/>
  <c r="O164" i="1"/>
  <c r="O165" i="1"/>
  <c r="O166" i="1"/>
  <c r="O167" i="1"/>
  <c r="O168" i="1"/>
  <c r="O169" i="1"/>
  <c r="O170" i="1"/>
  <c r="O171" i="1"/>
  <c r="O172" i="1"/>
  <c r="O173" i="1"/>
  <c r="O174" i="1"/>
  <c r="O175" i="1"/>
  <c r="O176" i="1"/>
  <c r="O177" i="1"/>
  <c r="O178" i="1"/>
  <c r="O179" i="1"/>
  <c r="O180" i="1"/>
  <c r="O181" i="1"/>
  <c r="O182" i="1"/>
  <c r="O183" i="1"/>
  <c r="O184" i="1"/>
  <c r="O185" i="1"/>
  <c r="O186" i="1"/>
  <c r="O187" i="1"/>
  <c r="O211" i="1"/>
  <c r="O212" i="1"/>
  <c r="O213" i="1"/>
  <c r="O214" i="1"/>
  <c r="O215" i="1"/>
  <c r="O216" i="1"/>
  <c r="O217" i="1"/>
  <c r="O218" i="1"/>
  <c r="O219" i="1"/>
  <c r="O222" i="1"/>
  <c r="O223" i="1"/>
  <c r="O224" i="1"/>
  <c r="O225" i="1"/>
  <c r="O226" i="1"/>
  <c r="O227" i="1"/>
  <c r="O228" i="1"/>
  <c r="O229" i="1"/>
  <c r="O230"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2" i="1"/>
  <c r="O273" i="1"/>
  <c r="O274" i="1"/>
  <c r="O275" i="1"/>
  <c r="O277" i="1"/>
  <c r="O278" i="1"/>
  <c r="O279" i="1"/>
  <c r="O280" i="1"/>
  <c r="O281" i="1"/>
  <c r="O282" i="1"/>
  <c r="O283" i="1"/>
  <c r="O284" i="1"/>
  <c r="O285" i="1"/>
  <c r="O286" i="1"/>
  <c r="O291" i="1"/>
  <c r="O292" i="1"/>
  <c r="O293" i="1"/>
  <c r="O294" i="1"/>
  <c r="O295" i="1"/>
  <c r="O296" i="1"/>
  <c r="O297" i="1"/>
  <c r="O298" i="1"/>
  <c r="O299" i="1"/>
  <c r="O300" i="1"/>
  <c r="O301" i="1"/>
  <c r="O302" i="1"/>
  <c r="O303" i="1"/>
  <c r="O304" i="1"/>
  <c r="O305" i="1"/>
  <c r="O306" i="1"/>
  <c r="O307" i="1"/>
  <c r="O308" i="1"/>
  <c r="O309" i="1"/>
  <c r="O310" i="1"/>
  <c r="O311" i="1"/>
  <c r="O315" i="1"/>
  <c r="O316" i="1"/>
  <c r="O317" i="1"/>
  <c r="O318" i="1"/>
  <c r="O319" i="1"/>
  <c r="O320" i="1"/>
  <c r="O321" i="1"/>
  <c r="O322" i="1"/>
  <c r="O323" i="1"/>
  <c r="O324" i="1"/>
  <c r="O325" i="1"/>
  <c r="O326" i="1"/>
  <c r="O327" i="1"/>
  <c r="O330" i="1"/>
  <c r="O331" i="1"/>
  <c r="O332" i="1"/>
  <c r="O333" i="1"/>
  <c r="O334" i="1"/>
  <c r="O335" i="1"/>
  <c r="O336" i="1"/>
  <c r="O337" i="1"/>
  <c r="O338" i="1"/>
  <c r="O339" i="1"/>
  <c r="O340" i="1"/>
  <c r="O341" i="1"/>
  <c r="O342" i="1"/>
  <c r="O343" i="1"/>
  <c r="O344" i="1"/>
  <c r="O345" i="1"/>
  <c r="O346" i="1"/>
  <c r="O347" i="1"/>
  <c r="O350" i="1"/>
  <c r="O351" i="1"/>
  <c r="O352" i="1"/>
  <c r="O355" i="1"/>
  <c r="O356" i="1"/>
  <c r="O357" i="1"/>
  <c r="O358" i="1"/>
  <c r="O359" i="1"/>
  <c r="O360" i="1"/>
  <c r="O361" i="1"/>
  <c r="O362" i="1"/>
  <c r="O363" i="1"/>
  <c r="O364" i="1"/>
  <c r="O365" i="1"/>
  <c r="O366" i="1"/>
  <c r="O367" i="1"/>
  <c r="O368" i="1"/>
  <c r="O369" i="1"/>
  <c r="O370" i="1"/>
  <c r="O371" i="1"/>
  <c r="O372" i="1"/>
  <c r="O373" i="1"/>
  <c r="O378" i="1"/>
  <c r="O379" i="1"/>
  <c r="O380" i="1"/>
  <c r="O381" i="1"/>
  <c r="O382" i="1"/>
  <c r="O383" i="1"/>
  <c r="O384" i="1"/>
  <c r="O385" i="1"/>
  <c r="O386" i="1"/>
  <c r="O387" i="1"/>
  <c r="O388" i="1"/>
  <c r="O389" i="1"/>
  <c r="O390" i="1"/>
  <c r="O391" i="1"/>
  <c r="O392" i="1"/>
  <c r="O393" i="1"/>
  <c r="O394" i="1"/>
  <c r="O397" i="1"/>
  <c r="O398" i="1"/>
  <c r="O399" i="1"/>
  <c r="O400" i="1"/>
  <c r="O401" i="1"/>
  <c r="O402" i="1"/>
  <c r="O403" i="1"/>
  <c r="O404" i="1"/>
  <c r="O405" i="1"/>
  <c r="O406" i="1"/>
  <c r="O407" i="1"/>
  <c r="O408" i="1"/>
  <c r="O411" i="1"/>
  <c r="O412" i="1"/>
  <c r="O413" i="1"/>
  <c r="O414" i="1"/>
  <c r="O415" i="1"/>
  <c r="O416" i="1"/>
  <c r="O417" i="1"/>
  <c r="O418" i="1"/>
  <c r="O419" i="1"/>
  <c r="O420" i="1"/>
  <c r="O421" i="1"/>
  <c r="O422" i="1"/>
  <c r="O428" i="1"/>
  <c r="O429" i="1"/>
  <c r="O430" i="1"/>
  <c r="O431" i="1"/>
  <c r="O432" i="1"/>
  <c r="O433" i="1"/>
  <c r="O434" i="1"/>
  <c r="O435" i="1"/>
  <c r="O436" i="1"/>
  <c r="O439" i="1"/>
  <c r="O440" i="1"/>
  <c r="O441" i="1"/>
  <c r="O442" i="1"/>
  <c r="O443" i="1"/>
  <c r="O444" i="1"/>
  <c r="O445" i="1"/>
  <c r="O446" i="1"/>
  <c r="O447" i="1"/>
  <c r="O448" i="1"/>
  <c r="O451" i="1"/>
  <c r="O452" i="1"/>
  <c r="O453" i="1"/>
  <c r="O454" i="1"/>
  <c r="O455" i="1"/>
  <c r="O456" i="1"/>
  <c r="O457" i="1"/>
  <c r="O458" i="1"/>
  <c r="O459" i="1"/>
  <c r="O460" i="1"/>
  <c r="O461" i="1"/>
  <c r="O462" i="1"/>
  <c r="O463" i="1"/>
  <c r="O464" i="1"/>
  <c r="O465" i="1"/>
  <c r="O466" i="1"/>
  <c r="O467" i="1"/>
  <c r="O472" i="1"/>
  <c r="O473" i="1"/>
  <c r="O192" i="1"/>
  <c r="O193" i="1"/>
  <c r="O194" i="1"/>
  <c r="O195" i="1"/>
  <c r="O196" i="1"/>
  <c r="O197" i="1"/>
  <c r="O198" i="1"/>
  <c r="O199" i="1"/>
  <c r="O200" i="1"/>
  <c r="O201" i="1"/>
  <c r="O202" i="1"/>
  <c r="O203" i="1"/>
  <c r="O204" i="1"/>
  <c r="O205" i="1"/>
  <c r="O206" i="1"/>
  <c r="P78" i="1"/>
  <c r="P79" i="1"/>
  <c r="P80" i="1"/>
  <c r="P81" i="1"/>
  <c r="P82" i="1"/>
  <c r="P83" i="1"/>
  <c r="P84" i="1"/>
  <c r="P85" i="1"/>
  <c r="P86" i="1"/>
  <c r="P87" i="1"/>
  <c r="P88" i="1"/>
  <c r="P89" i="1"/>
  <c r="P90" i="1"/>
  <c r="P62" i="1"/>
  <c r="P63" i="1"/>
  <c r="P64" i="1"/>
  <c r="P65" i="1"/>
  <c r="P66" i="1"/>
  <c r="P67" i="1"/>
  <c r="P68" i="1"/>
  <c r="P69" i="1"/>
  <c r="P70" i="1"/>
  <c r="P71" i="1"/>
  <c r="P72" i="1"/>
  <c r="P73" i="1"/>
  <c r="P74" i="1"/>
  <c r="P75" i="1"/>
  <c r="P48" i="1"/>
  <c r="P49" i="1"/>
  <c r="P50" i="1"/>
  <c r="P51" i="1"/>
  <c r="P52" i="1"/>
  <c r="P53" i="1"/>
  <c r="P54" i="1"/>
  <c r="P55" i="1"/>
  <c r="P56" i="1"/>
  <c r="P57" i="1"/>
  <c r="P58" i="1"/>
  <c r="P59" i="1"/>
  <c r="P36" i="1"/>
  <c r="P37" i="1"/>
  <c r="P38" i="1"/>
  <c r="P39" i="1"/>
  <c r="P40" i="1"/>
  <c r="P41" i="1"/>
  <c r="P42" i="1"/>
  <c r="P43" i="1"/>
  <c r="P44" i="1"/>
  <c r="P45" i="1"/>
  <c r="P26" i="1"/>
  <c r="P27" i="1"/>
  <c r="P28" i="1"/>
  <c r="P29" i="1"/>
  <c r="P30" i="1"/>
  <c r="P31" i="1"/>
  <c r="P32" i="1"/>
  <c r="P33" i="1"/>
  <c r="P11" i="1"/>
  <c r="P12" i="1"/>
  <c r="P13" i="1"/>
  <c r="P14" i="1"/>
  <c r="P15" i="1"/>
  <c r="P16" i="1"/>
  <c r="P17" i="1"/>
  <c r="P18" i="1"/>
  <c r="P19" i="1"/>
  <c r="P20" i="1"/>
  <c r="P21" i="1"/>
  <c r="P22" i="1"/>
  <c r="P23" i="1"/>
  <c r="P93" i="1"/>
  <c r="P94" i="1"/>
  <c r="P95" i="1"/>
  <c r="P96" i="1"/>
  <c r="P97" i="1"/>
  <c r="P98" i="1"/>
  <c r="P99" i="1"/>
  <c r="P100" i="1"/>
  <c r="P109" i="1"/>
  <c r="P110" i="1"/>
  <c r="P111" i="1"/>
  <c r="P112" i="1"/>
  <c r="P113" i="1"/>
  <c r="P114" i="1"/>
  <c r="P115" i="1"/>
  <c r="P116" i="1"/>
  <c r="P117" i="1"/>
  <c r="P118" i="1"/>
  <c r="P119" i="1"/>
  <c r="P120" i="1"/>
  <c r="P121" i="1"/>
  <c r="P124" i="1"/>
  <c r="P123" i="1"/>
  <c r="P127" i="1"/>
  <c r="P128" i="1"/>
  <c r="P129" i="1"/>
  <c r="P130" i="1"/>
  <c r="P131" i="1"/>
  <c r="P132" i="1"/>
  <c r="P133" i="1"/>
  <c r="P134" i="1"/>
  <c r="P135" i="1"/>
  <c r="P136" i="1"/>
  <c r="P137" i="1"/>
  <c r="P138" i="1"/>
  <c r="P139" i="1"/>
  <c r="P140" i="1"/>
  <c r="P141" i="1"/>
  <c r="P142" i="1"/>
  <c r="P143" i="1"/>
  <c r="P144" i="1"/>
  <c r="P147" i="1"/>
  <c r="P148" i="1"/>
  <c r="P149" i="1"/>
  <c r="P150" i="1"/>
  <c r="P151" i="1"/>
  <c r="P152" i="1"/>
  <c r="P153" i="1"/>
  <c r="P154" i="1"/>
  <c r="P155" i="1"/>
  <c r="P156" i="1"/>
  <c r="P159" i="1"/>
  <c r="P160" i="1"/>
  <c r="P161" i="1"/>
  <c r="P164" i="1"/>
  <c r="P165" i="1"/>
  <c r="P166" i="1"/>
  <c r="P167" i="1"/>
  <c r="P168" i="1"/>
  <c r="P169" i="1"/>
  <c r="P170" i="1"/>
  <c r="P171" i="1"/>
  <c r="P172" i="1"/>
  <c r="P173" i="1"/>
  <c r="P174" i="1"/>
  <c r="P175" i="1"/>
  <c r="P176" i="1"/>
  <c r="P177" i="1"/>
  <c r="P178" i="1"/>
  <c r="P179" i="1"/>
  <c r="P180" i="1"/>
  <c r="P181" i="1"/>
  <c r="P182" i="1"/>
  <c r="P183" i="1"/>
  <c r="P184" i="1"/>
  <c r="P185" i="1"/>
  <c r="P186" i="1"/>
  <c r="P187" i="1"/>
  <c r="P211" i="1"/>
  <c r="P212" i="1"/>
  <c r="P213" i="1"/>
  <c r="P214" i="1"/>
  <c r="P215" i="1"/>
  <c r="P216" i="1"/>
  <c r="P217" i="1"/>
  <c r="P218" i="1"/>
  <c r="P219" i="1"/>
  <c r="P222" i="1"/>
  <c r="P223" i="1"/>
  <c r="P224" i="1"/>
  <c r="P225" i="1"/>
  <c r="P226" i="1"/>
  <c r="P227" i="1"/>
  <c r="P228" i="1"/>
  <c r="P229" i="1"/>
  <c r="P230"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2" i="1"/>
  <c r="P273" i="1"/>
  <c r="P274" i="1"/>
  <c r="P275" i="1"/>
  <c r="P277" i="1"/>
  <c r="P278" i="1"/>
  <c r="P279" i="1"/>
  <c r="P280" i="1"/>
  <c r="P281" i="1"/>
  <c r="P282" i="1"/>
  <c r="P283" i="1"/>
  <c r="P284" i="1"/>
  <c r="P285" i="1"/>
  <c r="P286" i="1"/>
  <c r="P291" i="1"/>
  <c r="P292" i="1"/>
  <c r="P293" i="1"/>
  <c r="P294" i="1"/>
  <c r="P295" i="1"/>
  <c r="P296" i="1"/>
  <c r="P297" i="1"/>
  <c r="P298" i="1"/>
  <c r="P299" i="1"/>
  <c r="P300" i="1"/>
  <c r="P301" i="1"/>
  <c r="P302" i="1"/>
  <c r="P303" i="1"/>
  <c r="P304" i="1"/>
  <c r="P305" i="1"/>
  <c r="P306" i="1"/>
  <c r="P307" i="1"/>
  <c r="P308" i="1"/>
  <c r="P309" i="1"/>
  <c r="P310" i="1"/>
  <c r="P311" i="1"/>
  <c r="P315" i="1"/>
  <c r="P316" i="1"/>
  <c r="P317" i="1"/>
  <c r="P318" i="1"/>
  <c r="P319" i="1"/>
  <c r="P320" i="1"/>
  <c r="P321" i="1"/>
  <c r="P322" i="1"/>
  <c r="P323" i="1"/>
  <c r="P324" i="1"/>
  <c r="P325" i="1"/>
  <c r="P326" i="1"/>
  <c r="P327" i="1"/>
  <c r="P330" i="1"/>
  <c r="P331" i="1"/>
  <c r="P332" i="1"/>
  <c r="P333" i="1"/>
  <c r="P334" i="1"/>
  <c r="P335" i="1"/>
  <c r="P336" i="1"/>
  <c r="P337" i="1"/>
  <c r="P338" i="1"/>
  <c r="P339" i="1"/>
  <c r="P340" i="1"/>
  <c r="P341" i="1"/>
  <c r="P342" i="1"/>
  <c r="P343" i="1"/>
  <c r="P344" i="1"/>
  <c r="P345" i="1"/>
  <c r="P346" i="1"/>
  <c r="P347" i="1"/>
  <c r="P350" i="1"/>
  <c r="P351" i="1"/>
  <c r="P352" i="1"/>
  <c r="P355" i="1"/>
  <c r="P356" i="1"/>
  <c r="P357" i="1"/>
  <c r="P358" i="1"/>
  <c r="P359" i="1"/>
  <c r="P360" i="1"/>
  <c r="P361" i="1"/>
  <c r="P362" i="1"/>
  <c r="P363" i="1"/>
  <c r="P364" i="1"/>
  <c r="P365" i="1"/>
  <c r="P366" i="1"/>
  <c r="P367" i="1"/>
  <c r="P368" i="1"/>
  <c r="P369" i="1"/>
  <c r="P370" i="1"/>
  <c r="P371" i="1"/>
  <c r="P372" i="1"/>
  <c r="P373" i="1"/>
  <c r="P378" i="1"/>
  <c r="P379" i="1"/>
  <c r="P380" i="1"/>
  <c r="P381" i="1"/>
  <c r="P382" i="1"/>
  <c r="P383" i="1"/>
  <c r="P384" i="1"/>
  <c r="P385" i="1"/>
  <c r="P386" i="1"/>
  <c r="P387" i="1"/>
  <c r="P388" i="1"/>
  <c r="P389" i="1"/>
  <c r="P390" i="1"/>
  <c r="P391" i="1"/>
  <c r="P392" i="1"/>
  <c r="P393" i="1"/>
  <c r="P394" i="1"/>
  <c r="P397" i="1"/>
  <c r="P398" i="1"/>
  <c r="P399" i="1"/>
  <c r="P400" i="1"/>
  <c r="P401" i="1"/>
  <c r="P402" i="1"/>
  <c r="P403" i="1"/>
  <c r="P404" i="1"/>
  <c r="P405" i="1"/>
  <c r="P406" i="1"/>
  <c r="P407" i="1"/>
  <c r="P408" i="1"/>
  <c r="P411" i="1"/>
  <c r="P412" i="1"/>
  <c r="P413" i="1"/>
  <c r="P414" i="1"/>
  <c r="P415" i="1"/>
  <c r="P416" i="1"/>
  <c r="P417" i="1"/>
  <c r="P418" i="1"/>
  <c r="P419" i="1"/>
  <c r="P420" i="1"/>
  <c r="P421" i="1"/>
  <c r="P422" i="1"/>
  <c r="P428" i="1"/>
  <c r="P429" i="1"/>
  <c r="P430" i="1"/>
  <c r="P431" i="1"/>
  <c r="P432" i="1"/>
  <c r="P433" i="1"/>
  <c r="P434" i="1"/>
  <c r="P435" i="1"/>
  <c r="P436" i="1"/>
  <c r="P439" i="1"/>
  <c r="P440" i="1"/>
  <c r="P441" i="1"/>
  <c r="P442" i="1"/>
  <c r="P443" i="1"/>
  <c r="P444" i="1"/>
  <c r="P445" i="1"/>
  <c r="P446" i="1"/>
  <c r="P447" i="1"/>
  <c r="P448" i="1"/>
  <c r="P451" i="1"/>
  <c r="P452" i="1"/>
  <c r="P453" i="1"/>
  <c r="P454" i="1"/>
  <c r="P455" i="1"/>
  <c r="P456" i="1"/>
  <c r="P457" i="1"/>
  <c r="P458" i="1"/>
  <c r="P459" i="1"/>
  <c r="P460" i="1"/>
  <c r="P461" i="1"/>
  <c r="P462" i="1"/>
  <c r="P463" i="1"/>
  <c r="P464" i="1"/>
  <c r="P465" i="1"/>
  <c r="P466" i="1"/>
  <c r="P467" i="1"/>
  <c r="P472" i="1"/>
  <c r="P473" i="1"/>
  <c r="P192" i="1"/>
  <c r="P193" i="1"/>
  <c r="P194" i="1"/>
  <c r="P195" i="1"/>
  <c r="P196" i="1"/>
  <c r="P197" i="1"/>
  <c r="P198" i="1"/>
  <c r="P199" i="1"/>
  <c r="P200" i="1"/>
  <c r="P201" i="1"/>
  <c r="P202" i="1"/>
  <c r="P203" i="1"/>
  <c r="P204" i="1"/>
  <c r="P205" i="1"/>
  <c r="P206" i="1"/>
  <c r="Q78" i="1"/>
  <c r="Q79" i="1"/>
  <c r="Q80" i="1"/>
  <c r="Q81" i="1"/>
  <c r="Q82" i="1"/>
  <c r="Q83" i="1"/>
  <c r="Q84" i="1"/>
  <c r="Q85" i="1"/>
  <c r="Q86" i="1"/>
  <c r="Q87" i="1"/>
  <c r="Q88" i="1"/>
  <c r="Q89" i="1"/>
  <c r="Q90" i="1"/>
  <c r="Q62" i="1"/>
  <c r="Q63" i="1"/>
  <c r="Q64" i="1"/>
  <c r="Q65" i="1"/>
  <c r="Q66" i="1"/>
  <c r="Q67" i="1"/>
  <c r="Q68" i="1"/>
  <c r="Q69" i="1"/>
  <c r="Q70" i="1"/>
  <c r="Q71" i="1"/>
  <c r="Q72" i="1"/>
  <c r="Q73" i="1"/>
  <c r="Q74" i="1"/>
  <c r="Q75" i="1"/>
  <c r="Q48" i="1"/>
  <c r="Q49" i="1"/>
  <c r="Q50" i="1"/>
  <c r="Q51" i="1"/>
  <c r="Q52" i="1"/>
  <c r="Q53" i="1"/>
  <c r="Q54" i="1"/>
  <c r="Q55" i="1"/>
  <c r="Q56" i="1"/>
  <c r="Q57" i="1"/>
  <c r="Q58" i="1"/>
  <c r="Q59" i="1"/>
  <c r="Q36" i="1"/>
  <c r="Q37" i="1"/>
  <c r="Q38" i="1"/>
  <c r="Q39" i="1"/>
  <c r="Q40" i="1"/>
  <c r="Q41" i="1"/>
  <c r="Q42" i="1"/>
  <c r="Q43" i="1"/>
  <c r="Q44" i="1"/>
  <c r="Q45" i="1"/>
  <c r="Q26" i="1"/>
  <c r="Q27" i="1"/>
  <c r="Q28" i="1"/>
  <c r="Q29" i="1"/>
  <c r="Q30" i="1"/>
  <c r="Q31" i="1"/>
  <c r="Q32" i="1"/>
  <c r="Q33" i="1"/>
  <c r="Q11" i="1"/>
  <c r="Q12" i="1"/>
  <c r="Q13" i="1"/>
  <c r="Q14" i="1"/>
  <c r="Q15" i="1"/>
  <c r="Q16" i="1"/>
  <c r="Q17" i="1"/>
  <c r="Q18" i="1"/>
  <c r="Q19" i="1"/>
  <c r="Q20" i="1"/>
  <c r="Q21" i="1"/>
  <c r="Q22" i="1"/>
  <c r="Q23" i="1"/>
  <c r="Q93" i="1"/>
  <c r="Q94" i="1"/>
  <c r="Q95" i="1"/>
  <c r="Q96" i="1"/>
  <c r="Q97" i="1"/>
  <c r="Q98" i="1"/>
  <c r="Q99" i="1"/>
  <c r="Q100" i="1"/>
  <c r="Q109" i="1"/>
  <c r="Q110" i="1"/>
  <c r="Q111" i="1"/>
  <c r="Q112" i="1"/>
  <c r="Q113" i="1"/>
  <c r="Q114" i="1"/>
  <c r="Q115" i="1"/>
  <c r="Q116" i="1"/>
  <c r="Q117" i="1"/>
  <c r="Q118" i="1"/>
  <c r="Q119" i="1"/>
  <c r="Q120" i="1"/>
  <c r="Q121" i="1"/>
  <c r="Q124" i="1"/>
  <c r="Q123" i="1"/>
  <c r="Q127" i="1"/>
  <c r="Q128" i="1"/>
  <c r="Q129" i="1"/>
  <c r="Q130" i="1"/>
  <c r="Q131" i="1"/>
  <c r="Q132" i="1"/>
  <c r="Q133" i="1"/>
  <c r="Q134" i="1"/>
  <c r="Q135" i="1"/>
  <c r="Q136" i="1"/>
  <c r="Q137" i="1"/>
  <c r="Q138" i="1"/>
  <c r="Q139" i="1"/>
  <c r="Q140" i="1"/>
  <c r="Q141" i="1"/>
  <c r="Q142" i="1"/>
  <c r="Q143" i="1"/>
  <c r="Q144" i="1"/>
  <c r="Q147" i="1"/>
  <c r="Q148" i="1"/>
  <c r="Q149" i="1"/>
  <c r="Q150" i="1"/>
  <c r="Q151" i="1"/>
  <c r="Q152" i="1"/>
  <c r="Q153" i="1"/>
  <c r="Q154" i="1"/>
  <c r="Q155" i="1"/>
  <c r="Q156" i="1"/>
  <c r="Q159" i="1"/>
  <c r="Q160" i="1"/>
  <c r="Q161" i="1"/>
  <c r="Q164" i="1"/>
  <c r="Q165" i="1"/>
  <c r="Q166" i="1"/>
  <c r="Q167" i="1"/>
  <c r="Q168" i="1"/>
  <c r="Q169" i="1"/>
  <c r="Q170" i="1"/>
  <c r="Q171" i="1"/>
  <c r="Q172" i="1"/>
  <c r="Q173" i="1"/>
  <c r="Q174" i="1"/>
  <c r="Q175" i="1"/>
  <c r="Q176" i="1"/>
  <c r="Q177" i="1"/>
  <c r="Q178" i="1"/>
  <c r="Q179" i="1"/>
  <c r="Q180" i="1"/>
  <c r="Q181" i="1"/>
  <c r="Q182" i="1"/>
  <c r="Q183" i="1"/>
  <c r="Q184" i="1"/>
  <c r="Q185" i="1"/>
  <c r="Q186" i="1"/>
  <c r="Q187" i="1"/>
  <c r="Q211" i="1"/>
  <c r="Q212" i="1"/>
  <c r="Q213" i="1"/>
  <c r="Q214" i="1"/>
  <c r="Q215" i="1"/>
  <c r="Q216" i="1"/>
  <c r="Q217" i="1"/>
  <c r="Q218" i="1"/>
  <c r="Q219" i="1"/>
  <c r="Q222" i="1"/>
  <c r="Q223" i="1"/>
  <c r="Q224" i="1"/>
  <c r="Q225" i="1"/>
  <c r="Q226" i="1"/>
  <c r="Q227" i="1"/>
  <c r="Q228" i="1"/>
  <c r="Q229" i="1"/>
  <c r="Q230"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2" i="1"/>
  <c r="Q273" i="1"/>
  <c r="Q274" i="1"/>
  <c r="Q275" i="1"/>
  <c r="Q277" i="1"/>
  <c r="Q278" i="1"/>
  <c r="Q279" i="1"/>
  <c r="Q280" i="1"/>
  <c r="Q281" i="1"/>
  <c r="Q282" i="1"/>
  <c r="Q283" i="1"/>
  <c r="Q284" i="1"/>
  <c r="Q285" i="1"/>
  <c r="Q286" i="1"/>
  <c r="Q291" i="1"/>
  <c r="Q292" i="1"/>
  <c r="Q293" i="1"/>
  <c r="Q294" i="1"/>
  <c r="Q295" i="1"/>
  <c r="Q296" i="1"/>
  <c r="Q297" i="1"/>
  <c r="Q298" i="1"/>
  <c r="Q299" i="1"/>
  <c r="Q300" i="1"/>
  <c r="Q301" i="1"/>
  <c r="Q302" i="1"/>
  <c r="Q303" i="1"/>
  <c r="Q304" i="1"/>
  <c r="Q305" i="1"/>
  <c r="Q306" i="1"/>
  <c r="Q307" i="1"/>
  <c r="Q308" i="1"/>
  <c r="Q309" i="1"/>
  <c r="Q310" i="1"/>
  <c r="Q311" i="1"/>
  <c r="Q315" i="1"/>
  <c r="Q316" i="1"/>
  <c r="Q317" i="1"/>
  <c r="Q318" i="1"/>
  <c r="Q319" i="1"/>
  <c r="Q320" i="1"/>
  <c r="Q321" i="1"/>
  <c r="Q322" i="1"/>
  <c r="Q323" i="1"/>
  <c r="Q324" i="1"/>
  <c r="Q325" i="1"/>
  <c r="Q326" i="1"/>
  <c r="Q327" i="1"/>
  <c r="Q330" i="1"/>
  <c r="Q331" i="1"/>
  <c r="Q332" i="1"/>
  <c r="Q333" i="1"/>
  <c r="Q334" i="1"/>
  <c r="Q335" i="1"/>
  <c r="Q336" i="1"/>
  <c r="Q337" i="1"/>
  <c r="Q338" i="1"/>
  <c r="Q339" i="1"/>
  <c r="Q340" i="1"/>
  <c r="Q341" i="1"/>
  <c r="Q342" i="1"/>
  <c r="Q343" i="1"/>
  <c r="Q344" i="1"/>
  <c r="Q345" i="1"/>
  <c r="Q346" i="1"/>
  <c r="Q347" i="1"/>
  <c r="Q350" i="1"/>
  <c r="Q351" i="1"/>
  <c r="Q352" i="1"/>
  <c r="Q355" i="1"/>
  <c r="Q356" i="1"/>
  <c r="Q357" i="1"/>
  <c r="Q358" i="1"/>
  <c r="Q359" i="1"/>
  <c r="Q360" i="1"/>
  <c r="Q361" i="1"/>
  <c r="Q362" i="1"/>
  <c r="Q363" i="1"/>
  <c r="Q364" i="1"/>
  <c r="Q365" i="1"/>
  <c r="Q366" i="1"/>
  <c r="Q367" i="1"/>
  <c r="Q368" i="1"/>
  <c r="Q369" i="1"/>
  <c r="Q370" i="1"/>
  <c r="Q371" i="1"/>
  <c r="Q372" i="1"/>
  <c r="Q373" i="1"/>
  <c r="Q378" i="1"/>
  <c r="Q379" i="1"/>
  <c r="Q380" i="1"/>
  <c r="Q381" i="1"/>
  <c r="Q382" i="1"/>
  <c r="Q383" i="1"/>
  <c r="Q384" i="1"/>
  <c r="Q385" i="1"/>
  <c r="Q386" i="1"/>
  <c r="Q387" i="1"/>
  <c r="Q388" i="1"/>
  <c r="Q389" i="1"/>
  <c r="Q390" i="1"/>
  <c r="Q391" i="1"/>
  <c r="Q392" i="1"/>
  <c r="Q393" i="1"/>
  <c r="Q394" i="1"/>
  <c r="Q397" i="1"/>
  <c r="Q398" i="1"/>
  <c r="Q399" i="1"/>
  <c r="Q400" i="1"/>
  <c r="Q401" i="1"/>
  <c r="Q402" i="1"/>
  <c r="Q403" i="1"/>
  <c r="Q404" i="1"/>
  <c r="Q405" i="1"/>
  <c r="Q406" i="1"/>
  <c r="Q407" i="1"/>
  <c r="Q408" i="1"/>
  <c r="Q411" i="1"/>
  <c r="Q412" i="1"/>
  <c r="Q413" i="1"/>
  <c r="Q414" i="1"/>
  <c r="Q415" i="1"/>
  <c r="Q416" i="1"/>
  <c r="Q417" i="1"/>
  <c r="Q418" i="1"/>
  <c r="Q419" i="1"/>
  <c r="Q420" i="1"/>
  <c r="Q421" i="1"/>
  <c r="Q422" i="1"/>
  <c r="Q428" i="1"/>
  <c r="Q429" i="1"/>
  <c r="Q430" i="1"/>
  <c r="Q431" i="1"/>
  <c r="Q432" i="1"/>
  <c r="Q433" i="1"/>
  <c r="Q434" i="1"/>
  <c r="Q435" i="1"/>
  <c r="Q436" i="1"/>
  <c r="Q439" i="1"/>
  <c r="Q440" i="1"/>
  <c r="Q441" i="1"/>
  <c r="Q442" i="1"/>
  <c r="Q443" i="1"/>
  <c r="Q444" i="1"/>
  <c r="Q445" i="1"/>
  <c r="Q446" i="1"/>
  <c r="Q447" i="1"/>
  <c r="Q448" i="1"/>
  <c r="Q451" i="1"/>
  <c r="Q452" i="1"/>
  <c r="Q453" i="1"/>
  <c r="Q454" i="1"/>
  <c r="Q455" i="1"/>
  <c r="Q456" i="1"/>
  <c r="Q457" i="1"/>
  <c r="Q458" i="1"/>
  <c r="Q459" i="1"/>
  <c r="Q460" i="1"/>
  <c r="Q461" i="1"/>
  <c r="Q462" i="1"/>
  <c r="Q463" i="1"/>
  <c r="Q464" i="1"/>
  <c r="Q465" i="1"/>
  <c r="Q466" i="1"/>
  <c r="Q467" i="1"/>
  <c r="Q472" i="1"/>
  <c r="Q473" i="1"/>
  <c r="Q192" i="1"/>
  <c r="Q193" i="1"/>
  <c r="Q194" i="1"/>
  <c r="Q195" i="1"/>
  <c r="Q196" i="1"/>
  <c r="Q197" i="1"/>
  <c r="Q198" i="1"/>
  <c r="Q199" i="1"/>
  <c r="Q200" i="1"/>
  <c r="Q201" i="1"/>
  <c r="Q202" i="1"/>
  <c r="Q203" i="1"/>
  <c r="Q204" i="1"/>
  <c r="Q205" i="1"/>
  <c r="Q206" i="1"/>
  <c r="R78" i="1"/>
  <c r="R79" i="1"/>
  <c r="R80" i="1"/>
  <c r="R81" i="1"/>
  <c r="R82" i="1"/>
  <c r="R83" i="1"/>
  <c r="R84" i="1"/>
  <c r="R85" i="1"/>
  <c r="R86" i="1"/>
  <c r="R87" i="1"/>
  <c r="R88" i="1"/>
  <c r="R89" i="1"/>
  <c r="R90" i="1"/>
  <c r="R62" i="1"/>
  <c r="R63" i="1"/>
  <c r="R64" i="1"/>
  <c r="R65" i="1"/>
  <c r="R66" i="1"/>
  <c r="R67" i="1"/>
  <c r="R68" i="1"/>
  <c r="R69" i="1"/>
  <c r="R70" i="1"/>
  <c r="R71" i="1"/>
  <c r="R72" i="1"/>
  <c r="R73" i="1"/>
  <c r="R74" i="1"/>
  <c r="R75" i="1"/>
  <c r="R48" i="1"/>
  <c r="R49" i="1"/>
  <c r="R50" i="1"/>
  <c r="R51" i="1"/>
  <c r="R52" i="1"/>
  <c r="R53" i="1"/>
  <c r="R54" i="1"/>
  <c r="R55" i="1"/>
  <c r="R56" i="1"/>
  <c r="R57" i="1"/>
  <c r="R58" i="1"/>
  <c r="R59" i="1"/>
  <c r="R36" i="1"/>
  <c r="R37" i="1"/>
  <c r="R38" i="1"/>
  <c r="R39" i="1"/>
  <c r="R40" i="1"/>
  <c r="R41" i="1"/>
  <c r="R42" i="1"/>
  <c r="R43" i="1"/>
  <c r="R44" i="1"/>
  <c r="R45" i="1"/>
  <c r="R26" i="1"/>
  <c r="R27" i="1"/>
  <c r="R28" i="1"/>
  <c r="R29" i="1"/>
  <c r="R30" i="1"/>
  <c r="R31" i="1"/>
  <c r="R32" i="1"/>
  <c r="R33" i="1"/>
  <c r="R11" i="1"/>
  <c r="R12" i="1"/>
  <c r="R13" i="1"/>
  <c r="R14" i="1"/>
  <c r="R15" i="1"/>
  <c r="R16" i="1"/>
  <c r="R17" i="1"/>
  <c r="R18" i="1"/>
  <c r="R19" i="1"/>
  <c r="R20" i="1"/>
  <c r="R21" i="1"/>
  <c r="R22" i="1"/>
  <c r="R23" i="1"/>
  <c r="R93" i="1"/>
  <c r="R94" i="1"/>
  <c r="R95" i="1"/>
  <c r="R96" i="1"/>
  <c r="R97" i="1"/>
  <c r="R98" i="1"/>
  <c r="R99" i="1"/>
  <c r="R100" i="1"/>
  <c r="R109" i="1"/>
  <c r="R110" i="1"/>
  <c r="R111" i="1"/>
  <c r="R112" i="1"/>
  <c r="R113" i="1"/>
  <c r="R114" i="1"/>
  <c r="R115" i="1"/>
  <c r="R116" i="1"/>
  <c r="R117" i="1"/>
  <c r="R118" i="1"/>
  <c r="R119" i="1"/>
  <c r="R120" i="1"/>
  <c r="R121" i="1"/>
  <c r="R124" i="1"/>
  <c r="R123" i="1"/>
  <c r="R127" i="1"/>
  <c r="R128" i="1"/>
  <c r="R129" i="1"/>
  <c r="R130" i="1"/>
  <c r="R131" i="1"/>
  <c r="R132" i="1"/>
  <c r="R133" i="1"/>
  <c r="R134" i="1"/>
  <c r="R135" i="1"/>
  <c r="R136" i="1"/>
  <c r="R137" i="1"/>
  <c r="R138" i="1"/>
  <c r="R139" i="1"/>
  <c r="R140" i="1"/>
  <c r="R141" i="1"/>
  <c r="R142" i="1"/>
  <c r="R143" i="1"/>
  <c r="R144" i="1"/>
  <c r="R147" i="1"/>
  <c r="R148" i="1"/>
  <c r="R149" i="1"/>
  <c r="R150" i="1"/>
  <c r="R151" i="1"/>
  <c r="R152" i="1"/>
  <c r="R153" i="1"/>
  <c r="R154" i="1"/>
  <c r="R155" i="1"/>
  <c r="R156" i="1"/>
  <c r="R159" i="1"/>
  <c r="R160" i="1"/>
  <c r="R161" i="1"/>
  <c r="R164" i="1"/>
  <c r="R165" i="1"/>
  <c r="R166" i="1"/>
  <c r="R167" i="1"/>
  <c r="R168" i="1"/>
  <c r="R169" i="1"/>
  <c r="R170" i="1"/>
  <c r="R171" i="1"/>
  <c r="R172" i="1"/>
  <c r="R173" i="1"/>
  <c r="R174" i="1"/>
  <c r="R175" i="1"/>
  <c r="R176" i="1"/>
  <c r="R177" i="1"/>
  <c r="R178" i="1"/>
  <c r="R179" i="1"/>
  <c r="R180" i="1"/>
  <c r="R181" i="1"/>
  <c r="R182" i="1"/>
  <c r="R183" i="1"/>
  <c r="R184" i="1"/>
  <c r="R185" i="1"/>
  <c r="R186" i="1"/>
  <c r="R187" i="1"/>
  <c r="R211" i="1"/>
  <c r="R212" i="1"/>
  <c r="R213" i="1"/>
  <c r="R214" i="1"/>
  <c r="R215" i="1"/>
  <c r="R216" i="1"/>
  <c r="R217" i="1"/>
  <c r="R218" i="1"/>
  <c r="R219" i="1"/>
  <c r="R222" i="1"/>
  <c r="R223" i="1"/>
  <c r="R224" i="1"/>
  <c r="R225" i="1"/>
  <c r="R226" i="1"/>
  <c r="R227" i="1"/>
  <c r="R228" i="1"/>
  <c r="R229" i="1"/>
  <c r="R230"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2" i="1"/>
  <c r="R273" i="1"/>
  <c r="R274" i="1"/>
  <c r="R275" i="1"/>
  <c r="R277" i="1"/>
  <c r="R278" i="1"/>
  <c r="R279" i="1"/>
  <c r="R280" i="1"/>
  <c r="R281" i="1"/>
  <c r="R282" i="1"/>
  <c r="R283" i="1"/>
  <c r="R284" i="1"/>
  <c r="R285" i="1"/>
  <c r="R286" i="1"/>
  <c r="R291" i="1"/>
  <c r="R292" i="1"/>
  <c r="R293" i="1"/>
  <c r="R294" i="1"/>
  <c r="R295" i="1"/>
  <c r="R296" i="1"/>
  <c r="R297" i="1"/>
  <c r="R298" i="1"/>
  <c r="R299" i="1"/>
  <c r="R300" i="1"/>
  <c r="R301" i="1"/>
  <c r="R302" i="1"/>
  <c r="R303" i="1"/>
  <c r="R304" i="1"/>
  <c r="R305" i="1"/>
  <c r="R306" i="1"/>
  <c r="R307" i="1"/>
  <c r="R308" i="1"/>
  <c r="R309" i="1"/>
  <c r="R310" i="1"/>
  <c r="R311" i="1"/>
  <c r="R315" i="1"/>
  <c r="R316" i="1"/>
  <c r="R317" i="1"/>
  <c r="R318" i="1"/>
  <c r="R319" i="1"/>
  <c r="R320" i="1"/>
  <c r="R321" i="1"/>
  <c r="R322" i="1"/>
  <c r="R323" i="1"/>
  <c r="R324" i="1"/>
  <c r="R325" i="1"/>
  <c r="R326" i="1"/>
  <c r="R327" i="1"/>
  <c r="R330" i="1"/>
  <c r="R331" i="1"/>
  <c r="R332" i="1"/>
  <c r="R333" i="1"/>
  <c r="R334" i="1"/>
  <c r="R335" i="1"/>
  <c r="R336" i="1"/>
  <c r="R337" i="1"/>
  <c r="R338" i="1"/>
  <c r="R339" i="1"/>
  <c r="R340" i="1"/>
  <c r="R341" i="1"/>
  <c r="R342" i="1"/>
  <c r="R343" i="1"/>
  <c r="R344" i="1"/>
  <c r="R345" i="1"/>
  <c r="R346" i="1"/>
  <c r="R347" i="1"/>
  <c r="R350" i="1"/>
  <c r="R351" i="1"/>
  <c r="R352" i="1"/>
  <c r="R355" i="1"/>
  <c r="R356" i="1"/>
  <c r="R357" i="1"/>
  <c r="R358" i="1"/>
  <c r="R359" i="1"/>
  <c r="R360" i="1"/>
  <c r="R361" i="1"/>
  <c r="R362" i="1"/>
  <c r="R363" i="1"/>
  <c r="R364" i="1"/>
  <c r="R365" i="1"/>
  <c r="R366" i="1"/>
  <c r="R367" i="1"/>
  <c r="R368" i="1"/>
  <c r="R369" i="1"/>
  <c r="R370" i="1"/>
  <c r="R371" i="1"/>
  <c r="R372" i="1"/>
  <c r="R373" i="1"/>
  <c r="R378" i="1"/>
  <c r="R379" i="1"/>
  <c r="R380" i="1"/>
  <c r="R381" i="1"/>
  <c r="R382" i="1"/>
  <c r="R383" i="1"/>
  <c r="R384" i="1"/>
  <c r="R385" i="1"/>
  <c r="R386" i="1"/>
  <c r="R387" i="1"/>
  <c r="R388" i="1"/>
  <c r="R389" i="1"/>
  <c r="R390" i="1"/>
  <c r="R391" i="1"/>
  <c r="R392" i="1"/>
  <c r="R393" i="1"/>
  <c r="R394" i="1"/>
  <c r="R397" i="1"/>
  <c r="R398" i="1"/>
  <c r="R399" i="1"/>
  <c r="R400" i="1"/>
  <c r="R401" i="1"/>
  <c r="R402" i="1"/>
  <c r="R403" i="1"/>
  <c r="R404" i="1"/>
  <c r="R405" i="1"/>
  <c r="R406" i="1"/>
  <c r="R407" i="1"/>
  <c r="R408" i="1"/>
  <c r="R411" i="1"/>
  <c r="R412" i="1"/>
  <c r="R413" i="1"/>
  <c r="R414" i="1"/>
  <c r="R415" i="1"/>
  <c r="R416" i="1"/>
  <c r="R417" i="1"/>
  <c r="R418" i="1"/>
  <c r="R419" i="1"/>
  <c r="R420" i="1"/>
  <c r="R421" i="1"/>
  <c r="R422" i="1"/>
  <c r="R428" i="1"/>
  <c r="R429" i="1"/>
  <c r="R430" i="1"/>
  <c r="R431" i="1"/>
  <c r="R432" i="1"/>
  <c r="R433" i="1"/>
  <c r="R434" i="1"/>
  <c r="R435" i="1"/>
  <c r="R436" i="1"/>
  <c r="R439" i="1"/>
  <c r="R440" i="1"/>
  <c r="R441" i="1"/>
  <c r="R442" i="1"/>
  <c r="R443" i="1"/>
  <c r="R444" i="1"/>
  <c r="R445" i="1"/>
  <c r="R446" i="1"/>
  <c r="R447" i="1"/>
  <c r="R448" i="1"/>
  <c r="R451" i="1"/>
  <c r="R452" i="1"/>
  <c r="R453" i="1"/>
  <c r="R454" i="1"/>
  <c r="R455" i="1"/>
  <c r="R456" i="1"/>
  <c r="R457" i="1"/>
  <c r="R458" i="1"/>
  <c r="R459" i="1"/>
  <c r="R460" i="1"/>
  <c r="R461" i="1"/>
  <c r="R462" i="1"/>
  <c r="R463" i="1"/>
  <c r="R464" i="1"/>
  <c r="R465" i="1"/>
  <c r="R466" i="1"/>
  <c r="R467" i="1"/>
  <c r="R472" i="1"/>
  <c r="R473" i="1"/>
  <c r="R192" i="1"/>
  <c r="R193" i="1"/>
  <c r="R194" i="1"/>
  <c r="R195" i="1"/>
  <c r="R196" i="1"/>
  <c r="R197" i="1"/>
  <c r="R198" i="1"/>
  <c r="R199" i="1"/>
  <c r="R200" i="1"/>
  <c r="R201" i="1"/>
  <c r="R202" i="1"/>
  <c r="R203" i="1"/>
  <c r="R204" i="1"/>
  <c r="R205" i="1"/>
  <c r="R206" i="1"/>
  <c r="S78" i="1"/>
  <c r="S79" i="1"/>
  <c r="S80" i="1"/>
  <c r="S81" i="1"/>
  <c r="S82" i="1"/>
  <c r="S83" i="1"/>
  <c r="S84" i="1"/>
  <c r="S85" i="1"/>
  <c r="S86" i="1"/>
  <c r="S87" i="1"/>
  <c r="S88" i="1"/>
  <c r="S89" i="1"/>
  <c r="S90" i="1"/>
  <c r="S62" i="1"/>
  <c r="S63" i="1"/>
  <c r="S64" i="1"/>
  <c r="S65" i="1"/>
  <c r="S66" i="1"/>
  <c r="S67" i="1"/>
  <c r="S68" i="1"/>
  <c r="S69" i="1"/>
  <c r="S70" i="1"/>
  <c r="S71" i="1"/>
  <c r="S72" i="1"/>
  <c r="S73" i="1"/>
  <c r="S74" i="1"/>
  <c r="S75" i="1"/>
  <c r="S48" i="1"/>
  <c r="S49" i="1"/>
  <c r="S50" i="1"/>
  <c r="S51" i="1"/>
  <c r="S52" i="1"/>
  <c r="S53" i="1"/>
  <c r="S54" i="1"/>
  <c r="S55" i="1"/>
  <c r="S56" i="1"/>
  <c r="S57" i="1"/>
  <c r="S58" i="1"/>
  <c r="S59" i="1"/>
  <c r="S36" i="1"/>
  <c r="S37" i="1"/>
  <c r="S38" i="1"/>
  <c r="S39" i="1"/>
  <c r="S40" i="1"/>
  <c r="S41" i="1"/>
  <c r="S42" i="1"/>
  <c r="S43" i="1"/>
  <c r="S44" i="1"/>
  <c r="S45" i="1"/>
  <c r="S26" i="1"/>
  <c r="S27" i="1"/>
  <c r="S28" i="1"/>
  <c r="S29" i="1"/>
  <c r="S30" i="1"/>
  <c r="S31" i="1"/>
  <c r="S32" i="1"/>
  <c r="S33" i="1"/>
  <c r="S11" i="1"/>
  <c r="S12" i="1"/>
  <c r="S13" i="1"/>
  <c r="S14" i="1"/>
  <c r="S15" i="1"/>
  <c r="S16" i="1"/>
  <c r="S17" i="1"/>
  <c r="S18" i="1"/>
  <c r="S19" i="1"/>
  <c r="S20" i="1"/>
  <c r="S21" i="1"/>
  <c r="S22" i="1"/>
  <c r="S23" i="1"/>
  <c r="S93" i="1"/>
  <c r="S94" i="1"/>
  <c r="S95" i="1"/>
  <c r="S96" i="1"/>
  <c r="S97" i="1"/>
  <c r="S98" i="1"/>
  <c r="S99" i="1"/>
  <c r="S100" i="1"/>
  <c r="S109" i="1"/>
  <c r="S110" i="1"/>
  <c r="S111" i="1"/>
  <c r="S112" i="1"/>
  <c r="S113" i="1"/>
  <c r="S114" i="1"/>
  <c r="S115" i="1"/>
  <c r="S116" i="1"/>
  <c r="S117" i="1"/>
  <c r="S118" i="1"/>
  <c r="S119" i="1"/>
  <c r="S120" i="1"/>
  <c r="S121" i="1"/>
  <c r="S124" i="1"/>
  <c r="S123" i="1"/>
  <c r="S127" i="1"/>
  <c r="S128" i="1"/>
  <c r="S129" i="1"/>
  <c r="S130" i="1"/>
  <c r="S131" i="1"/>
  <c r="S132" i="1"/>
  <c r="S133" i="1"/>
  <c r="S134" i="1"/>
  <c r="S135" i="1"/>
  <c r="S136" i="1"/>
  <c r="S137" i="1"/>
  <c r="S138" i="1"/>
  <c r="S139" i="1"/>
  <c r="S140" i="1"/>
  <c r="S141" i="1"/>
  <c r="S142" i="1"/>
  <c r="S143" i="1"/>
  <c r="S144" i="1"/>
  <c r="S147" i="1"/>
  <c r="S148" i="1"/>
  <c r="S149" i="1"/>
  <c r="S150" i="1"/>
  <c r="S151" i="1"/>
  <c r="S152" i="1"/>
  <c r="S153" i="1"/>
  <c r="S154" i="1"/>
  <c r="S155" i="1"/>
  <c r="S156" i="1"/>
  <c r="S159" i="1"/>
  <c r="S160" i="1"/>
  <c r="S161" i="1"/>
  <c r="S164" i="1"/>
  <c r="S165" i="1"/>
  <c r="S166" i="1"/>
  <c r="S167" i="1"/>
  <c r="S168" i="1"/>
  <c r="S169" i="1"/>
  <c r="S170" i="1"/>
  <c r="S171" i="1"/>
  <c r="S172" i="1"/>
  <c r="S173" i="1"/>
  <c r="S174" i="1"/>
  <c r="S175" i="1"/>
  <c r="S176" i="1"/>
  <c r="S177" i="1"/>
  <c r="S178" i="1"/>
  <c r="S179" i="1"/>
  <c r="S180" i="1"/>
  <c r="S181" i="1"/>
  <c r="S182" i="1"/>
  <c r="S183" i="1"/>
  <c r="S184" i="1"/>
  <c r="S185" i="1"/>
  <c r="S186" i="1"/>
  <c r="S187" i="1"/>
  <c r="S211" i="1"/>
  <c r="S212" i="1"/>
  <c r="S213" i="1"/>
  <c r="S214" i="1"/>
  <c r="S215" i="1"/>
  <c r="S216" i="1"/>
  <c r="S217" i="1"/>
  <c r="S218" i="1"/>
  <c r="S219" i="1"/>
  <c r="S222" i="1"/>
  <c r="S223" i="1"/>
  <c r="S224" i="1"/>
  <c r="S225" i="1"/>
  <c r="S226" i="1"/>
  <c r="S227" i="1"/>
  <c r="S228" i="1"/>
  <c r="S229" i="1"/>
  <c r="S230"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2" i="1"/>
  <c r="S273" i="1"/>
  <c r="S274" i="1"/>
  <c r="S275" i="1"/>
  <c r="S277" i="1"/>
  <c r="S278" i="1"/>
  <c r="S279" i="1"/>
  <c r="S280" i="1"/>
  <c r="S281" i="1"/>
  <c r="S282" i="1"/>
  <c r="S283" i="1"/>
  <c r="S284" i="1"/>
  <c r="S285" i="1"/>
  <c r="S286" i="1"/>
  <c r="S291" i="1"/>
  <c r="S292" i="1"/>
  <c r="S293" i="1"/>
  <c r="S294" i="1"/>
  <c r="S295" i="1"/>
  <c r="S296" i="1"/>
  <c r="S297" i="1"/>
  <c r="S298" i="1"/>
  <c r="S299" i="1"/>
  <c r="S300" i="1"/>
  <c r="S301" i="1"/>
  <c r="S302" i="1"/>
  <c r="S303" i="1"/>
  <c r="S304" i="1"/>
  <c r="S305" i="1"/>
  <c r="S306" i="1"/>
  <c r="S307" i="1"/>
  <c r="S308" i="1"/>
  <c r="S309" i="1"/>
  <c r="S310" i="1"/>
  <c r="S311" i="1"/>
  <c r="S315" i="1"/>
  <c r="S316" i="1"/>
  <c r="S317" i="1"/>
  <c r="S318" i="1"/>
  <c r="S319" i="1"/>
  <c r="S320" i="1"/>
  <c r="S321" i="1"/>
  <c r="S322" i="1"/>
  <c r="S323" i="1"/>
  <c r="S324" i="1"/>
  <c r="S325" i="1"/>
  <c r="S326" i="1"/>
  <c r="S327" i="1"/>
  <c r="S330" i="1"/>
  <c r="S331" i="1"/>
  <c r="S332" i="1"/>
  <c r="S333" i="1"/>
  <c r="S334" i="1"/>
  <c r="S335" i="1"/>
  <c r="S336" i="1"/>
  <c r="S337" i="1"/>
  <c r="S338" i="1"/>
  <c r="S339" i="1"/>
  <c r="S340" i="1"/>
  <c r="S341" i="1"/>
  <c r="S342" i="1"/>
  <c r="S343" i="1"/>
  <c r="S344" i="1"/>
  <c r="S345" i="1"/>
  <c r="S346" i="1"/>
  <c r="S347" i="1"/>
  <c r="S350" i="1"/>
  <c r="S351" i="1"/>
  <c r="S352" i="1"/>
  <c r="S355" i="1"/>
  <c r="S356" i="1"/>
  <c r="S357" i="1"/>
  <c r="S358" i="1"/>
  <c r="S359" i="1"/>
  <c r="S360" i="1"/>
  <c r="S361" i="1"/>
  <c r="S362" i="1"/>
  <c r="S363" i="1"/>
  <c r="S364" i="1"/>
  <c r="S365" i="1"/>
  <c r="S366" i="1"/>
  <c r="S367" i="1"/>
  <c r="S368" i="1"/>
  <c r="S369" i="1"/>
  <c r="S370" i="1"/>
  <c r="S371" i="1"/>
  <c r="S372" i="1"/>
  <c r="S373" i="1"/>
  <c r="S378" i="1"/>
  <c r="S379" i="1"/>
  <c r="S380" i="1"/>
  <c r="S381" i="1"/>
  <c r="S382" i="1"/>
  <c r="S383" i="1"/>
  <c r="S384" i="1"/>
  <c r="S385" i="1"/>
  <c r="S386" i="1"/>
  <c r="S387" i="1"/>
  <c r="S388" i="1"/>
  <c r="S389" i="1"/>
  <c r="S390" i="1"/>
  <c r="S391" i="1"/>
  <c r="S392" i="1"/>
  <c r="S393" i="1"/>
  <c r="S394" i="1"/>
  <c r="S397" i="1"/>
  <c r="S398" i="1"/>
  <c r="S399" i="1"/>
  <c r="S400" i="1"/>
  <c r="S401" i="1"/>
  <c r="S402" i="1"/>
  <c r="S403" i="1"/>
  <c r="S404" i="1"/>
  <c r="S405" i="1"/>
  <c r="S406" i="1"/>
  <c r="S407" i="1"/>
  <c r="S408" i="1"/>
  <c r="S411" i="1"/>
  <c r="S412" i="1"/>
  <c r="S413" i="1"/>
  <c r="S414" i="1"/>
  <c r="S415" i="1"/>
  <c r="S416" i="1"/>
  <c r="S417" i="1"/>
  <c r="S418" i="1"/>
  <c r="S419" i="1"/>
  <c r="S420" i="1"/>
  <c r="S421" i="1"/>
  <c r="S422" i="1"/>
  <c r="S428" i="1"/>
  <c r="S429" i="1"/>
  <c r="S430" i="1"/>
  <c r="S431" i="1"/>
  <c r="S432" i="1"/>
  <c r="S433" i="1"/>
  <c r="S434" i="1"/>
  <c r="S435" i="1"/>
  <c r="S436" i="1"/>
  <c r="S439" i="1"/>
  <c r="S440" i="1"/>
  <c r="S441" i="1"/>
  <c r="S442" i="1"/>
  <c r="S443" i="1"/>
  <c r="S444" i="1"/>
  <c r="S445" i="1"/>
  <c r="S446" i="1"/>
  <c r="S447" i="1"/>
  <c r="S448" i="1"/>
  <c r="S451" i="1"/>
  <c r="S452" i="1"/>
  <c r="S453" i="1"/>
  <c r="S454" i="1"/>
  <c r="S455" i="1"/>
  <c r="S456" i="1"/>
  <c r="S457" i="1"/>
  <c r="S458" i="1"/>
  <c r="S459" i="1"/>
  <c r="S460" i="1"/>
  <c r="S461" i="1"/>
  <c r="S462" i="1"/>
  <c r="S463" i="1"/>
  <c r="S464" i="1"/>
  <c r="S465" i="1"/>
  <c r="S466" i="1"/>
  <c r="S467" i="1"/>
  <c r="S472" i="1"/>
  <c r="S473" i="1"/>
  <c r="S192" i="1"/>
  <c r="S193" i="1"/>
  <c r="S194" i="1"/>
  <c r="S195" i="1"/>
  <c r="S196" i="1"/>
  <c r="S197" i="1"/>
  <c r="S198" i="1"/>
  <c r="S199" i="1"/>
  <c r="S200" i="1"/>
  <c r="S201" i="1"/>
  <c r="S202" i="1"/>
  <c r="S203" i="1"/>
  <c r="S204" i="1"/>
  <c r="S205" i="1"/>
  <c r="S206" i="1"/>
  <c r="T78" i="1"/>
  <c r="T79" i="1"/>
  <c r="T80" i="1"/>
  <c r="T81" i="1"/>
  <c r="T82" i="1"/>
  <c r="T83" i="1"/>
  <c r="T84" i="1"/>
  <c r="T85" i="1"/>
  <c r="T86" i="1"/>
  <c r="T87" i="1"/>
  <c r="T88" i="1"/>
  <c r="T89" i="1"/>
  <c r="T90" i="1"/>
  <c r="T62" i="1"/>
  <c r="T63" i="1"/>
  <c r="T64" i="1"/>
  <c r="T65" i="1"/>
  <c r="T66" i="1"/>
  <c r="T67" i="1"/>
  <c r="T68" i="1"/>
  <c r="T69" i="1"/>
  <c r="T70" i="1"/>
  <c r="T71" i="1"/>
  <c r="T72" i="1"/>
  <c r="T73" i="1"/>
  <c r="T74" i="1"/>
  <c r="T75" i="1"/>
  <c r="T48" i="1"/>
  <c r="T49" i="1"/>
  <c r="T50" i="1"/>
  <c r="T51" i="1"/>
  <c r="T52" i="1"/>
  <c r="T53" i="1"/>
  <c r="T54" i="1"/>
  <c r="T55" i="1"/>
  <c r="T56" i="1"/>
  <c r="T57" i="1"/>
  <c r="T58" i="1"/>
  <c r="T59" i="1"/>
  <c r="T36" i="1"/>
  <c r="T37" i="1"/>
  <c r="T38" i="1"/>
  <c r="T39" i="1"/>
  <c r="T40" i="1"/>
  <c r="T41" i="1"/>
  <c r="T42" i="1"/>
  <c r="T43" i="1"/>
  <c r="T44" i="1"/>
  <c r="T45" i="1"/>
  <c r="T26" i="1"/>
  <c r="T27" i="1"/>
  <c r="T28" i="1"/>
  <c r="T29" i="1"/>
  <c r="T30" i="1"/>
  <c r="T31" i="1"/>
  <c r="T32" i="1"/>
  <c r="T33" i="1"/>
  <c r="T11" i="1"/>
  <c r="T12" i="1"/>
  <c r="T13" i="1"/>
  <c r="T14" i="1"/>
  <c r="T15" i="1"/>
  <c r="T16" i="1"/>
  <c r="T17" i="1"/>
  <c r="T18" i="1"/>
  <c r="T19" i="1"/>
  <c r="T20" i="1"/>
  <c r="T21" i="1"/>
  <c r="T22" i="1"/>
  <c r="T23" i="1"/>
  <c r="T93" i="1"/>
  <c r="T94" i="1"/>
  <c r="T95" i="1"/>
  <c r="T96" i="1"/>
  <c r="T97" i="1"/>
  <c r="T98" i="1"/>
  <c r="T99" i="1"/>
  <c r="T100" i="1"/>
  <c r="T109" i="1"/>
  <c r="T110" i="1"/>
  <c r="T111" i="1"/>
  <c r="T112" i="1"/>
  <c r="T113" i="1"/>
  <c r="T114" i="1"/>
  <c r="T115" i="1"/>
  <c r="T116" i="1"/>
  <c r="T117" i="1"/>
  <c r="T118" i="1"/>
  <c r="T119" i="1"/>
  <c r="T120" i="1"/>
  <c r="T121" i="1"/>
  <c r="T124" i="1"/>
  <c r="T123" i="1"/>
  <c r="T127" i="1"/>
  <c r="T128" i="1"/>
  <c r="T129" i="1"/>
  <c r="T130" i="1"/>
  <c r="T131" i="1"/>
  <c r="T132" i="1"/>
  <c r="T133" i="1"/>
  <c r="T134" i="1"/>
  <c r="T135" i="1"/>
  <c r="T136" i="1"/>
  <c r="T137" i="1"/>
  <c r="T138" i="1"/>
  <c r="T139" i="1"/>
  <c r="T140" i="1"/>
  <c r="T141" i="1"/>
  <c r="T142" i="1"/>
  <c r="T143" i="1"/>
  <c r="T144" i="1"/>
  <c r="T147" i="1"/>
  <c r="T148" i="1"/>
  <c r="T149" i="1"/>
  <c r="T150" i="1"/>
  <c r="T151" i="1"/>
  <c r="T152" i="1"/>
  <c r="T153" i="1"/>
  <c r="T154" i="1"/>
  <c r="T155" i="1"/>
  <c r="T156" i="1"/>
  <c r="T159" i="1"/>
  <c r="T160" i="1"/>
  <c r="T161" i="1"/>
  <c r="T164" i="1"/>
  <c r="T165" i="1"/>
  <c r="T166" i="1"/>
  <c r="T167" i="1"/>
  <c r="T168" i="1"/>
  <c r="T169" i="1"/>
  <c r="T170" i="1"/>
  <c r="T171" i="1"/>
  <c r="T172" i="1"/>
  <c r="T173" i="1"/>
  <c r="T174" i="1"/>
  <c r="T175" i="1"/>
  <c r="T176" i="1"/>
  <c r="T177" i="1"/>
  <c r="T178" i="1"/>
  <c r="T179" i="1"/>
  <c r="T180" i="1"/>
  <c r="T181" i="1"/>
  <c r="T182" i="1"/>
  <c r="T183" i="1"/>
  <c r="T184" i="1"/>
  <c r="T185" i="1"/>
  <c r="T186" i="1"/>
  <c r="T187" i="1"/>
  <c r="T211" i="1"/>
  <c r="T212" i="1"/>
  <c r="T213" i="1"/>
  <c r="T214" i="1"/>
  <c r="T215" i="1"/>
  <c r="T216" i="1"/>
  <c r="T217" i="1"/>
  <c r="T218" i="1"/>
  <c r="T219" i="1"/>
  <c r="T222" i="1"/>
  <c r="T223" i="1"/>
  <c r="T224" i="1"/>
  <c r="T225" i="1"/>
  <c r="T226" i="1"/>
  <c r="T227" i="1"/>
  <c r="T228" i="1"/>
  <c r="T229" i="1"/>
  <c r="T230"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2" i="1"/>
  <c r="T273" i="1"/>
  <c r="T274" i="1"/>
  <c r="T275" i="1"/>
  <c r="T277" i="1"/>
  <c r="T278" i="1"/>
  <c r="T279" i="1"/>
  <c r="T280" i="1"/>
  <c r="T281" i="1"/>
  <c r="T282" i="1"/>
  <c r="T283" i="1"/>
  <c r="T284" i="1"/>
  <c r="T285" i="1"/>
  <c r="T286" i="1"/>
  <c r="T291" i="1"/>
  <c r="T292" i="1"/>
  <c r="T293" i="1"/>
  <c r="T294" i="1"/>
  <c r="T295" i="1"/>
  <c r="T296" i="1"/>
  <c r="T297" i="1"/>
  <c r="T298" i="1"/>
  <c r="T299" i="1"/>
  <c r="T300" i="1"/>
  <c r="T301" i="1"/>
  <c r="T302" i="1"/>
  <c r="T303" i="1"/>
  <c r="T304" i="1"/>
  <c r="T305" i="1"/>
  <c r="T306" i="1"/>
  <c r="T307" i="1"/>
  <c r="T308" i="1"/>
  <c r="T309" i="1"/>
  <c r="T310" i="1"/>
  <c r="T311" i="1"/>
  <c r="T315" i="1"/>
  <c r="T316" i="1"/>
  <c r="T317" i="1"/>
  <c r="T318" i="1"/>
  <c r="T319" i="1"/>
  <c r="T320" i="1"/>
  <c r="T321" i="1"/>
  <c r="T322" i="1"/>
  <c r="T323" i="1"/>
  <c r="T324" i="1"/>
  <c r="T325" i="1"/>
  <c r="T326" i="1"/>
  <c r="T327" i="1"/>
  <c r="T330" i="1"/>
  <c r="T331" i="1"/>
  <c r="T332" i="1"/>
  <c r="T333" i="1"/>
  <c r="T334" i="1"/>
  <c r="T335" i="1"/>
  <c r="T336" i="1"/>
  <c r="T337" i="1"/>
  <c r="T338" i="1"/>
  <c r="T339" i="1"/>
  <c r="T340" i="1"/>
  <c r="T341" i="1"/>
  <c r="T342" i="1"/>
  <c r="T343" i="1"/>
  <c r="T344" i="1"/>
  <c r="T345" i="1"/>
  <c r="T346" i="1"/>
  <c r="T347" i="1"/>
  <c r="T350" i="1"/>
  <c r="T351" i="1"/>
  <c r="T352" i="1"/>
  <c r="T355" i="1"/>
  <c r="T356" i="1"/>
  <c r="T357" i="1"/>
  <c r="T358" i="1"/>
  <c r="T359" i="1"/>
  <c r="T360" i="1"/>
  <c r="T361" i="1"/>
  <c r="T362" i="1"/>
  <c r="T363" i="1"/>
  <c r="T364" i="1"/>
  <c r="T365" i="1"/>
  <c r="T366" i="1"/>
  <c r="T367" i="1"/>
  <c r="T368" i="1"/>
  <c r="T369" i="1"/>
  <c r="T370" i="1"/>
  <c r="T371" i="1"/>
  <c r="T372" i="1"/>
  <c r="T373" i="1"/>
  <c r="T378" i="1"/>
  <c r="T379" i="1"/>
  <c r="T380" i="1"/>
  <c r="T381" i="1"/>
  <c r="T382" i="1"/>
  <c r="T383" i="1"/>
  <c r="T384" i="1"/>
  <c r="T385" i="1"/>
  <c r="T386" i="1"/>
  <c r="T387" i="1"/>
  <c r="T388" i="1"/>
  <c r="T389" i="1"/>
  <c r="T390" i="1"/>
  <c r="T391" i="1"/>
  <c r="T392" i="1"/>
  <c r="T393" i="1"/>
  <c r="T394" i="1"/>
  <c r="T397" i="1"/>
  <c r="T398" i="1"/>
  <c r="T399" i="1"/>
  <c r="T400" i="1"/>
  <c r="T401" i="1"/>
  <c r="T402" i="1"/>
  <c r="T403" i="1"/>
  <c r="T404" i="1"/>
  <c r="T405" i="1"/>
  <c r="T406" i="1"/>
  <c r="T407" i="1"/>
  <c r="T408" i="1"/>
  <c r="T411" i="1"/>
  <c r="T412" i="1"/>
  <c r="T413" i="1"/>
  <c r="T414" i="1"/>
  <c r="T415" i="1"/>
  <c r="T416" i="1"/>
  <c r="T417" i="1"/>
  <c r="T418" i="1"/>
  <c r="T419" i="1"/>
  <c r="T420" i="1"/>
  <c r="T421" i="1"/>
  <c r="T422" i="1"/>
  <c r="T428" i="1"/>
  <c r="T429" i="1"/>
  <c r="T430" i="1"/>
  <c r="T431" i="1"/>
  <c r="T432" i="1"/>
  <c r="T433" i="1"/>
  <c r="T434" i="1"/>
  <c r="T435" i="1"/>
  <c r="T436" i="1"/>
  <c r="T439" i="1"/>
  <c r="T440" i="1"/>
  <c r="T441" i="1"/>
  <c r="T442" i="1"/>
  <c r="T443" i="1"/>
  <c r="T444" i="1"/>
  <c r="T445" i="1"/>
  <c r="T446" i="1"/>
  <c r="T447" i="1"/>
  <c r="T448" i="1"/>
  <c r="T451" i="1"/>
  <c r="T452" i="1"/>
  <c r="T453" i="1"/>
  <c r="T454" i="1"/>
  <c r="T455" i="1"/>
  <c r="T456" i="1"/>
  <c r="T457" i="1"/>
  <c r="T458" i="1"/>
  <c r="T459" i="1"/>
  <c r="T460" i="1"/>
  <c r="T461" i="1"/>
  <c r="T462" i="1"/>
  <c r="T463" i="1"/>
  <c r="T464" i="1"/>
  <c r="T465" i="1"/>
  <c r="T466" i="1"/>
  <c r="T467" i="1"/>
  <c r="T472" i="1"/>
  <c r="T473" i="1"/>
  <c r="T192" i="1"/>
  <c r="T193" i="1"/>
  <c r="T194" i="1"/>
  <c r="T195" i="1"/>
  <c r="T196" i="1"/>
  <c r="T197" i="1"/>
  <c r="T198" i="1"/>
  <c r="T199" i="1"/>
  <c r="T200" i="1"/>
  <c r="T201" i="1"/>
  <c r="T202" i="1"/>
  <c r="T203" i="1"/>
  <c r="T204" i="1"/>
  <c r="T205" i="1"/>
  <c r="T206" i="1"/>
  <c r="U78" i="1"/>
  <c r="U79" i="1"/>
  <c r="U80" i="1"/>
  <c r="U81" i="1"/>
  <c r="U82" i="1"/>
  <c r="U83" i="1"/>
  <c r="U84" i="1"/>
  <c r="U85" i="1"/>
  <c r="U86" i="1"/>
  <c r="U87" i="1"/>
  <c r="U88" i="1"/>
  <c r="U89" i="1"/>
  <c r="U90" i="1"/>
  <c r="U62" i="1"/>
  <c r="U63" i="1"/>
  <c r="U64" i="1"/>
  <c r="U65" i="1"/>
  <c r="U66" i="1"/>
  <c r="U67" i="1"/>
  <c r="U68" i="1"/>
  <c r="U69" i="1"/>
  <c r="U70" i="1"/>
  <c r="U71" i="1"/>
  <c r="U72" i="1"/>
  <c r="U73" i="1"/>
  <c r="U74" i="1"/>
  <c r="U75" i="1"/>
  <c r="U48" i="1"/>
  <c r="U49" i="1"/>
  <c r="U50" i="1"/>
  <c r="U51" i="1"/>
  <c r="U52" i="1"/>
  <c r="U53" i="1"/>
  <c r="U54" i="1"/>
  <c r="U55" i="1"/>
  <c r="U56" i="1"/>
  <c r="U57" i="1"/>
  <c r="U58" i="1"/>
  <c r="U59" i="1"/>
  <c r="U36" i="1"/>
  <c r="U37" i="1"/>
  <c r="U38" i="1"/>
  <c r="U39" i="1"/>
  <c r="U40" i="1"/>
  <c r="U41" i="1"/>
  <c r="U42" i="1"/>
  <c r="U43" i="1"/>
  <c r="U44" i="1"/>
  <c r="U45" i="1"/>
  <c r="U26" i="1"/>
  <c r="U27" i="1"/>
  <c r="U28" i="1"/>
  <c r="U29" i="1"/>
  <c r="U30" i="1"/>
  <c r="U31" i="1"/>
  <c r="U32" i="1"/>
  <c r="U33" i="1"/>
  <c r="U11" i="1"/>
  <c r="U12" i="1"/>
  <c r="U13" i="1"/>
  <c r="U14" i="1"/>
  <c r="U15" i="1"/>
  <c r="U16" i="1"/>
  <c r="U17" i="1"/>
  <c r="U18" i="1"/>
  <c r="U19" i="1"/>
  <c r="U20" i="1"/>
  <c r="U21" i="1"/>
  <c r="U22" i="1"/>
  <c r="U23" i="1"/>
  <c r="U93" i="1"/>
  <c r="U94" i="1"/>
  <c r="U95" i="1"/>
  <c r="U96" i="1"/>
  <c r="U97" i="1"/>
  <c r="U98" i="1"/>
  <c r="U99" i="1"/>
  <c r="U100" i="1"/>
  <c r="U109" i="1"/>
  <c r="U110" i="1"/>
  <c r="U111" i="1"/>
  <c r="U112" i="1"/>
  <c r="U113" i="1"/>
  <c r="U114" i="1"/>
  <c r="U115" i="1"/>
  <c r="U116" i="1"/>
  <c r="U117" i="1"/>
  <c r="U118" i="1"/>
  <c r="U119" i="1"/>
  <c r="U120" i="1"/>
  <c r="U121" i="1"/>
  <c r="U124" i="1"/>
  <c r="U123" i="1"/>
  <c r="U127" i="1"/>
  <c r="U128" i="1"/>
  <c r="U129" i="1"/>
  <c r="U130" i="1"/>
  <c r="U131" i="1"/>
  <c r="U132" i="1"/>
  <c r="U133" i="1"/>
  <c r="U134" i="1"/>
  <c r="U135" i="1"/>
  <c r="U136" i="1"/>
  <c r="U137" i="1"/>
  <c r="U138" i="1"/>
  <c r="U139" i="1"/>
  <c r="U140" i="1"/>
  <c r="U141" i="1"/>
  <c r="U142" i="1"/>
  <c r="U143" i="1"/>
  <c r="U144" i="1"/>
  <c r="U147" i="1"/>
  <c r="U148" i="1"/>
  <c r="U149" i="1"/>
  <c r="U150" i="1"/>
  <c r="U151" i="1"/>
  <c r="U152" i="1"/>
  <c r="U153" i="1"/>
  <c r="U154" i="1"/>
  <c r="U155" i="1"/>
  <c r="U156" i="1"/>
  <c r="U159" i="1"/>
  <c r="U160" i="1"/>
  <c r="U161" i="1"/>
  <c r="U164" i="1"/>
  <c r="U165" i="1"/>
  <c r="U166" i="1"/>
  <c r="U167" i="1"/>
  <c r="U168" i="1"/>
  <c r="U169" i="1"/>
  <c r="U170" i="1"/>
  <c r="U171" i="1"/>
  <c r="U172" i="1"/>
  <c r="U173" i="1"/>
  <c r="U174" i="1"/>
  <c r="U175" i="1"/>
  <c r="U176" i="1"/>
  <c r="U177" i="1"/>
  <c r="U178" i="1"/>
  <c r="U179" i="1"/>
  <c r="U180" i="1"/>
  <c r="U181" i="1"/>
  <c r="U182" i="1"/>
  <c r="U183" i="1"/>
  <c r="U184" i="1"/>
  <c r="U185" i="1"/>
  <c r="U186" i="1"/>
  <c r="U187" i="1"/>
  <c r="U211" i="1"/>
  <c r="U212" i="1"/>
  <c r="U213" i="1"/>
  <c r="U214" i="1"/>
  <c r="U215" i="1"/>
  <c r="U216" i="1"/>
  <c r="U217" i="1"/>
  <c r="U218" i="1"/>
  <c r="U219" i="1"/>
  <c r="U222" i="1"/>
  <c r="U223" i="1"/>
  <c r="U224" i="1"/>
  <c r="U225" i="1"/>
  <c r="U226" i="1"/>
  <c r="U227" i="1"/>
  <c r="U228" i="1"/>
  <c r="U229" i="1"/>
  <c r="U230"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2" i="1"/>
  <c r="U273" i="1"/>
  <c r="U274" i="1"/>
  <c r="U275" i="1"/>
  <c r="U277" i="1"/>
  <c r="U278" i="1"/>
  <c r="U279" i="1"/>
  <c r="U280" i="1"/>
  <c r="U281" i="1"/>
  <c r="U282" i="1"/>
  <c r="U283" i="1"/>
  <c r="U284" i="1"/>
  <c r="U285" i="1"/>
  <c r="U286" i="1"/>
  <c r="U291" i="1"/>
  <c r="U292" i="1"/>
  <c r="U293" i="1"/>
  <c r="U294" i="1"/>
  <c r="U295" i="1"/>
  <c r="U296" i="1"/>
  <c r="U297" i="1"/>
  <c r="U298" i="1"/>
  <c r="U299" i="1"/>
  <c r="U300" i="1"/>
  <c r="U301" i="1"/>
  <c r="U302" i="1"/>
  <c r="U303" i="1"/>
  <c r="U304" i="1"/>
  <c r="U305" i="1"/>
  <c r="U306" i="1"/>
  <c r="U307" i="1"/>
  <c r="U308" i="1"/>
  <c r="U309" i="1"/>
  <c r="U310" i="1"/>
  <c r="U311" i="1"/>
  <c r="U315" i="1"/>
  <c r="U316" i="1"/>
  <c r="U317" i="1"/>
  <c r="U318" i="1"/>
  <c r="U319" i="1"/>
  <c r="U320" i="1"/>
  <c r="U321" i="1"/>
  <c r="U322" i="1"/>
  <c r="U323" i="1"/>
  <c r="U324" i="1"/>
  <c r="U325" i="1"/>
  <c r="U326" i="1"/>
  <c r="U327" i="1"/>
  <c r="U330" i="1"/>
  <c r="U331" i="1"/>
  <c r="U332" i="1"/>
  <c r="U333" i="1"/>
  <c r="U334" i="1"/>
  <c r="U335" i="1"/>
  <c r="U336" i="1"/>
  <c r="U337" i="1"/>
  <c r="U338" i="1"/>
  <c r="U339" i="1"/>
  <c r="U340" i="1"/>
  <c r="U341" i="1"/>
  <c r="U342" i="1"/>
  <c r="U343" i="1"/>
  <c r="U344" i="1"/>
  <c r="U345" i="1"/>
  <c r="U346" i="1"/>
  <c r="U347" i="1"/>
  <c r="U350" i="1"/>
  <c r="U351" i="1"/>
  <c r="U352" i="1"/>
  <c r="U355" i="1"/>
  <c r="U356" i="1"/>
  <c r="U357" i="1"/>
  <c r="U358" i="1"/>
  <c r="U359" i="1"/>
  <c r="U360" i="1"/>
  <c r="U361" i="1"/>
  <c r="U362" i="1"/>
  <c r="U363" i="1"/>
  <c r="U364" i="1"/>
  <c r="U365" i="1"/>
  <c r="U366" i="1"/>
  <c r="U367" i="1"/>
  <c r="U368" i="1"/>
  <c r="U369" i="1"/>
  <c r="U370" i="1"/>
  <c r="U371" i="1"/>
  <c r="U372" i="1"/>
  <c r="U373" i="1"/>
  <c r="U378" i="1"/>
  <c r="U379" i="1"/>
  <c r="U380" i="1"/>
  <c r="U381" i="1"/>
  <c r="U382" i="1"/>
  <c r="U383" i="1"/>
  <c r="U384" i="1"/>
  <c r="U385" i="1"/>
  <c r="U386" i="1"/>
  <c r="U387" i="1"/>
  <c r="U388" i="1"/>
  <c r="U389" i="1"/>
  <c r="U390" i="1"/>
  <c r="U391" i="1"/>
  <c r="U392" i="1"/>
  <c r="U393" i="1"/>
  <c r="U394" i="1"/>
  <c r="U397" i="1"/>
  <c r="U398" i="1"/>
  <c r="U399" i="1"/>
  <c r="U400" i="1"/>
  <c r="U401" i="1"/>
  <c r="U402" i="1"/>
  <c r="U403" i="1"/>
  <c r="U404" i="1"/>
  <c r="U405" i="1"/>
  <c r="U406" i="1"/>
  <c r="U407" i="1"/>
  <c r="U408" i="1"/>
  <c r="U411" i="1"/>
  <c r="U412" i="1"/>
  <c r="U413" i="1"/>
  <c r="U414" i="1"/>
  <c r="U415" i="1"/>
  <c r="U416" i="1"/>
  <c r="U417" i="1"/>
  <c r="U418" i="1"/>
  <c r="U419" i="1"/>
  <c r="U420" i="1"/>
  <c r="U421" i="1"/>
  <c r="U422" i="1"/>
  <c r="U428" i="1"/>
  <c r="U429" i="1"/>
  <c r="U430" i="1"/>
  <c r="U431" i="1"/>
  <c r="U432" i="1"/>
  <c r="U433" i="1"/>
  <c r="U434" i="1"/>
  <c r="U435" i="1"/>
  <c r="U436" i="1"/>
  <c r="U439" i="1"/>
  <c r="U440" i="1"/>
  <c r="U441" i="1"/>
  <c r="U442" i="1"/>
  <c r="U443" i="1"/>
  <c r="U444" i="1"/>
  <c r="U445" i="1"/>
  <c r="U446" i="1"/>
  <c r="U447" i="1"/>
  <c r="U448" i="1"/>
  <c r="U451" i="1"/>
  <c r="U452" i="1"/>
  <c r="U453" i="1"/>
  <c r="U454" i="1"/>
  <c r="U455" i="1"/>
  <c r="U456" i="1"/>
  <c r="U457" i="1"/>
  <c r="U458" i="1"/>
  <c r="U459" i="1"/>
  <c r="U460" i="1"/>
  <c r="U461" i="1"/>
  <c r="U462" i="1"/>
  <c r="U463" i="1"/>
  <c r="U464" i="1"/>
  <c r="U465" i="1"/>
  <c r="U466" i="1"/>
  <c r="U467" i="1"/>
  <c r="U472" i="1"/>
  <c r="U473" i="1"/>
  <c r="U192" i="1"/>
  <c r="U193" i="1"/>
  <c r="U194" i="1"/>
  <c r="U195" i="1"/>
  <c r="U196" i="1"/>
  <c r="U197" i="1"/>
  <c r="U198" i="1"/>
  <c r="U199" i="1"/>
  <c r="U200" i="1"/>
  <c r="U201" i="1"/>
  <c r="U202" i="1"/>
  <c r="U203" i="1"/>
  <c r="U204" i="1"/>
  <c r="U205" i="1"/>
  <c r="U206" i="1"/>
  <c r="D25" i="2"/>
  <c r="A513" i="6"/>
  <c r="A513" i="4"/>
  <c r="A513" i="5"/>
  <c r="C513" i="3"/>
  <c r="V513" i="1"/>
  <c r="D479" i="1"/>
  <c r="E479" i="1"/>
  <c r="F479" i="1"/>
  <c r="G479" i="1"/>
  <c r="H479" i="1"/>
  <c r="I479" i="1"/>
  <c r="J479" i="1"/>
  <c r="K479" i="1"/>
  <c r="L479" i="1"/>
  <c r="M479" i="1"/>
  <c r="N479" i="1"/>
  <c r="O479" i="1"/>
  <c r="P479" i="1"/>
  <c r="Q479" i="1"/>
  <c r="R479" i="1"/>
  <c r="S479" i="1"/>
  <c r="T479" i="1"/>
  <c r="U479" i="1"/>
  <c r="E513" i="3"/>
  <c r="C513" i="6"/>
  <c r="C513" i="4"/>
  <c r="C513" i="5"/>
  <c r="E543" i="4"/>
  <c r="F543" i="4"/>
  <c r="G543" i="4"/>
  <c r="H543" i="4"/>
  <c r="I543" i="4"/>
  <c r="J543" i="4"/>
  <c r="K543" i="4"/>
  <c r="L543" i="4"/>
  <c r="M543" i="4"/>
  <c r="N543" i="4"/>
  <c r="O543" i="4"/>
  <c r="P543" i="4"/>
  <c r="Q543" i="4"/>
  <c r="R543" i="4"/>
  <c r="S543" i="4"/>
  <c r="T543" i="4"/>
  <c r="U543" i="4"/>
  <c r="V543" i="4"/>
  <c r="C513" i="1"/>
  <c r="E139" i="2"/>
  <c r="E143" i="2"/>
  <c r="E147" i="2"/>
  <c r="E151" i="2"/>
  <c r="E155" i="2"/>
  <c r="C201" i="3"/>
  <c r="C201" i="6"/>
  <c r="C201" i="4"/>
  <c r="C201" i="5"/>
  <c r="C201" i="1"/>
  <c r="A201" i="6"/>
  <c r="A202" i="6"/>
  <c r="A201" i="4"/>
  <c r="A202" i="4"/>
  <c r="A201" i="5"/>
  <c r="A202" i="5"/>
  <c r="A193" i="6"/>
  <c r="A193" i="4"/>
  <c r="A193" i="5"/>
  <c r="C206" i="1"/>
  <c r="C205" i="1"/>
  <c r="C204" i="1"/>
  <c r="C202" i="1"/>
  <c r="C200" i="1"/>
  <c r="C199" i="1"/>
  <c r="C198" i="1"/>
  <c r="C197" i="1"/>
  <c r="C196" i="1"/>
  <c r="C195" i="1"/>
  <c r="C194" i="1"/>
  <c r="C193" i="1"/>
  <c r="C192" i="1"/>
  <c r="C193" i="3"/>
  <c r="C193" i="6"/>
  <c r="C193" i="4"/>
  <c r="C193" i="5"/>
  <c r="C114" i="1"/>
  <c r="A49" i="4"/>
  <c r="A49" i="6"/>
  <c r="A428" i="6"/>
  <c r="A428" i="4"/>
  <c r="A428" i="5"/>
  <c r="A540" i="5"/>
  <c r="A539" i="5"/>
  <c r="A538" i="5"/>
  <c r="A536" i="5"/>
  <c r="A535" i="5"/>
  <c r="A534" i="5"/>
  <c r="A533" i="5"/>
  <c r="A532" i="5"/>
  <c r="A531" i="5"/>
  <c r="A528" i="5"/>
  <c r="A523" i="5"/>
  <c r="A520" i="5"/>
  <c r="A519" i="5"/>
  <c r="A518" i="5"/>
  <c r="A517" i="5"/>
  <c r="A516" i="5"/>
  <c r="A515" i="5"/>
  <c r="A514" i="5"/>
  <c r="A512" i="5"/>
  <c r="A511" i="5"/>
  <c r="A510" i="5"/>
  <c r="A509" i="5"/>
  <c r="A506" i="5"/>
  <c r="A505" i="5"/>
  <c r="A504" i="5"/>
  <c r="A503" i="5"/>
  <c r="A502" i="5"/>
  <c r="A501" i="5"/>
  <c r="A500" i="5"/>
  <c r="A499" i="5"/>
  <c r="A498" i="5"/>
  <c r="A497" i="5"/>
  <c r="A496" i="5"/>
  <c r="A493" i="5"/>
  <c r="A492" i="5"/>
  <c r="A491" i="5"/>
  <c r="A490" i="5"/>
  <c r="A489" i="5"/>
  <c r="A473" i="5"/>
  <c r="A472" i="5"/>
  <c r="A467" i="5"/>
  <c r="A466" i="5"/>
  <c r="A465" i="5"/>
  <c r="A464" i="5"/>
  <c r="A463" i="5"/>
  <c r="A462" i="5"/>
  <c r="A461" i="5"/>
  <c r="A460" i="5"/>
  <c r="A459" i="5"/>
  <c r="A458" i="5"/>
  <c r="A457" i="5"/>
  <c r="A456" i="5"/>
  <c r="A455" i="5"/>
  <c r="A454" i="5"/>
  <c r="A453" i="5"/>
  <c r="A452" i="5"/>
  <c r="A451" i="5"/>
  <c r="A448" i="5"/>
  <c r="A447" i="5"/>
  <c r="A446" i="5"/>
  <c r="A445" i="5"/>
  <c r="A444" i="5"/>
  <c r="A443" i="5"/>
  <c r="A442" i="5"/>
  <c r="A441" i="5"/>
  <c r="A440" i="5"/>
  <c r="A439" i="5"/>
  <c r="A436" i="5"/>
  <c r="A435" i="5"/>
  <c r="A434" i="5"/>
  <c r="A433" i="5"/>
  <c r="A432" i="5"/>
  <c r="A431" i="5"/>
  <c r="A430" i="5"/>
  <c r="A429" i="5"/>
  <c r="A422" i="5"/>
  <c r="A421" i="5"/>
  <c r="A420" i="5"/>
  <c r="A419" i="5"/>
  <c r="A418" i="5"/>
  <c r="A417" i="5"/>
  <c r="A416" i="5"/>
  <c r="A415" i="5"/>
  <c r="A414" i="5"/>
  <c r="A413" i="5"/>
  <c r="A412" i="5"/>
  <c r="A411" i="5"/>
  <c r="A408" i="5"/>
  <c r="A407" i="5"/>
  <c r="A406" i="5"/>
  <c r="A405" i="5"/>
  <c r="A404" i="5"/>
  <c r="A403" i="5"/>
  <c r="A402" i="5"/>
  <c r="A401" i="5"/>
  <c r="A400" i="5"/>
  <c r="A399" i="5"/>
  <c r="A398" i="5"/>
  <c r="A397" i="5"/>
  <c r="A394" i="5"/>
  <c r="A393" i="5"/>
  <c r="A392" i="5"/>
  <c r="A391" i="5"/>
  <c r="A390" i="5"/>
  <c r="A389" i="5"/>
  <c r="A388" i="5"/>
  <c r="A387" i="5"/>
  <c r="A386" i="5"/>
  <c r="A385" i="5"/>
  <c r="A384" i="5"/>
  <c r="A383" i="5"/>
  <c r="A382" i="5"/>
  <c r="A381" i="5"/>
  <c r="A380" i="5"/>
  <c r="A379" i="5"/>
  <c r="A378" i="5"/>
  <c r="A373" i="5"/>
  <c r="A372" i="5"/>
  <c r="A371" i="5"/>
  <c r="A370" i="5"/>
  <c r="A369" i="5"/>
  <c r="A368" i="5"/>
  <c r="A367" i="5"/>
  <c r="A366" i="5"/>
  <c r="A365" i="5"/>
  <c r="A364" i="5"/>
  <c r="A363" i="5"/>
  <c r="A362" i="5"/>
  <c r="A361" i="5"/>
  <c r="A360" i="5"/>
  <c r="A359" i="5"/>
  <c r="A358" i="5"/>
  <c r="A357" i="5"/>
  <c r="A356" i="5"/>
  <c r="A355" i="5"/>
  <c r="A352" i="5"/>
  <c r="A351" i="5"/>
  <c r="A350" i="5"/>
  <c r="A347" i="5"/>
  <c r="A346" i="5"/>
  <c r="A345" i="5"/>
  <c r="A344" i="5"/>
  <c r="A343" i="5"/>
  <c r="A342" i="5"/>
  <c r="A341" i="5"/>
  <c r="A340" i="5"/>
  <c r="A339" i="5"/>
  <c r="A338" i="5"/>
  <c r="A337" i="5"/>
  <c r="A336" i="5"/>
  <c r="A335" i="5"/>
  <c r="A334" i="5"/>
  <c r="A333" i="5"/>
  <c r="A332" i="5"/>
  <c r="A331" i="5"/>
  <c r="A330" i="5"/>
  <c r="A327" i="5"/>
  <c r="A326" i="5"/>
  <c r="A325" i="5"/>
  <c r="A324" i="5"/>
  <c r="A323" i="5"/>
  <c r="A322" i="5"/>
  <c r="A321" i="5"/>
  <c r="A320" i="5"/>
  <c r="A319" i="5"/>
  <c r="A318" i="5"/>
  <c r="A317" i="5"/>
  <c r="A316" i="5"/>
  <c r="A315" i="5"/>
  <c r="A311" i="5"/>
  <c r="A310" i="5"/>
  <c r="A309" i="5"/>
  <c r="A308" i="5"/>
  <c r="A307" i="5"/>
  <c r="A306" i="5"/>
  <c r="A305" i="5"/>
  <c r="A304" i="5"/>
  <c r="A303" i="5"/>
  <c r="A302" i="5"/>
  <c r="A301" i="5"/>
  <c r="A300" i="5"/>
  <c r="A299" i="5"/>
  <c r="A298" i="5"/>
  <c r="A297" i="5"/>
  <c r="A296" i="5"/>
  <c r="A295" i="5"/>
  <c r="A294" i="5"/>
  <c r="A293" i="5"/>
  <c r="A292" i="5"/>
  <c r="A291" i="5"/>
  <c r="A286" i="5"/>
  <c r="A285" i="5"/>
  <c r="A284" i="5"/>
  <c r="A283" i="5"/>
  <c r="A282" i="5"/>
  <c r="A281" i="5"/>
  <c r="A280" i="5"/>
  <c r="A279" i="5"/>
  <c r="A278" i="5"/>
  <c r="A277" i="5"/>
  <c r="A275" i="5"/>
  <c r="A274" i="5"/>
  <c r="A273" i="5"/>
  <c r="A272"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6" i="5"/>
  <c r="A235" i="5"/>
  <c r="A234" i="5"/>
  <c r="A230" i="5"/>
  <c r="A229" i="5"/>
  <c r="A228" i="5"/>
  <c r="A227" i="5"/>
  <c r="A226" i="5"/>
  <c r="A225" i="5"/>
  <c r="A224" i="5"/>
  <c r="A223" i="5"/>
  <c r="A222" i="5"/>
  <c r="A219" i="5"/>
  <c r="A218" i="5"/>
  <c r="A217" i="5"/>
  <c r="A216" i="5"/>
  <c r="A215" i="5"/>
  <c r="A214" i="5"/>
  <c r="A213" i="5"/>
  <c r="A212" i="5"/>
  <c r="A211" i="5"/>
  <c r="A206" i="5"/>
  <c r="A205" i="5"/>
  <c r="A204" i="5"/>
  <c r="A203" i="5"/>
  <c r="A200" i="5"/>
  <c r="A199" i="5"/>
  <c r="A198" i="5"/>
  <c r="A197" i="5"/>
  <c r="A196" i="5"/>
  <c r="A195" i="5"/>
  <c r="A194" i="5"/>
  <c r="A192" i="5"/>
  <c r="A161" i="5"/>
  <c r="A160" i="5"/>
  <c r="A159" i="5"/>
  <c r="A156" i="5"/>
  <c r="A155" i="5"/>
  <c r="A154" i="5"/>
  <c r="A153" i="5"/>
  <c r="A152" i="5"/>
  <c r="A151" i="5"/>
  <c r="A150" i="5"/>
  <c r="A149" i="5"/>
  <c r="A148" i="5"/>
  <c r="A147" i="5"/>
  <c r="A144" i="5"/>
  <c r="A143" i="5"/>
  <c r="A142" i="5"/>
  <c r="A141" i="5"/>
  <c r="A140" i="5"/>
  <c r="A139" i="5"/>
  <c r="A138" i="5"/>
  <c r="A137" i="5"/>
  <c r="A136" i="5"/>
  <c r="A135" i="5"/>
  <c r="A134" i="5"/>
  <c r="A133" i="5"/>
  <c r="A132" i="5"/>
  <c r="A131" i="5"/>
  <c r="A130" i="5"/>
  <c r="A129" i="5"/>
  <c r="A128" i="5"/>
  <c r="A127" i="5"/>
  <c r="A124" i="5"/>
  <c r="A121" i="5"/>
  <c r="A120" i="5"/>
  <c r="A119" i="5"/>
  <c r="A118" i="5"/>
  <c r="A117" i="5"/>
  <c r="A116" i="5"/>
  <c r="A115" i="5"/>
  <c r="A114" i="5"/>
  <c r="A113" i="5"/>
  <c r="A112" i="5"/>
  <c r="A111" i="5"/>
  <c r="A110" i="5"/>
  <c r="A109" i="5"/>
  <c r="A100" i="5"/>
  <c r="A99" i="5"/>
  <c r="A98" i="5"/>
  <c r="A97" i="5"/>
  <c r="A96" i="5"/>
  <c r="A95" i="5"/>
  <c r="A94" i="5"/>
  <c r="A93" i="5"/>
  <c r="A90" i="5"/>
  <c r="A89" i="5"/>
  <c r="A88" i="5"/>
  <c r="A87" i="5"/>
  <c r="A86" i="5"/>
  <c r="A85" i="5"/>
  <c r="A84" i="5"/>
  <c r="A83" i="5"/>
  <c r="A82" i="5"/>
  <c r="A81" i="5"/>
  <c r="A80" i="5"/>
  <c r="A79" i="5"/>
  <c r="A78" i="5"/>
  <c r="A75" i="5"/>
  <c r="A74" i="5"/>
  <c r="A73" i="5"/>
  <c r="A72" i="5"/>
  <c r="A71" i="5"/>
  <c r="A70" i="5"/>
  <c r="A69" i="5"/>
  <c r="A68" i="5"/>
  <c r="A67" i="5"/>
  <c r="A66" i="5"/>
  <c r="A65" i="5"/>
  <c r="A64" i="5"/>
  <c r="A63" i="5"/>
  <c r="A62" i="5"/>
  <c r="A59" i="5"/>
  <c r="A58" i="5"/>
  <c r="A57" i="5"/>
  <c r="A56" i="5"/>
  <c r="A55" i="5"/>
  <c r="A54" i="5"/>
  <c r="A53" i="5"/>
  <c r="A52" i="5"/>
  <c r="A51" i="5"/>
  <c r="A50" i="5"/>
  <c r="A49" i="5"/>
  <c r="A48" i="5"/>
  <c r="A45" i="5"/>
  <c r="A44" i="5"/>
  <c r="A43" i="5"/>
  <c r="A42" i="5"/>
  <c r="A41" i="5"/>
  <c r="A40" i="5"/>
  <c r="A39" i="5"/>
  <c r="A38" i="5"/>
  <c r="A37" i="5"/>
  <c r="A36" i="5"/>
  <c r="A33" i="5"/>
  <c r="A32" i="5"/>
  <c r="A31" i="5"/>
  <c r="A30" i="5"/>
  <c r="A29" i="5"/>
  <c r="A28" i="5"/>
  <c r="A27" i="5"/>
  <c r="A26" i="5"/>
  <c r="A23" i="5"/>
  <c r="A22" i="5"/>
  <c r="A21" i="5"/>
  <c r="A20" i="5"/>
  <c r="A19" i="5"/>
  <c r="A18" i="5"/>
  <c r="A17" i="5"/>
  <c r="A16" i="5"/>
  <c r="A15" i="5"/>
  <c r="A14" i="5"/>
  <c r="A13" i="5"/>
  <c r="A12" i="5"/>
  <c r="A11" i="5"/>
  <c r="A540" i="4"/>
  <c r="A539" i="4"/>
  <c r="A538" i="4"/>
  <c r="A536" i="4"/>
  <c r="A535" i="4"/>
  <c r="A534" i="4"/>
  <c r="A533" i="4"/>
  <c r="A532" i="4"/>
  <c r="A531" i="4"/>
  <c r="A528" i="4"/>
  <c r="A523" i="4"/>
  <c r="A520" i="4"/>
  <c r="A519" i="4"/>
  <c r="A518" i="4"/>
  <c r="A517" i="4"/>
  <c r="A516" i="4"/>
  <c r="A515" i="4"/>
  <c r="A514" i="4"/>
  <c r="A512" i="4"/>
  <c r="A511" i="4"/>
  <c r="A510" i="4"/>
  <c r="A509" i="4"/>
  <c r="A506" i="4"/>
  <c r="A505" i="4"/>
  <c r="A504" i="4"/>
  <c r="A503" i="4"/>
  <c r="A502" i="4"/>
  <c r="A501" i="4"/>
  <c r="A500" i="4"/>
  <c r="A499" i="4"/>
  <c r="A498" i="4"/>
  <c r="A497" i="4"/>
  <c r="A496" i="4"/>
  <c r="A493" i="4"/>
  <c r="A492" i="4"/>
  <c r="A491" i="4"/>
  <c r="A490" i="4"/>
  <c r="A489" i="4"/>
  <c r="A473" i="4"/>
  <c r="A472" i="4"/>
  <c r="A467" i="4"/>
  <c r="A466" i="4"/>
  <c r="A465" i="4"/>
  <c r="A464" i="4"/>
  <c r="A463" i="4"/>
  <c r="A462" i="4"/>
  <c r="A461" i="4"/>
  <c r="A460" i="4"/>
  <c r="A459" i="4"/>
  <c r="A458" i="4"/>
  <c r="A457" i="4"/>
  <c r="A456" i="4"/>
  <c r="A455" i="4"/>
  <c r="A454" i="4"/>
  <c r="A453" i="4"/>
  <c r="A452" i="4"/>
  <c r="A451" i="4"/>
  <c r="A448" i="4"/>
  <c r="A447" i="4"/>
  <c r="A446" i="4"/>
  <c r="A445" i="4"/>
  <c r="A444" i="4"/>
  <c r="A443" i="4"/>
  <c r="A442" i="4"/>
  <c r="A441" i="4"/>
  <c r="A440" i="4"/>
  <c r="A439" i="4"/>
  <c r="A436" i="4"/>
  <c r="A435" i="4"/>
  <c r="A434" i="4"/>
  <c r="A433" i="4"/>
  <c r="A432" i="4"/>
  <c r="A431" i="4"/>
  <c r="A430" i="4"/>
  <c r="A429" i="4"/>
  <c r="A422" i="4"/>
  <c r="A421" i="4"/>
  <c r="A420" i="4"/>
  <c r="A419" i="4"/>
  <c r="A418" i="4"/>
  <c r="A417" i="4"/>
  <c r="A416" i="4"/>
  <c r="A415" i="4"/>
  <c r="A414" i="4"/>
  <c r="A413" i="4"/>
  <c r="A412" i="4"/>
  <c r="A411" i="4"/>
  <c r="A408" i="4"/>
  <c r="A407" i="4"/>
  <c r="A406" i="4"/>
  <c r="A405" i="4"/>
  <c r="A404" i="4"/>
  <c r="A403" i="4"/>
  <c r="A402" i="4"/>
  <c r="A401" i="4"/>
  <c r="A400" i="4"/>
  <c r="A399" i="4"/>
  <c r="A398" i="4"/>
  <c r="A397" i="4"/>
  <c r="A394" i="4"/>
  <c r="A393" i="4"/>
  <c r="A392" i="4"/>
  <c r="A391" i="4"/>
  <c r="A390" i="4"/>
  <c r="A389" i="4"/>
  <c r="A388" i="4"/>
  <c r="A387" i="4"/>
  <c r="A386" i="4"/>
  <c r="A385" i="4"/>
  <c r="A384" i="4"/>
  <c r="A383" i="4"/>
  <c r="A382" i="4"/>
  <c r="A381" i="4"/>
  <c r="A380" i="4"/>
  <c r="A379" i="4"/>
  <c r="A378" i="4"/>
  <c r="A373" i="4"/>
  <c r="A372" i="4"/>
  <c r="A371" i="4"/>
  <c r="A370" i="4"/>
  <c r="A369" i="4"/>
  <c r="A368" i="4"/>
  <c r="A367" i="4"/>
  <c r="A366" i="4"/>
  <c r="A365" i="4"/>
  <c r="A364" i="4"/>
  <c r="A363" i="4"/>
  <c r="A362" i="4"/>
  <c r="A361" i="4"/>
  <c r="A360" i="4"/>
  <c r="A359" i="4"/>
  <c r="A358" i="4"/>
  <c r="A357" i="4"/>
  <c r="A356" i="4"/>
  <c r="A355" i="4"/>
  <c r="A352" i="4"/>
  <c r="A351" i="4"/>
  <c r="A350" i="4"/>
  <c r="A347" i="4"/>
  <c r="A346" i="4"/>
  <c r="A345" i="4"/>
  <c r="A344" i="4"/>
  <c r="A343" i="4"/>
  <c r="A342" i="4"/>
  <c r="A341" i="4"/>
  <c r="A340" i="4"/>
  <c r="A339" i="4"/>
  <c r="A338" i="4"/>
  <c r="A337" i="4"/>
  <c r="A336" i="4"/>
  <c r="A335" i="4"/>
  <c r="A334" i="4"/>
  <c r="A333" i="4"/>
  <c r="A332" i="4"/>
  <c r="A331" i="4"/>
  <c r="A330" i="4"/>
  <c r="A327" i="4"/>
  <c r="A326" i="4"/>
  <c r="A325" i="4"/>
  <c r="A324" i="4"/>
  <c r="A323" i="4"/>
  <c r="A322" i="4"/>
  <c r="A321" i="4"/>
  <c r="A320" i="4"/>
  <c r="A319" i="4"/>
  <c r="A318" i="4"/>
  <c r="A317" i="4"/>
  <c r="A316" i="4"/>
  <c r="A315" i="4"/>
  <c r="A311" i="4"/>
  <c r="A310" i="4"/>
  <c r="A309" i="4"/>
  <c r="A308" i="4"/>
  <c r="A307" i="4"/>
  <c r="A306" i="4"/>
  <c r="A305" i="4"/>
  <c r="A304" i="4"/>
  <c r="A303" i="4"/>
  <c r="A302" i="4"/>
  <c r="A301" i="4"/>
  <c r="A300" i="4"/>
  <c r="A299" i="4"/>
  <c r="A298" i="4"/>
  <c r="A297" i="4"/>
  <c r="A296" i="4"/>
  <c r="A295" i="4"/>
  <c r="A294" i="4"/>
  <c r="A293" i="4"/>
  <c r="A292" i="4"/>
  <c r="A291" i="4"/>
  <c r="A286" i="4"/>
  <c r="A285" i="4"/>
  <c r="A284" i="4"/>
  <c r="A283" i="4"/>
  <c r="A282" i="4"/>
  <c r="A281" i="4"/>
  <c r="A280" i="4"/>
  <c r="A279" i="4"/>
  <c r="A278" i="4"/>
  <c r="A277" i="4"/>
  <c r="A275" i="4"/>
  <c r="A274" i="4"/>
  <c r="A273" i="4"/>
  <c r="A272"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0" i="4"/>
  <c r="A229" i="4"/>
  <c r="A228" i="4"/>
  <c r="A227" i="4"/>
  <c r="A226" i="4"/>
  <c r="A225" i="4"/>
  <c r="A224" i="4"/>
  <c r="A223" i="4"/>
  <c r="A222" i="4"/>
  <c r="A219" i="4"/>
  <c r="A218" i="4"/>
  <c r="A217" i="4"/>
  <c r="A216" i="4"/>
  <c r="A215" i="4"/>
  <c r="A214" i="4"/>
  <c r="A213" i="4"/>
  <c r="A212" i="4"/>
  <c r="A211" i="4"/>
  <c r="A206" i="4"/>
  <c r="A205" i="4"/>
  <c r="A204" i="4"/>
  <c r="A203" i="4"/>
  <c r="A200" i="4"/>
  <c r="A199" i="4"/>
  <c r="A198" i="4"/>
  <c r="A197" i="4"/>
  <c r="A196" i="4"/>
  <c r="A195" i="4"/>
  <c r="A194" i="4"/>
  <c r="A192" i="4"/>
  <c r="A161" i="4"/>
  <c r="A160" i="4"/>
  <c r="A159" i="4"/>
  <c r="A156" i="4"/>
  <c r="A155" i="4"/>
  <c r="A154" i="4"/>
  <c r="A153" i="4"/>
  <c r="A152" i="4"/>
  <c r="A151" i="4"/>
  <c r="A150" i="4"/>
  <c r="A149" i="4"/>
  <c r="A148" i="4"/>
  <c r="A147" i="4"/>
  <c r="A144" i="4"/>
  <c r="A143" i="4"/>
  <c r="A142" i="4"/>
  <c r="A141" i="4"/>
  <c r="A140" i="4"/>
  <c r="A139" i="4"/>
  <c r="A138" i="4"/>
  <c r="A137" i="4"/>
  <c r="A136" i="4"/>
  <c r="A135" i="4"/>
  <c r="A134" i="4"/>
  <c r="A133" i="4"/>
  <c r="A132" i="4"/>
  <c r="A131" i="4"/>
  <c r="A130" i="4"/>
  <c r="A129" i="4"/>
  <c r="A128" i="4"/>
  <c r="A127" i="4"/>
  <c r="A124" i="4"/>
  <c r="A121" i="4"/>
  <c r="A120" i="4"/>
  <c r="A119" i="4"/>
  <c r="A118" i="4"/>
  <c r="A117" i="4"/>
  <c r="A116" i="4"/>
  <c r="A115" i="4"/>
  <c r="A114" i="4"/>
  <c r="A113" i="4"/>
  <c r="A112" i="4"/>
  <c r="A111" i="4"/>
  <c r="A110" i="4"/>
  <c r="A109" i="4"/>
  <c r="A100" i="4"/>
  <c r="A99" i="4"/>
  <c r="A98" i="4"/>
  <c r="A97" i="4"/>
  <c r="A96" i="4"/>
  <c r="A95" i="4"/>
  <c r="A94" i="4"/>
  <c r="A93" i="4"/>
  <c r="A90" i="4"/>
  <c r="A89" i="4"/>
  <c r="A88" i="4"/>
  <c r="A87" i="4"/>
  <c r="A86" i="4"/>
  <c r="A85" i="4"/>
  <c r="A84" i="4"/>
  <c r="A83" i="4"/>
  <c r="A82" i="4"/>
  <c r="A81" i="4"/>
  <c r="A80" i="4"/>
  <c r="A79" i="4"/>
  <c r="A78" i="4"/>
  <c r="A75" i="4"/>
  <c r="A74" i="4"/>
  <c r="A73" i="4"/>
  <c r="A72" i="4"/>
  <c r="A71" i="4"/>
  <c r="A70" i="4"/>
  <c r="A69" i="4"/>
  <c r="A68" i="4"/>
  <c r="A67" i="4"/>
  <c r="A66" i="4"/>
  <c r="A65" i="4"/>
  <c r="A64" i="4"/>
  <c r="A63" i="4"/>
  <c r="A62" i="4"/>
  <c r="A59" i="4"/>
  <c r="A58" i="4"/>
  <c r="A57" i="4"/>
  <c r="A56" i="4"/>
  <c r="A55" i="4"/>
  <c r="A54" i="4"/>
  <c r="A53" i="4"/>
  <c r="A52" i="4"/>
  <c r="A51" i="4"/>
  <c r="A50" i="4"/>
  <c r="A48" i="4"/>
  <c r="A45" i="4"/>
  <c r="A44" i="4"/>
  <c r="A43" i="4"/>
  <c r="A42" i="4"/>
  <c r="A41" i="4"/>
  <c r="A40" i="4"/>
  <c r="A39" i="4"/>
  <c r="A38" i="4"/>
  <c r="A37" i="4"/>
  <c r="A36" i="4"/>
  <c r="A33" i="4"/>
  <c r="A32" i="4"/>
  <c r="A31" i="4"/>
  <c r="A30" i="4"/>
  <c r="A29" i="4"/>
  <c r="A28" i="4"/>
  <c r="A27" i="4"/>
  <c r="A26" i="4"/>
  <c r="A23" i="4"/>
  <c r="A22" i="4"/>
  <c r="A21" i="4"/>
  <c r="A20" i="4"/>
  <c r="A19" i="4"/>
  <c r="A18" i="4"/>
  <c r="A17" i="4"/>
  <c r="A16" i="4"/>
  <c r="A15" i="4"/>
  <c r="A14" i="4"/>
  <c r="A13" i="4"/>
  <c r="A12" i="4"/>
  <c r="A11" i="4"/>
  <c r="A540" i="6"/>
  <c r="A539" i="6"/>
  <c r="A538" i="6"/>
  <c r="A536" i="6"/>
  <c r="A535" i="6"/>
  <c r="A534" i="6"/>
  <c r="A533" i="6"/>
  <c r="A532" i="6"/>
  <c r="A531" i="6"/>
  <c r="A528" i="6"/>
  <c r="A523" i="6"/>
  <c r="A520" i="6"/>
  <c r="A519" i="6"/>
  <c r="A518" i="6"/>
  <c r="A517" i="6"/>
  <c r="A516" i="6"/>
  <c r="A515" i="6"/>
  <c r="A514" i="6"/>
  <c r="A512" i="6"/>
  <c r="A511" i="6"/>
  <c r="A510" i="6"/>
  <c r="A509" i="6"/>
  <c r="A506" i="6"/>
  <c r="A505" i="6"/>
  <c r="A504" i="6"/>
  <c r="A503" i="6"/>
  <c r="A502" i="6"/>
  <c r="A501" i="6"/>
  <c r="A500" i="6"/>
  <c r="A499" i="6"/>
  <c r="A498" i="6"/>
  <c r="A497" i="6"/>
  <c r="A496" i="6"/>
  <c r="A493" i="6"/>
  <c r="A492" i="6"/>
  <c r="A491" i="6"/>
  <c r="A490" i="6"/>
  <c r="A489" i="6"/>
  <c r="A473" i="6"/>
  <c r="A472" i="6"/>
  <c r="A467" i="6"/>
  <c r="A466" i="6"/>
  <c r="A465" i="6"/>
  <c r="A464" i="6"/>
  <c r="A463" i="6"/>
  <c r="A462" i="6"/>
  <c r="A461" i="6"/>
  <c r="A460" i="6"/>
  <c r="A459" i="6"/>
  <c r="A458" i="6"/>
  <c r="A457" i="6"/>
  <c r="A456" i="6"/>
  <c r="A455" i="6"/>
  <c r="A454" i="6"/>
  <c r="A453" i="6"/>
  <c r="A452" i="6"/>
  <c r="A451" i="6"/>
  <c r="A448" i="6"/>
  <c r="A447" i="6"/>
  <c r="A446" i="6"/>
  <c r="A445" i="6"/>
  <c r="A444" i="6"/>
  <c r="A443" i="6"/>
  <c r="A442" i="6"/>
  <c r="A441" i="6"/>
  <c r="A440" i="6"/>
  <c r="A439" i="6"/>
  <c r="A436" i="6"/>
  <c r="A435" i="6"/>
  <c r="A434" i="6"/>
  <c r="A433" i="6"/>
  <c r="A432" i="6"/>
  <c r="A431" i="6"/>
  <c r="A430" i="6"/>
  <c r="A429" i="6"/>
  <c r="A422" i="6"/>
  <c r="A421" i="6"/>
  <c r="A420" i="6"/>
  <c r="A419" i="6"/>
  <c r="A418" i="6"/>
  <c r="A417" i="6"/>
  <c r="A416" i="6"/>
  <c r="A415" i="6"/>
  <c r="A414" i="6"/>
  <c r="A413" i="6"/>
  <c r="A412" i="6"/>
  <c r="A411" i="6"/>
  <c r="A408" i="6"/>
  <c r="A407" i="6"/>
  <c r="A406" i="6"/>
  <c r="A405" i="6"/>
  <c r="A404" i="6"/>
  <c r="A403" i="6"/>
  <c r="A402" i="6"/>
  <c r="A401" i="6"/>
  <c r="A400" i="6"/>
  <c r="A399" i="6"/>
  <c r="A398" i="6"/>
  <c r="A397" i="6"/>
  <c r="A394" i="6"/>
  <c r="A393" i="6"/>
  <c r="A392" i="6"/>
  <c r="A391" i="6"/>
  <c r="A390" i="6"/>
  <c r="A389" i="6"/>
  <c r="A388" i="6"/>
  <c r="A387" i="6"/>
  <c r="A386" i="6"/>
  <c r="A385" i="6"/>
  <c r="A384" i="6"/>
  <c r="A383" i="6"/>
  <c r="A382" i="6"/>
  <c r="A381" i="6"/>
  <c r="A380" i="6"/>
  <c r="A379" i="6"/>
  <c r="A378" i="6"/>
  <c r="A373" i="6"/>
  <c r="A372" i="6"/>
  <c r="A371" i="6"/>
  <c r="A370" i="6"/>
  <c r="A369" i="6"/>
  <c r="A368" i="6"/>
  <c r="A367" i="6"/>
  <c r="A366" i="6"/>
  <c r="A365" i="6"/>
  <c r="A364" i="6"/>
  <c r="A363" i="6"/>
  <c r="A362" i="6"/>
  <c r="A361" i="6"/>
  <c r="A360" i="6"/>
  <c r="A359" i="6"/>
  <c r="A358" i="6"/>
  <c r="A357" i="6"/>
  <c r="A356" i="6"/>
  <c r="A355" i="6"/>
  <c r="A352" i="6"/>
  <c r="A351" i="6"/>
  <c r="A350" i="6"/>
  <c r="A347" i="6"/>
  <c r="A346" i="6"/>
  <c r="A345" i="6"/>
  <c r="A344" i="6"/>
  <c r="A343" i="6"/>
  <c r="A342" i="6"/>
  <c r="A341" i="6"/>
  <c r="A340" i="6"/>
  <c r="A339" i="6"/>
  <c r="A338" i="6"/>
  <c r="A337" i="6"/>
  <c r="A336" i="6"/>
  <c r="A335" i="6"/>
  <c r="A334" i="6"/>
  <c r="A333" i="6"/>
  <c r="A332" i="6"/>
  <c r="A331" i="6"/>
  <c r="A330" i="6"/>
  <c r="A327" i="6"/>
  <c r="A326" i="6"/>
  <c r="A325" i="6"/>
  <c r="A324" i="6"/>
  <c r="A323" i="6"/>
  <c r="A322" i="6"/>
  <c r="A321" i="6"/>
  <c r="A320" i="6"/>
  <c r="A319" i="6"/>
  <c r="A318" i="6"/>
  <c r="A317" i="6"/>
  <c r="A316" i="6"/>
  <c r="A315" i="6"/>
  <c r="A311" i="6"/>
  <c r="A310" i="6"/>
  <c r="A309" i="6"/>
  <c r="A308" i="6"/>
  <c r="A307" i="6"/>
  <c r="A306" i="6"/>
  <c r="A305" i="6"/>
  <c r="A304" i="6"/>
  <c r="A303" i="6"/>
  <c r="A302" i="6"/>
  <c r="A301" i="6"/>
  <c r="A300" i="6"/>
  <c r="A299" i="6"/>
  <c r="A298" i="6"/>
  <c r="A297" i="6"/>
  <c r="A296" i="6"/>
  <c r="A295" i="6"/>
  <c r="A294" i="6"/>
  <c r="A293" i="6"/>
  <c r="A292" i="6"/>
  <c r="A291" i="6"/>
  <c r="A286" i="6"/>
  <c r="A285" i="6"/>
  <c r="A284" i="6"/>
  <c r="A283" i="6"/>
  <c r="A282" i="6"/>
  <c r="A281" i="6"/>
  <c r="A280" i="6"/>
  <c r="A279" i="6"/>
  <c r="A278" i="6"/>
  <c r="A277" i="6"/>
  <c r="A275" i="6"/>
  <c r="A274" i="6"/>
  <c r="A273" i="6"/>
  <c r="A272" i="6"/>
  <c r="A269" i="6"/>
  <c r="A268" i="6"/>
  <c r="A267" i="6"/>
  <c r="A266" i="6"/>
  <c r="A265" i="6"/>
  <c r="A264" i="6"/>
  <c r="A263" i="6"/>
  <c r="A262" i="6"/>
  <c r="A261" i="6"/>
  <c r="A260" i="6"/>
  <c r="A259" i="6"/>
  <c r="A258" i="6"/>
  <c r="A257" i="6"/>
  <c r="A256" i="6"/>
  <c r="A255" i="6"/>
  <c r="A254" i="6"/>
  <c r="A253" i="6"/>
  <c r="A252" i="6"/>
  <c r="A251" i="6"/>
  <c r="A250" i="6"/>
  <c r="A249" i="6"/>
  <c r="A248" i="6"/>
  <c r="A247" i="6"/>
  <c r="A246" i="6"/>
  <c r="A245" i="6"/>
  <c r="A244" i="6"/>
  <c r="A243" i="6"/>
  <c r="A242" i="6"/>
  <c r="A241" i="6"/>
  <c r="A240" i="6"/>
  <c r="A239" i="6"/>
  <c r="A238" i="6"/>
  <c r="A237" i="6"/>
  <c r="A236" i="6"/>
  <c r="A235" i="6"/>
  <c r="A234" i="6"/>
  <c r="A230" i="6"/>
  <c r="A229" i="6"/>
  <c r="A228" i="6"/>
  <c r="A227" i="6"/>
  <c r="A226" i="6"/>
  <c r="A225" i="6"/>
  <c r="A224" i="6"/>
  <c r="A223" i="6"/>
  <c r="A222" i="6"/>
  <c r="A219" i="6"/>
  <c r="A218" i="6"/>
  <c r="A217" i="6"/>
  <c r="A216" i="6"/>
  <c r="A215" i="6"/>
  <c r="A214" i="6"/>
  <c r="A213" i="6"/>
  <c r="A212" i="6"/>
  <c r="A211" i="6"/>
  <c r="A206" i="6"/>
  <c r="A205" i="6"/>
  <c r="A204" i="6"/>
  <c r="A203" i="6"/>
  <c r="A200" i="6"/>
  <c r="A199" i="6"/>
  <c r="A198" i="6"/>
  <c r="A197" i="6"/>
  <c r="A196" i="6"/>
  <c r="A195" i="6"/>
  <c r="A194" i="6"/>
  <c r="A192" i="6"/>
  <c r="A161" i="6"/>
  <c r="A160" i="6"/>
  <c r="A159" i="6"/>
  <c r="A156" i="6"/>
  <c r="A155" i="6"/>
  <c r="A154" i="6"/>
  <c r="A153" i="6"/>
  <c r="A152" i="6"/>
  <c r="A151" i="6"/>
  <c r="A150" i="6"/>
  <c r="A149" i="6"/>
  <c r="A148" i="6"/>
  <c r="A147" i="6"/>
  <c r="A144" i="6"/>
  <c r="A143" i="6"/>
  <c r="A142" i="6"/>
  <c r="A141" i="6"/>
  <c r="A140" i="6"/>
  <c r="A139" i="6"/>
  <c r="A138" i="6"/>
  <c r="A137" i="6"/>
  <c r="A136" i="6"/>
  <c r="A135" i="6"/>
  <c r="A134" i="6"/>
  <c r="A133" i="6"/>
  <c r="A132" i="6"/>
  <c r="A131" i="6"/>
  <c r="A130" i="6"/>
  <c r="A129" i="6"/>
  <c r="A128" i="6"/>
  <c r="A127" i="6"/>
  <c r="A124" i="6"/>
  <c r="A121" i="6"/>
  <c r="A120" i="6"/>
  <c r="A119" i="6"/>
  <c r="A118" i="6"/>
  <c r="A117" i="6"/>
  <c r="A116" i="6"/>
  <c r="A115" i="6"/>
  <c r="A114" i="6"/>
  <c r="A113" i="6"/>
  <c r="A112" i="6"/>
  <c r="A111" i="6"/>
  <c r="A110" i="6"/>
  <c r="A109" i="6"/>
  <c r="A100" i="6"/>
  <c r="A99" i="6"/>
  <c r="A98" i="6"/>
  <c r="A97" i="6"/>
  <c r="A96" i="6"/>
  <c r="A95" i="6"/>
  <c r="A94" i="6"/>
  <c r="A93" i="6"/>
  <c r="A90" i="6"/>
  <c r="A89" i="6"/>
  <c r="A88" i="6"/>
  <c r="A87" i="6"/>
  <c r="A86" i="6"/>
  <c r="A85" i="6"/>
  <c r="A84" i="6"/>
  <c r="A83" i="6"/>
  <c r="A82" i="6"/>
  <c r="A81" i="6"/>
  <c r="A80" i="6"/>
  <c r="A79" i="6"/>
  <c r="A78" i="6"/>
  <c r="A75" i="6"/>
  <c r="A74" i="6"/>
  <c r="A73" i="6"/>
  <c r="A72" i="6"/>
  <c r="A71" i="6"/>
  <c r="A70" i="6"/>
  <c r="A69" i="6"/>
  <c r="A68" i="6"/>
  <c r="A67" i="6"/>
  <c r="A66" i="6"/>
  <c r="A65" i="6"/>
  <c r="A64" i="6"/>
  <c r="A63" i="6"/>
  <c r="A62" i="6"/>
  <c r="A59" i="6"/>
  <c r="A58" i="6"/>
  <c r="A57" i="6"/>
  <c r="A56" i="6"/>
  <c r="A55" i="6"/>
  <c r="A54" i="6"/>
  <c r="A53" i="6"/>
  <c r="A52" i="6"/>
  <c r="A51" i="6"/>
  <c r="A50" i="6"/>
  <c r="A48" i="6"/>
  <c r="A45" i="6"/>
  <c r="A44" i="6"/>
  <c r="A43" i="6"/>
  <c r="A42" i="6"/>
  <c r="A41" i="6"/>
  <c r="A40" i="6"/>
  <c r="A39" i="6"/>
  <c r="A38" i="6"/>
  <c r="A37" i="6"/>
  <c r="A36" i="6"/>
  <c r="A33" i="6"/>
  <c r="A32" i="6"/>
  <c r="A31" i="6"/>
  <c r="A30" i="6"/>
  <c r="A29" i="6"/>
  <c r="A28" i="6"/>
  <c r="A27" i="6"/>
  <c r="A26" i="6"/>
  <c r="A23" i="6"/>
  <c r="A22" i="6"/>
  <c r="A21" i="6"/>
  <c r="A20" i="6"/>
  <c r="A19" i="6"/>
  <c r="A18" i="6"/>
  <c r="A17" i="6"/>
  <c r="A16" i="6"/>
  <c r="A15" i="6"/>
  <c r="A14" i="6"/>
  <c r="A13" i="6"/>
  <c r="A12" i="6"/>
  <c r="A11" i="6"/>
  <c r="D396" i="7"/>
  <c r="C536" i="5"/>
  <c r="C535" i="5"/>
  <c r="C534" i="5"/>
  <c r="C533" i="5"/>
  <c r="C532" i="5"/>
  <c r="C531" i="5"/>
  <c r="C528" i="5"/>
  <c r="C523" i="5"/>
  <c r="C520" i="5"/>
  <c r="C519" i="5"/>
  <c r="C518" i="5"/>
  <c r="C517" i="5"/>
  <c r="C516" i="5"/>
  <c r="C515" i="5"/>
  <c r="C514" i="5"/>
  <c r="C512" i="5"/>
  <c r="C511" i="5"/>
  <c r="C510" i="5"/>
  <c r="C509" i="5"/>
  <c r="C506" i="5"/>
  <c r="C505" i="5"/>
  <c r="C504" i="5"/>
  <c r="C503" i="5"/>
  <c r="C502" i="5"/>
  <c r="C501" i="5"/>
  <c r="C500" i="5"/>
  <c r="C499" i="5"/>
  <c r="C498" i="5"/>
  <c r="C497" i="5"/>
  <c r="C496" i="5"/>
  <c r="C493" i="5"/>
  <c r="C492" i="5"/>
  <c r="C491" i="5"/>
  <c r="C490" i="5"/>
  <c r="C489" i="5"/>
  <c r="C473" i="5"/>
  <c r="C472" i="5"/>
  <c r="C467" i="5"/>
  <c r="C466" i="5"/>
  <c r="C465" i="5"/>
  <c r="C464" i="5"/>
  <c r="C463" i="5"/>
  <c r="C462" i="5"/>
  <c r="C461" i="5"/>
  <c r="C460" i="5"/>
  <c r="C459" i="5"/>
  <c r="C458" i="5"/>
  <c r="C457" i="5"/>
  <c r="C456" i="5"/>
  <c r="C455" i="5"/>
  <c r="C454" i="5"/>
  <c r="C453" i="5"/>
  <c r="C452" i="5"/>
  <c r="C451" i="5"/>
  <c r="C448" i="5"/>
  <c r="C447" i="5"/>
  <c r="C446" i="5"/>
  <c r="C445" i="5"/>
  <c r="C444" i="5"/>
  <c r="C443" i="5"/>
  <c r="C442" i="5"/>
  <c r="C441" i="5"/>
  <c r="C440" i="5"/>
  <c r="C439" i="5"/>
  <c r="C436" i="5"/>
  <c r="C435" i="5"/>
  <c r="C434" i="5"/>
  <c r="C433" i="5"/>
  <c r="C432" i="5"/>
  <c r="C431" i="5"/>
  <c r="C430" i="5"/>
  <c r="C429" i="5"/>
  <c r="C428" i="5"/>
  <c r="C422" i="5"/>
  <c r="C421" i="5"/>
  <c r="C420" i="5"/>
  <c r="C419" i="5"/>
  <c r="C418" i="5"/>
  <c r="C417" i="5"/>
  <c r="C416" i="5"/>
  <c r="C415" i="5"/>
  <c r="C414" i="5"/>
  <c r="C413" i="5"/>
  <c r="C412" i="5"/>
  <c r="C411" i="5"/>
  <c r="C408" i="5"/>
  <c r="C407" i="5"/>
  <c r="C406" i="5"/>
  <c r="C405" i="5"/>
  <c r="C404" i="5"/>
  <c r="C403" i="5"/>
  <c r="C402" i="5"/>
  <c r="C401" i="5"/>
  <c r="C400" i="5"/>
  <c r="C399" i="5"/>
  <c r="C398" i="5"/>
  <c r="C397" i="5"/>
  <c r="C394" i="5"/>
  <c r="C393" i="5"/>
  <c r="C392" i="5"/>
  <c r="C391" i="5"/>
  <c r="C390" i="5"/>
  <c r="C389" i="5"/>
  <c r="C388" i="5"/>
  <c r="C387" i="5"/>
  <c r="C386" i="5"/>
  <c r="C385" i="5"/>
  <c r="C384" i="5"/>
  <c r="C383" i="5"/>
  <c r="C382" i="5"/>
  <c r="C381" i="5"/>
  <c r="C380" i="5"/>
  <c r="C379" i="5"/>
  <c r="C378" i="5"/>
  <c r="C373" i="5"/>
  <c r="C372" i="5"/>
  <c r="C371" i="5"/>
  <c r="C370" i="5"/>
  <c r="C369" i="5"/>
  <c r="C368" i="5"/>
  <c r="C367" i="5"/>
  <c r="C366" i="5"/>
  <c r="C365" i="5"/>
  <c r="C364" i="5"/>
  <c r="C363" i="5"/>
  <c r="C362" i="5"/>
  <c r="C361" i="5"/>
  <c r="C360" i="5"/>
  <c r="C359" i="5"/>
  <c r="C358" i="5"/>
  <c r="C357" i="5"/>
  <c r="C356" i="5"/>
  <c r="C355" i="5"/>
  <c r="C352" i="5"/>
  <c r="C351" i="5"/>
  <c r="C350" i="5"/>
  <c r="C347" i="5"/>
  <c r="C346" i="5"/>
  <c r="C345" i="5"/>
  <c r="C344" i="5"/>
  <c r="C343" i="5"/>
  <c r="C342" i="5"/>
  <c r="C341" i="5"/>
  <c r="C340" i="5"/>
  <c r="C339" i="5"/>
  <c r="C338" i="5"/>
  <c r="C337" i="5"/>
  <c r="C336" i="5"/>
  <c r="C335" i="5"/>
  <c r="C334" i="5"/>
  <c r="C333" i="5"/>
  <c r="C332" i="5"/>
  <c r="C331" i="5"/>
  <c r="C330" i="5"/>
  <c r="C316" i="5"/>
  <c r="C317" i="5"/>
  <c r="C318" i="5"/>
  <c r="C319" i="5"/>
  <c r="C320" i="5"/>
  <c r="C321" i="5"/>
  <c r="C322" i="5"/>
  <c r="C323" i="5"/>
  <c r="C324" i="5"/>
  <c r="C325" i="5"/>
  <c r="C326" i="5"/>
  <c r="C327" i="5"/>
  <c r="C315" i="5"/>
  <c r="C292" i="5"/>
  <c r="C293" i="5"/>
  <c r="C294" i="5"/>
  <c r="C295" i="5"/>
  <c r="C296" i="5"/>
  <c r="C297" i="5"/>
  <c r="C298" i="5"/>
  <c r="C299" i="5"/>
  <c r="C300" i="5"/>
  <c r="C301" i="5"/>
  <c r="C302" i="5"/>
  <c r="C303" i="5"/>
  <c r="C304" i="5"/>
  <c r="C305" i="5"/>
  <c r="C306" i="5"/>
  <c r="C307" i="5"/>
  <c r="C308" i="5"/>
  <c r="C309" i="5"/>
  <c r="C310" i="5"/>
  <c r="C311" i="5"/>
  <c r="C291" i="5"/>
  <c r="C279" i="5"/>
  <c r="C280" i="5"/>
  <c r="C281" i="5"/>
  <c r="C282" i="5"/>
  <c r="C283" i="5"/>
  <c r="C284" i="5"/>
  <c r="C285" i="5"/>
  <c r="C286" i="5"/>
  <c r="C278" i="5"/>
  <c r="C277" i="5"/>
  <c r="C275" i="5"/>
  <c r="C274" i="5"/>
  <c r="C273" i="5"/>
  <c r="C272" i="5"/>
  <c r="C269" i="5"/>
  <c r="C268" i="5"/>
  <c r="C267" i="5"/>
  <c r="C266" i="5"/>
  <c r="C265" i="5"/>
  <c r="C264" i="5"/>
  <c r="C263" i="5"/>
  <c r="C262" i="5"/>
  <c r="C261" i="5"/>
  <c r="C260" i="5"/>
  <c r="C259" i="5"/>
  <c r="C258" i="5"/>
  <c r="C257" i="5"/>
  <c r="C256" i="5"/>
  <c r="C255" i="5"/>
  <c r="C254" i="5"/>
  <c r="C253" i="5"/>
  <c r="C252" i="5"/>
  <c r="C251" i="5"/>
  <c r="C250" i="5"/>
  <c r="C249" i="5"/>
  <c r="C248" i="5"/>
  <c r="C247" i="5"/>
  <c r="C246" i="5"/>
  <c r="C245" i="5"/>
  <c r="C244" i="5"/>
  <c r="C243" i="5"/>
  <c r="C242" i="5"/>
  <c r="C241" i="5"/>
  <c r="C240" i="5"/>
  <c r="C239" i="5"/>
  <c r="C238" i="5"/>
  <c r="C237" i="5"/>
  <c r="C236" i="5"/>
  <c r="C235" i="5"/>
  <c r="C234" i="5"/>
  <c r="C230" i="5"/>
  <c r="C229" i="5"/>
  <c r="C228" i="5"/>
  <c r="C227" i="5"/>
  <c r="C226" i="5"/>
  <c r="C225" i="5"/>
  <c r="C224" i="5"/>
  <c r="C223" i="5"/>
  <c r="C222" i="5"/>
  <c r="C219" i="5"/>
  <c r="C218" i="5"/>
  <c r="C217" i="5"/>
  <c r="C216" i="5"/>
  <c r="C215" i="5"/>
  <c r="C214" i="5"/>
  <c r="C213" i="5"/>
  <c r="C212" i="5"/>
  <c r="C211" i="5"/>
  <c r="C194" i="5"/>
  <c r="C195" i="5"/>
  <c r="C196" i="5"/>
  <c r="C197" i="5"/>
  <c r="C198" i="5"/>
  <c r="C199" i="5"/>
  <c r="C200" i="5"/>
  <c r="C202" i="5"/>
  <c r="C204" i="5"/>
  <c r="C205" i="5"/>
  <c r="C206" i="5"/>
  <c r="C192" i="5"/>
  <c r="C187" i="5"/>
  <c r="C186" i="5"/>
  <c r="C185" i="5"/>
  <c r="C184" i="5"/>
  <c r="C183" i="5"/>
  <c r="C182" i="5"/>
  <c r="C181" i="5"/>
  <c r="C180" i="5"/>
  <c r="C179" i="5"/>
  <c r="C178" i="5"/>
  <c r="C177" i="5"/>
  <c r="C176" i="5"/>
  <c r="C175" i="5"/>
  <c r="C174" i="5"/>
  <c r="C173" i="5"/>
  <c r="C172" i="5"/>
  <c r="C171" i="5"/>
  <c r="C170" i="5"/>
  <c r="C169" i="5"/>
  <c r="C168" i="5"/>
  <c r="C167" i="5"/>
  <c r="C166" i="5"/>
  <c r="C165" i="5"/>
  <c r="C164" i="5"/>
  <c r="C161" i="5"/>
  <c r="C160" i="5"/>
  <c r="C159" i="5"/>
  <c r="C156" i="5"/>
  <c r="C155" i="5"/>
  <c r="C154" i="5"/>
  <c r="C153" i="5"/>
  <c r="C152" i="5"/>
  <c r="C151" i="5"/>
  <c r="C150" i="5"/>
  <c r="C149" i="5"/>
  <c r="C148" i="5"/>
  <c r="C147" i="5"/>
  <c r="C139" i="5"/>
  <c r="C140" i="5"/>
  <c r="C141" i="5"/>
  <c r="C142" i="5"/>
  <c r="C143" i="5"/>
  <c r="C144" i="5"/>
  <c r="C138" i="5"/>
  <c r="C137" i="5"/>
  <c r="C136" i="5"/>
  <c r="C135" i="5"/>
  <c r="C134" i="5"/>
  <c r="C133" i="5"/>
  <c r="C132" i="5"/>
  <c r="C131" i="5"/>
  <c r="C130" i="5"/>
  <c r="C129" i="5"/>
  <c r="C128" i="5"/>
  <c r="C127" i="5"/>
  <c r="C124" i="5"/>
  <c r="C110" i="5"/>
  <c r="C111" i="5"/>
  <c r="C112" i="5"/>
  <c r="C113" i="5"/>
  <c r="C114" i="5"/>
  <c r="C115" i="5"/>
  <c r="C116" i="5"/>
  <c r="C117" i="5"/>
  <c r="C118" i="5"/>
  <c r="C119" i="5"/>
  <c r="C120" i="5"/>
  <c r="C121" i="5"/>
  <c r="C109" i="5"/>
  <c r="C94" i="5"/>
  <c r="C95" i="5"/>
  <c r="C96" i="5"/>
  <c r="C97" i="5"/>
  <c r="C98" i="5"/>
  <c r="C99" i="5"/>
  <c r="C100" i="5"/>
  <c r="C93" i="5"/>
  <c r="C79" i="5"/>
  <c r="C80" i="5"/>
  <c r="C81" i="5"/>
  <c r="C82" i="5"/>
  <c r="C83" i="5"/>
  <c r="C84" i="5"/>
  <c r="C85" i="5"/>
  <c r="C86" i="5"/>
  <c r="C87" i="5"/>
  <c r="C88" i="5"/>
  <c r="C89" i="5"/>
  <c r="C90" i="5"/>
  <c r="C78" i="5"/>
  <c r="C63" i="5"/>
  <c r="C64" i="5"/>
  <c r="C65" i="5"/>
  <c r="C66" i="5"/>
  <c r="C67" i="5"/>
  <c r="C68" i="5"/>
  <c r="C69" i="5"/>
  <c r="C70" i="5"/>
  <c r="C71" i="5"/>
  <c r="C72" i="5"/>
  <c r="C73" i="5"/>
  <c r="C74" i="5"/>
  <c r="C75" i="5"/>
  <c r="C62" i="5"/>
  <c r="C49" i="5"/>
  <c r="C50" i="5"/>
  <c r="C51" i="5"/>
  <c r="C52" i="5"/>
  <c r="C53" i="5"/>
  <c r="C54" i="5"/>
  <c r="C55" i="5"/>
  <c r="C56" i="5"/>
  <c r="C57" i="5"/>
  <c r="C58" i="5"/>
  <c r="C59" i="5"/>
  <c r="C48" i="5"/>
  <c r="C37" i="5"/>
  <c r="C38" i="5"/>
  <c r="C39" i="5"/>
  <c r="C40" i="5"/>
  <c r="C41" i="5"/>
  <c r="C42" i="5"/>
  <c r="C43" i="5"/>
  <c r="C44" i="5"/>
  <c r="C45" i="5"/>
  <c r="C36" i="5"/>
  <c r="C27" i="5"/>
  <c r="C28" i="5"/>
  <c r="C29" i="5"/>
  <c r="C30" i="5"/>
  <c r="C31" i="5"/>
  <c r="C32" i="5"/>
  <c r="C33" i="5"/>
  <c r="C26" i="5"/>
  <c r="C12" i="5"/>
  <c r="C13" i="5"/>
  <c r="C14" i="5"/>
  <c r="C15" i="5"/>
  <c r="C16" i="5"/>
  <c r="C17" i="5"/>
  <c r="C18" i="5"/>
  <c r="C19" i="5"/>
  <c r="C20" i="5"/>
  <c r="C21" i="5"/>
  <c r="C22" i="5"/>
  <c r="C23" i="5"/>
  <c r="C11" i="5"/>
  <c r="C536" i="4"/>
  <c r="C535" i="4"/>
  <c r="C534" i="4"/>
  <c r="C533" i="4"/>
  <c r="C532" i="4"/>
  <c r="C531" i="4"/>
  <c r="C528" i="4"/>
  <c r="C523" i="4"/>
  <c r="C520" i="4"/>
  <c r="C519" i="4"/>
  <c r="C518" i="4"/>
  <c r="C517" i="4"/>
  <c r="C516" i="4"/>
  <c r="C515" i="4"/>
  <c r="C514" i="4"/>
  <c r="C512" i="4"/>
  <c r="C511" i="4"/>
  <c r="C510" i="4"/>
  <c r="C509" i="4"/>
  <c r="C506" i="4"/>
  <c r="C505" i="4"/>
  <c r="C504" i="4"/>
  <c r="C503" i="4"/>
  <c r="C502" i="4"/>
  <c r="C501" i="4"/>
  <c r="C500" i="4"/>
  <c r="C499" i="4"/>
  <c r="C498" i="4"/>
  <c r="C497" i="4"/>
  <c r="C496" i="4"/>
  <c r="C493" i="4"/>
  <c r="C492" i="4"/>
  <c r="C491" i="4"/>
  <c r="C490" i="4"/>
  <c r="C489" i="4"/>
  <c r="C473" i="4"/>
  <c r="C472" i="4"/>
  <c r="C467" i="4"/>
  <c r="C466" i="4"/>
  <c r="C465" i="4"/>
  <c r="C464" i="4"/>
  <c r="C463" i="4"/>
  <c r="C462" i="4"/>
  <c r="C461" i="4"/>
  <c r="C460" i="4"/>
  <c r="C459" i="4"/>
  <c r="C458" i="4"/>
  <c r="C457" i="4"/>
  <c r="C456" i="4"/>
  <c r="C455" i="4"/>
  <c r="C454" i="4"/>
  <c r="C453" i="4"/>
  <c r="C452" i="4"/>
  <c r="C451" i="4"/>
  <c r="C448" i="4"/>
  <c r="C447" i="4"/>
  <c r="C446" i="4"/>
  <c r="C445" i="4"/>
  <c r="C444" i="4"/>
  <c r="C443" i="4"/>
  <c r="C442" i="4"/>
  <c r="C441" i="4"/>
  <c r="C440" i="4"/>
  <c r="C439" i="4"/>
  <c r="C436" i="4"/>
  <c r="C435" i="4"/>
  <c r="C434" i="4"/>
  <c r="C433" i="4"/>
  <c r="C432" i="4"/>
  <c r="C431" i="4"/>
  <c r="C430" i="4"/>
  <c r="C429" i="4"/>
  <c r="C428" i="4"/>
  <c r="C422" i="4"/>
  <c r="C421" i="4"/>
  <c r="C420" i="4"/>
  <c r="C419" i="4"/>
  <c r="C418" i="4"/>
  <c r="C417" i="4"/>
  <c r="C416" i="4"/>
  <c r="C415" i="4"/>
  <c r="C414" i="4"/>
  <c r="C413" i="4"/>
  <c r="C412" i="4"/>
  <c r="C411" i="4"/>
  <c r="C408" i="4"/>
  <c r="C407" i="4"/>
  <c r="C406" i="4"/>
  <c r="C405" i="4"/>
  <c r="C404" i="4"/>
  <c r="C403" i="4"/>
  <c r="C402" i="4"/>
  <c r="C401" i="4"/>
  <c r="C400" i="4"/>
  <c r="C399" i="4"/>
  <c r="C398" i="4"/>
  <c r="C397" i="4"/>
  <c r="C394" i="4"/>
  <c r="C393" i="4"/>
  <c r="C392" i="4"/>
  <c r="C391" i="4"/>
  <c r="C390" i="4"/>
  <c r="C389" i="4"/>
  <c r="C388" i="4"/>
  <c r="C387" i="4"/>
  <c r="C386" i="4"/>
  <c r="C385" i="4"/>
  <c r="C384" i="4"/>
  <c r="C383" i="4"/>
  <c r="C382" i="4"/>
  <c r="C381" i="4"/>
  <c r="C380" i="4"/>
  <c r="C379" i="4"/>
  <c r="C378" i="4"/>
  <c r="C373" i="4"/>
  <c r="C372" i="4"/>
  <c r="C371" i="4"/>
  <c r="C370" i="4"/>
  <c r="C369" i="4"/>
  <c r="C368" i="4"/>
  <c r="C367" i="4"/>
  <c r="C366" i="4"/>
  <c r="C365" i="4"/>
  <c r="C364" i="4"/>
  <c r="C363" i="4"/>
  <c r="C362" i="4"/>
  <c r="C361" i="4"/>
  <c r="C360" i="4"/>
  <c r="C359" i="4"/>
  <c r="C358" i="4"/>
  <c r="C357" i="4"/>
  <c r="C356" i="4"/>
  <c r="C355" i="4"/>
  <c r="C352" i="4"/>
  <c r="C351" i="4"/>
  <c r="C350" i="4"/>
  <c r="C347" i="4"/>
  <c r="C346" i="4"/>
  <c r="C345" i="4"/>
  <c r="C344" i="4"/>
  <c r="C343" i="4"/>
  <c r="C342" i="4"/>
  <c r="C341" i="4"/>
  <c r="C340" i="4"/>
  <c r="C339" i="4"/>
  <c r="C338" i="4"/>
  <c r="C337" i="4"/>
  <c r="C336" i="4"/>
  <c r="C335" i="4"/>
  <c r="C334" i="4"/>
  <c r="C333" i="4"/>
  <c r="C332" i="4"/>
  <c r="C331" i="4"/>
  <c r="C330" i="4"/>
  <c r="C327" i="4"/>
  <c r="C326" i="4"/>
  <c r="C325" i="4"/>
  <c r="C324" i="4"/>
  <c r="C323" i="4"/>
  <c r="C322" i="4"/>
  <c r="C321" i="4"/>
  <c r="C320" i="4"/>
  <c r="C319" i="4"/>
  <c r="C318" i="4"/>
  <c r="C317" i="4"/>
  <c r="C316" i="4"/>
  <c r="C315" i="4"/>
  <c r="C311" i="4"/>
  <c r="C310" i="4"/>
  <c r="C309" i="4"/>
  <c r="C308" i="4"/>
  <c r="C307" i="4"/>
  <c r="C306" i="4"/>
  <c r="C305" i="4"/>
  <c r="C304" i="4"/>
  <c r="C303" i="4"/>
  <c r="C302" i="4"/>
  <c r="C301" i="4"/>
  <c r="C300" i="4"/>
  <c r="C299" i="4"/>
  <c r="C298" i="4"/>
  <c r="C297" i="4"/>
  <c r="C296" i="4"/>
  <c r="C295" i="4"/>
  <c r="C294" i="4"/>
  <c r="C293" i="4"/>
  <c r="C292" i="4"/>
  <c r="C291" i="4"/>
  <c r="C286" i="4"/>
  <c r="C285" i="4"/>
  <c r="C284" i="4"/>
  <c r="C283" i="4"/>
  <c r="C282" i="4"/>
  <c r="C281" i="4"/>
  <c r="C280" i="4"/>
  <c r="C279" i="4"/>
  <c r="C278" i="4"/>
  <c r="C277" i="4"/>
  <c r="C275" i="4"/>
  <c r="C274" i="4"/>
  <c r="C273" i="4"/>
  <c r="C272" i="4"/>
  <c r="C269" i="4"/>
  <c r="C268" i="4"/>
  <c r="C267" i="4"/>
  <c r="C266" i="4"/>
  <c r="C265" i="4"/>
  <c r="C264" i="4"/>
  <c r="C263" i="4"/>
  <c r="C262" i="4"/>
  <c r="C261" i="4"/>
  <c r="C260" i="4"/>
  <c r="C259" i="4"/>
  <c r="C258" i="4"/>
  <c r="C257" i="4"/>
  <c r="C256" i="4"/>
  <c r="C255" i="4"/>
  <c r="C254" i="4"/>
  <c r="C253" i="4"/>
  <c r="C252" i="4"/>
  <c r="C251" i="4"/>
  <c r="C250" i="4"/>
  <c r="C249" i="4"/>
  <c r="C248" i="4"/>
  <c r="C247" i="4"/>
  <c r="C246" i="4"/>
  <c r="C245" i="4"/>
  <c r="C244" i="4"/>
  <c r="C243" i="4"/>
  <c r="C242" i="4"/>
  <c r="C241" i="4"/>
  <c r="C240" i="4"/>
  <c r="C239" i="4"/>
  <c r="C238" i="4"/>
  <c r="C237" i="4"/>
  <c r="C236" i="4"/>
  <c r="C235" i="4"/>
  <c r="C234" i="4"/>
  <c r="C230" i="4"/>
  <c r="C229" i="4"/>
  <c r="C228" i="4"/>
  <c r="C227" i="4"/>
  <c r="C226" i="4"/>
  <c r="C225" i="4"/>
  <c r="C224" i="4"/>
  <c r="C223" i="4"/>
  <c r="C222" i="4"/>
  <c r="C219" i="4"/>
  <c r="C218" i="4"/>
  <c r="C217" i="4"/>
  <c r="C216" i="4"/>
  <c r="C215" i="4"/>
  <c r="C214" i="4"/>
  <c r="C213" i="4"/>
  <c r="C212" i="4"/>
  <c r="C211" i="4"/>
  <c r="C206" i="4"/>
  <c r="C205" i="4"/>
  <c r="C204" i="4"/>
  <c r="C202" i="4"/>
  <c r="C200" i="4"/>
  <c r="C199" i="4"/>
  <c r="C198" i="4"/>
  <c r="C197" i="4"/>
  <c r="C196" i="4"/>
  <c r="C195" i="4"/>
  <c r="C194" i="4"/>
  <c r="C192" i="4"/>
  <c r="C182" i="4"/>
  <c r="C183" i="4"/>
  <c r="C184" i="4"/>
  <c r="C185" i="4"/>
  <c r="C186" i="4"/>
  <c r="C187" i="4"/>
  <c r="C174" i="4"/>
  <c r="C175" i="4"/>
  <c r="C176" i="4"/>
  <c r="C177" i="4"/>
  <c r="C178" i="4"/>
  <c r="C179" i="4"/>
  <c r="C180" i="4"/>
  <c r="C181" i="4"/>
  <c r="C173" i="4"/>
  <c r="C172" i="4"/>
  <c r="C171" i="4"/>
  <c r="C170" i="4"/>
  <c r="C169" i="4"/>
  <c r="C168" i="4"/>
  <c r="C167" i="4"/>
  <c r="C166" i="4"/>
  <c r="C165" i="4"/>
  <c r="C164" i="4"/>
  <c r="C161" i="4"/>
  <c r="C160" i="4"/>
  <c r="C159" i="4"/>
  <c r="C156" i="4"/>
  <c r="C155" i="4"/>
  <c r="C154" i="4"/>
  <c r="C153" i="4"/>
  <c r="C152" i="4"/>
  <c r="C151" i="4"/>
  <c r="C150" i="4"/>
  <c r="C149" i="4"/>
  <c r="C148" i="4"/>
  <c r="C147" i="4"/>
  <c r="C144" i="4"/>
  <c r="C143" i="4"/>
  <c r="C142" i="4"/>
  <c r="C141" i="4"/>
  <c r="C140" i="4"/>
  <c r="C139" i="4"/>
  <c r="C138" i="4"/>
  <c r="C137" i="4"/>
  <c r="C136" i="4"/>
  <c r="C135" i="4"/>
  <c r="C134" i="4"/>
  <c r="C133" i="4"/>
  <c r="C132" i="4"/>
  <c r="C131" i="4"/>
  <c r="C130" i="4"/>
  <c r="C129" i="4"/>
  <c r="C128" i="4"/>
  <c r="C127" i="4"/>
  <c r="C124" i="4"/>
  <c r="C121" i="4"/>
  <c r="C120" i="4"/>
  <c r="C119" i="4"/>
  <c r="C118" i="4"/>
  <c r="C117" i="4"/>
  <c r="C116" i="4"/>
  <c r="C115" i="4"/>
  <c r="C114" i="4"/>
  <c r="C113" i="4"/>
  <c r="C112" i="4"/>
  <c r="C111" i="4"/>
  <c r="C110" i="4"/>
  <c r="C109" i="4"/>
  <c r="C100" i="4"/>
  <c r="C99" i="4"/>
  <c r="C98" i="4"/>
  <c r="C97" i="4"/>
  <c r="C96" i="4"/>
  <c r="C95" i="4"/>
  <c r="C94" i="4"/>
  <c r="C93" i="4"/>
  <c r="C90" i="4"/>
  <c r="C89" i="4"/>
  <c r="C88" i="4"/>
  <c r="C87" i="4"/>
  <c r="C86" i="4"/>
  <c r="C85" i="4"/>
  <c r="C84" i="4"/>
  <c r="C83" i="4"/>
  <c r="C82" i="4"/>
  <c r="C81" i="4"/>
  <c r="C80" i="4"/>
  <c r="C79" i="4"/>
  <c r="C78" i="4"/>
  <c r="C75" i="4"/>
  <c r="C74" i="4"/>
  <c r="C73" i="4"/>
  <c r="C72" i="4"/>
  <c r="C71" i="4"/>
  <c r="C70" i="4"/>
  <c r="C69" i="4"/>
  <c r="C68" i="4"/>
  <c r="C67" i="4"/>
  <c r="C66" i="4"/>
  <c r="C65" i="4"/>
  <c r="C64" i="4"/>
  <c r="C63" i="4"/>
  <c r="C62" i="4"/>
  <c r="C59" i="4"/>
  <c r="C58" i="4"/>
  <c r="C57" i="4"/>
  <c r="C56" i="4"/>
  <c r="C55" i="4"/>
  <c r="C54" i="4"/>
  <c r="C53" i="4"/>
  <c r="C52" i="4"/>
  <c r="C51" i="4"/>
  <c r="C50" i="4"/>
  <c r="C49" i="4"/>
  <c r="C48" i="4"/>
  <c r="C45" i="4"/>
  <c r="C44" i="4"/>
  <c r="C43" i="4"/>
  <c r="C42" i="4"/>
  <c r="C41" i="4"/>
  <c r="C40" i="4"/>
  <c r="C39" i="4"/>
  <c r="C38" i="4"/>
  <c r="C37" i="4"/>
  <c r="C36" i="4"/>
  <c r="C33" i="4"/>
  <c r="C32" i="4"/>
  <c r="C31" i="4"/>
  <c r="C30" i="4"/>
  <c r="C29" i="4"/>
  <c r="C28" i="4"/>
  <c r="C27" i="4"/>
  <c r="C26" i="4"/>
  <c r="C12" i="4"/>
  <c r="C13" i="4"/>
  <c r="C14" i="4"/>
  <c r="C15" i="4"/>
  <c r="C16" i="4"/>
  <c r="C17" i="4"/>
  <c r="C18" i="4"/>
  <c r="C19" i="4"/>
  <c r="C20" i="4"/>
  <c r="C21" i="4"/>
  <c r="C22" i="4"/>
  <c r="C23" i="4"/>
  <c r="C11" i="4"/>
  <c r="C206" i="6"/>
  <c r="C205" i="6"/>
  <c r="C204" i="6"/>
  <c r="C202" i="6"/>
  <c r="C200" i="6"/>
  <c r="C199" i="6"/>
  <c r="C198" i="6"/>
  <c r="C197" i="6"/>
  <c r="C196" i="6"/>
  <c r="C195" i="6"/>
  <c r="C194" i="6"/>
  <c r="C192" i="6"/>
  <c r="C187" i="6"/>
  <c r="C186" i="6"/>
  <c r="C185" i="6"/>
  <c r="C184" i="6"/>
  <c r="C183" i="6"/>
  <c r="C182" i="6"/>
  <c r="C181" i="6"/>
  <c r="C180" i="6"/>
  <c r="C179" i="6"/>
  <c r="C178" i="6"/>
  <c r="C177" i="6"/>
  <c r="C176" i="6"/>
  <c r="C175" i="6"/>
  <c r="C174" i="6"/>
  <c r="C173" i="6"/>
  <c r="C172" i="6"/>
  <c r="C171" i="6"/>
  <c r="C170" i="6"/>
  <c r="C169" i="6"/>
  <c r="C168" i="6"/>
  <c r="C167" i="6"/>
  <c r="C166" i="6"/>
  <c r="C165" i="6"/>
  <c r="C164" i="6"/>
  <c r="C161" i="6"/>
  <c r="C160" i="6"/>
  <c r="C159" i="6"/>
  <c r="C156" i="6"/>
  <c r="C155" i="6"/>
  <c r="C154" i="6"/>
  <c r="C153" i="6"/>
  <c r="C152" i="6"/>
  <c r="C151" i="6"/>
  <c r="C150" i="6"/>
  <c r="C149" i="6"/>
  <c r="C148" i="6"/>
  <c r="C147" i="6"/>
  <c r="C144" i="6"/>
  <c r="C143" i="6"/>
  <c r="C142" i="6"/>
  <c r="C141" i="6"/>
  <c r="C140" i="6"/>
  <c r="C139" i="6"/>
  <c r="C138" i="6"/>
  <c r="C137" i="6"/>
  <c r="C136" i="6"/>
  <c r="C135" i="6"/>
  <c r="C134" i="6"/>
  <c r="C133" i="6"/>
  <c r="C132" i="6"/>
  <c r="C131" i="6"/>
  <c r="C130" i="6"/>
  <c r="C129" i="6"/>
  <c r="C128" i="6"/>
  <c r="C127" i="6"/>
  <c r="C124" i="6"/>
  <c r="C121" i="6"/>
  <c r="C120" i="6"/>
  <c r="C119" i="6"/>
  <c r="C118" i="6"/>
  <c r="C117" i="6"/>
  <c r="C116" i="6"/>
  <c r="C115" i="6"/>
  <c r="C114" i="6"/>
  <c r="C113" i="6"/>
  <c r="C112" i="6"/>
  <c r="C111" i="6"/>
  <c r="C110" i="6"/>
  <c r="C109" i="6"/>
  <c r="C206" i="3"/>
  <c r="C205" i="3"/>
  <c r="C204" i="3"/>
  <c r="C202" i="3"/>
  <c r="C200" i="3"/>
  <c r="C199" i="3"/>
  <c r="C198" i="3"/>
  <c r="C197" i="3"/>
  <c r="C196" i="3"/>
  <c r="C195" i="3"/>
  <c r="C194" i="3"/>
  <c r="C192" i="3"/>
  <c r="C187" i="3"/>
  <c r="C186" i="3"/>
  <c r="C185" i="3"/>
  <c r="C184" i="3"/>
  <c r="C183" i="3"/>
  <c r="C182" i="3"/>
  <c r="C181" i="3"/>
  <c r="C180" i="3"/>
  <c r="C179" i="3"/>
  <c r="C178" i="3"/>
  <c r="C177" i="3"/>
  <c r="C176" i="3"/>
  <c r="C175" i="3"/>
  <c r="C174" i="3"/>
  <c r="C173" i="3"/>
  <c r="C172" i="3"/>
  <c r="C171" i="3"/>
  <c r="C170" i="3"/>
  <c r="C169" i="3"/>
  <c r="C168" i="3"/>
  <c r="C167" i="3"/>
  <c r="C166" i="3"/>
  <c r="C165" i="3"/>
  <c r="C164" i="3"/>
  <c r="C161" i="3"/>
  <c r="C160" i="3"/>
  <c r="C159" i="3"/>
  <c r="C156" i="3"/>
  <c r="C155" i="3"/>
  <c r="C154" i="3"/>
  <c r="C153" i="3"/>
  <c r="C152" i="3"/>
  <c r="C151" i="3"/>
  <c r="C150" i="3"/>
  <c r="C149" i="3"/>
  <c r="C148" i="3"/>
  <c r="C147" i="3"/>
  <c r="C144" i="3"/>
  <c r="C143" i="3"/>
  <c r="C142" i="3"/>
  <c r="C141" i="3"/>
  <c r="C140" i="3"/>
  <c r="C139" i="3"/>
  <c r="C138" i="3"/>
  <c r="C137" i="3"/>
  <c r="C136" i="3"/>
  <c r="C135" i="3"/>
  <c r="C134" i="3"/>
  <c r="C133" i="3"/>
  <c r="C132" i="3"/>
  <c r="C131" i="3"/>
  <c r="C130" i="3"/>
  <c r="C129" i="3"/>
  <c r="C128" i="3"/>
  <c r="C127" i="3"/>
  <c r="C124" i="3"/>
  <c r="C121" i="3"/>
  <c r="C120" i="3"/>
  <c r="C119" i="3"/>
  <c r="C118" i="3"/>
  <c r="C117" i="3"/>
  <c r="C116" i="3"/>
  <c r="C115" i="3"/>
  <c r="C114" i="3"/>
  <c r="C113" i="3"/>
  <c r="C112" i="3"/>
  <c r="C111" i="3"/>
  <c r="C110" i="3"/>
  <c r="C109" i="3"/>
  <c r="C187" i="1"/>
  <c r="C186" i="1"/>
  <c r="C185" i="1"/>
  <c r="C184" i="1"/>
  <c r="C183" i="1"/>
  <c r="C182" i="1"/>
  <c r="C181" i="1"/>
  <c r="C180" i="1"/>
  <c r="C179" i="1"/>
  <c r="C178" i="1"/>
  <c r="C177" i="1"/>
  <c r="C176" i="1"/>
  <c r="C175" i="1"/>
  <c r="C174" i="1"/>
  <c r="C173" i="1"/>
  <c r="C172" i="1"/>
  <c r="C171" i="1"/>
  <c r="C170" i="1"/>
  <c r="C169" i="1"/>
  <c r="C168" i="1"/>
  <c r="C167" i="1"/>
  <c r="C166" i="1"/>
  <c r="C165" i="1"/>
  <c r="C164" i="1"/>
  <c r="C161" i="1"/>
  <c r="C160" i="1"/>
  <c r="C159" i="1"/>
  <c r="C156" i="1"/>
  <c r="C155" i="1"/>
  <c r="C154" i="1"/>
  <c r="C153" i="1"/>
  <c r="C152" i="1"/>
  <c r="C151" i="1"/>
  <c r="C150" i="1"/>
  <c r="C149" i="1"/>
  <c r="C148" i="1"/>
  <c r="C147" i="1"/>
  <c r="C144" i="1"/>
  <c r="C143" i="1"/>
  <c r="C142" i="1"/>
  <c r="C141" i="1"/>
  <c r="C140" i="1"/>
  <c r="C139" i="1"/>
  <c r="C138" i="1"/>
  <c r="C137" i="1"/>
  <c r="C136" i="1"/>
  <c r="C135" i="1"/>
  <c r="C134" i="1"/>
  <c r="C133" i="1"/>
  <c r="C132" i="1"/>
  <c r="C131" i="1"/>
  <c r="C130" i="1"/>
  <c r="C129" i="1"/>
  <c r="C128" i="1"/>
  <c r="C127" i="1"/>
  <c r="C124" i="1"/>
  <c r="C121" i="1"/>
  <c r="C120" i="1"/>
  <c r="C119" i="1"/>
  <c r="C118" i="1"/>
  <c r="C117" i="1"/>
  <c r="C116" i="1"/>
  <c r="C115" i="1"/>
  <c r="C113" i="1"/>
  <c r="C112" i="1"/>
  <c r="C111" i="1"/>
  <c r="C110" i="1"/>
  <c r="C109" i="1"/>
  <c r="C536" i="6"/>
  <c r="C535" i="6"/>
  <c r="C534" i="6"/>
  <c r="C533" i="6"/>
  <c r="C532" i="6"/>
  <c r="C531" i="6"/>
  <c r="C528" i="6"/>
  <c r="C523" i="6"/>
  <c r="C520" i="6"/>
  <c r="C519" i="6"/>
  <c r="C518" i="6"/>
  <c r="C517" i="6"/>
  <c r="C516" i="6"/>
  <c r="C515" i="6"/>
  <c r="C514" i="6"/>
  <c r="C512" i="6"/>
  <c r="C511" i="6"/>
  <c r="C510" i="6"/>
  <c r="C509" i="6"/>
  <c r="C506" i="6"/>
  <c r="C505" i="6"/>
  <c r="C504" i="6"/>
  <c r="C503" i="6"/>
  <c r="C502" i="6"/>
  <c r="C501" i="6"/>
  <c r="C500" i="6"/>
  <c r="C499" i="6"/>
  <c r="C498" i="6"/>
  <c r="C497" i="6"/>
  <c r="C496" i="6"/>
  <c r="C493" i="6"/>
  <c r="C492" i="6"/>
  <c r="C491" i="6"/>
  <c r="C490" i="6"/>
  <c r="C489" i="6"/>
  <c r="C473" i="6"/>
  <c r="C472" i="6"/>
  <c r="C467" i="6"/>
  <c r="C466" i="6"/>
  <c r="C465" i="6"/>
  <c r="C464" i="6"/>
  <c r="C463" i="6"/>
  <c r="C462" i="6"/>
  <c r="C461" i="6"/>
  <c r="C460" i="6"/>
  <c r="C459" i="6"/>
  <c r="C458" i="6"/>
  <c r="C457" i="6"/>
  <c r="C456" i="6"/>
  <c r="C455" i="6"/>
  <c r="C454" i="6"/>
  <c r="C453" i="6"/>
  <c r="C452" i="6"/>
  <c r="C451" i="6"/>
  <c r="C448" i="6"/>
  <c r="C447" i="6"/>
  <c r="C446" i="6"/>
  <c r="C445" i="6"/>
  <c r="C444" i="6"/>
  <c r="C443" i="6"/>
  <c r="C442" i="6"/>
  <c r="C441" i="6"/>
  <c r="C440" i="6"/>
  <c r="C439" i="6"/>
  <c r="C436" i="6"/>
  <c r="C435" i="6"/>
  <c r="C434" i="6"/>
  <c r="C433" i="6"/>
  <c r="C432" i="6"/>
  <c r="C431" i="6"/>
  <c r="C430" i="6"/>
  <c r="C429" i="6"/>
  <c r="C428" i="6"/>
  <c r="C422" i="6"/>
  <c r="C421" i="6"/>
  <c r="C420" i="6"/>
  <c r="C419" i="6"/>
  <c r="C418" i="6"/>
  <c r="C417" i="6"/>
  <c r="C416" i="6"/>
  <c r="C415" i="6"/>
  <c r="C414" i="6"/>
  <c r="C413" i="6"/>
  <c r="C412" i="6"/>
  <c r="C411" i="6"/>
  <c r="C408" i="6"/>
  <c r="C407" i="6"/>
  <c r="C406" i="6"/>
  <c r="C405" i="6"/>
  <c r="C404" i="6"/>
  <c r="C403" i="6"/>
  <c r="C402" i="6"/>
  <c r="C401" i="6"/>
  <c r="C400" i="6"/>
  <c r="C399" i="6"/>
  <c r="C398" i="6"/>
  <c r="C397" i="6"/>
  <c r="C394" i="6"/>
  <c r="C393" i="6"/>
  <c r="C392" i="6"/>
  <c r="C391" i="6"/>
  <c r="C390" i="6"/>
  <c r="C389" i="6"/>
  <c r="C388" i="6"/>
  <c r="C387" i="6"/>
  <c r="C386" i="6"/>
  <c r="C385" i="6"/>
  <c r="C384" i="6"/>
  <c r="C383" i="6"/>
  <c r="C382" i="6"/>
  <c r="C381" i="6"/>
  <c r="C380" i="6"/>
  <c r="C379" i="6"/>
  <c r="C378" i="6"/>
  <c r="C373" i="6"/>
  <c r="C372" i="6"/>
  <c r="C371" i="6"/>
  <c r="C370" i="6"/>
  <c r="C369" i="6"/>
  <c r="C368" i="6"/>
  <c r="C367" i="6"/>
  <c r="C366" i="6"/>
  <c r="C365" i="6"/>
  <c r="C364" i="6"/>
  <c r="C363" i="6"/>
  <c r="C362" i="6"/>
  <c r="C361" i="6"/>
  <c r="C360" i="6"/>
  <c r="C359" i="6"/>
  <c r="C358" i="6"/>
  <c r="C357" i="6"/>
  <c r="C356" i="6"/>
  <c r="C355" i="6"/>
  <c r="C352" i="6"/>
  <c r="C351" i="6"/>
  <c r="C350" i="6"/>
  <c r="C347" i="6"/>
  <c r="C346" i="6"/>
  <c r="C345" i="6"/>
  <c r="C344" i="6"/>
  <c r="C343" i="6"/>
  <c r="C342" i="6"/>
  <c r="C341" i="6"/>
  <c r="C340" i="6"/>
  <c r="C339" i="6"/>
  <c r="C338" i="6"/>
  <c r="C337" i="6"/>
  <c r="C336" i="6"/>
  <c r="C335" i="6"/>
  <c r="C334" i="6"/>
  <c r="C333" i="6"/>
  <c r="C332" i="6"/>
  <c r="C331" i="6"/>
  <c r="C330" i="6"/>
  <c r="C327" i="6"/>
  <c r="C326" i="6"/>
  <c r="C325" i="6"/>
  <c r="C324" i="6"/>
  <c r="C323" i="6"/>
  <c r="C322" i="6"/>
  <c r="C321" i="6"/>
  <c r="C320" i="6"/>
  <c r="C319" i="6"/>
  <c r="C318" i="6"/>
  <c r="C317" i="6"/>
  <c r="C316" i="6"/>
  <c r="C315" i="6"/>
  <c r="C311" i="6"/>
  <c r="C310" i="6"/>
  <c r="C309" i="6"/>
  <c r="C308" i="6"/>
  <c r="C307" i="6"/>
  <c r="C306" i="6"/>
  <c r="C305" i="6"/>
  <c r="C304" i="6"/>
  <c r="C303" i="6"/>
  <c r="C302" i="6"/>
  <c r="C301" i="6"/>
  <c r="C300" i="6"/>
  <c r="C299" i="6"/>
  <c r="C298" i="6"/>
  <c r="C297" i="6"/>
  <c r="C296" i="6"/>
  <c r="C295" i="6"/>
  <c r="C294" i="6"/>
  <c r="C293" i="6"/>
  <c r="C292" i="6"/>
  <c r="C291" i="6"/>
  <c r="C286" i="6"/>
  <c r="C285" i="6"/>
  <c r="C284" i="6"/>
  <c r="C283" i="6"/>
  <c r="C282" i="6"/>
  <c r="C281" i="6"/>
  <c r="C280" i="6"/>
  <c r="C279" i="6"/>
  <c r="C278" i="6"/>
  <c r="C277" i="6"/>
  <c r="C275" i="6"/>
  <c r="C274" i="6"/>
  <c r="C273" i="6"/>
  <c r="C272" i="6"/>
  <c r="C269" i="6"/>
  <c r="C268" i="6"/>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0" i="6"/>
  <c r="C229" i="6"/>
  <c r="C228" i="6"/>
  <c r="C227" i="6"/>
  <c r="C226" i="6"/>
  <c r="C225" i="6"/>
  <c r="C224" i="6"/>
  <c r="C223" i="6"/>
  <c r="C222" i="6"/>
  <c r="C219" i="6"/>
  <c r="C218" i="6"/>
  <c r="C217" i="6"/>
  <c r="C216" i="6"/>
  <c r="C215" i="6"/>
  <c r="C214" i="6"/>
  <c r="C213" i="6"/>
  <c r="C212" i="6"/>
  <c r="C211" i="6"/>
  <c r="C100" i="6"/>
  <c r="C99" i="6"/>
  <c r="C98" i="6"/>
  <c r="C97" i="6"/>
  <c r="C96" i="6"/>
  <c r="C95" i="6"/>
  <c r="C94" i="6"/>
  <c r="C93" i="6"/>
  <c r="C90" i="6"/>
  <c r="C89" i="6"/>
  <c r="C88" i="6"/>
  <c r="C87" i="6"/>
  <c r="C86" i="6"/>
  <c r="C85" i="6"/>
  <c r="C84" i="6"/>
  <c r="C83" i="6"/>
  <c r="C82" i="6"/>
  <c r="C81" i="6"/>
  <c r="C80" i="6"/>
  <c r="C79" i="6"/>
  <c r="C78" i="6"/>
  <c r="C75" i="6"/>
  <c r="C74" i="6"/>
  <c r="C73" i="6"/>
  <c r="C72" i="6"/>
  <c r="C71" i="6"/>
  <c r="C70" i="6"/>
  <c r="C69" i="6"/>
  <c r="C68" i="6"/>
  <c r="C67" i="6"/>
  <c r="C66" i="6"/>
  <c r="C65" i="6"/>
  <c r="C64" i="6"/>
  <c r="C63" i="6"/>
  <c r="C62" i="6"/>
  <c r="C59" i="6"/>
  <c r="C58" i="6"/>
  <c r="C57" i="6"/>
  <c r="C56" i="6"/>
  <c r="C55" i="6"/>
  <c r="C54" i="6"/>
  <c r="C53" i="6"/>
  <c r="C52" i="6"/>
  <c r="C51" i="6"/>
  <c r="C50" i="6"/>
  <c r="C49" i="6"/>
  <c r="C48" i="6"/>
  <c r="C45" i="6"/>
  <c r="C44" i="6"/>
  <c r="C43" i="6"/>
  <c r="C42" i="6"/>
  <c r="C41" i="6"/>
  <c r="C40" i="6"/>
  <c r="C39" i="6"/>
  <c r="C38" i="6"/>
  <c r="C37" i="6"/>
  <c r="C36" i="6"/>
  <c r="C33" i="6"/>
  <c r="C32" i="6"/>
  <c r="C31" i="6"/>
  <c r="C30" i="6"/>
  <c r="C29" i="6"/>
  <c r="C28" i="6"/>
  <c r="C27" i="6"/>
  <c r="C26" i="6"/>
  <c r="C12" i="6"/>
  <c r="C13" i="6"/>
  <c r="C14" i="6"/>
  <c r="C15" i="6"/>
  <c r="C16" i="6"/>
  <c r="C17" i="6"/>
  <c r="C18" i="6"/>
  <c r="C19" i="6"/>
  <c r="C20" i="6"/>
  <c r="C21" i="6"/>
  <c r="C22" i="6"/>
  <c r="C23" i="6"/>
  <c r="C11" i="6"/>
  <c r="C36" i="3"/>
  <c r="C536" i="3"/>
  <c r="C535" i="3"/>
  <c r="C534" i="3"/>
  <c r="C533" i="3"/>
  <c r="C532" i="3"/>
  <c r="C531" i="3"/>
  <c r="C528" i="3"/>
  <c r="C523" i="3"/>
  <c r="C520" i="3"/>
  <c r="C519" i="3"/>
  <c r="C518" i="3"/>
  <c r="C517" i="3"/>
  <c r="C516" i="3"/>
  <c r="C515" i="3"/>
  <c r="C514" i="3"/>
  <c r="C512" i="3"/>
  <c r="C511" i="3"/>
  <c r="C510" i="3"/>
  <c r="C509" i="3"/>
  <c r="C506" i="3"/>
  <c r="C505" i="3"/>
  <c r="C504" i="3"/>
  <c r="C503" i="3"/>
  <c r="C502" i="3"/>
  <c r="C501" i="3"/>
  <c r="C500" i="3"/>
  <c r="C499" i="3"/>
  <c r="C498" i="3"/>
  <c r="C497" i="3"/>
  <c r="C496" i="3"/>
  <c r="C493" i="3"/>
  <c r="C492" i="3"/>
  <c r="C491" i="3"/>
  <c r="C490" i="3"/>
  <c r="C489" i="3"/>
  <c r="C473" i="3"/>
  <c r="C472" i="3"/>
  <c r="C467" i="3"/>
  <c r="C466" i="3"/>
  <c r="C465" i="3"/>
  <c r="C464" i="3"/>
  <c r="C463" i="3"/>
  <c r="C462" i="3"/>
  <c r="C461" i="3"/>
  <c r="C460" i="3"/>
  <c r="C459" i="3"/>
  <c r="C458" i="3"/>
  <c r="C457" i="3"/>
  <c r="C456" i="3"/>
  <c r="C455" i="3"/>
  <c r="C454" i="3"/>
  <c r="C453" i="3"/>
  <c r="C452" i="3"/>
  <c r="C451" i="3"/>
  <c r="C448" i="3"/>
  <c r="C447" i="3"/>
  <c r="C446" i="3"/>
  <c r="C445" i="3"/>
  <c r="C444" i="3"/>
  <c r="C443" i="3"/>
  <c r="C442" i="3"/>
  <c r="C441" i="3"/>
  <c r="C440" i="3"/>
  <c r="C439" i="3"/>
  <c r="C436" i="3"/>
  <c r="C435" i="3"/>
  <c r="C434" i="3"/>
  <c r="C433" i="3"/>
  <c r="C432" i="3"/>
  <c r="C431" i="3"/>
  <c r="C430" i="3"/>
  <c r="C429" i="3"/>
  <c r="C428" i="3"/>
  <c r="C422" i="3"/>
  <c r="C421" i="3"/>
  <c r="C420" i="3"/>
  <c r="C419" i="3"/>
  <c r="C418" i="3"/>
  <c r="C417" i="3"/>
  <c r="C416" i="3"/>
  <c r="C415" i="3"/>
  <c r="C414" i="3"/>
  <c r="C413" i="3"/>
  <c r="C412" i="3"/>
  <c r="C411" i="3"/>
  <c r="C408" i="3"/>
  <c r="C407" i="3"/>
  <c r="C406" i="3"/>
  <c r="C405" i="3"/>
  <c r="C404" i="3"/>
  <c r="C403" i="3"/>
  <c r="C402" i="3"/>
  <c r="C401" i="3"/>
  <c r="C400" i="3"/>
  <c r="C399" i="3"/>
  <c r="C398" i="3"/>
  <c r="C397" i="3"/>
  <c r="C394" i="3"/>
  <c r="C393" i="3"/>
  <c r="C392" i="3"/>
  <c r="C391" i="3"/>
  <c r="C390" i="3"/>
  <c r="C389" i="3"/>
  <c r="C388" i="3"/>
  <c r="C387" i="3"/>
  <c r="C386" i="3"/>
  <c r="C385" i="3"/>
  <c r="C384" i="3"/>
  <c r="C383" i="3"/>
  <c r="C382" i="3"/>
  <c r="C381" i="3"/>
  <c r="C380" i="3"/>
  <c r="C379" i="3"/>
  <c r="C378" i="3"/>
  <c r="C373" i="3"/>
  <c r="C372" i="3"/>
  <c r="C371" i="3"/>
  <c r="C370" i="3"/>
  <c r="C369" i="3"/>
  <c r="C368" i="3"/>
  <c r="C367" i="3"/>
  <c r="C366" i="3"/>
  <c r="C365" i="3"/>
  <c r="C364" i="3"/>
  <c r="C363" i="3"/>
  <c r="C362" i="3"/>
  <c r="C361" i="3"/>
  <c r="C360" i="3"/>
  <c r="C359" i="3"/>
  <c r="C358" i="3"/>
  <c r="C357" i="3"/>
  <c r="C356" i="3"/>
  <c r="C355" i="3"/>
  <c r="C352" i="3"/>
  <c r="C351" i="3"/>
  <c r="C350" i="3"/>
  <c r="C347" i="3"/>
  <c r="C346" i="3"/>
  <c r="C345" i="3"/>
  <c r="C344" i="3"/>
  <c r="C343" i="3"/>
  <c r="C342" i="3"/>
  <c r="C341" i="3"/>
  <c r="C340" i="3"/>
  <c r="C339" i="3"/>
  <c r="C338" i="3"/>
  <c r="C337" i="3"/>
  <c r="C336" i="3"/>
  <c r="C335" i="3"/>
  <c r="C334" i="3"/>
  <c r="C333" i="3"/>
  <c r="C332" i="3"/>
  <c r="C331" i="3"/>
  <c r="C330" i="3"/>
  <c r="C327" i="3"/>
  <c r="C326" i="3"/>
  <c r="C325" i="3"/>
  <c r="C324" i="3"/>
  <c r="C323" i="3"/>
  <c r="C322" i="3"/>
  <c r="C321" i="3"/>
  <c r="C320" i="3"/>
  <c r="C319" i="3"/>
  <c r="C318" i="3"/>
  <c r="C317" i="3"/>
  <c r="C316" i="3"/>
  <c r="C315" i="3"/>
  <c r="C311" i="3"/>
  <c r="C310" i="3"/>
  <c r="C309" i="3"/>
  <c r="C308" i="3"/>
  <c r="C307" i="3"/>
  <c r="C306" i="3"/>
  <c r="C305" i="3"/>
  <c r="C304" i="3"/>
  <c r="C303" i="3"/>
  <c r="C302" i="3"/>
  <c r="C301" i="3"/>
  <c r="C300" i="3"/>
  <c r="C299" i="3"/>
  <c r="C298" i="3"/>
  <c r="C297" i="3"/>
  <c r="C296" i="3"/>
  <c r="C295" i="3"/>
  <c r="C294" i="3"/>
  <c r="C293" i="3"/>
  <c r="C292" i="3"/>
  <c r="C291" i="3"/>
  <c r="C286" i="3"/>
  <c r="C285" i="3"/>
  <c r="C284" i="3"/>
  <c r="C283" i="3"/>
  <c r="C282" i="3"/>
  <c r="C281" i="3"/>
  <c r="C280" i="3"/>
  <c r="C279" i="3"/>
  <c r="C278" i="3"/>
  <c r="C277" i="3"/>
  <c r="C275" i="3"/>
  <c r="C274" i="3"/>
  <c r="C273" i="3"/>
  <c r="C272" i="3"/>
  <c r="C269" i="3"/>
  <c r="C268" i="3"/>
  <c r="C267" i="3"/>
  <c r="C266" i="3"/>
  <c r="C265" i="3"/>
  <c r="C264" i="3"/>
  <c r="C263" i="3"/>
  <c r="C262" i="3"/>
  <c r="C261" i="3"/>
  <c r="C260" i="3"/>
  <c r="C259" i="3"/>
  <c r="C258" i="3"/>
  <c r="C257" i="3"/>
  <c r="C256" i="3"/>
  <c r="C255" i="3"/>
  <c r="C254" i="3"/>
  <c r="C253" i="3"/>
  <c r="C252" i="3"/>
  <c r="C251" i="3"/>
  <c r="C250" i="3"/>
  <c r="C249" i="3"/>
  <c r="C248" i="3"/>
  <c r="C247" i="3"/>
  <c r="C246" i="3"/>
  <c r="C245" i="3"/>
  <c r="C244" i="3"/>
  <c r="C243" i="3"/>
  <c r="C242" i="3"/>
  <c r="C241" i="3"/>
  <c r="C240" i="3"/>
  <c r="C239" i="3"/>
  <c r="C238" i="3"/>
  <c r="C237" i="3"/>
  <c r="C236" i="3"/>
  <c r="C235" i="3"/>
  <c r="C234" i="3"/>
  <c r="C230" i="3"/>
  <c r="C229" i="3"/>
  <c r="C228" i="3"/>
  <c r="C227" i="3"/>
  <c r="C226" i="3"/>
  <c r="C225" i="3"/>
  <c r="C224" i="3"/>
  <c r="C223" i="3"/>
  <c r="C222" i="3"/>
  <c r="C219" i="3"/>
  <c r="C218" i="3"/>
  <c r="C217" i="3"/>
  <c r="C216" i="3"/>
  <c r="C215" i="3"/>
  <c r="C214" i="3"/>
  <c r="C213" i="3"/>
  <c r="C212" i="3"/>
  <c r="C211" i="3"/>
  <c r="C100" i="3"/>
  <c r="C99" i="3"/>
  <c r="C98" i="3"/>
  <c r="C97" i="3"/>
  <c r="C96" i="3"/>
  <c r="C95" i="3"/>
  <c r="C94" i="3"/>
  <c r="C93" i="3"/>
  <c r="C90" i="3"/>
  <c r="C89" i="3"/>
  <c r="C88" i="3"/>
  <c r="C87" i="3"/>
  <c r="C86" i="3"/>
  <c r="C85" i="3"/>
  <c r="C84" i="3"/>
  <c r="C83" i="3"/>
  <c r="C82" i="3"/>
  <c r="C81" i="3"/>
  <c r="C80" i="3"/>
  <c r="C79" i="3"/>
  <c r="C78" i="3"/>
  <c r="C75" i="3"/>
  <c r="C74" i="3"/>
  <c r="C73" i="3"/>
  <c r="C72" i="3"/>
  <c r="C71" i="3"/>
  <c r="C70" i="3"/>
  <c r="C69" i="3"/>
  <c r="C68" i="3"/>
  <c r="C67" i="3"/>
  <c r="C66" i="3"/>
  <c r="C65" i="3"/>
  <c r="C64" i="3"/>
  <c r="C63" i="3"/>
  <c r="C62" i="3"/>
  <c r="C59" i="3"/>
  <c r="C58" i="3"/>
  <c r="C57" i="3"/>
  <c r="C56" i="3"/>
  <c r="C55" i="3"/>
  <c r="C54" i="3"/>
  <c r="C53" i="3"/>
  <c r="C52" i="3"/>
  <c r="C51" i="3"/>
  <c r="C50" i="3"/>
  <c r="C49" i="3"/>
  <c r="C48" i="3"/>
  <c r="C45" i="3"/>
  <c r="C44" i="3"/>
  <c r="C43" i="3"/>
  <c r="C42" i="3"/>
  <c r="C41" i="3"/>
  <c r="C40" i="3"/>
  <c r="C39" i="3"/>
  <c r="C38" i="3"/>
  <c r="C37" i="3"/>
  <c r="C33" i="3"/>
  <c r="C32" i="3"/>
  <c r="C31" i="3"/>
  <c r="C30" i="3"/>
  <c r="C29" i="3"/>
  <c r="C28" i="3"/>
  <c r="C27" i="3"/>
  <c r="C26" i="3"/>
  <c r="C12" i="3"/>
  <c r="C13" i="3"/>
  <c r="C14" i="3"/>
  <c r="C15" i="3"/>
  <c r="C16" i="3"/>
  <c r="C17" i="3"/>
  <c r="C18" i="3"/>
  <c r="C19" i="3"/>
  <c r="C20" i="3"/>
  <c r="C21" i="3"/>
  <c r="C22" i="3"/>
  <c r="C23" i="3"/>
  <c r="C11" i="3"/>
  <c r="C269" i="1"/>
  <c r="C230" i="1"/>
  <c r="C219" i="1"/>
  <c r="C536" i="1"/>
  <c r="C535" i="1"/>
  <c r="C534" i="1"/>
  <c r="C533" i="1"/>
  <c r="C532" i="1"/>
  <c r="C531" i="1"/>
  <c r="C528" i="1"/>
  <c r="C523" i="1"/>
  <c r="C520" i="1"/>
  <c r="C519" i="1"/>
  <c r="C518" i="1"/>
  <c r="C517" i="1"/>
  <c r="C516" i="1"/>
  <c r="C515" i="1"/>
  <c r="C514" i="1"/>
  <c r="C512" i="1"/>
  <c r="C511" i="1"/>
  <c r="C510" i="1"/>
  <c r="C509" i="1"/>
  <c r="C506" i="1"/>
  <c r="C505" i="1"/>
  <c r="C504" i="1"/>
  <c r="C503" i="1"/>
  <c r="C502" i="1"/>
  <c r="C501" i="1"/>
  <c r="C500" i="1"/>
  <c r="C499" i="1"/>
  <c r="C498" i="1"/>
  <c r="C497" i="1"/>
  <c r="C496" i="1"/>
  <c r="C493" i="1"/>
  <c r="C492" i="1"/>
  <c r="C491" i="1"/>
  <c r="C490" i="1"/>
  <c r="C489" i="1"/>
  <c r="C473" i="1"/>
  <c r="C472" i="1"/>
  <c r="C467" i="1"/>
  <c r="C466" i="1"/>
  <c r="C465" i="1"/>
  <c r="C464" i="1"/>
  <c r="C463" i="1"/>
  <c r="C462" i="1"/>
  <c r="C461" i="1"/>
  <c r="C460" i="1"/>
  <c r="C459" i="1"/>
  <c r="C458" i="1"/>
  <c r="C457" i="1"/>
  <c r="C456" i="1"/>
  <c r="C455" i="1"/>
  <c r="C454" i="1"/>
  <c r="C453" i="1"/>
  <c r="C452" i="1"/>
  <c r="C451" i="1"/>
  <c r="C448" i="1"/>
  <c r="C447" i="1"/>
  <c r="C446" i="1"/>
  <c r="C445" i="1"/>
  <c r="C444" i="1"/>
  <c r="C443" i="1"/>
  <c r="C442" i="1"/>
  <c r="C441" i="1"/>
  <c r="C440" i="1"/>
  <c r="C439" i="1"/>
  <c r="C436" i="1"/>
  <c r="C435" i="1"/>
  <c r="C434" i="1"/>
  <c r="C433" i="1"/>
  <c r="C432" i="1"/>
  <c r="C431" i="1"/>
  <c r="C430" i="1"/>
  <c r="C429" i="1"/>
  <c r="C428" i="1"/>
  <c r="C422" i="1"/>
  <c r="C421" i="1"/>
  <c r="C420" i="1"/>
  <c r="C419" i="1"/>
  <c r="C418" i="1"/>
  <c r="C417" i="1"/>
  <c r="C416" i="1"/>
  <c r="C415" i="1"/>
  <c r="C414" i="1"/>
  <c r="C413" i="1"/>
  <c r="C412" i="1"/>
  <c r="C411" i="1"/>
  <c r="C408" i="1"/>
  <c r="C407" i="1"/>
  <c r="C406" i="1"/>
  <c r="C405" i="1"/>
  <c r="C404" i="1"/>
  <c r="C403" i="1"/>
  <c r="C402" i="1"/>
  <c r="C401" i="1"/>
  <c r="C400" i="1"/>
  <c r="C399" i="1"/>
  <c r="C398" i="1"/>
  <c r="C397" i="1"/>
  <c r="C394" i="1"/>
  <c r="C393" i="1"/>
  <c r="C392" i="1"/>
  <c r="C391" i="1"/>
  <c r="C390" i="1"/>
  <c r="C389" i="1"/>
  <c r="C388" i="1"/>
  <c r="C387" i="1"/>
  <c r="C386" i="1"/>
  <c r="C385" i="1"/>
  <c r="C384" i="1"/>
  <c r="C383" i="1"/>
  <c r="C382" i="1"/>
  <c r="C381" i="1"/>
  <c r="C380" i="1"/>
  <c r="C379" i="1"/>
  <c r="C378" i="1"/>
  <c r="C373" i="1"/>
  <c r="C372" i="1"/>
  <c r="C371" i="1"/>
  <c r="C370" i="1"/>
  <c r="C369" i="1"/>
  <c r="C368" i="1"/>
  <c r="C367" i="1"/>
  <c r="C366" i="1"/>
  <c r="C365" i="1"/>
  <c r="C364" i="1"/>
  <c r="C363" i="1"/>
  <c r="C362" i="1"/>
  <c r="C361" i="1"/>
  <c r="C360" i="1"/>
  <c r="C359" i="1"/>
  <c r="C358" i="1"/>
  <c r="C357" i="1"/>
  <c r="C356" i="1"/>
  <c r="C355" i="1"/>
  <c r="C352" i="1"/>
  <c r="C351" i="1"/>
  <c r="C350" i="1"/>
  <c r="C347" i="1"/>
  <c r="C346" i="1"/>
  <c r="C345" i="1"/>
  <c r="C344" i="1"/>
  <c r="C343" i="1"/>
  <c r="C342" i="1"/>
  <c r="C341" i="1"/>
  <c r="C340" i="1"/>
  <c r="C339" i="1"/>
  <c r="C338" i="1"/>
  <c r="C337" i="1"/>
  <c r="C336" i="1"/>
  <c r="C335" i="1"/>
  <c r="C334" i="1"/>
  <c r="C333" i="1"/>
  <c r="C332" i="1"/>
  <c r="C331" i="1"/>
  <c r="C330" i="1"/>
  <c r="C327" i="1"/>
  <c r="C326" i="1"/>
  <c r="C325" i="1"/>
  <c r="C324" i="1"/>
  <c r="C323" i="1"/>
  <c r="C322" i="1"/>
  <c r="C321" i="1"/>
  <c r="C320" i="1"/>
  <c r="C319" i="1"/>
  <c r="C318" i="1"/>
  <c r="C317" i="1"/>
  <c r="C316" i="1"/>
  <c r="C315" i="1"/>
  <c r="C311" i="1"/>
  <c r="C310" i="1"/>
  <c r="C309" i="1"/>
  <c r="C308" i="1"/>
  <c r="C307" i="1"/>
  <c r="C306" i="1"/>
  <c r="C305" i="1"/>
  <c r="C304" i="1"/>
  <c r="C303" i="1"/>
  <c r="C302" i="1"/>
  <c r="C301" i="1"/>
  <c r="C300" i="1"/>
  <c r="C299" i="1"/>
  <c r="C298" i="1"/>
  <c r="C297" i="1"/>
  <c r="C296" i="1"/>
  <c r="C295" i="1"/>
  <c r="C294" i="1"/>
  <c r="C293" i="1"/>
  <c r="C292" i="1"/>
  <c r="C291" i="1"/>
  <c r="C285" i="1"/>
  <c r="C286" i="1"/>
  <c r="C284" i="1"/>
  <c r="C283" i="1"/>
  <c r="C282" i="1"/>
  <c r="C281" i="1"/>
  <c r="C273" i="1"/>
  <c r="C274" i="1"/>
  <c r="C275" i="1"/>
  <c r="C277" i="1"/>
  <c r="C278" i="1"/>
  <c r="C279" i="1"/>
  <c r="C280" i="1"/>
  <c r="C272"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29" i="1"/>
  <c r="C228" i="1"/>
  <c r="C227" i="1"/>
  <c r="C226" i="1"/>
  <c r="C225" i="1"/>
  <c r="C224" i="1"/>
  <c r="C223" i="1"/>
  <c r="C222" i="1"/>
  <c r="C211" i="1"/>
  <c r="C218" i="1"/>
  <c r="C217" i="1"/>
  <c r="C216" i="1"/>
  <c r="C215" i="1"/>
  <c r="C214" i="1"/>
  <c r="C213" i="1"/>
  <c r="C212" i="1"/>
  <c r="C100" i="1"/>
  <c r="C99" i="1"/>
  <c r="C98" i="1"/>
  <c r="C97" i="1"/>
  <c r="C96" i="1"/>
  <c r="C95" i="1"/>
  <c r="C94" i="1"/>
  <c r="C93" i="1"/>
  <c r="C90" i="1"/>
  <c r="C89" i="1"/>
  <c r="C88" i="1"/>
  <c r="C87" i="1"/>
  <c r="C86" i="1"/>
  <c r="C85" i="1"/>
  <c r="C84" i="1"/>
  <c r="C83" i="1"/>
  <c r="C82" i="1"/>
  <c r="C81" i="1"/>
  <c r="C80" i="1"/>
  <c r="C79" i="1"/>
  <c r="C78" i="1"/>
  <c r="C69" i="1"/>
  <c r="C70" i="1"/>
  <c r="C71" i="1"/>
  <c r="C72" i="1"/>
  <c r="C73" i="1"/>
  <c r="C74" i="1"/>
  <c r="C75" i="1"/>
  <c r="C68" i="1"/>
  <c r="C67" i="1"/>
  <c r="C66" i="1"/>
  <c r="C65" i="1"/>
  <c r="C64" i="1"/>
  <c r="C63" i="1"/>
  <c r="C62" i="1"/>
  <c r="C58" i="1"/>
  <c r="C59" i="1"/>
  <c r="C55" i="1"/>
  <c r="C56" i="1"/>
  <c r="C57" i="1"/>
  <c r="C49" i="1"/>
  <c r="C50" i="1"/>
  <c r="C51" i="1"/>
  <c r="C52" i="1"/>
  <c r="C53" i="1"/>
  <c r="C54" i="1"/>
  <c r="C48" i="1"/>
  <c r="C37" i="1"/>
  <c r="C38" i="1"/>
  <c r="C39" i="1"/>
  <c r="C40" i="1"/>
  <c r="C41" i="1"/>
  <c r="C42" i="1"/>
  <c r="C43" i="1"/>
  <c r="C44" i="1"/>
  <c r="C45" i="1"/>
  <c r="C36" i="1"/>
  <c r="C27" i="1"/>
  <c r="C28" i="1"/>
  <c r="C29" i="1"/>
  <c r="C30" i="1"/>
  <c r="C31" i="1"/>
  <c r="C32" i="1"/>
  <c r="C33" i="1"/>
  <c r="C26" i="1"/>
  <c r="C12" i="1"/>
  <c r="C13" i="1"/>
  <c r="C14" i="1"/>
  <c r="C15" i="1"/>
  <c r="C16" i="1"/>
  <c r="C17" i="1"/>
  <c r="C18" i="1"/>
  <c r="C19" i="1"/>
  <c r="C20" i="1"/>
  <c r="C21" i="1"/>
  <c r="C22" i="1"/>
  <c r="C23" i="1"/>
  <c r="C11" i="1"/>
  <c r="B11" i="7"/>
  <c r="B6" i="7"/>
  <c r="E439" i="7"/>
  <c r="E443" i="7"/>
  <c r="E444" i="7"/>
  <c r="E445" i="7"/>
  <c r="E446" i="7"/>
  <c r="E447" i="7"/>
  <c r="E448" i="7"/>
  <c r="E449" i="7"/>
  <c r="E450" i="7"/>
  <c r="E451" i="7"/>
  <c r="E452" i="7"/>
  <c r="E453" i="7"/>
  <c r="E454" i="7"/>
  <c r="E455" i="7"/>
  <c r="E456" i="7"/>
  <c r="E457" i="7"/>
  <c r="E441" i="7"/>
  <c r="E442" i="7"/>
  <c r="E440" i="7"/>
  <c r="F441" i="7"/>
  <c r="F442" i="7"/>
  <c r="F443" i="7"/>
  <c r="F444" i="7"/>
  <c r="F445" i="7"/>
  <c r="F446" i="7"/>
  <c r="F447" i="7"/>
  <c r="F448" i="7"/>
  <c r="F449" i="7"/>
  <c r="F450" i="7"/>
  <c r="F451" i="7"/>
  <c r="F452" i="7"/>
  <c r="F453" i="7"/>
  <c r="F454" i="7"/>
  <c r="F455" i="7"/>
  <c r="F456" i="7"/>
  <c r="F457" i="7"/>
  <c r="F440" i="7"/>
  <c r="F439" i="7"/>
  <c r="B409" i="7"/>
  <c r="B373" i="7"/>
  <c r="B349" i="7"/>
  <c r="C305" i="7"/>
  <c r="D305" i="7"/>
  <c r="B302" i="7"/>
  <c r="I281" i="7"/>
  <c r="B280" i="7"/>
  <c r="I258" i="7"/>
  <c r="B257" i="7"/>
  <c r="I235" i="7"/>
  <c r="B234" i="7"/>
  <c r="I212" i="7"/>
  <c r="B211" i="7"/>
  <c r="B42" i="7"/>
  <c r="B188" i="7"/>
  <c r="B165" i="7"/>
  <c r="B142" i="7"/>
  <c r="B119" i="7"/>
  <c r="B93" i="7"/>
  <c r="B68" i="7"/>
  <c r="J189" i="7"/>
  <c r="J166" i="7"/>
  <c r="J143" i="7"/>
  <c r="J120" i="7"/>
  <c r="G95" i="7"/>
  <c r="F95" i="7"/>
  <c r="D95" i="7"/>
  <c r="C95" i="7"/>
  <c r="C139" i="2"/>
  <c r="C140" i="2"/>
  <c r="E140" i="2"/>
  <c r="C141" i="2"/>
  <c r="E141" i="2"/>
  <c r="C142" i="2"/>
  <c r="E142" i="2"/>
  <c r="C143" i="2"/>
  <c r="C144" i="2"/>
  <c r="E144" i="2"/>
  <c r="C145" i="2"/>
  <c r="E145" i="2"/>
  <c r="C146" i="2"/>
  <c r="E146" i="2"/>
  <c r="C147" i="2"/>
  <c r="C148" i="2"/>
  <c r="E148" i="2"/>
  <c r="C149" i="2"/>
  <c r="E149" i="2"/>
  <c r="C150" i="2"/>
  <c r="E150" i="2"/>
  <c r="C151" i="2"/>
  <c r="C152" i="2"/>
  <c r="E152" i="2"/>
  <c r="C153" i="2"/>
  <c r="E153" i="2"/>
  <c r="C154" i="2"/>
  <c r="E154" i="2"/>
  <c r="C155" i="2"/>
  <c r="C138" i="2"/>
  <c r="C137" i="2"/>
  <c r="C6" i="2"/>
  <c r="C6" i="1"/>
  <c r="S193" i="3"/>
  <c r="N506" i="3"/>
  <c r="P506" i="3"/>
  <c r="R506" i="3"/>
  <c r="T506" i="3"/>
  <c r="V506" i="3"/>
  <c r="F490" i="3"/>
  <c r="H490" i="3"/>
  <c r="J490" i="3"/>
  <c r="L490" i="3"/>
  <c r="N490" i="3"/>
  <c r="P490" i="3"/>
  <c r="R490" i="3"/>
  <c r="T490" i="3"/>
  <c r="V490" i="3"/>
  <c r="F491" i="3"/>
  <c r="H491" i="3"/>
  <c r="J491" i="3"/>
  <c r="L491" i="3"/>
  <c r="N491" i="3"/>
  <c r="P491" i="3"/>
  <c r="R491" i="3"/>
  <c r="T491" i="3"/>
  <c r="V491" i="3"/>
  <c r="F492" i="3"/>
  <c r="H492" i="3"/>
  <c r="J492" i="3"/>
  <c r="L492" i="3"/>
  <c r="N492" i="3"/>
  <c r="P492" i="3"/>
  <c r="R492" i="3"/>
  <c r="T492" i="3"/>
  <c r="V492" i="3"/>
  <c r="F493" i="3"/>
  <c r="H493" i="3"/>
  <c r="J493" i="3"/>
  <c r="L493" i="3"/>
  <c r="N493" i="3"/>
  <c r="P493" i="3"/>
  <c r="R493" i="3"/>
  <c r="T493" i="3"/>
  <c r="V493" i="3"/>
  <c r="F412" i="3"/>
  <c r="H412" i="3"/>
  <c r="J412" i="3"/>
  <c r="L412" i="3"/>
  <c r="N412" i="3"/>
  <c r="P412" i="3"/>
  <c r="R412" i="3"/>
  <c r="T412" i="3"/>
  <c r="F413" i="3"/>
  <c r="H413" i="3"/>
  <c r="J413" i="3"/>
  <c r="L413" i="3"/>
  <c r="N413" i="3"/>
  <c r="P413" i="3"/>
  <c r="R413" i="3"/>
  <c r="T413" i="3"/>
  <c r="V413" i="3"/>
  <c r="F414" i="3"/>
  <c r="H414" i="3"/>
  <c r="J414" i="3"/>
  <c r="L414" i="3"/>
  <c r="N414" i="3"/>
  <c r="P414" i="3"/>
  <c r="R414" i="3"/>
  <c r="T414" i="3"/>
  <c r="F415" i="3"/>
  <c r="H415" i="3"/>
  <c r="J415" i="3"/>
  <c r="L415" i="3"/>
  <c r="N415" i="3"/>
  <c r="P415" i="3"/>
  <c r="R415" i="3"/>
  <c r="T415" i="3"/>
  <c r="V415" i="3"/>
  <c r="F416" i="3"/>
  <c r="H416" i="3"/>
  <c r="J416" i="3"/>
  <c r="L416" i="3"/>
  <c r="N416" i="3"/>
  <c r="P416" i="3"/>
  <c r="R416" i="3"/>
  <c r="T416" i="3"/>
  <c r="F417" i="3"/>
  <c r="H417" i="3"/>
  <c r="J417" i="3"/>
  <c r="L417" i="3"/>
  <c r="N417" i="3"/>
  <c r="P417" i="3"/>
  <c r="R417" i="3"/>
  <c r="T417" i="3"/>
  <c r="V417" i="3"/>
  <c r="F418" i="3"/>
  <c r="H418" i="3"/>
  <c r="J418" i="3"/>
  <c r="L418" i="3"/>
  <c r="N418" i="3"/>
  <c r="P418" i="3"/>
  <c r="R418" i="3"/>
  <c r="T418" i="3"/>
  <c r="F419" i="3"/>
  <c r="H419" i="3"/>
  <c r="J419" i="3"/>
  <c r="L419" i="3"/>
  <c r="N419" i="3"/>
  <c r="P419" i="3"/>
  <c r="R419" i="3"/>
  <c r="T419" i="3"/>
  <c r="V419" i="3"/>
  <c r="F420" i="3"/>
  <c r="H420" i="3"/>
  <c r="J420" i="3"/>
  <c r="L420" i="3"/>
  <c r="N420" i="3"/>
  <c r="P420" i="3"/>
  <c r="R420" i="3"/>
  <c r="T420" i="3"/>
  <c r="F421" i="3"/>
  <c r="H421" i="3"/>
  <c r="J421" i="3"/>
  <c r="L421" i="3"/>
  <c r="N421" i="3"/>
  <c r="P421" i="3"/>
  <c r="R421" i="3"/>
  <c r="T421" i="3"/>
  <c r="V421" i="3"/>
  <c r="F422" i="3"/>
  <c r="H422" i="3"/>
  <c r="J422" i="3"/>
  <c r="L422" i="3"/>
  <c r="N422" i="3"/>
  <c r="P422" i="3"/>
  <c r="R422" i="3"/>
  <c r="T422" i="3"/>
  <c r="F194" i="3"/>
  <c r="H194" i="3"/>
  <c r="J194" i="3"/>
  <c r="L194" i="3"/>
  <c r="N194" i="3"/>
  <c r="P194" i="3"/>
  <c r="R194" i="3"/>
  <c r="T194" i="3"/>
  <c r="V194" i="3"/>
  <c r="F195" i="3"/>
  <c r="H195" i="3"/>
  <c r="J195" i="3"/>
  <c r="L195" i="3"/>
  <c r="N195" i="3"/>
  <c r="P195" i="3"/>
  <c r="R195" i="3"/>
  <c r="T195" i="3"/>
  <c r="F196" i="3"/>
  <c r="H196" i="3"/>
  <c r="J196" i="3"/>
  <c r="L196" i="3"/>
  <c r="N196" i="3"/>
  <c r="P196" i="3"/>
  <c r="R196" i="3"/>
  <c r="T196" i="3"/>
  <c r="V196" i="3"/>
  <c r="F197" i="3"/>
  <c r="H197" i="3"/>
  <c r="J197" i="3"/>
  <c r="L197" i="3"/>
  <c r="N197" i="3"/>
  <c r="P197" i="3"/>
  <c r="R197" i="3"/>
  <c r="T197" i="3"/>
  <c r="F198" i="3"/>
  <c r="H198" i="3"/>
  <c r="J198" i="3"/>
  <c r="L198" i="3"/>
  <c r="N198" i="3"/>
  <c r="P198" i="3"/>
  <c r="R198" i="3"/>
  <c r="T198" i="3"/>
  <c r="V198" i="3"/>
  <c r="F199" i="3"/>
  <c r="H199" i="3"/>
  <c r="J199" i="3"/>
  <c r="L199" i="3"/>
  <c r="N199" i="3"/>
  <c r="P199" i="3"/>
  <c r="R199" i="3"/>
  <c r="T199" i="3"/>
  <c r="F200" i="3"/>
  <c r="H200" i="3"/>
  <c r="J200" i="3"/>
  <c r="L200" i="3"/>
  <c r="N200" i="3"/>
  <c r="P200" i="3"/>
  <c r="R200" i="3"/>
  <c r="T200" i="3"/>
  <c r="V200" i="3"/>
  <c r="F202" i="3"/>
  <c r="H202" i="3"/>
  <c r="J202" i="3"/>
  <c r="L202" i="3"/>
  <c r="N202" i="3"/>
  <c r="P202" i="3"/>
  <c r="R202" i="3"/>
  <c r="T202" i="3"/>
  <c r="V202" i="3"/>
  <c r="F204" i="3"/>
  <c r="H204" i="3"/>
  <c r="J204" i="3"/>
  <c r="L204" i="3"/>
  <c r="N204" i="3"/>
  <c r="P204" i="3"/>
  <c r="R204" i="3"/>
  <c r="T204" i="3"/>
  <c r="V204" i="3"/>
  <c r="F205" i="3"/>
  <c r="H205" i="3"/>
  <c r="J205" i="3"/>
  <c r="L205" i="3"/>
  <c r="N205" i="3"/>
  <c r="P205" i="3"/>
  <c r="R205" i="3"/>
  <c r="T205" i="3"/>
  <c r="F206" i="3"/>
  <c r="H206" i="3"/>
  <c r="J206" i="3"/>
  <c r="L206" i="3"/>
  <c r="N206" i="3"/>
  <c r="P206" i="3"/>
  <c r="R206" i="3"/>
  <c r="T206" i="3"/>
  <c r="V206" i="3"/>
  <c r="O174" i="3"/>
  <c r="O113" i="3"/>
  <c r="S463" i="3"/>
  <c r="M445" i="3"/>
  <c r="K407" i="3"/>
  <c r="G394" i="3"/>
  <c r="E387" i="3"/>
  <c r="O368" i="3"/>
  <c r="E364" i="3"/>
  <c r="E360" i="3"/>
  <c r="I356" i="3"/>
  <c r="Q347" i="3"/>
  <c r="E344" i="3"/>
  <c r="I340" i="3"/>
  <c r="M336" i="3"/>
  <c r="Q332" i="3"/>
  <c r="E326" i="3"/>
  <c r="M322" i="3"/>
  <c r="K315" i="3"/>
  <c r="O308" i="3"/>
  <c r="Q306" i="3"/>
  <c r="S304" i="3"/>
  <c r="E303" i="3"/>
  <c r="G301" i="3"/>
  <c r="I299" i="3"/>
  <c r="K297" i="3"/>
  <c r="M295" i="3"/>
  <c r="O293" i="3"/>
  <c r="Q291" i="3"/>
  <c r="K285" i="3"/>
  <c r="M283" i="3"/>
  <c r="O281" i="3"/>
  <c r="Q279" i="3"/>
  <c r="S277" i="3"/>
  <c r="U274" i="3"/>
  <c r="E273" i="3"/>
  <c r="Q235" i="3"/>
  <c r="O237" i="3"/>
  <c r="M239" i="3"/>
  <c r="K241" i="3"/>
  <c r="I243" i="3"/>
  <c r="Q244" i="3"/>
  <c r="O245" i="3"/>
  <c r="O246" i="3"/>
  <c r="M247" i="3"/>
  <c r="M248" i="3"/>
  <c r="K249" i="3"/>
  <c r="K250" i="3"/>
  <c r="I251" i="3"/>
  <c r="I252" i="3"/>
  <c r="G253" i="3"/>
  <c r="G254" i="3"/>
  <c r="E255" i="3"/>
  <c r="E256" i="3"/>
  <c r="U256" i="3"/>
  <c r="S257" i="3"/>
  <c r="S258" i="3"/>
  <c r="Q259" i="3"/>
  <c r="Q260" i="3"/>
  <c r="O261" i="3"/>
  <c r="O262" i="3"/>
  <c r="M263" i="3"/>
  <c r="M264" i="3"/>
  <c r="K265" i="3"/>
  <c r="K266" i="3"/>
  <c r="I267" i="3"/>
  <c r="I268" i="3"/>
  <c r="G269" i="3"/>
  <c r="S230" i="3"/>
  <c r="U229" i="3"/>
  <c r="E229" i="3"/>
  <c r="G228" i="3"/>
  <c r="I227" i="3"/>
  <c r="K226" i="3"/>
  <c r="M225" i="3"/>
  <c r="O224" i="3"/>
  <c r="Q223" i="3"/>
  <c r="S219" i="3"/>
  <c r="U218" i="3"/>
  <c r="E218" i="3"/>
  <c r="G217" i="3"/>
  <c r="I216" i="3"/>
  <c r="K215" i="3"/>
  <c r="M214" i="3"/>
  <c r="O213" i="3"/>
  <c r="Q212" i="3"/>
  <c r="E99" i="3"/>
  <c r="S100" i="3"/>
  <c r="S99" i="3"/>
  <c r="T98" i="3"/>
  <c r="R98" i="3"/>
  <c r="P98" i="3"/>
  <c r="N98" i="3"/>
  <c r="L98" i="3"/>
  <c r="J98" i="3"/>
  <c r="H98" i="3"/>
  <c r="F98" i="3"/>
  <c r="S97" i="3"/>
  <c r="S96" i="3"/>
  <c r="S95" i="3"/>
  <c r="S94" i="3"/>
  <c r="S93" i="3"/>
  <c r="E89" i="3"/>
  <c r="E81" i="3"/>
  <c r="K90" i="3"/>
  <c r="K89" i="3"/>
  <c r="K88" i="3"/>
  <c r="K87" i="3"/>
  <c r="K86" i="3"/>
  <c r="K85" i="3"/>
  <c r="K84" i="3"/>
  <c r="K83" i="3"/>
  <c r="K82" i="3"/>
  <c r="K81" i="3"/>
  <c r="K80" i="3"/>
  <c r="K79" i="3"/>
  <c r="K75" i="3"/>
  <c r="M74" i="3"/>
  <c r="O73" i="3"/>
  <c r="Q72" i="3"/>
  <c r="S71" i="3"/>
  <c r="U70" i="3"/>
  <c r="E70" i="3"/>
  <c r="G69" i="3"/>
  <c r="I68" i="3"/>
  <c r="K67" i="3"/>
  <c r="M66" i="3"/>
  <c r="O65" i="3"/>
  <c r="Q64" i="3"/>
  <c r="S63" i="3"/>
  <c r="E49" i="3"/>
  <c r="U49" i="3"/>
  <c r="K50" i="3"/>
  <c r="S50" i="3"/>
  <c r="I51" i="3"/>
  <c r="Q51" i="3"/>
  <c r="G52" i="3"/>
  <c r="O52" i="3"/>
  <c r="E53" i="3"/>
  <c r="M53" i="3"/>
  <c r="U53" i="3"/>
  <c r="K54" i="3"/>
  <c r="S54" i="3"/>
  <c r="I55" i="3"/>
  <c r="Q55" i="3"/>
  <c r="G56" i="3"/>
  <c r="O56" i="3"/>
  <c r="E57" i="3"/>
  <c r="M57" i="3"/>
  <c r="U57" i="3"/>
  <c r="K58" i="3"/>
  <c r="S58" i="3"/>
  <c r="I59" i="3"/>
  <c r="Q59" i="3"/>
  <c r="I37" i="3"/>
  <c r="Q37" i="3"/>
  <c r="I38" i="3"/>
  <c r="Q38" i="3"/>
  <c r="I39" i="3"/>
  <c r="Q39" i="3"/>
  <c r="I40" i="3"/>
  <c r="Q40" i="3"/>
  <c r="I41" i="3"/>
  <c r="Q41" i="3"/>
  <c r="I42" i="3"/>
  <c r="Q42" i="3"/>
  <c r="I43" i="3"/>
  <c r="Q43" i="3"/>
  <c r="I44" i="3"/>
  <c r="Q44" i="3"/>
  <c r="I45" i="3"/>
  <c r="Q45" i="3"/>
  <c r="E38" i="3"/>
  <c r="E42" i="3"/>
  <c r="I27" i="3"/>
  <c r="Q27" i="3"/>
  <c r="K28" i="3"/>
  <c r="O28" i="3"/>
  <c r="S28" i="3"/>
  <c r="I29" i="3"/>
  <c r="M29" i="3"/>
  <c r="Q29" i="3"/>
  <c r="U29" i="3"/>
  <c r="K30" i="3"/>
  <c r="O30" i="3"/>
  <c r="S30" i="3"/>
  <c r="I31" i="3"/>
  <c r="M31" i="3"/>
  <c r="Q31" i="3"/>
  <c r="U31" i="3"/>
  <c r="K32" i="3"/>
  <c r="O32" i="3"/>
  <c r="S32" i="3"/>
  <c r="I33" i="3"/>
  <c r="M33" i="3"/>
  <c r="Q33" i="3"/>
  <c r="U33" i="3"/>
  <c r="M26" i="3"/>
  <c r="I26" i="3"/>
  <c r="U13" i="3"/>
  <c r="U15" i="3"/>
  <c r="U17" i="3"/>
  <c r="U19" i="3"/>
  <c r="U21" i="3"/>
  <c r="U23" i="3"/>
  <c r="S13" i="3"/>
  <c r="S15" i="3"/>
  <c r="S17" i="3"/>
  <c r="S19" i="3"/>
  <c r="S21" i="3"/>
  <c r="S23" i="3"/>
  <c r="Q13" i="3"/>
  <c r="Q15" i="3"/>
  <c r="Q17" i="3"/>
  <c r="Q19" i="3"/>
  <c r="Q21" i="3"/>
  <c r="Q23" i="3"/>
  <c r="O13" i="3"/>
  <c r="O15" i="3"/>
  <c r="O17" i="3"/>
  <c r="O19" i="3"/>
  <c r="O21" i="3"/>
  <c r="O23" i="3"/>
  <c r="M13" i="3"/>
  <c r="M15" i="3"/>
  <c r="M17" i="3"/>
  <c r="M19" i="3"/>
  <c r="M21" i="3"/>
  <c r="M23" i="3"/>
  <c r="K13" i="3"/>
  <c r="K15" i="3"/>
  <c r="K17" i="3"/>
  <c r="K19" i="3"/>
  <c r="K21" i="3"/>
  <c r="K23" i="3"/>
  <c r="I13" i="3"/>
  <c r="I15" i="3"/>
  <c r="I17" i="3"/>
  <c r="I19" i="3"/>
  <c r="I21" i="3"/>
  <c r="I23" i="3"/>
  <c r="S26" i="3"/>
  <c r="G27" i="3"/>
  <c r="G29" i="3"/>
  <c r="G31" i="3"/>
  <c r="G33" i="3"/>
  <c r="G12" i="3"/>
  <c r="G14" i="3"/>
  <c r="G16" i="3"/>
  <c r="G18" i="3"/>
  <c r="G20" i="3"/>
  <c r="G22" i="3"/>
  <c r="E12" i="3"/>
  <c r="E14" i="3"/>
  <c r="E16" i="3"/>
  <c r="E18" i="3"/>
  <c r="E20" i="3"/>
  <c r="E22" i="3"/>
  <c r="E32" i="3"/>
  <c r="E28" i="3"/>
  <c r="V33" i="1"/>
  <c r="V31" i="1"/>
  <c r="V29" i="1"/>
  <c r="V27" i="1"/>
  <c r="B33" i="2"/>
  <c r="G222" i="3"/>
  <c r="K222" i="3"/>
  <c r="O222" i="3"/>
  <c r="S222" i="3"/>
  <c r="G211" i="3"/>
  <c r="K211" i="3"/>
  <c r="O211" i="3"/>
  <c r="S211" i="3"/>
  <c r="G192" i="3"/>
  <c r="K192" i="3"/>
  <c r="O192" i="3"/>
  <c r="S192" i="3"/>
  <c r="G164" i="3"/>
  <c r="K164" i="3"/>
  <c r="O164" i="3"/>
  <c r="S164" i="3"/>
  <c r="G159" i="3"/>
  <c r="K159" i="3"/>
  <c r="O159" i="3"/>
  <c r="S159" i="3"/>
  <c r="G147" i="3"/>
  <c r="K147" i="3"/>
  <c r="O147" i="3"/>
  <c r="S147" i="3"/>
  <c r="G127" i="3"/>
  <c r="K127" i="3"/>
  <c r="O127" i="3"/>
  <c r="S127" i="3"/>
  <c r="E127" i="3"/>
  <c r="V133" i="1"/>
  <c r="G124" i="3"/>
  <c r="K124" i="3"/>
  <c r="Q109" i="3"/>
  <c r="U109" i="3"/>
  <c r="I109" i="3"/>
  <c r="M109" i="3"/>
  <c r="V512" i="1"/>
  <c r="V323" i="1"/>
  <c r="V95" i="1"/>
  <c r="I78" i="3"/>
  <c r="M78" i="3"/>
  <c r="Q78" i="3"/>
  <c r="U78" i="3"/>
  <c r="I62" i="3"/>
  <c r="M62" i="3"/>
  <c r="Q62" i="3"/>
  <c r="U62" i="3"/>
  <c r="I48" i="3"/>
  <c r="M48" i="3"/>
  <c r="Q48" i="3"/>
  <c r="U48" i="3"/>
  <c r="U36" i="3"/>
  <c r="O36" i="3"/>
  <c r="S36" i="3"/>
  <c r="K36" i="3"/>
  <c r="G11" i="3"/>
  <c r="I11" i="3"/>
  <c r="M11" i="3"/>
  <c r="Q11" i="3"/>
  <c r="U11" i="3"/>
  <c r="V528" i="1"/>
  <c r="V527" i="1"/>
  <c r="K527" i="1"/>
  <c r="L527" i="1"/>
  <c r="M527" i="1"/>
  <c r="N527" i="1"/>
  <c r="O527" i="1"/>
  <c r="P527" i="1"/>
  <c r="Q527" i="1"/>
  <c r="R527" i="1"/>
  <c r="S527" i="1"/>
  <c r="T527" i="1"/>
  <c r="U527" i="1"/>
  <c r="E527" i="1"/>
  <c r="F527" i="1"/>
  <c r="G527" i="3"/>
  <c r="G527" i="1"/>
  <c r="H527" i="1"/>
  <c r="I527" i="3"/>
  <c r="I527" i="1"/>
  <c r="J527" i="1"/>
  <c r="K527" i="3"/>
  <c r="D527" i="1"/>
  <c r="V523" i="1"/>
  <c r="E522" i="1"/>
  <c r="F522" i="1"/>
  <c r="G522" i="3"/>
  <c r="G522" i="1"/>
  <c r="H522" i="1"/>
  <c r="I522" i="3"/>
  <c r="I522" i="1"/>
  <c r="J522" i="1"/>
  <c r="K522" i="3"/>
  <c r="K522" i="1"/>
  <c r="L522" i="1"/>
  <c r="M522" i="3"/>
  <c r="M522" i="1"/>
  <c r="N522" i="1"/>
  <c r="O522" i="3"/>
  <c r="O522" i="1"/>
  <c r="P522" i="1"/>
  <c r="Q522" i="3"/>
  <c r="Q522" i="1"/>
  <c r="R522" i="1"/>
  <c r="S522" i="3"/>
  <c r="S522" i="1"/>
  <c r="T522" i="1"/>
  <c r="U522" i="3"/>
  <c r="U522" i="1"/>
  <c r="D522" i="1"/>
  <c r="E522" i="3"/>
  <c r="V373" i="1"/>
  <c r="V535" i="1"/>
  <c r="V534" i="1"/>
  <c r="V492" i="1"/>
  <c r="V285" i="1"/>
  <c r="V281" i="1"/>
  <c r="V277" i="1"/>
  <c r="V135" i="1"/>
  <c r="V132" i="1"/>
  <c r="E211" i="3"/>
  <c r="V212" i="1"/>
  <c r="V12" i="1"/>
  <c r="V159" i="1"/>
  <c r="V489" i="1"/>
  <c r="V490" i="1"/>
  <c r="V491" i="1"/>
  <c r="V493" i="1"/>
  <c r="V496" i="1"/>
  <c r="V497" i="1"/>
  <c r="V498" i="1"/>
  <c r="V499" i="1"/>
  <c r="V500" i="1"/>
  <c r="V501" i="1"/>
  <c r="V502" i="1"/>
  <c r="V503" i="1"/>
  <c r="V504" i="1"/>
  <c r="V505" i="1"/>
  <c r="V506" i="1"/>
  <c r="V531" i="1"/>
  <c r="V532" i="1"/>
  <c r="V533" i="1"/>
  <c r="V536" i="1"/>
  <c r="V509" i="1"/>
  <c r="V510" i="1"/>
  <c r="V511" i="1"/>
  <c r="V514" i="1"/>
  <c r="V515" i="1"/>
  <c r="V516" i="1"/>
  <c r="V517" i="1"/>
  <c r="V518" i="1"/>
  <c r="V519" i="1"/>
  <c r="V520" i="1"/>
  <c r="S123" i="3"/>
  <c r="K123" i="3"/>
  <c r="E383" i="7"/>
  <c r="V78" i="1"/>
  <c r="V79" i="1"/>
  <c r="V80" i="1"/>
  <c r="V81" i="1"/>
  <c r="V82" i="1"/>
  <c r="V83" i="1"/>
  <c r="V84" i="1"/>
  <c r="V85" i="1"/>
  <c r="V86" i="1"/>
  <c r="V87" i="1"/>
  <c r="V88" i="1"/>
  <c r="V89" i="1"/>
  <c r="V90" i="1"/>
  <c r="V62" i="1"/>
  <c r="V63" i="1"/>
  <c r="V64" i="1"/>
  <c r="V65" i="1"/>
  <c r="V66" i="1"/>
  <c r="V67" i="1"/>
  <c r="V68" i="1"/>
  <c r="V69" i="1"/>
  <c r="V70" i="1"/>
  <c r="V71" i="1"/>
  <c r="V72" i="1"/>
  <c r="V73" i="1"/>
  <c r="V74" i="1"/>
  <c r="V75" i="1"/>
  <c r="V48" i="1"/>
  <c r="V49" i="1"/>
  <c r="V50" i="1"/>
  <c r="V51" i="1"/>
  <c r="V52" i="1"/>
  <c r="V53" i="1"/>
  <c r="V54" i="1"/>
  <c r="V55" i="1"/>
  <c r="V56" i="1"/>
  <c r="V57" i="1"/>
  <c r="V58" i="1"/>
  <c r="V59" i="1"/>
  <c r="V36" i="1"/>
  <c r="V37" i="1"/>
  <c r="V38" i="1"/>
  <c r="V39" i="1"/>
  <c r="V40" i="1"/>
  <c r="V41" i="1"/>
  <c r="V42" i="1"/>
  <c r="V43" i="1"/>
  <c r="V44" i="1"/>
  <c r="V45" i="1"/>
  <c r="V11" i="1"/>
  <c r="V14" i="1"/>
  <c r="V16" i="1"/>
  <c r="V18" i="1"/>
  <c r="V20" i="1"/>
  <c r="V22" i="1"/>
  <c r="V93" i="1"/>
  <c r="V97" i="1"/>
  <c r="V99" i="1"/>
  <c r="V109" i="1"/>
  <c r="V111" i="1"/>
  <c r="V113" i="1"/>
  <c r="V115" i="1"/>
  <c r="V117" i="1"/>
  <c r="V119" i="1"/>
  <c r="V121" i="1"/>
  <c r="V127" i="1"/>
  <c r="V129" i="1"/>
  <c r="V130" i="1"/>
  <c r="V131" i="1"/>
  <c r="V136" i="1"/>
  <c r="V137" i="1"/>
  <c r="V138" i="1"/>
  <c r="V139" i="1"/>
  <c r="V140" i="1"/>
  <c r="V141" i="1"/>
  <c r="V142" i="1"/>
  <c r="V143" i="1"/>
  <c r="V144" i="1"/>
  <c r="V147" i="1"/>
  <c r="V148" i="1"/>
  <c r="V149" i="1"/>
  <c r="V150" i="1"/>
  <c r="V151" i="1"/>
  <c r="V152" i="1"/>
  <c r="V153" i="1"/>
  <c r="V154" i="1"/>
  <c r="V155" i="1"/>
  <c r="V156" i="1"/>
  <c r="V161" i="1"/>
  <c r="V165" i="1"/>
  <c r="V167" i="1"/>
  <c r="V169" i="1"/>
  <c r="V171" i="1"/>
  <c r="V173" i="1"/>
  <c r="V175" i="1"/>
  <c r="V177" i="1"/>
  <c r="V179" i="1"/>
  <c r="V181" i="1"/>
  <c r="V183" i="1"/>
  <c r="V185" i="1"/>
  <c r="V187" i="1"/>
  <c r="V194" i="1"/>
  <c r="V196" i="1"/>
  <c r="V198" i="1"/>
  <c r="V200" i="1"/>
  <c r="V204" i="1"/>
  <c r="V206" i="1"/>
  <c r="V214" i="1"/>
  <c r="V216" i="1"/>
  <c r="V218" i="1"/>
  <c r="V222" i="1"/>
  <c r="V224" i="1"/>
  <c r="V226" i="1"/>
  <c r="V228" i="1"/>
  <c r="V230" i="1"/>
  <c r="V235" i="1"/>
  <c r="V237" i="1"/>
  <c r="V239" i="1"/>
  <c r="V241" i="1"/>
  <c r="V243" i="1"/>
  <c r="V245" i="1"/>
  <c r="V247" i="1"/>
  <c r="V249" i="1"/>
  <c r="V251" i="1"/>
  <c r="V253" i="1"/>
  <c r="V255" i="1"/>
  <c r="V257" i="1"/>
  <c r="V259" i="1"/>
  <c r="V261" i="1"/>
  <c r="V263" i="1"/>
  <c r="V265" i="1"/>
  <c r="V268" i="1"/>
  <c r="V274" i="1"/>
  <c r="V286" i="1"/>
  <c r="V292" i="1"/>
  <c r="V294" i="1"/>
  <c r="V296" i="1"/>
  <c r="V298" i="1"/>
  <c r="V300" i="1"/>
  <c r="V302" i="1"/>
  <c r="V304" i="1"/>
  <c r="V306" i="1"/>
  <c r="V308" i="1"/>
  <c r="V315" i="1"/>
  <c r="V319" i="1"/>
  <c r="V326" i="1"/>
  <c r="V332" i="1"/>
  <c r="V336" i="1"/>
  <c r="V340" i="1"/>
  <c r="V344" i="1"/>
  <c r="V350" i="1"/>
  <c r="V356" i="1"/>
  <c r="V360" i="1"/>
  <c r="V364" i="1"/>
  <c r="V368" i="1"/>
  <c r="V372" i="1"/>
  <c r="V381" i="1"/>
  <c r="V385" i="1"/>
  <c r="V389" i="1"/>
  <c r="V393" i="1"/>
  <c r="V399" i="1"/>
  <c r="V403" i="1"/>
  <c r="V407" i="1"/>
  <c r="V413" i="1"/>
  <c r="V417" i="1"/>
  <c r="V421" i="1"/>
  <c r="V430" i="1"/>
  <c r="V434" i="1"/>
  <c r="V440" i="1"/>
  <c r="V444" i="1"/>
  <c r="V448" i="1"/>
  <c r="V454" i="1"/>
  <c r="V458" i="1"/>
  <c r="V460" i="1"/>
  <c r="V462" i="1"/>
  <c r="V464" i="1"/>
  <c r="V466" i="1"/>
  <c r="U78" i="2"/>
  <c r="U77" i="2"/>
  <c r="U76" i="2"/>
  <c r="U75" i="2"/>
  <c r="U74" i="2"/>
  <c r="U73" i="2"/>
  <c r="U72" i="2"/>
  <c r="U71" i="2"/>
  <c r="U70" i="2"/>
  <c r="U69" i="2"/>
  <c r="U68" i="2"/>
  <c r="U67" i="2"/>
  <c r="U66" i="2"/>
  <c r="U65" i="2"/>
  <c r="U64" i="2"/>
  <c r="U62" i="2"/>
  <c r="U61" i="2"/>
  <c r="U52" i="2"/>
  <c r="U79" i="2"/>
  <c r="U94" i="2"/>
  <c r="J313" i="7"/>
  <c r="I313" i="7"/>
  <c r="H313" i="7"/>
  <c r="G313" i="7"/>
  <c r="F89" i="7"/>
  <c r="E489" i="3"/>
  <c r="I489" i="3"/>
  <c r="M489" i="3"/>
  <c r="Q489" i="3"/>
  <c r="U489" i="3"/>
  <c r="G496" i="3"/>
  <c r="K496" i="3"/>
  <c r="O496" i="3"/>
  <c r="S496" i="3"/>
  <c r="E509" i="3"/>
  <c r="I509" i="3"/>
  <c r="M509" i="3"/>
  <c r="Q509" i="3"/>
  <c r="U509" i="3"/>
  <c r="G531" i="3"/>
  <c r="K531" i="3"/>
  <c r="O531" i="3"/>
  <c r="S531" i="3"/>
  <c r="E26" i="3"/>
  <c r="E62" i="3"/>
  <c r="E109" i="3"/>
  <c r="E124" i="3"/>
  <c r="Q124" i="3"/>
  <c r="U124" i="3"/>
  <c r="E159" i="3"/>
  <c r="E192" i="3"/>
  <c r="E234" i="3"/>
  <c r="I234" i="3"/>
  <c r="M234" i="3"/>
  <c r="Q234" i="3"/>
  <c r="U234" i="3"/>
  <c r="G291" i="3"/>
  <c r="K291" i="3"/>
  <c r="E330" i="3"/>
  <c r="I330" i="3"/>
  <c r="M330" i="3"/>
  <c r="Q330" i="3"/>
  <c r="U330" i="3"/>
  <c r="M350" i="3"/>
  <c r="Q350" i="3"/>
  <c r="U350" i="3"/>
  <c r="G378" i="3"/>
  <c r="K378" i="3"/>
  <c r="O378" i="3"/>
  <c r="S378" i="3"/>
  <c r="E397" i="3"/>
  <c r="I397" i="3"/>
  <c r="M397" i="3"/>
  <c r="Q397" i="3"/>
  <c r="E411" i="3"/>
  <c r="I411" i="3"/>
  <c r="M411" i="3"/>
  <c r="Q411" i="3"/>
  <c r="U411" i="3"/>
  <c r="G428" i="3"/>
  <c r="K428" i="3"/>
  <c r="O428" i="3"/>
  <c r="S428" i="3"/>
  <c r="G439" i="3"/>
  <c r="K439" i="3"/>
  <c r="O439" i="3"/>
  <c r="S439" i="3"/>
  <c r="E451" i="3"/>
  <c r="I451" i="3"/>
  <c r="M451" i="3"/>
  <c r="Q451" i="3"/>
  <c r="U451" i="3"/>
  <c r="T377" i="1"/>
  <c r="U377" i="3"/>
  <c r="T146" i="1"/>
  <c r="S438" i="1"/>
  <c r="S354" i="1"/>
  <c r="S329" i="1"/>
  <c r="S25" i="1"/>
  <c r="R191" i="1"/>
  <c r="N48" i="2"/>
  <c r="N75" i="2"/>
  <c r="R427" i="1"/>
  <c r="R233" i="1"/>
  <c r="F48" i="2"/>
  <c r="F75" i="2"/>
  <c r="R47" i="1"/>
  <c r="Q314" i="1"/>
  <c r="Q158" i="1"/>
  <c r="Q61" i="1"/>
  <c r="P471" i="1"/>
  <c r="L46" i="2"/>
  <c r="L73" i="2"/>
  <c r="P221" i="1"/>
  <c r="P163" i="1"/>
  <c r="P47" i="1"/>
  <c r="Q47" i="3"/>
  <c r="O314" i="1"/>
  <c r="O10" i="1"/>
  <c r="O77" i="1"/>
  <c r="N471" i="1"/>
  <c r="L44" i="2"/>
  <c r="L71" i="2"/>
  <c r="N410" i="1"/>
  <c r="N92" i="1"/>
  <c r="O92" i="3"/>
  <c r="M450" i="1"/>
  <c r="M396" i="1"/>
  <c r="M349" i="1"/>
  <c r="M126" i="1"/>
  <c r="M10" i="1"/>
  <c r="U163" i="1"/>
  <c r="T314" i="1"/>
  <c r="T158" i="1"/>
  <c r="U158" i="3"/>
  <c r="T61" i="1"/>
  <c r="S450" i="1"/>
  <c r="S396" i="1"/>
  <c r="S349" i="1"/>
  <c r="S10" i="1"/>
  <c r="S77" i="1"/>
  <c r="R410" i="1"/>
  <c r="R126" i="1"/>
  <c r="S126" i="3"/>
  <c r="Q377" i="1"/>
  <c r="Q290" i="1"/>
  <c r="Q146" i="1"/>
  <c r="P271" i="1"/>
  <c r="G46" i="2"/>
  <c r="G73" i="2"/>
  <c r="P210" i="1"/>
  <c r="P126" i="1"/>
  <c r="Q126" i="3"/>
  <c r="O377" i="1"/>
  <c r="O290" i="1"/>
  <c r="O25" i="1"/>
  <c r="N191" i="1"/>
  <c r="N44" i="2"/>
  <c r="N71" i="2"/>
  <c r="N427" i="1"/>
  <c r="N233" i="1"/>
  <c r="F44" i="2"/>
  <c r="F71" i="2"/>
  <c r="N108" i="1"/>
  <c r="N35" i="1"/>
  <c r="O35" i="3"/>
  <c r="M438" i="1"/>
  <c r="M354" i="1"/>
  <c r="M329" i="1"/>
  <c r="M163" i="1"/>
  <c r="M47" i="1"/>
  <c r="M77" i="1"/>
  <c r="L410" i="1"/>
  <c r="M25" i="1"/>
  <c r="L191" i="1"/>
  <c r="L427" i="1"/>
  <c r="M427" i="3"/>
  <c r="L233" i="1"/>
  <c r="L108" i="1"/>
  <c r="M108" i="3"/>
  <c r="C385" i="7"/>
  <c r="L35" i="1"/>
  <c r="K438" i="1"/>
  <c r="K354" i="1"/>
  <c r="K329" i="1"/>
  <c r="K25" i="1"/>
  <c r="J191" i="1"/>
  <c r="N40" i="2"/>
  <c r="N67" i="2"/>
  <c r="J427" i="1"/>
  <c r="J233" i="1"/>
  <c r="F40" i="2"/>
  <c r="F67" i="2"/>
  <c r="J108" i="1"/>
  <c r="J35" i="1"/>
  <c r="K35" i="3"/>
  <c r="I438" i="1"/>
  <c r="I354" i="1"/>
  <c r="I329" i="1"/>
  <c r="I25" i="1"/>
  <c r="H191" i="1"/>
  <c r="H427" i="1"/>
  <c r="I427" i="3"/>
  <c r="H233" i="1"/>
  <c r="G210" i="1"/>
  <c r="G126" i="1"/>
  <c r="F377" i="1"/>
  <c r="G377" i="3"/>
  <c r="F290" i="1"/>
  <c r="F146" i="1"/>
  <c r="G146" i="3"/>
  <c r="E271" i="1"/>
  <c r="G35" i="2"/>
  <c r="G62" i="2"/>
  <c r="E146" i="1"/>
  <c r="D191" i="1"/>
  <c r="N34" i="2"/>
  <c r="N61" i="2"/>
  <c r="D427" i="1"/>
  <c r="E427" i="3"/>
  <c r="D233" i="1"/>
  <c r="F34" i="2"/>
  <c r="F61" i="2"/>
  <c r="D108" i="1"/>
  <c r="E108" i="3"/>
  <c r="C377" i="7"/>
  <c r="D35" i="1"/>
  <c r="R530" i="1"/>
  <c r="W48" i="2"/>
  <c r="W75" i="2"/>
  <c r="Q508" i="1"/>
  <c r="Y47" i="2"/>
  <c r="Y74" i="2"/>
  <c r="P488" i="1"/>
  <c r="Q488" i="3"/>
  <c r="N530" i="1"/>
  <c r="J495" i="1"/>
  <c r="S40" i="2"/>
  <c r="S67" i="2"/>
  <c r="F495" i="1"/>
  <c r="L92" i="1"/>
  <c r="M92" i="3"/>
  <c r="K396" i="1"/>
  <c r="K349" i="1"/>
  <c r="K10" i="1"/>
  <c r="K77" i="1"/>
  <c r="J410" i="1"/>
  <c r="J92" i="1"/>
  <c r="K92" i="3"/>
  <c r="I396" i="1"/>
  <c r="I349" i="1"/>
  <c r="I10" i="1"/>
  <c r="I77" i="1"/>
  <c r="H410" i="1"/>
  <c r="G221" i="1"/>
  <c r="G163" i="1"/>
  <c r="G47" i="1"/>
  <c r="F314" i="1"/>
  <c r="F158" i="1"/>
  <c r="G158" i="3"/>
  <c r="F61" i="1"/>
  <c r="E158" i="1"/>
  <c r="E61" i="1"/>
  <c r="D410" i="1"/>
  <c r="E410" i="3"/>
  <c r="D92" i="1"/>
  <c r="T495" i="1"/>
  <c r="S50" i="2"/>
  <c r="S77" i="2"/>
  <c r="R488" i="1"/>
  <c r="R48" i="2"/>
  <c r="R75" i="2"/>
  <c r="P530" i="1"/>
  <c r="W46" i="2"/>
  <c r="W73" i="2"/>
  <c r="O508" i="1"/>
  <c r="Y45" i="2"/>
  <c r="Y72" i="2"/>
  <c r="L495" i="1"/>
  <c r="S42" i="2"/>
  <c r="S69" i="2"/>
  <c r="H495" i="1"/>
  <c r="D495" i="1"/>
  <c r="S34" i="2"/>
  <c r="S61" i="2"/>
  <c r="S471" i="1"/>
  <c r="L49" i="2"/>
  <c r="L76" i="2"/>
  <c r="R349" i="1"/>
  <c r="R210" i="1"/>
  <c r="S210" i="3"/>
  <c r="Q221" i="1"/>
  <c r="Q163" i="1"/>
  <c r="Q10" i="1"/>
  <c r="Q47" i="1"/>
  <c r="P191" i="1"/>
  <c r="P427" i="1"/>
  <c r="Q427" i="3"/>
  <c r="P377" i="1"/>
  <c r="P314" i="1"/>
  <c r="Q314" i="3"/>
  <c r="P233" i="1"/>
  <c r="F46" i="2"/>
  <c r="F73" i="2"/>
  <c r="P146" i="1"/>
  <c r="Q146" i="3"/>
  <c r="P108" i="1"/>
  <c r="P35" i="1"/>
  <c r="Q35" i="3"/>
  <c r="O450" i="1"/>
  <c r="O396" i="1"/>
  <c r="O354" i="1"/>
  <c r="O329" i="1"/>
  <c r="O271" i="1"/>
  <c r="O158" i="1"/>
  <c r="O92" i="1"/>
  <c r="O61" i="1"/>
  <c r="N438" i="1"/>
  <c r="N349" i="1"/>
  <c r="O349" i="3"/>
  <c r="N210" i="1"/>
  <c r="N126" i="1"/>
  <c r="O126" i="3"/>
  <c r="N25" i="1"/>
  <c r="N77" i="1"/>
  <c r="O77" i="3"/>
  <c r="M471" i="1"/>
  <c r="L43" i="2"/>
  <c r="L70" i="2"/>
  <c r="M410" i="1"/>
  <c r="M290" i="1"/>
  <c r="M158" i="1"/>
  <c r="M92" i="1"/>
  <c r="M61" i="1"/>
  <c r="L438" i="1"/>
  <c r="L349" i="1"/>
  <c r="M349" i="3"/>
  <c r="L210" i="1"/>
  <c r="L126" i="1"/>
  <c r="M126" i="3"/>
  <c r="L25" i="1"/>
  <c r="L77" i="1"/>
  <c r="M77" i="3"/>
  <c r="K471" i="1"/>
  <c r="K410" i="1"/>
  <c r="K290" i="1"/>
  <c r="K158" i="1"/>
  <c r="I471" i="1"/>
  <c r="L39" i="2"/>
  <c r="L66" i="2"/>
  <c r="H108" i="1"/>
  <c r="I108" i="3"/>
  <c r="C381" i="7"/>
  <c r="H35" i="1"/>
  <c r="G271" i="1"/>
  <c r="G37" i="2"/>
  <c r="G64" i="2"/>
  <c r="R396" i="1"/>
  <c r="R354" i="1"/>
  <c r="S354" i="3"/>
  <c r="R329" i="1"/>
  <c r="R271" i="1"/>
  <c r="G48" i="2"/>
  <c r="G75" i="2"/>
  <c r="R221" i="1"/>
  <c r="R163" i="1"/>
  <c r="S163" i="3"/>
  <c r="E391" i="7"/>
  <c r="Q210" i="1"/>
  <c r="Q126" i="1"/>
  <c r="Q25" i="1"/>
  <c r="Q77" i="1"/>
  <c r="P410" i="1"/>
  <c r="P290" i="1"/>
  <c r="Q290" i="3"/>
  <c r="P158" i="1"/>
  <c r="P92" i="1"/>
  <c r="Q92" i="3"/>
  <c r="P61" i="1"/>
  <c r="O438" i="1"/>
  <c r="O349" i="1"/>
  <c r="O233" i="1"/>
  <c r="F45" i="2"/>
  <c r="F72" i="2"/>
  <c r="O146" i="1"/>
  <c r="O108" i="1"/>
  <c r="O35" i="1"/>
  <c r="N450" i="1"/>
  <c r="O450" i="3"/>
  <c r="N396" i="1"/>
  <c r="N354" i="1"/>
  <c r="O354" i="3"/>
  <c r="N329" i="1"/>
  <c r="N271" i="1"/>
  <c r="O271" i="3"/>
  <c r="N221" i="1"/>
  <c r="N163" i="1"/>
  <c r="O163" i="3"/>
  <c r="N10" i="1"/>
  <c r="N47" i="1"/>
  <c r="O47" i="3"/>
  <c r="M191" i="1"/>
  <c r="N43" i="2"/>
  <c r="N70" i="2"/>
  <c r="M427" i="1"/>
  <c r="M377" i="1"/>
  <c r="M314" i="1"/>
  <c r="M233" i="1"/>
  <c r="F43" i="2"/>
  <c r="F70" i="2"/>
  <c r="M146" i="1"/>
  <c r="M108" i="1"/>
  <c r="M35" i="1"/>
  <c r="L450" i="1"/>
  <c r="L396" i="1"/>
  <c r="M396" i="3"/>
  <c r="L354" i="1"/>
  <c r="L329" i="1"/>
  <c r="M329" i="3"/>
  <c r="L271" i="1"/>
  <c r="G42" i="2"/>
  <c r="G69" i="2"/>
  <c r="L221" i="1"/>
  <c r="M221" i="3"/>
  <c r="L163" i="1"/>
  <c r="L10" i="1"/>
  <c r="M10" i="3"/>
  <c r="L47" i="1"/>
  <c r="K191" i="1"/>
  <c r="K427" i="1"/>
  <c r="K377" i="1"/>
  <c r="K314" i="1"/>
  <c r="K233" i="1"/>
  <c r="F41" i="2"/>
  <c r="F68" i="2"/>
  <c r="K146" i="1"/>
  <c r="H92" i="1"/>
  <c r="I92" i="3"/>
  <c r="G410" i="1"/>
  <c r="G290" i="1"/>
  <c r="G427" i="1"/>
  <c r="G377" i="1"/>
  <c r="G314" i="1"/>
  <c r="G233" i="1"/>
  <c r="G146" i="1"/>
  <c r="G108" i="1"/>
  <c r="G35" i="1"/>
  <c r="F396" i="1"/>
  <c r="G396" i="3"/>
  <c r="F354" i="1"/>
  <c r="F329" i="1"/>
  <c r="G329" i="3"/>
  <c r="F271" i="1"/>
  <c r="G36" i="2"/>
  <c r="G63" i="2"/>
  <c r="F221" i="1"/>
  <c r="F163" i="1"/>
  <c r="F10" i="1"/>
  <c r="G10" i="3"/>
  <c r="F47" i="1"/>
  <c r="E191" i="1"/>
  <c r="E427" i="1"/>
  <c r="E377" i="1"/>
  <c r="E314" i="1"/>
  <c r="E233" i="1"/>
  <c r="F35" i="2"/>
  <c r="F62" i="2"/>
  <c r="E221" i="1"/>
  <c r="E163" i="1"/>
  <c r="E10" i="1"/>
  <c r="E47" i="1"/>
  <c r="D438" i="1"/>
  <c r="D349" i="1"/>
  <c r="E349" i="3"/>
  <c r="D210" i="1"/>
  <c r="D126" i="1"/>
  <c r="E126" i="3"/>
  <c r="P508" i="1"/>
  <c r="N508" i="1"/>
  <c r="Y44" i="2"/>
  <c r="Y71" i="2"/>
  <c r="G158" i="1"/>
  <c r="G92" i="1"/>
  <c r="G61" i="1"/>
  <c r="F438" i="1"/>
  <c r="G438" i="3"/>
  <c r="F349" i="1"/>
  <c r="F210" i="1"/>
  <c r="G210" i="3"/>
  <c r="F126" i="1"/>
  <c r="F25" i="1"/>
  <c r="G25" i="3"/>
  <c r="F77" i="1"/>
  <c r="E410" i="1"/>
  <c r="E290" i="1"/>
  <c r="E210" i="1"/>
  <c r="E126" i="1"/>
  <c r="E25" i="1"/>
  <c r="E77" i="1"/>
  <c r="D396" i="1"/>
  <c r="E396" i="3"/>
  <c r="D354" i="1"/>
  <c r="D329" i="1"/>
  <c r="E329" i="3"/>
  <c r="D271" i="1"/>
  <c r="D221" i="1"/>
  <c r="E221" i="3"/>
  <c r="D163" i="1"/>
  <c r="D10" i="1"/>
  <c r="E10" i="3"/>
  <c r="R495" i="1"/>
  <c r="S48" i="2"/>
  <c r="S75" i="2"/>
  <c r="Q530" i="1"/>
  <c r="Q488" i="1"/>
  <c r="R47" i="2"/>
  <c r="R74" i="2"/>
  <c r="P495" i="1"/>
  <c r="Q495" i="3"/>
  <c r="O530" i="1"/>
  <c r="W45" i="2"/>
  <c r="W72" i="2"/>
  <c r="O488" i="1"/>
  <c r="N495" i="1"/>
  <c r="S44" i="2"/>
  <c r="S71" i="2"/>
  <c r="V522" i="1"/>
  <c r="U146" i="1"/>
  <c r="U92" i="1"/>
  <c r="T450" i="1"/>
  <c r="T271" i="1"/>
  <c r="U271" i="3"/>
  <c r="T210" i="1"/>
  <c r="T163" i="1"/>
  <c r="U163" i="3"/>
  <c r="T25" i="1"/>
  <c r="T77" i="1"/>
  <c r="U77" i="3"/>
  <c r="S191" i="1"/>
  <c r="N49" i="2"/>
  <c r="N76" i="2"/>
  <c r="S427" i="1"/>
  <c r="S410" i="1"/>
  <c r="S314" i="1"/>
  <c r="S158" i="1"/>
  <c r="S35" i="1"/>
  <c r="R438" i="1"/>
  <c r="U158" i="1"/>
  <c r="T438" i="1"/>
  <c r="T354" i="1"/>
  <c r="U354" i="3"/>
  <c r="T221" i="1"/>
  <c r="T126" i="1"/>
  <c r="U126" i="3"/>
  <c r="T10" i="1"/>
  <c r="T47" i="1"/>
  <c r="U47" i="3"/>
  <c r="S377" i="1"/>
  <c r="S290" i="1"/>
  <c r="S233" i="1"/>
  <c r="F49" i="2"/>
  <c r="F76" i="2"/>
  <c r="S146" i="1"/>
  <c r="S108" i="1"/>
  <c r="S92" i="1"/>
  <c r="S61" i="1"/>
  <c r="R450" i="1"/>
  <c r="R146" i="1"/>
  <c r="R108" i="1"/>
  <c r="S108" i="3"/>
  <c r="R92" i="1"/>
  <c r="R61" i="1"/>
  <c r="S61" i="3"/>
  <c r="Q450" i="1"/>
  <c r="Q349" i="1"/>
  <c r="Q271" i="1"/>
  <c r="G47" i="2"/>
  <c r="G74" i="2"/>
  <c r="R158" i="1"/>
  <c r="S158" i="3"/>
  <c r="R35" i="1"/>
  <c r="Q438" i="1"/>
  <c r="Q396" i="1"/>
  <c r="Q354" i="1"/>
  <c r="Q329" i="1"/>
  <c r="K35" i="1"/>
  <c r="J438" i="1"/>
  <c r="J396" i="1"/>
  <c r="K396" i="3"/>
  <c r="J354" i="1"/>
  <c r="J329" i="1"/>
  <c r="K329" i="3"/>
  <c r="J221" i="1"/>
  <c r="J126" i="1"/>
  <c r="K126" i="3"/>
  <c r="J10" i="1"/>
  <c r="J47" i="1"/>
  <c r="K47" i="3"/>
  <c r="I377" i="1"/>
  <c r="I290" i="1"/>
  <c r="I233" i="1"/>
  <c r="F39" i="2"/>
  <c r="F66" i="2"/>
  <c r="I146" i="1"/>
  <c r="I108" i="1"/>
  <c r="I92" i="1"/>
  <c r="I61" i="1"/>
  <c r="H349" i="1"/>
  <c r="I349" i="3"/>
  <c r="H271" i="1"/>
  <c r="G38" i="2"/>
  <c r="G65" i="2"/>
  <c r="H210" i="1"/>
  <c r="I210" i="3"/>
  <c r="H163" i="1"/>
  <c r="H25" i="1"/>
  <c r="I25" i="3"/>
  <c r="H77" i="1"/>
  <c r="G191" i="1"/>
  <c r="N37" i="2"/>
  <c r="N64" i="2"/>
  <c r="K108" i="1"/>
  <c r="K92" i="1"/>
  <c r="K61" i="1"/>
  <c r="J349" i="1"/>
  <c r="K349" i="3"/>
  <c r="J271" i="1"/>
  <c r="J210" i="1"/>
  <c r="J163" i="1"/>
  <c r="J25" i="1"/>
  <c r="K25" i="3"/>
  <c r="J77" i="1"/>
  <c r="I191" i="1"/>
  <c r="N39" i="2"/>
  <c r="N66" i="2"/>
  <c r="I427" i="1"/>
  <c r="I410" i="1"/>
  <c r="I314" i="1"/>
  <c r="I158" i="1"/>
  <c r="I35" i="1"/>
  <c r="H438" i="1"/>
  <c r="I438" i="3"/>
  <c r="H396" i="1"/>
  <c r="H354" i="1"/>
  <c r="I354" i="3"/>
  <c r="H329" i="1"/>
  <c r="H221" i="1"/>
  <c r="I221" i="3"/>
  <c r="H126" i="1"/>
  <c r="H10" i="1"/>
  <c r="I10" i="3"/>
  <c r="H47" i="1"/>
  <c r="D25" i="1"/>
  <c r="E25" i="3"/>
  <c r="D77" i="1"/>
  <c r="U495" i="1"/>
  <c r="T530" i="1"/>
  <c r="W50" i="2"/>
  <c r="W77" i="2"/>
  <c r="T488" i="1"/>
  <c r="R50" i="2"/>
  <c r="S508" i="1"/>
  <c r="D47" i="1"/>
  <c r="E47" i="3"/>
  <c r="U508" i="1"/>
  <c r="Y51" i="2"/>
  <c r="Y78" i="2"/>
  <c r="S495" i="1"/>
  <c r="N488" i="1"/>
  <c r="R44" i="2"/>
  <c r="R71" i="2"/>
  <c r="M508" i="1"/>
  <c r="Y43" i="2"/>
  <c r="Y70" i="2"/>
  <c r="K495" i="1"/>
  <c r="S41" i="2"/>
  <c r="S68" i="2"/>
  <c r="J530" i="1"/>
  <c r="J488" i="1"/>
  <c r="R40" i="2"/>
  <c r="I508" i="1"/>
  <c r="G495" i="1"/>
  <c r="F530" i="1"/>
  <c r="F488" i="1"/>
  <c r="R36" i="2"/>
  <c r="E508" i="1"/>
  <c r="Y35" i="2"/>
  <c r="Y62" i="2"/>
  <c r="M495" i="1"/>
  <c r="S43" i="2"/>
  <c r="S70" i="2"/>
  <c r="L530" i="1"/>
  <c r="L488" i="1"/>
  <c r="K508" i="1"/>
  <c r="Y41" i="2"/>
  <c r="Y68" i="2"/>
  <c r="I495" i="1"/>
  <c r="S39" i="2"/>
  <c r="S66" i="2"/>
  <c r="H530" i="1"/>
  <c r="I530" i="3"/>
  <c r="H488" i="1"/>
  <c r="R38" i="2"/>
  <c r="R65" i="2"/>
  <c r="G508" i="1"/>
  <c r="E495" i="1"/>
  <c r="S35" i="2"/>
  <c r="S62" i="2"/>
  <c r="D530" i="1"/>
  <c r="D488" i="1"/>
  <c r="R34" i="2"/>
  <c r="R61" i="2"/>
  <c r="S36" i="2"/>
  <c r="S63" i="2"/>
  <c r="F38" i="2"/>
  <c r="F65" i="2"/>
  <c r="F42" i="2"/>
  <c r="F69" i="2"/>
  <c r="Q210" i="3"/>
  <c r="O495" i="3"/>
  <c r="S37" i="2"/>
  <c r="S64" i="2"/>
  <c r="K488" i="3"/>
  <c r="V201" i="1"/>
  <c r="V473" i="1"/>
  <c r="V467" i="1"/>
  <c r="V465" i="1"/>
  <c r="V463" i="1"/>
  <c r="V461" i="1"/>
  <c r="V459" i="1"/>
  <c r="V455" i="1"/>
  <c r="V453" i="1"/>
  <c r="V451" i="1"/>
  <c r="V447" i="1"/>
  <c r="V445" i="1"/>
  <c r="V443" i="1"/>
  <c r="V441" i="1"/>
  <c r="V439" i="1"/>
  <c r="V435" i="1"/>
  <c r="V433" i="1"/>
  <c r="V431" i="1"/>
  <c r="V429" i="1"/>
  <c r="V408" i="1"/>
  <c r="V406" i="1"/>
  <c r="V404" i="1"/>
  <c r="V402" i="1"/>
  <c r="V400" i="1"/>
  <c r="V398" i="1"/>
  <c r="V394" i="1"/>
  <c r="V392" i="1"/>
  <c r="V390" i="1"/>
  <c r="V388" i="1"/>
  <c r="V386" i="1"/>
  <c r="V384" i="1"/>
  <c r="V382" i="1"/>
  <c r="V380" i="1"/>
  <c r="V378" i="1"/>
  <c r="V370" i="1"/>
  <c r="V366" i="1"/>
  <c r="V362" i="1"/>
  <c r="V358" i="1"/>
  <c r="V352" i="1"/>
  <c r="V346" i="1"/>
  <c r="V342" i="1"/>
  <c r="V338" i="1"/>
  <c r="V334" i="1"/>
  <c r="V330" i="1"/>
  <c r="V324" i="1"/>
  <c r="V322" i="1"/>
  <c r="V320" i="1"/>
  <c r="V318" i="1"/>
  <c r="V316" i="1"/>
  <c r="V311" i="1"/>
  <c r="V309" i="1"/>
  <c r="V305" i="1"/>
  <c r="V303" i="1"/>
  <c r="V301" i="1"/>
  <c r="V299" i="1"/>
  <c r="V297" i="1"/>
  <c r="V295" i="1"/>
  <c r="V293" i="1"/>
  <c r="V291" i="1"/>
  <c r="V283" i="1"/>
  <c r="V279" i="1"/>
  <c r="V272" i="1"/>
  <c r="V266" i="1"/>
  <c r="V264" i="1"/>
  <c r="V262" i="1"/>
  <c r="V260" i="1"/>
  <c r="V258" i="1"/>
  <c r="V256" i="1"/>
  <c r="V254" i="1"/>
  <c r="V252" i="1"/>
  <c r="V250" i="1"/>
  <c r="V248" i="1"/>
  <c r="V246" i="1"/>
  <c r="V244" i="1"/>
  <c r="V242" i="1"/>
  <c r="V240" i="1"/>
  <c r="V238" i="1"/>
  <c r="V236" i="1"/>
  <c r="V234" i="1"/>
  <c r="V229" i="1"/>
  <c r="V227" i="1"/>
  <c r="V225" i="1"/>
  <c r="V223" i="1"/>
  <c r="V219" i="1"/>
  <c r="V217" i="1"/>
  <c r="V215" i="1"/>
  <c r="V213" i="1"/>
  <c r="V211" i="1"/>
  <c r="V186" i="1"/>
  <c r="V184" i="1"/>
  <c r="V182" i="1"/>
  <c r="V180" i="1"/>
  <c r="V178" i="1"/>
  <c r="V176" i="1"/>
  <c r="V174" i="1"/>
  <c r="V172" i="1"/>
  <c r="V170" i="1"/>
  <c r="V168" i="1"/>
  <c r="V166" i="1"/>
  <c r="V164" i="1"/>
  <c r="V160" i="1"/>
  <c r="V134" i="1"/>
  <c r="V128" i="1"/>
  <c r="V120" i="1"/>
  <c r="V118" i="1"/>
  <c r="V116" i="1"/>
  <c r="V114" i="1"/>
  <c r="V112" i="1"/>
  <c r="V110" i="1"/>
  <c r="V100" i="1"/>
  <c r="V96" i="1"/>
  <c r="V94" i="1"/>
  <c r="V23" i="1"/>
  <c r="V21" i="1"/>
  <c r="V19" i="1"/>
  <c r="V17" i="1"/>
  <c r="V15" i="1"/>
  <c r="V13" i="1"/>
  <c r="V32" i="1"/>
  <c r="V30" i="1"/>
  <c r="V28" i="1"/>
  <c r="V26" i="1"/>
  <c r="U398" i="3"/>
  <c r="U344" i="3"/>
  <c r="U326" i="3"/>
  <c r="U295" i="3"/>
  <c r="U283" i="3"/>
  <c r="U240" i="3"/>
  <c r="U303" i="3"/>
  <c r="U248" i="3"/>
  <c r="U264" i="3"/>
  <c r="U225" i="3"/>
  <c r="U214" i="3"/>
  <c r="U74" i="3"/>
  <c r="U66" i="3"/>
  <c r="U51" i="3"/>
  <c r="U55" i="3"/>
  <c r="U59" i="3"/>
  <c r="U37" i="3"/>
  <c r="U38" i="3"/>
  <c r="U39" i="3"/>
  <c r="U40" i="3"/>
  <c r="U41" i="3"/>
  <c r="U42" i="3"/>
  <c r="U43" i="3"/>
  <c r="U44" i="3"/>
  <c r="U45" i="3"/>
  <c r="U27" i="3"/>
  <c r="S144" i="3"/>
  <c r="S388" i="3"/>
  <c r="S346" i="3"/>
  <c r="S319" i="3"/>
  <c r="S297" i="3"/>
  <c r="S296" i="3"/>
  <c r="S285" i="3"/>
  <c r="S284" i="3"/>
  <c r="S241" i="3"/>
  <c r="S242" i="3"/>
  <c r="S455" i="3"/>
  <c r="S434" i="3"/>
  <c r="S400" i="3"/>
  <c r="S345" i="3"/>
  <c r="S327" i="3"/>
  <c r="S305" i="3"/>
  <c r="S275" i="3"/>
  <c r="S249" i="3"/>
  <c r="S250" i="3"/>
  <c r="S265" i="3"/>
  <c r="S266" i="3"/>
  <c r="S226" i="3"/>
  <c r="S215" i="3"/>
  <c r="S90" i="3"/>
  <c r="S89" i="3"/>
  <c r="S88" i="3"/>
  <c r="S87" i="3"/>
  <c r="S86" i="3"/>
  <c r="S85" i="3"/>
  <c r="S84" i="3"/>
  <c r="S83" i="3"/>
  <c r="S82" i="3"/>
  <c r="S81" i="3"/>
  <c r="S80" i="3"/>
  <c r="S79" i="3"/>
  <c r="S75" i="3"/>
  <c r="S67" i="3"/>
  <c r="S52" i="3"/>
  <c r="S56" i="3"/>
  <c r="Q441" i="3"/>
  <c r="Q381" i="3"/>
  <c r="Q331" i="3"/>
  <c r="Q299" i="3"/>
  <c r="Q298" i="3"/>
  <c r="Q286" i="3"/>
  <c r="Q243" i="3"/>
  <c r="Q120" i="3"/>
  <c r="Q320" i="3"/>
  <c r="Q307" i="3"/>
  <c r="Q278" i="3"/>
  <c r="Q236" i="3"/>
  <c r="Q251" i="3"/>
  <c r="Q252" i="3"/>
  <c r="Q267" i="3"/>
  <c r="Q268" i="3"/>
  <c r="Q227" i="3"/>
  <c r="Q216" i="3"/>
  <c r="Q68" i="3"/>
  <c r="Q53" i="3"/>
  <c r="Q57" i="3"/>
  <c r="O467" i="3"/>
  <c r="O403" i="3"/>
  <c r="O333" i="3"/>
  <c r="O321" i="3"/>
  <c r="O301" i="3"/>
  <c r="O300" i="3"/>
  <c r="O272" i="3"/>
  <c r="O390" i="3"/>
  <c r="O334" i="3"/>
  <c r="O292" i="3"/>
  <c r="O280" i="3"/>
  <c r="O238" i="3"/>
  <c r="O253" i="3"/>
  <c r="O254" i="3"/>
  <c r="O269" i="3"/>
  <c r="O228" i="3"/>
  <c r="O217" i="3"/>
  <c r="O69" i="3"/>
  <c r="O50" i="3"/>
  <c r="O54" i="3"/>
  <c r="O58" i="3"/>
  <c r="M335" i="3"/>
  <c r="M309" i="3"/>
  <c r="M303" i="3"/>
  <c r="M302" i="3"/>
  <c r="M274" i="3"/>
  <c r="M273" i="3"/>
  <c r="M383" i="3"/>
  <c r="M294" i="3"/>
  <c r="M282" i="3"/>
  <c r="M240" i="3"/>
  <c r="M255" i="3"/>
  <c r="M256" i="3"/>
  <c r="M229" i="3"/>
  <c r="M218" i="3"/>
  <c r="M70" i="3"/>
  <c r="M49" i="3"/>
  <c r="M51" i="3"/>
  <c r="M55" i="3"/>
  <c r="M59" i="3"/>
  <c r="M37" i="3"/>
  <c r="M38" i="3"/>
  <c r="M39" i="3"/>
  <c r="M40" i="3"/>
  <c r="M41" i="3"/>
  <c r="M42" i="3"/>
  <c r="M43" i="3"/>
  <c r="M44" i="3"/>
  <c r="M45" i="3"/>
  <c r="M27" i="3"/>
  <c r="K392" i="3"/>
  <c r="K367" i="3"/>
  <c r="K351" i="3"/>
  <c r="K337" i="3"/>
  <c r="K323" i="3"/>
  <c r="K311" i="3"/>
  <c r="K305" i="3"/>
  <c r="K304" i="3"/>
  <c r="K277" i="3"/>
  <c r="K275" i="3"/>
  <c r="K371" i="3"/>
  <c r="K352" i="3"/>
  <c r="K338" i="3"/>
  <c r="K310" i="3"/>
  <c r="K296" i="3"/>
  <c r="K284" i="3"/>
  <c r="K242" i="3"/>
  <c r="K257" i="3"/>
  <c r="K258" i="3"/>
  <c r="K230" i="3"/>
  <c r="K219" i="3"/>
  <c r="K100" i="3"/>
  <c r="K99" i="3"/>
  <c r="K97" i="3"/>
  <c r="K96" i="3"/>
  <c r="K95" i="3"/>
  <c r="K94" i="3"/>
  <c r="K93" i="3"/>
  <c r="K71" i="3"/>
  <c r="K63" i="3"/>
  <c r="K52" i="3"/>
  <c r="K56" i="3"/>
  <c r="I452" i="3"/>
  <c r="I385" i="3"/>
  <c r="I355" i="3"/>
  <c r="I339" i="3"/>
  <c r="I316" i="3"/>
  <c r="I307" i="3"/>
  <c r="I306" i="3"/>
  <c r="I279" i="3"/>
  <c r="I278" i="3"/>
  <c r="I235" i="3"/>
  <c r="I236" i="3"/>
  <c r="I136" i="3"/>
  <c r="I366" i="3"/>
  <c r="I324" i="3"/>
  <c r="I298" i="3"/>
  <c r="I286" i="3"/>
  <c r="I244" i="3"/>
  <c r="I259" i="3"/>
  <c r="I260" i="3"/>
  <c r="I223" i="3"/>
  <c r="I212" i="3"/>
  <c r="I72" i="3"/>
  <c r="I64" i="3"/>
  <c r="I53" i="3"/>
  <c r="I57" i="3"/>
  <c r="G117" i="3"/>
  <c r="G431" i="3"/>
  <c r="G365" i="3"/>
  <c r="G357" i="3"/>
  <c r="G341" i="3"/>
  <c r="G325" i="3"/>
  <c r="G308" i="3"/>
  <c r="G293" i="3"/>
  <c r="G292" i="3"/>
  <c r="G281" i="3"/>
  <c r="G280" i="3"/>
  <c r="G237" i="3"/>
  <c r="G238" i="3"/>
  <c r="G358" i="3"/>
  <c r="G342" i="3"/>
  <c r="G317" i="3"/>
  <c r="G300" i="3"/>
  <c r="G272" i="3"/>
  <c r="G245" i="3"/>
  <c r="G246" i="3"/>
  <c r="G261" i="3"/>
  <c r="G262" i="3"/>
  <c r="G224" i="3"/>
  <c r="G213" i="3"/>
  <c r="G73" i="3"/>
  <c r="G65" i="3"/>
  <c r="G50" i="3"/>
  <c r="G54" i="3"/>
  <c r="G58" i="3"/>
  <c r="E151" i="3"/>
  <c r="E460" i="3"/>
  <c r="E373" i="3"/>
  <c r="E370" i="3"/>
  <c r="E363" i="3"/>
  <c r="E361" i="3"/>
  <c r="E359" i="3"/>
  <c r="E343" i="3"/>
  <c r="E318" i="3"/>
  <c r="E295" i="3"/>
  <c r="E294" i="3"/>
  <c r="E283" i="3"/>
  <c r="E282" i="3"/>
  <c r="E239" i="3"/>
  <c r="E240" i="3"/>
  <c r="E362" i="3"/>
  <c r="E302" i="3"/>
  <c r="E274" i="3"/>
  <c r="E247" i="3"/>
  <c r="E248" i="3"/>
  <c r="E263" i="3"/>
  <c r="E264" i="3"/>
  <c r="E225" i="3"/>
  <c r="E214" i="3"/>
  <c r="E95" i="3"/>
  <c r="E85" i="3"/>
  <c r="E74" i="3"/>
  <c r="E66" i="3"/>
  <c r="E51" i="3"/>
  <c r="E55" i="3"/>
  <c r="E59" i="3"/>
  <c r="E40" i="3"/>
  <c r="E44" i="3"/>
  <c r="U318" i="3"/>
  <c r="U379" i="3"/>
  <c r="U499" i="3"/>
  <c r="U161" i="3"/>
  <c r="U155" i="3"/>
  <c r="U134" i="3"/>
  <c r="U141" i="3"/>
  <c r="U515" i="3"/>
  <c r="U167" i="3"/>
  <c r="U151" i="3"/>
  <c r="U138" i="3"/>
  <c r="U139" i="3"/>
  <c r="U112" i="3"/>
  <c r="U116" i="3"/>
  <c r="U120" i="3"/>
  <c r="U465" i="3"/>
  <c r="U457" i="3"/>
  <c r="U456" i="3"/>
  <c r="U452" i="3"/>
  <c r="U441" i="3"/>
  <c r="U429" i="3"/>
  <c r="U402" i="3"/>
  <c r="U130" i="3"/>
  <c r="U143" i="3"/>
  <c r="U114" i="3"/>
  <c r="U473" i="3"/>
  <c r="U445" i="3"/>
  <c r="U406" i="3"/>
  <c r="U393" i="3"/>
  <c r="U389" i="3"/>
  <c r="U385" i="3"/>
  <c r="U381" i="3"/>
  <c r="U370" i="3"/>
  <c r="U362" i="3"/>
  <c r="U358" i="3"/>
  <c r="U352" i="3"/>
  <c r="U346" i="3"/>
  <c r="U342" i="3"/>
  <c r="U338" i="3"/>
  <c r="U334" i="3"/>
  <c r="U327" i="3"/>
  <c r="U325" i="3"/>
  <c r="U323" i="3"/>
  <c r="U321" i="3"/>
  <c r="U319" i="3"/>
  <c r="U317" i="3"/>
  <c r="U315" i="3"/>
  <c r="U311" i="3"/>
  <c r="U110" i="3"/>
  <c r="U454" i="3"/>
  <c r="U433" i="3"/>
  <c r="U391" i="3"/>
  <c r="U383" i="3"/>
  <c r="U356" i="3"/>
  <c r="U340" i="3"/>
  <c r="U332" i="3"/>
  <c r="U324" i="3"/>
  <c r="U320" i="3"/>
  <c r="U316" i="3"/>
  <c r="U305" i="3"/>
  <c r="U301" i="3"/>
  <c r="U297" i="3"/>
  <c r="U293" i="3"/>
  <c r="U285" i="3"/>
  <c r="U281" i="3"/>
  <c r="U277" i="3"/>
  <c r="U272" i="3"/>
  <c r="U238" i="3"/>
  <c r="U242" i="3"/>
  <c r="U246" i="3"/>
  <c r="U250" i="3"/>
  <c r="U254" i="3"/>
  <c r="U258" i="3"/>
  <c r="U262" i="3"/>
  <c r="U266" i="3"/>
  <c r="U230" i="3"/>
  <c r="U228" i="3"/>
  <c r="U226" i="3"/>
  <c r="U224" i="3"/>
  <c r="U219" i="3"/>
  <c r="U217" i="3"/>
  <c r="U215" i="3"/>
  <c r="U213" i="3"/>
  <c r="U100" i="3"/>
  <c r="U99" i="3"/>
  <c r="U98" i="3"/>
  <c r="U97" i="3"/>
  <c r="U96" i="3"/>
  <c r="U95" i="3"/>
  <c r="U94" i="3"/>
  <c r="U93" i="3"/>
  <c r="U90" i="3"/>
  <c r="U89" i="3"/>
  <c r="U88" i="3"/>
  <c r="U87" i="3"/>
  <c r="U86" i="3"/>
  <c r="U85" i="3"/>
  <c r="U84" i="3"/>
  <c r="U83" i="3"/>
  <c r="U82" i="3"/>
  <c r="U81" i="3"/>
  <c r="U80" i="3"/>
  <c r="U79" i="3"/>
  <c r="U75" i="3"/>
  <c r="U73" i="3"/>
  <c r="U71" i="3"/>
  <c r="U69" i="3"/>
  <c r="U67" i="3"/>
  <c r="U65" i="3"/>
  <c r="U63" i="3"/>
  <c r="S201" i="3"/>
  <c r="S516" i="3"/>
  <c r="S206" i="3"/>
  <c r="S148" i="3"/>
  <c r="S156" i="3"/>
  <c r="S135" i="3"/>
  <c r="S142" i="3"/>
  <c r="S413" i="3"/>
  <c r="S417" i="3"/>
  <c r="S131" i="3"/>
  <c r="S140" i="3"/>
  <c r="S113" i="3"/>
  <c r="S117" i="3"/>
  <c r="S121" i="3"/>
  <c r="S467" i="3"/>
  <c r="S466" i="3"/>
  <c r="S459" i="3"/>
  <c r="S458" i="3"/>
  <c r="S453" i="3"/>
  <c r="S443" i="3"/>
  <c r="S442" i="3"/>
  <c r="S431" i="3"/>
  <c r="S430" i="3"/>
  <c r="S404" i="3"/>
  <c r="S403" i="3"/>
  <c r="S500" i="3"/>
  <c r="S168" i="3"/>
  <c r="S152" i="3"/>
  <c r="S115" i="3"/>
  <c r="S472" i="3"/>
  <c r="S447" i="3"/>
  <c r="S446" i="3"/>
  <c r="S408" i="3"/>
  <c r="S407" i="3"/>
  <c r="S394" i="3"/>
  <c r="S390" i="3"/>
  <c r="S386" i="3"/>
  <c r="S382" i="3"/>
  <c r="S372" i="3"/>
  <c r="S368" i="3"/>
  <c r="S367" i="3"/>
  <c r="S363" i="3"/>
  <c r="S361" i="3"/>
  <c r="S360" i="3"/>
  <c r="S359" i="3"/>
  <c r="S356" i="3"/>
  <c r="S355" i="3"/>
  <c r="S347" i="3"/>
  <c r="S344" i="3"/>
  <c r="S343" i="3"/>
  <c r="S340" i="3"/>
  <c r="S339" i="3"/>
  <c r="S336" i="3"/>
  <c r="S335" i="3"/>
  <c r="S332" i="3"/>
  <c r="S331" i="3"/>
  <c r="S326" i="3"/>
  <c r="S324" i="3"/>
  <c r="S322" i="3"/>
  <c r="S320" i="3"/>
  <c r="S318" i="3"/>
  <c r="S316" i="3"/>
  <c r="S309" i="3"/>
  <c r="S308" i="3"/>
  <c r="S119" i="3"/>
  <c r="S462" i="3"/>
  <c r="S435" i="3"/>
  <c r="S392" i="3"/>
  <c r="S384" i="3"/>
  <c r="S371" i="3"/>
  <c r="S364" i="3"/>
  <c r="S358" i="3"/>
  <c r="S357" i="3"/>
  <c r="S342" i="3"/>
  <c r="S341" i="3"/>
  <c r="S334" i="3"/>
  <c r="S333" i="3"/>
  <c r="S325" i="3"/>
  <c r="S321" i="3"/>
  <c r="S317" i="3"/>
  <c r="S307" i="3"/>
  <c r="S306" i="3"/>
  <c r="S303" i="3"/>
  <c r="S302" i="3"/>
  <c r="S299" i="3"/>
  <c r="S298" i="3"/>
  <c r="S295" i="3"/>
  <c r="S294" i="3"/>
  <c r="S291" i="3"/>
  <c r="S286" i="3"/>
  <c r="S283" i="3"/>
  <c r="S282" i="3"/>
  <c r="S279" i="3"/>
  <c r="S278" i="3"/>
  <c r="S274" i="3"/>
  <c r="S273" i="3"/>
  <c r="S235" i="3"/>
  <c r="S236" i="3"/>
  <c r="S239" i="3"/>
  <c r="S240" i="3"/>
  <c r="S243" i="3"/>
  <c r="S244" i="3"/>
  <c r="S247" i="3"/>
  <c r="S248" i="3"/>
  <c r="S251" i="3"/>
  <c r="S252" i="3"/>
  <c r="S255" i="3"/>
  <c r="S256" i="3"/>
  <c r="S259" i="3"/>
  <c r="S260" i="3"/>
  <c r="S263" i="3"/>
  <c r="S264" i="3"/>
  <c r="S267" i="3"/>
  <c r="S268" i="3"/>
  <c r="S229" i="3"/>
  <c r="S227" i="3"/>
  <c r="S225" i="3"/>
  <c r="S223" i="3"/>
  <c r="S218" i="3"/>
  <c r="S216" i="3"/>
  <c r="S214" i="3"/>
  <c r="S212" i="3"/>
  <c r="S98" i="3"/>
  <c r="S74" i="3"/>
  <c r="S72" i="3"/>
  <c r="S70" i="3"/>
  <c r="S68" i="3"/>
  <c r="S66" i="3"/>
  <c r="S64" i="3"/>
  <c r="S49" i="3"/>
  <c r="Q523" i="3"/>
  <c r="Q501" i="3"/>
  <c r="Q206" i="3"/>
  <c r="Q165" i="3"/>
  <c r="Q149" i="3"/>
  <c r="Q128" i="3"/>
  <c r="Q136" i="3"/>
  <c r="Q139" i="3"/>
  <c r="Q143" i="3"/>
  <c r="Q413" i="3"/>
  <c r="Q417" i="3"/>
  <c r="Q169" i="3"/>
  <c r="Q153" i="3"/>
  <c r="Q141" i="3"/>
  <c r="Q110" i="3"/>
  <c r="Q114" i="3"/>
  <c r="Q118" i="3"/>
  <c r="Q473" i="3"/>
  <c r="Q461" i="3"/>
  <c r="Q460" i="3"/>
  <c r="Q454" i="3"/>
  <c r="Q445" i="3"/>
  <c r="Q444" i="3"/>
  <c r="Q433" i="3"/>
  <c r="Q432" i="3"/>
  <c r="Q406" i="3"/>
  <c r="Q405" i="3"/>
  <c r="Q517" i="3"/>
  <c r="Q116" i="3"/>
  <c r="Q457" i="3"/>
  <c r="Q452" i="3"/>
  <c r="Q448" i="3"/>
  <c r="Q429" i="3"/>
  <c r="Q398" i="3"/>
  <c r="Q391" i="3"/>
  <c r="Q387" i="3"/>
  <c r="Q383" i="3"/>
  <c r="Q379" i="3"/>
  <c r="Q373" i="3"/>
  <c r="Q369" i="3"/>
  <c r="Q366" i="3"/>
  <c r="Q365" i="3"/>
  <c r="Q358" i="3"/>
  <c r="Q357" i="3"/>
  <c r="Q352" i="3"/>
  <c r="Q351" i="3"/>
  <c r="Q346" i="3"/>
  <c r="Q345" i="3"/>
  <c r="Q342" i="3"/>
  <c r="Q341" i="3"/>
  <c r="Q338" i="3"/>
  <c r="Q337" i="3"/>
  <c r="Q334" i="3"/>
  <c r="Q333" i="3"/>
  <c r="Q327" i="3"/>
  <c r="Q325" i="3"/>
  <c r="Q323" i="3"/>
  <c r="Q321" i="3"/>
  <c r="Q319" i="3"/>
  <c r="Q317" i="3"/>
  <c r="Q315" i="3"/>
  <c r="Q311" i="3"/>
  <c r="Q310" i="3"/>
  <c r="Q132" i="3"/>
  <c r="Q112" i="3"/>
  <c r="Q464" i="3"/>
  <c r="Q456" i="3"/>
  <c r="Q440" i="3"/>
  <c r="Q402" i="3"/>
  <c r="Q393" i="3"/>
  <c r="Q385" i="3"/>
  <c r="Q363" i="3"/>
  <c r="Q362" i="3"/>
  <c r="Q361" i="3"/>
  <c r="Q360" i="3"/>
  <c r="Q359" i="3"/>
  <c r="Q344" i="3"/>
  <c r="Q343" i="3"/>
  <c r="Q336" i="3"/>
  <c r="Q335" i="3"/>
  <c r="Q326" i="3"/>
  <c r="Q322" i="3"/>
  <c r="Q318" i="3"/>
  <c r="Q309" i="3"/>
  <c r="Q308" i="3"/>
  <c r="Q305" i="3"/>
  <c r="Q304" i="3"/>
  <c r="Q301" i="3"/>
  <c r="Q300" i="3"/>
  <c r="Q297" i="3"/>
  <c r="Q296" i="3"/>
  <c r="Q293" i="3"/>
  <c r="Q292" i="3"/>
  <c r="Q285" i="3"/>
  <c r="Q284" i="3"/>
  <c r="Q281" i="3"/>
  <c r="Q280" i="3"/>
  <c r="Q277" i="3"/>
  <c r="Q275" i="3"/>
  <c r="Q272" i="3"/>
  <c r="Q237" i="3"/>
  <c r="Q238" i="3"/>
  <c r="Q241" i="3"/>
  <c r="Q242" i="3"/>
  <c r="Q245" i="3"/>
  <c r="Q246" i="3"/>
  <c r="Q249" i="3"/>
  <c r="Q250" i="3"/>
  <c r="Q253" i="3"/>
  <c r="Q254" i="3"/>
  <c r="Q257" i="3"/>
  <c r="Q258" i="3"/>
  <c r="Q261" i="3"/>
  <c r="Q262" i="3"/>
  <c r="Q265" i="3"/>
  <c r="Q266" i="3"/>
  <c r="Q269" i="3"/>
  <c r="Q230" i="3"/>
  <c r="Q228" i="3"/>
  <c r="Q226" i="3"/>
  <c r="Q224" i="3"/>
  <c r="Q219" i="3"/>
  <c r="Q217" i="3"/>
  <c r="Q215" i="3"/>
  <c r="Q213" i="3"/>
  <c r="Q100" i="3"/>
  <c r="Q99" i="3"/>
  <c r="Q98" i="3"/>
  <c r="Q97" i="3"/>
  <c r="Q96" i="3"/>
  <c r="Q95" i="3"/>
  <c r="Q94" i="3"/>
  <c r="Q93" i="3"/>
  <c r="Q90" i="3"/>
  <c r="Q89" i="3"/>
  <c r="Q88" i="3"/>
  <c r="Q87" i="3"/>
  <c r="Q86" i="3"/>
  <c r="Q85" i="3"/>
  <c r="Q84" i="3"/>
  <c r="Q83" i="3"/>
  <c r="Q82" i="3"/>
  <c r="Q81" i="3"/>
  <c r="Q80" i="3"/>
  <c r="Q79" i="3"/>
  <c r="Q75" i="3"/>
  <c r="Q73" i="3"/>
  <c r="Q71" i="3"/>
  <c r="Q69" i="3"/>
  <c r="Q67" i="3"/>
  <c r="Q65" i="3"/>
  <c r="Q63" i="3"/>
  <c r="O518" i="3"/>
  <c r="O206" i="3"/>
  <c r="O166" i="3"/>
  <c r="O150" i="3"/>
  <c r="O129" i="3"/>
  <c r="O137" i="3"/>
  <c r="O140" i="3"/>
  <c r="O144" i="3"/>
  <c r="O502" i="3"/>
  <c r="O413" i="3"/>
  <c r="O417" i="3"/>
  <c r="O187" i="3"/>
  <c r="O185" i="3"/>
  <c r="O183" i="3"/>
  <c r="O181" i="3"/>
  <c r="O179" i="3"/>
  <c r="O177" i="3"/>
  <c r="O175" i="3"/>
  <c r="O173" i="3"/>
  <c r="O171" i="3"/>
  <c r="O160" i="3"/>
  <c r="O133" i="3"/>
  <c r="O142" i="3"/>
  <c r="O111" i="3"/>
  <c r="O115" i="3"/>
  <c r="O119" i="3"/>
  <c r="O472" i="3"/>
  <c r="O463" i="3"/>
  <c r="O462" i="3"/>
  <c r="O455" i="3"/>
  <c r="O447" i="3"/>
  <c r="O446" i="3"/>
  <c r="O435" i="3"/>
  <c r="O434" i="3"/>
  <c r="O408" i="3"/>
  <c r="O407" i="3"/>
  <c r="O528" i="3"/>
  <c r="O184" i="3"/>
  <c r="O180" i="3"/>
  <c r="O176" i="3"/>
  <c r="O172" i="3"/>
  <c r="O117" i="3"/>
  <c r="O459" i="3"/>
  <c r="O458" i="3"/>
  <c r="O453" i="3"/>
  <c r="O431" i="3"/>
  <c r="O430" i="3"/>
  <c r="O400" i="3"/>
  <c r="O399" i="3"/>
  <c r="O392" i="3"/>
  <c r="O388" i="3"/>
  <c r="O384" i="3"/>
  <c r="O380" i="3"/>
  <c r="O371" i="3"/>
  <c r="O364" i="3"/>
  <c r="O363" i="3"/>
  <c r="O362" i="3"/>
  <c r="O361" i="3"/>
  <c r="O360" i="3"/>
  <c r="O359" i="3"/>
  <c r="O356" i="3"/>
  <c r="O355" i="3"/>
  <c r="O347" i="3"/>
  <c r="O344" i="3"/>
  <c r="O343" i="3"/>
  <c r="O340" i="3"/>
  <c r="O339" i="3"/>
  <c r="O336" i="3"/>
  <c r="O335" i="3"/>
  <c r="O332" i="3"/>
  <c r="O331" i="3"/>
  <c r="O326" i="3"/>
  <c r="O324" i="3"/>
  <c r="O322" i="3"/>
  <c r="O320" i="3"/>
  <c r="O318" i="3"/>
  <c r="O316" i="3"/>
  <c r="O309" i="3"/>
  <c r="O186" i="3"/>
  <c r="O178" i="3"/>
  <c r="O170" i="3"/>
  <c r="O154" i="3"/>
  <c r="O121" i="3"/>
  <c r="O466" i="3"/>
  <c r="O442" i="3"/>
  <c r="O404" i="3"/>
  <c r="O394" i="3"/>
  <c r="O386" i="3"/>
  <c r="O372" i="3"/>
  <c r="O367" i="3"/>
  <c r="O352" i="3"/>
  <c r="O351" i="3"/>
  <c r="O346" i="3"/>
  <c r="O345" i="3"/>
  <c r="O338" i="3"/>
  <c r="O337" i="3"/>
  <c r="O327" i="3"/>
  <c r="O323" i="3"/>
  <c r="O319" i="3"/>
  <c r="O315" i="3"/>
  <c r="O311" i="3"/>
  <c r="O310" i="3"/>
  <c r="O307" i="3"/>
  <c r="O306" i="3"/>
  <c r="O303" i="3"/>
  <c r="O302" i="3"/>
  <c r="O299" i="3"/>
  <c r="O298" i="3"/>
  <c r="O295" i="3"/>
  <c r="O294" i="3"/>
  <c r="O291" i="3"/>
  <c r="O286" i="3"/>
  <c r="O283" i="3"/>
  <c r="O282" i="3"/>
  <c r="O279" i="3"/>
  <c r="O278" i="3"/>
  <c r="O274" i="3"/>
  <c r="O273" i="3"/>
  <c r="O235" i="3"/>
  <c r="O236" i="3"/>
  <c r="O239" i="3"/>
  <c r="O240" i="3"/>
  <c r="O243" i="3"/>
  <c r="O244" i="3"/>
  <c r="O247" i="3"/>
  <c r="O248" i="3"/>
  <c r="O251" i="3"/>
  <c r="O252" i="3"/>
  <c r="O255" i="3"/>
  <c r="O256" i="3"/>
  <c r="O259" i="3"/>
  <c r="O260" i="3"/>
  <c r="O263" i="3"/>
  <c r="O264" i="3"/>
  <c r="O267" i="3"/>
  <c r="O268" i="3"/>
  <c r="O229" i="3"/>
  <c r="O227" i="3"/>
  <c r="O225" i="3"/>
  <c r="O223" i="3"/>
  <c r="O218" i="3"/>
  <c r="O216" i="3"/>
  <c r="O214" i="3"/>
  <c r="O212" i="3"/>
  <c r="O98" i="3"/>
  <c r="O74" i="3"/>
  <c r="O72" i="3"/>
  <c r="O70" i="3"/>
  <c r="O68" i="3"/>
  <c r="O66" i="3"/>
  <c r="O64" i="3"/>
  <c r="O49" i="3"/>
  <c r="M503" i="3"/>
  <c r="M206" i="3"/>
  <c r="M167" i="3"/>
  <c r="M151" i="3"/>
  <c r="M130" i="3"/>
  <c r="M138" i="3"/>
  <c r="M141" i="3"/>
  <c r="M533" i="3"/>
  <c r="M519" i="3"/>
  <c r="M413" i="3"/>
  <c r="M417" i="3"/>
  <c r="M155" i="3"/>
  <c r="M143" i="3"/>
  <c r="M112" i="3"/>
  <c r="M116" i="3"/>
  <c r="M120" i="3"/>
  <c r="M465" i="3"/>
  <c r="M464" i="3"/>
  <c r="M456" i="3"/>
  <c r="M452" i="3"/>
  <c r="M448" i="3"/>
  <c r="M441" i="3"/>
  <c r="M440" i="3"/>
  <c r="M436" i="3"/>
  <c r="M429" i="3"/>
  <c r="M402" i="3"/>
  <c r="M134" i="3"/>
  <c r="M110" i="3"/>
  <c r="M118" i="3"/>
  <c r="M461" i="3"/>
  <c r="M460" i="3"/>
  <c r="M454" i="3"/>
  <c r="M433" i="3"/>
  <c r="M432" i="3"/>
  <c r="M401" i="3"/>
  <c r="M393" i="3"/>
  <c r="M389" i="3"/>
  <c r="M385" i="3"/>
  <c r="M381" i="3"/>
  <c r="M370" i="3"/>
  <c r="M367" i="3"/>
  <c r="M365" i="3"/>
  <c r="M358" i="3"/>
  <c r="M357" i="3"/>
  <c r="M352" i="3"/>
  <c r="M351" i="3"/>
  <c r="M346" i="3"/>
  <c r="M345" i="3"/>
  <c r="M342" i="3"/>
  <c r="M341" i="3"/>
  <c r="M338" i="3"/>
  <c r="M337" i="3"/>
  <c r="M334" i="3"/>
  <c r="M333" i="3"/>
  <c r="M327" i="3"/>
  <c r="M325" i="3"/>
  <c r="M323" i="3"/>
  <c r="M321" i="3"/>
  <c r="M319" i="3"/>
  <c r="M317" i="3"/>
  <c r="M315" i="3"/>
  <c r="M311" i="3"/>
  <c r="M310" i="3"/>
  <c r="M161" i="3"/>
  <c r="M139" i="3"/>
  <c r="M114" i="3"/>
  <c r="M444" i="3"/>
  <c r="M406" i="3"/>
  <c r="M398" i="3"/>
  <c r="M387" i="3"/>
  <c r="M379" i="3"/>
  <c r="M373" i="3"/>
  <c r="M369" i="3"/>
  <c r="M366" i="3"/>
  <c r="M356" i="3"/>
  <c r="M355" i="3"/>
  <c r="M347" i="3"/>
  <c r="M340" i="3"/>
  <c r="M339" i="3"/>
  <c r="M332" i="3"/>
  <c r="M331" i="3"/>
  <c r="M324" i="3"/>
  <c r="M320" i="3"/>
  <c r="M316" i="3"/>
  <c r="M308" i="3"/>
  <c r="M305" i="3"/>
  <c r="M304" i="3"/>
  <c r="M301" i="3"/>
  <c r="M300" i="3"/>
  <c r="M297" i="3"/>
  <c r="M296" i="3"/>
  <c r="M293" i="3"/>
  <c r="M292" i="3"/>
  <c r="M285" i="3"/>
  <c r="M284" i="3"/>
  <c r="M281" i="3"/>
  <c r="M280" i="3"/>
  <c r="M277" i="3"/>
  <c r="M275" i="3"/>
  <c r="M272" i="3"/>
  <c r="M237" i="3"/>
  <c r="M238" i="3"/>
  <c r="M241" i="3"/>
  <c r="M242" i="3"/>
  <c r="M245" i="3"/>
  <c r="M246" i="3"/>
  <c r="M249" i="3"/>
  <c r="M250" i="3"/>
  <c r="M253" i="3"/>
  <c r="M254" i="3"/>
  <c r="M257" i="3"/>
  <c r="M258" i="3"/>
  <c r="M261" i="3"/>
  <c r="M262" i="3"/>
  <c r="M265" i="3"/>
  <c r="M266" i="3"/>
  <c r="M269" i="3"/>
  <c r="M230" i="3"/>
  <c r="M228" i="3"/>
  <c r="M226" i="3"/>
  <c r="M224" i="3"/>
  <c r="M219" i="3"/>
  <c r="M217" i="3"/>
  <c r="M215" i="3"/>
  <c r="M213" i="3"/>
  <c r="M100" i="3"/>
  <c r="M99" i="3"/>
  <c r="M98" i="3"/>
  <c r="M97" i="3"/>
  <c r="M96" i="3"/>
  <c r="M95" i="3"/>
  <c r="M94" i="3"/>
  <c r="M93" i="3"/>
  <c r="M90" i="3"/>
  <c r="M89" i="3"/>
  <c r="M88" i="3"/>
  <c r="M87" i="3"/>
  <c r="M86" i="3"/>
  <c r="M85" i="3"/>
  <c r="M84" i="3"/>
  <c r="M83" i="3"/>
  <c r="M82" i="3"/>
  <c r="M81" i="3"/>
  <c r="M80" i="3"/>
  <c r="M79" i="3"/>
  <c r="M75" i="3"/>
  <c r="M73" i="3"/>
  <c r="M71" i="3"/>
  <c r="M69" i="3"/>
  <c r="M67" i="3"/>
  <c r="M65" i="3"/>
  <c r="M63" i="3"/>
  <c r="K520" i="3"/>
  <c r="K206" i="3"/>
  <c r="K168" i="3"/>
  <c r="K152" i="3"/>
  <c r="K131" i="3"/>
  <c r="K142" i="3"/>
  <c r="K511" i="3"/>
  <c r="K413" i="3"/>
  <c r="K417" i="3"/>
  <c r="K148" i="3"/>
  <c r="K135" i="3"/>
  <c r="K144" i="3"/>
  <c r="K113" i="3"/>
  <c r="K117" i="3"/>
  <c r="K121" i="3"/>
  <c r="K467" i="3"/>
  <c r="K466" i="3"/>
  <c r="K459" i="3"/>
  <c r="K458" i="3"/>
  <c r="K453" i="3"/>
  <c r="K443" i="3"/>
  <c r="K442" i="3"/>
  <c r="K431" i="3"/>
  <c r="K430" i="3"/>
  <c r="K404" i="3"/>
  <c r="K403" i="3"/>
  <c r="K156" i="3"/>
  <c r="K140" i="3"/>
  <c r="K111" i="3"/>
  <c r="K119" i="3"/>
  <c r="K463" i="3"/>
  <c r="K462" i="3"/>
  <c r="K455" i="3"/>
  <c r="K435" i="3"/>
  <c r="K434" i="3"/>
  <c r="K394" i="3"/>
  <c r="K390" i="3"/>
  <c r="K386" i="3"/>
  <c r="K382" i="3"/>
  <c r="K372" i="3"/>
  <c r="K369" i="3"/>
  <c r="K368" i="3"/>
  <c r="K366" i="3"/>
  <c r="K364" i="3"/>
  <c r="K363" i="3"/>
  <c r="K362" i="3"/>
  <c r="K361" i="3"/>
  <c r="K360" i="3"/>
  <c r="K359" i="3"/>
  <c r="K356" i="3"/>
  <c r="K355" i="3"/>
  <c r="K347" i="3"/>
  <c r="K344" i="3"/>
  <c r="K343" i="3"/>
  <c r="K340" i="3"/>
  <c r="K339" i="3"/>
  <c r="K336" i="3"/>
  <c r="K335" i="3"/>
  <c r="K332" i="3"/>
  <c r="K331" i="3"/>
  <c r="K326" i="3"/>
  <c r="K324" i="3"/>
  <c r="K322" i="3"/>
  <c r="K320" i="3"/>
  <c r="K318" i="3"/>
  <c r="K316" i="3"/>
  <c r="K309" i="3"/>
  <c r="K504" i="3"/>
  <c r="K472" i="3"/>
  <c r="K446" i="3"/>
  <c r="K408" i="3"/>
  <c r="K400" i="3"/>
  <c r="K399" i="3"/>
  <c r="K388" i="3"/>
  <c r="K380" i="3"/>
  <c r="K365" i="3"/>
  <c r="K358" i="3"/>
  <c r="K357" i="3"/>
  <c r="K342" i="3"/>
  <c r="K341" i="3"/>
  <c r="K334" i="3"/>
  <c r="K333" i="3"/>
  <c r="K325" i="3"/>
  <c r="K321" i="3"/>
  <c r="K317" i="3"/>
  <c r="K307" i="3"/>
  <c r="K306" i="3"/>
  <c r="K303" i="3"/>
  <c r="K302" i="3"/>
  <c r="K299" i="3"/>
  <c r="K298" i="3"/>
  <c r="K295" i="3"/>
  <c r="K294" i="3"/>
  <c r="K286" i="3"/>
  <c r="K283" i="3"/>
  <c r="K282" i="3"/>
  <c r="K279" i="3"/>
  <c r="K278" i="3"/>
  <c r="K274" i="3"/>
  <c r="K273" i="3"/>
  <c r="K235" i="3"/>
  <c r="K236" i="3"/>
  <c r="K239" i="3"/>
  <c r="K240" i="3"/>
  <c r="K243" i="3"/>
  <c r="K244" i="3"/>
  <c r="K247" i="3"/>
  <c r="K248" i="3"/>
  <c r="K251" i="3"/>
  <c r="K252" i="3"/>
  <c r="K255" i="3"/>
  <c r="K256" i="3"/>
  <c r="K259" i="3"/>
  <c r="K260" i="3"/>
  <c r="K263" i="3"/>
  <c r="K264" i="3"/>
  <c r="K267" i="3"/>
  <c r="K268" i="3"/>
  <c r="K229" i="3"/>
  <c r="K227" i="3"/>
  <c r="K225" i="3"/>
  <c r="K223" i="3"/>
  <c r="K218" i="3"/>
  <c r="K216" i="3"/>
  <c r="K214" i="3"/>
  <c r="K212" i="3"/>
  <c r="K98" i="3"/>
  <c r="K74" i="3"/>
  <c r="K72" i="3"/>
  <c r="K70" i="3"/>
  <c r="K68" i="3"/>
  <c r="K66" i="3"/>
  <c r="K64" i="3"/>
  <c r="K49" i="3"/>
  <c r="I535" i="3"/>
  <c r="I512" i="3"/>
  <c r="I505" i="3"/>
  <c r="I206" i="3"/>
  <c r="I169" i="3"/>
  <c r="I153" i="3"/>
  <c r="I132" i="3"/>
  <c r="I139" i="3"/>
  <c r="I143" i="3"/>
  <c r="I413" i="3"/>
  <c r="I417" i="3"/>
  <c r="I128" i="3"/>
  <c r="I110" i="3"/>
  <c r="I114" i="3"/>
  <c r="I118" i="3"/>
  <c r="I473" i="3"/>
  <c r="I461" i="3"/>
  <c r="I460" i="3"/>
  <c r="I454" i="3"/>
  <c r="I445" i="3"/>
  <c r="I444" i="3"/>
  <c r="I433" i="3"/>
  <c r="I432" i="3"/>
  <c r="I406" i="3"/>
  <c r="I405" i="3"/>
  <c r="I165" i="3"/>
  <c r="I149" i="3"/>
  <c r="I112" i="3"/>
  <c r="I120" i="3"/>
  <c r="I465" i="3"/>
  <c r="I464" i="3"/>
  <c r="I456" i="3"/>
  <c r="I441" i="3"/>
  <c r="I440" i="3"/>
  <c r="I436" i="3"/>
  <c r="I402" i="3"/>
  <c r="I398" i="3"/>
  <c r="I391" i="3"/>
  <c r="I387" i="3"/>
  <c r="I383" i="3"/>
  <c r="I379" i="3"/>
  <c r="I373" i="3"/>
  <c r="I367" i="3"/>
  <c r="I365" i="3"/>
  <c r="I358" i="3"/>
  <c r="I357" i="3"/>
  <c r="I352" i="3"/>
  <c r="I351" i="3"/>
  <c r="I350" i="3"/>
  <c r="I346" i="3"/>
  <c r="I345" i="3"/>
  <c r="I342" i="3"/>
  <c r="I341" i="3"/>
  <c r="I338" i="3"/>
  <c r="I337" i="3"/>
  <c r="I334" i="3"/>
  <c r="I333" i="3"/>
  <c r="I327" i="3"/>
  <c r="I325" i="3"/>
  <c r="I323" i="3"/>
  <c r="I321" i="3"/>
  <c r="I319" i="3"/>
  <c r="I317" i="3"/>
  <c r="I315" i="3"/>
  <c r="I311" i="3"/>
  <c r="I310" i="3"/>
  <c r="I116" i="3"/>
  <c r="I448" i="3"/>
  <c r="I401" i="3"/>
  <c r="I389" i="3"/>
  <c r="I381" i="3"/>
  <c r="I370" i="3"/>
  <c r="I368" i="3"/>
  <c r="I364" i="3"/>
  <c r="I363" i="3"/>
  <c r="I362" i="3"/>
  <c r="I361" i="3"/>
  <c r="I360" i="3"/>
  <c r="I359" i="3"/>
  <c r="I344" i="3"/>
  <c r="I343" i="3"/>
  <c r="I336" i="3"/>
  <c r="I335" i="3"/>
  <c r="I326" i="3"/>
  <c r="I322" i="3"/>
  <c r="I318" i="3"/>
  <c r="I309" i="3"/>
  <c r="I308" i="3"/>
  <c r="I305" i="3"/>
  <c r="I304" i="3"/>
  <c r="I301" i="3"/>
  <c r="I300" i="3"/>
  <c r="I297" i="3"/>
  <c r="I296" i="3"/>
  <c r="I293" i="3"/>
  <c r="I292" i="3"/>
  <c r="I285" i="3"/>
  <c r="I284" i="3"/>
  <c r="I281" i="3"/>
  <c r="I280" i="3"/>
  <c r="I277" i="3"/>
  <c r="I275" i="3"/>
  <c r="I272" i="3"/>
  <c r="I237" i="3"/>
  <c r="I238" i="3"/>
  <c r="I241" i="3"/>
  <c r="I242" i="3"/>
  <c r="I245" i="3"/>
  <c r="I246" i="3"/>
  <c r="I249" i="3"/>
  <c r="I250" i="3"/>
  <c r="I253" i="3"/>
  <c r="I254" i="3"/>
  <c r="I257" i="3"/>
  <c r="I258" i="3"/>
  <c r="I261" i="3"/>
  <c r="I262" i="3"/>
  <c r="I265" i="3"/>
  <c r="I266" i="3"/>
  <c r="I269" i="3"/>
  <c r="I230" i="3"/>
  <c r="I228" i="3"/>
  <c r="I226" i="3"/>
  <c r="I224" i="3"/>
  <c r="I219" i="3"/>
  <c r="I217" i="3"/>
  <c r="I215" i="3"/>
  <c r="I213" i="3"/>
  <c r="I100" i="3"/>
  <c r="I99" i="3"/>
  <c r="I98" i="3"/>
  <c r="I97" i="3"/>
  <c r="I96" i="3"/>
  <c r="I95" i="3"/>
  <c r="I94" i="3"/>
  <c r="I93" i="3"/>
  <c r="I90" i="3"/>
  <c r="I89" i="3"/>
  <c r="I88" i="3"/>
  <c r="I87" i="3"/>
  <c r="I86" i="3"/>
  <c r="I85" i="3"/>
  <c r="I84" i="3"/>
  <c r="I83" i="3"/>
  <c r="I82" i="3"/>
  <c r="I81" i="3"/>
  <c r="I80" i="3"/>
  <c r="I79" i="3"/>
  <c r="I75" i="3"/>
  <c r="I73" i="3"/>
  <c r="I71" i="3"/>
  <c r="I69" i="3"/>
  <c r="I67" i="3"/>
  <c r="I65" i="3"/>
  <c r="I63" i="3"/>
  <c r="G498" i="3"/>
  <c r="G206" i="3"/>
  <c r="G187" i="3"/>
  <c r="G186" i="3"/>
  <c r="G185" i="3"/>
  <c r="G184" i="3"/>
  <c r="G183" i="3"/>
  <c r="G182" i="3"/>
  <c r="G181" i="3"/>
  <c r="G180" i="3"/>
  <c r="G179" i="3"/>
  <c r="G178" i="3"/>
  <c r="G177" i="3"/>
  <c r="G176" i="3"/>
  <c r="G175" i="3"/>
  <c r="G174" i="3"/>
  <c r="G173" i="3"/>
  <c r="G172" i="3"/>
  <c r="G171" i="3"/>
  <c r="G170" i="3"/>
  <c r="G160" i="3"/>
  <c r="G154" i="3"/>
  <c r="G133" i="3"/>
  <c r="G140" i="3"/>
  <c r="G144" i="3"/>
  <c r="G506" i="3"/>
  <c r="G413" i="3"/>
  <c r="G417" i="3"/>
  <c r="G166" i="3"/>
  <c r="G150" i="3"/>
  <c r="G137" i="3"/>
  <c r="G111" i="3"/>
  <c r="G115" i="3"/>
  <c r="G119" i="3"/>
  <c r="G472" i="3"/>
  <c r="G463" i="3"/>
  <c r="G462" i="3"/>
  <c r="G455" i="3"/>
  <c r="G447" i="3"/>
  <c r="G446" i="3"/>
  <c r="G435" i="3"/>
  <c r="G434" i="3"/>
  <c r="G408" i="3"/>
  <c r="G407" i="3"/>
  <c r="G142" i="3"/>
  <c r="G113" i="3"/>
  <c r="G121" i="3"/>
  <c r="G467" i="3"/>
  <c r="G466" i="3"/>
  <c r="G443" i="3"/>
  <c r="G442" i="3"/>
  <c r="G404" i="3"/>
  <c r="G403" i="3"/>
  <c r="G400" i="3"/>
  <c r="G399" i="3"/>
  <c r="G392" i="3"/>
  <c r="G388" i="3"/>
  <c r="G384" i="3"/>
  <c r="G380" i="3"/>
  <c r="G371" i="3"/>
  <c r="G370" i="3"/>
  <c r="G369" i="3"/>
  <c r="G368" i="3"/>
  <c r="G366" i="3"/>
  <c r="G364" i="3"/>
  <c r="G363" i="3"/>
  <c r="G362" i="3"/>
  <c r="G361" i="3"/>
  <c r="G360" i="3"/>
  <c r="G359" i="3"/>
  <c r="G356" i="3"/>
  <c r="G355" i="3"/>
  <c r="G347" i="3"/>
  <c r="G344" i="3"/>
  <c r="G343" i="3"/>
  <c r="G340" i="3"/>
  <c r="G339" i="3"/>
  <c r="G336" i="3"/>
  <c r="G335" i="3"/>
  <c r="G332" i="3"/>
  <c r="G331" i="3"/>
  <c r="G326" i="3"/>
  <c r="G324" i="3"/>
  <c r="G322" i="3"/>
  <c r="G320" i="3"/>
  <c r="G318" i="3"/>
  <c r="G316" i="3"/>
  <c r="G309" i="3"/>
  <c r="G514" i="3"/>
  <c r="G459" i="3"/>
  <c r="G453" i="3"/>
  <c r="G430" i="3"/>
  <c r="G390" i="3"/>
  <c r="G382" i="3"/>
  <c r="G367" i="3"/>
  <c r="G352" i="3"/>
  <c r="G351" i="3"/>
  <c r="G350" i="3"/>
  <c r="G346" i="3"/>
  <c r="G345" i="3"/>
  <c r="G338" i="3"/>
  <c r="G337" i="3"/>
  <c r="G327" i="3"/>
  <c r="G323" i="3"/>
  <c r="G319" i="3"/>
  <c r="G315" i="3"/>
  <c r="G311" i="3"/>
  <c r="G310" i="3"/>
  <c r="G307" i="3"/>
  <c r="G306" i="3"/>
  <c r="G303" i="3"/>
  <c r="G302" i="3"/>
  <c r="G299" i="3"/>
  <c r="G298" i="3"/>
  <c r="G295" i="3"/>
  <c r="G294" i="3"/>
  <c r="G286" i="3"/>
  <c r="G283" i="3"/>
  <c r="G282" i="3"/>
  <c r="G279" i="3"/>
  <c r="G278" i="3"/>
  <c r="G274" i="3"/>
  <c r="G273" i="3"/>
  <c r="G235" i="3"/>
  <c r="G236" i="3"/>
  <c r="G239" i="3"/>
  <c r="G240" i="3"/>
  <c r="G243" i="3"/>
  <c r="G244" i="3"/>
  <c r="G247" i="3"/>
  <c r="G248" i="3"/>
  <c r="G251" i="3"/>
  <c r="G252" i="3"/>
  <c r="G255" i="3"/>
  <c r="G256" i="3"/>
  <c r="G259" i="3"/>
  <c r="G260" i="3"/>
  <c r="G263" i="3"/>
  <c r="G264" i="3"/>
  <c r="G267" i="3"/>
  <c r="G268" i="3"/>
  <c r="G229" i="3"/>
  <c r="G227" i="3"/>
  <c r="G225" i="3"/>
  <c r="G223" i="3"/>
  <c r="G218" i="3"/>
  <c r="G216" i="3"/>
  <c r="G214" i="3"/>
  <c r="G212" i="3"/>
  <c r="G98" i="3"/>
  <c r="G74" i="3"/>
  <c r="G72" i="3"/>
  <c r="G70" i="3"/>
  <c r="G68" i="3"/>
  <c r="G66" i="3"/>
  <c r="G64" i="3"/>
  <c r="G49" i="3"/>
  <c r="E193" i="3"/>
  <c r="E185" i="3"/>
  <c r="E515" i="3"/>
  <c r="E206" i="3"/>
  <c r="E161" i="3"/>
  <c r="E155" i="3"/>
  <c r="E134" i="3"/>
  <c r="E141" i="3"/>
  <c r="E110" i="3"/>
  <c r="E499" i="3"/>
  <c r="E413" i="3"/>
  <c r="E417" i="3"/>
  <c r="E130" i="3"/>
  <c r="E112" i="3"/>
  <c r="E116" i="3"/>
  <c r="E120" i="3"/>
  <c r="E465" i="3"/>
  <c r="E464" i="3"/>
  <c r="E456" i="3"/>
  <c r="E452" i="3"/>
  <c r="E448" i="3"/>
  <c r="E441" i="3"/>
  <c r="E440" i="3"/>
  <c r="E436" i="3"/>
  <c r="E429" i="3"/>
  <c r="E402" i="3"/>
  <c r="E138" i="3"/>
  <c r="E114" i="3"/>
  <c r="E473" i="3"/>
  <c r="E445" i="3"/>
  <c r="E444" i="3"/>
  <c r="E406" i="3"/>
  <c r="E405" i="3"/>
  <c r="E401" i="3"/>
  <c r="E393" i="3"/>
  <c r="E389" i="3"/>
  <c r="E385" i="3"/>
  <c r="E381" i="3"/>
  <c r="E372" i="3"/>
  <c r="E367" i="3"/>
  <c r="E365" i="3"/>
  <c r="E358" i="3"/>
  <c r="E357" i="3"/>
  <c r="E352" i="3"/>
  <c r="E351" i="3"/>
  <c r="E346" i="3"/>
  <c r="E345" i="3"/>
  <c r="E342" i="3"/>
  <c r="E341" i="3"/>
  <c r="E338" i="3"/>
  <c r="E337" i="3"/>
  <c r="E334" i="3"/>
  <c r="E333" i="3"/>
  <c r="E327" i="3"/>
  <c r="E325" i="3"/>
  <c r="E323" i="3"/>
  <c r="E321" i="3"/>
  <c r="E319" i="3"/>
  <c r="E317" i="3"/>
  <c r="E311" i="3"/>
  <c r="E310" i="3"/>
  <c r="E143" i="3"/>
  <c r="E118" i="3"/>
  <c r="E461" i="3"/>
  <c r="E432" i="3"/>
  <c r="E391" i="3"/>
  <c r="E383" i="3"/>
  <c r="E371" i="3"/>
  <c r="E369" i="3"/>
  <c r="E366" i="3"/>
  <c r="E356" i="3"/>
  <c r="E355" i="3"/>
  <c r="E347" i="3"/>
  <c r="E340" i="3"/>
  <c r="E339" i="3"/>
  <c r="E332" i="3"/>
  <c r="E331" i="3"/>
  <c r="E324" i="3"/>
  <c r="E320" i="3"/>
  <c r="E316" i="3"/>
  <c r="E308" i="3"/>
  <c r="E305" i="3"/>
  <c r="E304" i="3"/>
  <c r="E301" i="3"/>
  <c r="E300" i="3"/>
  <c r="E297" i="3"/>
  <c r="E296" i="3"/>
  <c r="E293" i="3"/>
  <c r="E292" i="3"/>
  <c r="E285" i="3"/>
  <c r="E284" i="3"/>
  <c r="E281" i="3"/>
  <c r="E280" i="3"/>
  <c r="E277" i="3"/>
  <c r="E275" i="3"/>
  <c r="E272" i="3"/>
  <c r="E237" i="3"/>
  <c r="E238" i="3"/>
  <c r="E241" i="3"/>
  <c r="E242" i="3"/>
  <c r="E245" i="3"/>
  <c r="E246" i="3"/>
  <c r="E249" i="3"/>
  <c r="E250" i="3"/>
  <c r="E253" i="3"/>
  <c r="E254" i="3"/>
  <c r="E257" i="3"/>
  <c r="E258" i="3"/>
  <c r="E261" i="3"/>
  <c r="E262" i="3"/>
  <c r="E265" i="3"/>
  <c r="E266" i="3"/>
  <c r="E269" i="3"/>
  <c r="E230" i="3"/>
  <c r="E228" i="3"/>
  <c r="E226" i="3"/>
  <c r="E224" i="3"/>
  <c r="E219" i="3"/>
  <c r="E217" i="3"/>
  <c r="E215" i="3"/>
  <c r="E213" i="3"/>
  <c r="E100" i="3"/>
  <c r="E98" i="3"/>
  <c r="E96" i="3"/>
  <c r="E94" i="3"/>
  <c r="E90" i="3"/>
  <c r="E88" i="3"/>
  <c r="E86" i="3"/>
  <c r="E84" i="3"/>
  <c r="E82" i="3"/>
  <c r="E80" i="3"/>
  <c r="E75" i="3"/>
  <c r="E73" i="3"/>
  <c r="E71" i="3"/>
  <c r="E69" i="3"/>
  <c r="E67" i="3"/>
  <c r="E65" i="3"/>
  <c r="E63" i="3"/>
  <c r="S495" i="3"/>
  <c r="S233" i="3"/>
  <c r="E233" i="3"/>
  <c r="M488" i="3"/>
  <c r="E77" i="3"/>
  <c r="I47" i="3"/>
  <c r="K77" i="3"/>
  <c r="K163" i="3"/>
  <c r="I77" i="3"/>
  <c r="I163" i="3"/>
  <c r="K10" i="3"/>
  <c r="K221" i="3"/>
  <c r="K354" i="3"/>
  <c r="K438" i="3"/>
  <c r="S35" i="3"/>
  <c r="S92" i="3"/>
  <c r="S146" i="3"/>
  <c r="C391" i="7"/>
  <c r="U10" i="3"/>
  <c r="U221" i="3"/>
  <c r="U438" i="3"/>
  <c r="S438" i="3"/>
  <c r="U25" i="3"/>
  <c r="U210" i="3"/>
  <c r="E163" i="3"/>
  <c r="E271" i="3"/>
  <c r="E354" i="3"/>
  <c r="G77" i="3"/>
  <c r="G126" i="3"/>
  <c r="G349" i="3"/>
  <c r="Q508" i="3"/>
  <c r="E438" i="3"/>
  <c r="G47" i="3"/>
  <c r="G163" i="3"/>
  <c r="G354" i="3"/>
  <c r="M47" i="3"/>
  <c r="M163" i="3"/>
  <c r="M354" i="3"/>
  <c r="O10" i="3"/>
  <c r="O221" i="3"/>
  <c r="O329" i="3"/>
  <c r="O396" i="3"/>
  <c r="Q61" i="3"/>
  <c r="Q158" i="3"/>
  <c r="Q410" i="3"/>
  <c r="S329" i="3"/>
  <c r="S396" i="3"/>
  <c r="I35" i="3"/>
  <c r="M25" i="3"/>
  <c r="M438" i="3"/>
  <c r="Q377" i="3"/>
  <c r="S349" i="3"/>
  <c r="I495" i="3"/>
  <c r="E92" i="3"/>
  <c r="G61" i="3"/>
  <c r="I410" i="3"/>
  <c r="K410" i="3"/>
  <c r="G495" i="3"/>
  <c r="O530" i="3"/>
  <c r="E35" i="3"/>
  <c r="G290" i="3"/>
  <c r="I233" i="3"/>
  <c r="I191" i="3"/>
  <c r="G381" i="7"/>
  <c r="K108" i="3"/>
  <c r="C383" i="7"/>
  <c r="K427" i="3"/>
  <c r="M35" i="3"/>
  <c r="M233" i="3"/>
  <c r="M191" i="3"/>
  <c r="G385" i="7"/>
  <c r="M410" i="3"/>
  <c r="O108" i="3"/>
  <c r="C387" i="7"/>
  <c r="O427" i="3"/>
  <c r="S410" i="3"/>
  <c r="U61" i="3"/>
  <c r="U314" i="3"/>
  <c r="O410" i="3"/>
  <c r="Q163" i="3"/>
  <c r="S47" i="3"/>
  <c r="S427" i="3"/>
  <c r="U146" i="3"/>
  <c r="E123" i="3"/>
  <c r="E377" i="7"/>
  <c r="S451" i="3"/>
  <c r="O451" i="3"/>
  <c r="K451" i="3"/>
  <c r="G451" i="3"/>
  <c r="U439" i="3"/>
  <c r="Q439" i="3"/>
  <c r="M439" i="3"/>
  <c r="I439" i="3"/>
  <c r="E439" i="3"/>
  <c r="Q428" i="3"/>
  <c r="M428" i="3"/>
  <c r="I428" i="3"/>
  <c r="E428" i="3"/>
  <c r="S411" i="3"/>
  <c r="O411" i="3"/>
  <c r="K411" i="3"/>
  <c r="G411" i="3"/>
  <c r="S397" i="3"/>
  <c r="O397" i="3"/>
  <c r="K397" i="3"/>
  <c r="G397" i="3"/>
  <c r="U378" i="3"/>
  <c r="Q378" i="3"/>
  <c r="M378" i="3"/>
  <c r="I378" i="3"/>
  <c r="E378" i="3"/>
  <c r="S350" i="3"/>
  <c r="O350" i="3"/>
  <c r="E350" i="3"/>
  <c r="S330" i="3"/>
  <c r="O330" i="3"/>
  <c r="K330" i="3"/>
  <c r="G330" i="3"/>
  <c r="E315" i="3"/>
  <c r="I291" i="3"/>
  <c r="E291" i="3"/>
  <c r="S234" i="3"/>
  <c r="O234" i="3"/>
  <c r="K234" i="3"/>
  <c r="G234" i="3"/>
  <c r="E222" i="3"/>
  <c r="E164" i="3"/>
  <c r="E147" i="3"/>
  <c r="S124" i="3"/>
  <c r="O124" i="3"/>
  <c r="G123" i="3"/>
  <c r="E379" i="7"/>
  <c r="E78" i="3"/>
  <c r="E36" i="3"/>
  <c r="U531" i="3"/>
  <c r="Q531" i="3"/>
  <c r="M531" i="3"/>
  <c r="I531" i="3"/>
  <c r="E531" i="3"/>
  <c r="S509" i="3"/>
  <c r="O509" i="3"/>
  <c r="K509" i="3"/>
  <c r="G509" i="3"/>
  <c r="U496" i="3"/>
  <c r="Q496" i="3"/>
  <c r="M496" i="3"/>
  <c r="I496" i="3"/>
  <c r="E496" i="3"/>
  <c r="S489" i="3"/>
  <c r="O489" i="3"/>
  <c r="K489" i="3"/>
  <c r="G489" i="3"/>
  <c r="I123" i="3"/>
  <c r="E381" i="7"/>
  <c r="Q123" i="3"/>
  <c r="E389" i="7"/>
  <c r="U123" i="3"/>
  <c r="E393" i="7"/>
  <c r="E527" i="3"/>
  <c r="U527" i="3"/>
  <c r="S527" i="3"/>
  <c r="Q527" i="3"/>
  <c r="O527" i="3"/>
  <c r="M527" i="3"/>
  <c r="S11" i="3"/>
  <c r="O11" i="3"/>
  <c r="K11" i="3"/>
  <c r="E11" i="3"/>
  <c r="G36" i="3"/>
  <c r="I36" i="3"/>
  <c r="Q36" i="3"/>
  <c r="M36" i="3"/>
  <c r="E48" i="3"/>
  <c r="S48" i="3"/>
  <c r="O48" i="3"/>
  <c r="K48" i="3"/>
  <c r="G48" i="3"/>
  <c r="S62" i="3"/>
  <c r="O62" i="3"/>
  <c r="K62" i="3"/>
  <c r="G62" i="3"/>
  <c r="S78" i="3"/>
  <c r="O78" i="3"/>
  <c r="K78" i="3"/>
  <c r="G78" i="3"/>
  <c r="O109" i="3"/>
  <c r="K109" i="3"/>
  <c r="G109" i="3"/>
  <c r="S109" i="3"/>
  <c r="M124" i="3"/>
  <c r="I124" i="3"/>
  <c r="U127" i="3"/>
  <c r="Q127" i="3"/>
  <c r="M127" i="3"/>
  <c r="I127" i="3"/>
  <c r="U147" i="3"/>
  <c r="Q147" i="3"/>
  <c r="M147" i="3"/>
  <c r="I147" i="3"/>
  <c r="U159" i="3"/>
  <c r="Q159" i="3"/>
  <c r="M159" i="3"/>
  <c r="I159" i="3"/>
  <c r="U164" i="3"/>
  <c r="Q164" i="3"/>
  <c r="M164" i="3"/>
  <c r="I164" i="3"/>
  <c r="U192" i="3"/>
  <c r="Q192" i="3"/>
  <c r="M192" i="3"/>
  <c r="I192" i="3"/>
  <c r="U211" i="3"/>
  <c r="Q211" i="3"/>
  <c r="M211" i="3"/>
  <c r="I211" i="3"/>
  <c r="U222" i="3"/>
  <c r="Q222" i="3"/>
  <c r="M222" i="3"/>
  <c r="I222" i="3"/>
  <c r="E27" i="3"/>
  <c r="E29" i="3"/>
  <c r="E31" i="3"/>
  <c r="E33" i="3"/>
  <c r="E30" i="3"/>
  <c r="E23" i="3"/>
  <c r="E21" i="3"/>
  <c r="E19" i="3"/>
  <c r="E17" i="3"/>
  <c r="E15" i="3"/>
  <c r="E13" i="3"/>
  <c r="G23" i="3"/>
  <c r="G21" i="3"/>
  <c r="G19" i="3"/>
  <c r="G17" i="3"/>
  <c r="G15" i="3"/>
  <c r="G13" i="3"/>
  <c r="G26" i="3"/>
  <c r="G32" i="3"/>
  <c r="G30" i="3"/>
  <c r="G28" i="3"/>
  <c r="U26" i="3"/>
  <c r="Q26" i="3"/>
  <c r="I22" i="3"/>
  <c r="I20" i="3"/>
  <c r="I18" i="3"/>
  <c r="I16" i="3"/>
  <c r="I14" i="3"/>
  <c r="I12" i="3"/>
  <c r="K22" i="3"/>
  <c r="K20" i="3"/>
  <c r="K18" i="3"/>
  <c r="K16" i="3"/>
  <c r="K14" i="3"/>
  <c r="K12" i="3"/>
  <c r="M22" i="3"/>
  <c r="M20" i="3"/>
  <c r="M18" i="3"/>
  <c r="M16" i="3"/>
  <c r="M14" i="3"/>
  <c r="M12" i="3"/>
  <c r="O22" i="3"/>
  <c r="O20" i="3"/>
  <c r="O18" i="3"/>
  <c r="O16" i="3"/>
  <c r="O14" i="3"/>
  <c r="O12" i="3"/>
  <c r="Q22" i="3"/>
  <c r="Q20" i="3"/>
  <c r="Q18" i="3"/>
  <c r="Q16" i="3"/>
  <c r="Q14" i="3"/>
  <c r="Q12" i="3"/>
  <c r="S22" i="3"/>
  <c r="S20" i="3"/>
  <c r="S18" i="3"/>
  <c r="S16" i="3"/>
  <c r="S14" i="3"/>
  <c r="S12" i="3"/>
  <c r="U22" i="3"/>
  <c r="U20" i="3"/>
  <c r="U18" i="3"/>
  <c r="U16" i="3"/>
  <c r="U14" i="3"/>
  <c r="U12" i="3"/>
  <c r="K26" i="3"/>
  <c r="O26" i="3"/>
  <c r="S33" i="3"/>
  <c r="O33" i="3"/>
  <c r="K33" i="3"/>
  <c r="U32" i="3"/>
  <c r="Q32" i="3"/>
  <c r="M32" i="3"/>
  <c r="I32" i="3"/>
  <c r="S31" i="3"/>
  <c r="O31" i="3"/>
  <c r="K31" i="3"/>
  <c r="U30" i="3"/>
  <c r="Q30" i="3"/>
  <c r="M30" i="3"/>
  <c r="I30" i="3"/>
  <c r="S29" i="3"/>
  <c r="O29" i="3"/>
  <c r="K29" i="3"/>
  <c r="U28" i="3"/>
  <c r="Q28" i="3"/>
  <c r="M28" i="3"/>
  <c r="I28" i="3"/>
  <c r="S27" i="3"/>
  <c r="O27" i="3"/>
  <c r="K27" i="3"/>
  <c r="E45" i="3"/>
  <c r="E43" i="3"/>
  <c r="E41" i="3"/>
  <c r="E39" i="3"/>
  <c r="E37" i="3"/>
  <c r="S45" i="3"/>
  <c r="O45" i="3"/>
  <c r="K45" i="3"/>
  <c r="G45" i="3"/>
  <c r="S44" i="3"/>
  <c r="O44" i="3"/>
  <c r="K44" i="3"/>
  <c r="G44" i="3"/>
  <c r="S43" i="3"/>
  <c r="O43" i="3"/>
  <c r="K43" i="3"/>
  <c r="G43" i="3"/>
  <c r="S42" i="3"/>
  <c r="O42" i="3"/>
  <c r="K42" i="3"/>
  <c r="G42" i="3"/>
  <c r="S41" i="3"/>
  <c r="O41" i="3"/>
  <c r="K41" i="3"/>
  <c r="G41" i="3"/>
  <c r="S40" i="3"/>
  <c r="O40" i="3"/>
  <c r="K40" i="3"/>
  <c r="G40" i="3"/>
  <c r="S39" i="3"/>
  <c r="O39" i="3"/>
  <c r="K39" i="3"/>
  <c r="G39" i="3"/>
  <c r="S38" i="3"/>
  <c r="O38" i="3"/>
  <c r="K38" i="3"/>
  <c r="G38" i="3"/>
  <c r="S37" i="3"/>
  <c r="O37" i="3"/>
  <c r="K37" i="3"/>
  <c r="G37" i="3"/>
  <c r="S59" i="3"/>
  <c r="O59" i="3"/>
  <c r="K59" i="3"/>
  <c r="G59" i="3"/>
  <c r="U58" i="3"/>
  <c r="Q58" i="3"/>
  <c r="M58" i="3"/>
  <c r="I58" i="3"/>
  <c r="E58" i="3"/>
  <c r="S57" i="3"/>
  <c r="O57" i="3"/>
  <c r="K57" i="3"/>
  <c r="G57" i="3"/>
  <c r="U56" i="3"/>
  <c r="Q56" i="3"/>
  <c r="M56" i="3"/>
  <c r="I56" i="3"/>
  <c r="E56" i="3"/>
  <c r="S55" i="3"/>
  <c r="O55" i="3"/>
  <c r="K55" i="3"/>
  <c r="G55" i="3"/>
  <c r="U54" i="3"/>
  <c r="Q54" i="3"/>
  <c r="M54" i="3"/>
  <c r="I54" i="3"/>
  <c r="E54" i="3"/>
  <c r="S53" i="3"/>
  <c r="O53" i="3"/>
  <c r="K53" i="3"/>
  <c r="G53" i="3"/>
  <c r="U52" i="3"/>
  <c r="Q52" i="3"/>
  <c r="M52" i="3"/>
  <c r="I52" i="3"/>
  <c r="E52" i="3"/>
  <c r="S51" i="3"/>
  <c r="O51" i="3"/>
  <c r="K51" i="3"/>
  <c r="G51" i="3"/>
  <c r="U50" i="3"/>
  <c r="Q50" i="3"/>
  <c r="M50" i="3"/>
  <c r="I50" i="3"/>
  <c r="E50" i="3"/>
  <c r="Q49" i="3"/>
  <c r="I49" i="3"/>
  <c r="G63" i="3"/>
  <c r="O63" i="3"/>
  <c r="E64" i="3"/>
  <c r="M64" i="3"/>
  <c r="U64" i="3"/>
  <c r="K65" i="3"/>
  <c r="S65" i="3"/>
  <c r="I66" i="3"/>
  <c r="Q66" i="3"/>
  <c r="G67" i="3"/>
  <c r="O67" i="3"/>
  <c r="E68" i="3"/>
  <c r="M68" i="3"/>
  <c r="U68" i="3"/>
  <c r="K69" i="3"/>
  <c r="S69" i="3"/>
  <c r="I70" i="3"/>
  <c r="Q70" i="3"/>
  <c r="G71" i="3"/>
  <c r="O71" i="3"/>
  <c r="E72" i="3"/>
  <c r="M72" i="3"/>
  <c r="U72" i="3"/>
  <c r="K73" i="3"/>
  <c r="S73" i="3"/>
  <c r="I74" i="3"/>
  <c r="Q74" i="3"/>
  <c r="G75" i="3"/>
  <c r="O75" i="3"/>
  <c r="G79" i="3"/>
  <c r="O79" i="3"/>
  <c r="G80" i="3"/>
  <c r="O80" i="3"/>
  <c r="G81" i="3"/>
  <c r="O81" i="3"/>
  <c r="G82" i="3"/>
  <c r="O82" i="3"/>
  <c r="G83" i="3"/>
  <c r="O83" i="3"/>
  <c r="G84" i="3"/>
  <c r="O84" i="3"/>
  <c r="G85" i="3"/>
  <c r="O85" i="3"/>
  <c r="G86" i="3"/>
  <c r="O86" i="3"/>
  <c r="G87" i="3"/>
  <c r="O87" i="3"/>
  <c r="G88" i="3"/>
  <c r="O88" i="3"/>
  <c r="G89" i="3"/>
  <c r="O89" i="3"/>
  <c r="G90" i="3"/>
  <c r="O90" i="3"/>
  <c r="E79" i="3"/>
  <c r="E83" i="3"/>
  <c r="E87" i="3"/>
  <c r="G93" i="3"/>
  <c r="O93" i="3"/>
  <c r="G94" i="3"/>
  <c r="O94" i="3"/>
  <c r="G95" i="3"/>
  <c r="O95" i="3"/>
  <c r="G96" i="3"/>
  <c r="O96" i="3"/>
  <c r="G97" i="3"/>
  <c r="O97" i="3"/>
  <c r="G99" i="3"/>
  <c r="O99" i="3"/>
  <c r="G100" i="3"/>
  <c r="O100" i="3"/>
  <c r="E93" i="3"/>
  <c r="E97" i="3"/>
  <c r="E212" i="3"/>
  <c r="M212" i="3"/>
  <c r="U212" i="3"/>
  <c r="K213" i="3"/>
  <c r="S213" i="3"/>
  <c r="I214" i="3"/>
  <c r="Q214" i="3"/>
  <c r="G215" i="3"/>
  <c r="O215" i="3"/>
  <c r="E216" i="3"/>
  <c r="M216" i="3"/>
  <c r="U216" i="3"/>
  <c r="K217" i="3"/>
  <c r="S217" i="3"/>
  <c r="I218" i="3"/>
  <c r="Q218" i="3"/>
  <c r="G219" i="3"/>
  <c r="O219" i="3"/>
  <c r="E223" i="3"/>
  <c r="M223" i="3"/>
  <c r="U223" i="3"/>
  <c r="K224" i="3"/>
  <c r="S224" i="3"/>
  <c r="I225" i="3"/>
  <c r="Q225" i="3"/>
  <c r="G226" i="3"/>
  <c r="O226" i="3"/>
  <c r="E227" i="3"/>
  <c r="M227" i="3"/>
  <c r="U227" i="3"/>
  <c r="K228" i="3"/>
  <c r="S228" i="3"/>
  <c r="I229" i="3"/>
  <c r="Q229" i="3"/>
  <c r="G230" i="3"/>
  <c r="O230" i="3"/>
  <c r="S269" i="3"/>
  <c r="K269" i="3"/>
  <c r="U268" i="3"/>
  <c r="M268" i="3"/>
  <c r="E268" i="3"/>
  <c r="M267" i="3"/>
  <c r="E267" i="3"/>
  <c r="O266" i="3"/>
  <c r="G266" i="3"/>
  <c r="O265" i="3"/>
  <c r="G265" i="3"/>
  <c r="Q264" i="3"/>
  <c r="I264" i="3"/>
  <c r="Q263" i="3"/>
  <c r="I263" i="3"/>
  <c r="S262" i="3"/>
  <c r="K262" i="3"/>
  <c r="S261" i="3"/>
  <c r="K261" i="3"/>
  <c r="U260" i="3"/>
  <c r="M260" i="3"/>
  <c r="E260" i="3"/>
  <c r="M259" i="3"/>
  <c r="E259" i="3"/>
  <c r="O258" i="3"/>
  <c r="G258" i="3"/>
  <c r="O257" i="3"/>
  <c r="G257" i="3"/>
  <c r="Q256" i="3"/>
  <c r="I256" i="3"/>
  <c r="Q255" i="3"/>
  <c r="I255" i="3"/>
  <c r="S254" i="3"/>
  <c r="K254" i="3"/>
  <c r="S253" i="3"/>
  <c r="K253" i="3"/>
  <c r="U252" i="3"/>
  <c r="M252" i="3"/>
  <c r="E252" i="3"/>
  <c r="M251" i="3"/>
  <c r="E251" i="3"/>
  <c r="O250" i="3"/>
  <c r="G250" i="3"/>
  <c r="O249" i="3"/>
  <c r="G249" i="3"/>
  <c r="Q248" i="3"/>
  <c r="I248" i="3"/>
  <c r="Q247" i="3"/>
  <c r="I247" i="3"/>
  <c r="S246" i="3"/>
  <c r="K246" i="3"/>
  <c r="S245" i="3"/>
  <c r="K245" i="3"/>
  <c r="U244" i="3"/>
  <c r="M244" i="3"/>
  <c r="E244" i="3"/>
  <c r="M243" i="3"/>
  <c r="E243" i="3"/>
  <c r="O242" i="3"/>
  <c r="G242" i="3"/>
  <c r="O241" i="3"/>
  <c r="G241" i="3"/>
  <c r="Q240" i="3"/>
  <c r="I240" i="3"/>
  <c r="Q239" i="3"/>
  <c r="I239" i="3"/>
  <c r="S238" i="3"/>
  <c r="K238" i="3"/>
  <c r="S237" i="3"/>
  <c r="K237" i="3"/>
  <c r="U236" i="3"/>
  <c r="M236" i="3"/>
  <c r="E236" i="3"/>
  <c r="M235" i="3"/>
  <c r="E235" i="3"/>
  <c r="K272" i="3"/>
  <c r="S272" i="3"/>
  <c r="I273" i="3"/>
  <c r="Q273" i="3"/>
  <c r="I274" i="3"/>
  <c r="Q274" i="3"/>
  <c r="G275" i="3"/>
  <c r="O275" i="3"/>
  <c r="G277" i="3"/>
  <c r="O277" i="3"/>
  <c r="E278" i="3"/>
  <c r="M278" i="3"/>
  <c r="E279" i="3"/>
  <c r="M279" i="3"/>
  <c r="U279" i="3"/>
  <c r="K280" i="3"/>
  <c r="S280" i="3"/>
  <c r="K281" i="3"/>
  <c r="S281" i="3"/>
  <c r="I282" i="3"/>
  <c r="Q282" i="3"/>
  <c r="I283" i="3"/>
  <c r="Q283" i="3"/>
  <c r="G284" i="3"/>
  <c r="O284" i="3"/>
  <c r="G285" i="3"/>
  <c r="O285" i="3"/>
  <c r="E286" i="3"/>
  <c r="M286" i="3"/>
  <c r="M291" i="3"/>
  <c r="U291" i="3"/>
  <c r="K292" i="3"/>
  <c r="S292" i="3"/>
  <c r="K293" i="3"/>
  <c r="S293" i="3"/>
  <c r="I294" i="3"/>
  <c r="Q294" i="3"/>
  <c r="I295" i="3"/>
  <c r="Q295" i="3"/>
  <c r="G296" i="3"/>
  <c r="O296" i="3"/>
  <c r="G297" i="3"/>
  <c r="O297" i="3"/>
  <c r="E298" i="3"/>
  <c r="M298" i="3"/>
  <c r="E299" i="3"/>
  <c r="M299" i="3"/>
  <c r="U299" i="3"/>
  <c r="K300" i="3"/>
  <c r="S300" i="3"/>
  <c r="K301" i="3"/>
  <c r="S301" i="3"/>
  <c r="I302" i="3"/>
  <c r="Q302" i="3"/>
  <c r="I303" i="3"/>
  <c r="Q303" i="3"/>
  <c r="G304" i="3"/>
  <c r="O304" i="3"/>
  <c r="G305" i="3"/>
  <c r="O305" i="3"/>
  <c r="E306" i="3"/>
  <c r="M306" i="3"/>
  <c r="E307" i="3"/>
  <c r="M307" i="3"/>
  <c r="U307" i="3"/>
  <c r="K308" i="3"/>
  <c r="E309" i="3"/>
  <c r="U309" i="3"/>
  <c r="S310" i="3"/>
  <c r="S311" i="3"/>
  <c r="S315" i="3"/>
  <c r="Q316" i="3"/>
  <c r="O317" i="3"/>
  <c r="M318" i="3"/>
  <c r="K319" i="3"/>
  <c r="I320" i="3"/>
  <c r="G321" i="3"/>
  <c r="E322" i="3"/>
  <c r="U322" i="3"/>
  <c r="S323" i="3"/>
  <c r="Q324" i="3"/>
  <c r="O325" i="3"/>
  <c r="M326" i="3"/>
  <c r="K327" i="3"/>
  <c r="I331" i="3"/>
  <c r="I332" i="3"/>
  <c r="G333" i="3"/>
  <c r="G334" i="3"/>
  <c r="E335" i="3"/>
  <c r="E336" i="3"/>
  <c r="U336" i="3"/>
  <c r="S337" i="3"/>
  <c r="S338" i="3"/>
  <c r="Q339" i="3"/>
  <c r="Q340" i="3"/>
  <c r="O341" i="3"/>
  <c r="O342" i="3"/>
  <c r="M343" i="3"/>
  <c r="M344" i="3"/>
  <c r="K345" i="3"/>
  <c r="K346" i="3"/>
  <c r="I347" i="3"/>
  <c r="K350" i="3"/>
  <c r="S351" i="3"/>
  <c r="S352" i="3"/>
  <c r="Q355" i="3"/>
  <c r="Q356" i="3"/>
  <c r="O357" i="3"/>
  <c r="O358" i="3"/>
  <c r="M359" i="3"/>
  <c r="M360" i="3"/>
  <c r="M361" i="3"/>
  <c r="M362" i="3"/>
  <c r="M363" i="3"/>
  <c r="M364" i="3"/>
  <c r="O365" i="3"/>
  <c r="U366" i="3"/>
  <c r="E368" i="3"/>
  <c r="I369" i="3"/>
  <c r="Q370" i="3"/>
  <c r="G372" i="3"/>
  <c r="E379" i="3"/>
  <c r="S380" i="3"/>
  <c r="O382" i="3"/>
  <c r="K384" i="3"/>
  <c r="G386" i="3"/>
  <c r="U387" i="3"/>
  <c r="Q389" i="3"/>
  <c r="M391" i="3"/>
  <c r="I393" i="3"/>
  <c r="E398" i="3"/>
  <c r="S399" i="3"/>
  <c r="Q401" i="3"/>
  <c r="M405" i="3"/>
  <c r="I429" i="3"/>
  <c r="E433" i="3"/>
  <c r="Q436" i="3"/>
  <c r="O443" i="3"/>
  <c r="K447" i="3"/>
  <c r="E454" i="3"/>
  <c r="G458" i="3"/>
  <c r="U461" i="3"/>
  <c r="Q465" i="3"/>
  <c r="M473" i="3"/>
  <c r="U118" i="3"/>
  <c r="K115" i="3"/>
  <c r="S111" i="3"/>
  <c r="I141" i="3"/>
  <c r="G129" i="3"/>
  <c r="E167" i="3"/>
  <c r="O182" i="3"/>
  <c r="I497" i="3"/>
  <c r="U193" i="3"/>
  <c r="U535" i="3"/>
  <c r="U528" i="3"/>
  <c r="U511" i="3"/>
  <c r="U514" i="3"/>
  <c r="U516" i="3"/>
  <c r="U518" i="3"/>
  <c r="U520" i="3"/>
  <c r="U498" i="3"/>
  <c r="U500" i="3"/>
  <c r="U502" i="3"/>
  <c r="U504" i="3"/>
  <c r="U506" i="3"/>
  <c r="U490" i="3"/>
  <c r="U491" i="3"/>
  <c r="U492" i="3"/>
  <c r="U493" i="3"/>
  <c r="U533" i="3"/>
  <c r="U523" i="3"/>
  <c r="U512" i="3"/>
  <c r="U517" i="3"/>
  <c r="U497" i="3"/>
  <c r="U501" i="3"/>
  <c r="U505" i="3"/>
  <c r="U412" i="3"/>
  <c r="U414" i="3"/>
  <c r="U416" i="3"/>
  <c r="U418" i="3"/>
  <c r="U198" i="3"/>
  <c r="U199" i="3"/>
  <c r="U205" i="3"/>
  <c r="U187" i="3"/>
  <c r="U186" i="3"/>
  <c r="U185" i="3"/>
  <c r="U184" i="3"/>
  <c r="U183" i="3"/>
  <c r="U182" i="3"/>
  <c r="U181" i="3"/>
  <c r="U180" i="3"/>
  <c r="U179" i="3"/>
  <c r="U178" i="3"/>
  <c r="U177" i="3"/>
  <c r="U176" i="3"/>
  <c r="U175" i="3"/>
  <c r="U174" i="3"/>
  <c r="U173" i="3"/>
  <c r="U172" i="3"/>
  <c r="U171" i="3"/>
  <c r="U170" i="3"/>
  <c r="U168" i="3"/>
  <c r="U166" i="3"/>
  <c r="U160" i="3"/>
  <c r="U148" i="3"/>
  <c r="U150" i="3"/>
  <c r="U152" i="3"/>
  <c r="U154" i="3"/>
  <c r="U156" i="3"/>
  <c r="U129" i="3"/>
  <c r="U131" i="3"/>
  <c r="U133" i="3"/>
  <c r="U135" i="3"/>
  <c r="U137" i="3"/>
  <c r="S532" i="3"/>
  <c r="S523" i="3"/>
  <c r="S512" i="3"/>
  <c r="S515" i="3"/>
  <c r="S517" i="3"/>
  <c r="S519" i="3"/>
  <c r="S497" i="3"/>
  <c r="S499" i="3"/>
  <c r="S501" i="3"/>
  <c r="S503" i="3"/>
  <c r="S505" i="3"/>
  <c r="S506" i="3"/>
  <c r="S490" i="3"/>
  <c r="S491" i="3"/>
  <c r="S492" i="3"/>
  <c r="S493" i="3"/>
  <c r="S534" i="3"/>
  <c r="S528" i="3"/>
  <c r="S514" i="3"/>
  <c r="S518" i="3"/>
  <c r="S498" i="3"/>
  <c r="S502" i="3"/>
  <c r="S412" i="3"/>
  <c r="S414" i="3"/>
  <c r="S416" i="3"/>
  <c r="S418" i="3"/>
  <c r="S421" i="3"/>
  <c r="S194" i="3"/>
  <c r="S196" i="3"/>
  <c r="S198" i="3"/>
  <c r="S199" i="3"/>
  <c r="S202" i="3"/>
  <c r="S205" i="3"/>
  <c r="S169" i="3"/>
  <c r="S167" i="3"/>
  <c r="S165" i="3"/>
  <c r="S161" i="3"/>
  <c r="S149" i="3"/>
  <c r="S151" i="3"/>
  <c r="S153" i="3"/>
  <c r="S155" i="3"/>
  <c r="S128" i="3"/>
  <c r="S130" i="3"/>
  <c r="S132" i="3"/>
  <c r="S134" i="3"/>
  <c r="S136" i="3"/>
  <c r="S138" i="3"/>
  <c r="Q513" i="3"/>
  <c r="Q203" i="3"/>
  <c r="Q533" i="3"/>
  <c r="Q528" i="3"/>
  <c r="Q511" i="3"/>
  <c r="Q514" i="3"/>
  <c r="Q516" i="3"/>
  <c r="Q518" i="3"/>
  <c r="Q520" i="3"/>
  <c r="Q498" i="3"/>
  <c r="Q500" i="3"/>
  <c r="Q502" i="3"/>
  <c r="Q504" i="3"/>
  <c r="Q506" i="3"/>
  <c r="Q490" i="3"/>
  <c r="Q491" i="3"/>
  <c r="Q492" i="3"/>
  <c r="Q493" i="3"/>
  <c r="Q535" i="3"/>
  <c r="Q515" i="3"/>
  <c r="Q519" i="3"/>
  <c r="Q499" i="3"/>
  <c r="Q503" i="3"/>
  <c r="Q412" i="3"/>
  <c r="Q414" i="3"/>
  <c r="Q416" i="3"/>
  <c r="Q418" i="3"/>
  <c r="Q421" i="3"/>
  <c r="Q194" i="3"/>
  <c r="Q196" i="3"/>
  <c r="Q198" i="3"/>
  <c r="Q199" i="3"/>
  <c r="Q202" i="3"/>
  <c r="Q205" i="3"/>
  <c r="Q187" i="3"/>
  <c r="Q186" i="3"/>
  <c r="Q185" i="3"/>
  <c r="Q184" i="3"/>
  <c r="Q183" i="3"/>
  <c r="Q182" i="3"/>
  <c r="Q181" i="3"/>
  <c r="Q180" i="3"/>
  <c r="Q179" i="3"/>
  <c r="Q178" i="3"/>
  <c r="Q177" i="3"/>
  <c r="Q176" i="3"/>
  <c r="Q175" i="3"/>
  <c r="Q174" i="3"/>
  <c r="Q173" i="3"/>
  <c r="Q172" i="3"/>
  <c r="Q171" i="3"/>
  <c r="Q170" i="3"/>
  <c r="Q168" i="3"/>
  <c r="Q166" i="3"/>
  <c r="Q160" i="3"/>
  <c r="Q148" i="3"/>
  <c r="Q150" i="3"/>
  <c r="Q152" i="3"/>
  <c r="Q154" i="3"/>
  <c r="Q156" i="3"/>
  <c r="Q129" i="3"/>
  <c r="Q131" i="3"/>
  <c r="Q133" i="3"/>
  <c r="Q135" i="3"/>
  <c r="Q137" i="3"/>
  <c r="O201" i="3"/>
  <c r="O203" i="3"/>
  <c r="O534" i="3"/>
  <c r="O523" i="3"/>
  <c r="O512" i="3"/>
  <c r="O515" i="3"/>
  <c r="O517" i="3"/>
  <c r="O519" i="3"/>
  <c r="O497" i="3"/>
  <c r="O499" i="3"/>
  <c r="O501" i="3"/>
  <c r="O503" i="3"/>
  <c r="O505" i="3"/>
  <c r="O506" i="3"/>
  <c r="O490" i="3"/>
  <c r="O491" i="3"/>
  <c r="O492" i="3"/>
  <c r="O493" i="3"/>
  <c r="O412" i="3"/>
  <c r="O511" i="3"/>
  <c r="O516" i="3"/>
  <c r="O520" i="3"/>
  <c r="O500" i="3"/>
  <c r="O504" i="3"/>
  <c r="O414" i="3"/>
  <c r="O416" i="3"/>
  <c r="O418" i="3"/>
  <c r="O421" i="3"/>
  <c r="O194" i="3"/>
  <c r="O196" i="3"/>
  <c r="O198" i="3"/>
  <c r="O199" i="3"/>
  <c r="O202" i="3"/>
  <c r="O205" i="3"/>
  <c r="O169" i="3"/>
  <c r="O167" i="3"/>
  <c r="O165" i="3"/>
  <c r="O161" i="3"/>
  <c r="O149" i="3"/>
  <c r="O151" i="3"/>
  <c r="O153" i="3"/>
  <c r="O155" i="3"/>
  <c r="O128" i="3"/>
  <c r="O130" i="3"/>
  <c r="O132" i="3"/>
  <c r="O134" i="3"/>
  <c r="O136" i="3"/>
  <c r="O138" i="3"/>
  <c r="M535" i="3"/>
  <c r="M528" i="3"/>
  <c r="M511" i="3"/>
  <c r="M514" i="3"/>
  <c r="M516" i="3"/>
  <c r="M518" i="3"/>
  <c r="M520" i="3"/>
  <c r="M498" i="3"/>
  <c r="M500" i="3"/>
  <c r="M502" i="3"/>
  <c r="M504" i="3"/>
  <c r="M506" i="3"/>
  <c r="M490" i="3"/>
  <c r="M491" i="3"/>
  <c r="M492" i="3"/>
  <c r="M493" i="3"/>
  <c r="M412" i="3"/>
  <c r="M513" i="3"/>
  <c r="M523" i="3"/>
  <c r="M512" i="3"/>
  <c r="M517" i="3"/>
  <c r="M497" i="3"/>
  <c r="M501" i="3"/>
  <c r="M505" i="3"/>
  <c r="M414" i="3"/>
  <c r="M416" i="3"/>
  <c r="M418" i="3"/>
  <c r="M421" i="3"/>
  <c r="M194" i="3"/>
  <c r="M196" i="3"/>
  <c r="M198" i="3"/>
  <c r="M199" i="3"/>
  <c r="M202" i="3"/>
  <c r="M205" i="3"/>
  <c r="M187" i="3"/>
  <c r="M186" i="3"/>
  <c r="M185" i="3"/>
  <c r="M184" i="3"/>
  <c r="M183" i="3"/>
  <c r="M182" i="3"/>
  <c r="M181" i="3"/>
  <c r="M180" i="3"/>
  <c r="M179" i="3"/>
  <c r="M178" i="3"/>
  <c r="M177" i="3"/>
  <c r="M176" i="3"/>
  <c r="M175" i="3"/>
  <c r="M174" i="3"/>
  <c r="M173" i="3"/>
  <c r="M172" i="3"/>
  <c r="M171" i="3"/>
  <c r="M170" i="3"/>
  <c r="M168" i="3"/>
  <c r="M166" i="3"/>
  <c r="M160" i="3"/>
  <c r="M148" i="3"/>
  <c r="M150" i="3"/>
  <c r="M152" i="3"/>
  <c r="M154" i="3"/>
  <c r="M156" i="3"/>
  <c r="M129" i="3"/>
  <c r="M131" i="3"/>
  <c r="M133" i="3"/>
  <c r="M135" i="3"/>
  <c r="M137" i="3"/>
  <c r="K532" i="3"/>
  <c r="K523" i="3"/>
  <c r="K512" i="3"/>
  <c r="K515" i="3"/>
  <c r="K517" i="3"/>
  <c r="K519" i="3"/>
  <c r="K497" i="3"/>
  <c r="K499" i="3"/>
  <c r="K501" i="3"/>
  <c r="K503" i="3"/>
  <c r="K505" i="3"/>
  <c r="K490" i="3"/>
  <c r="K491" i="3"/>
  <c r="K492" i="3"/>
  <c r="K493" i="3"/>
  <c r="K412" i="3"/>
  <c r="K201" i="3"/>
  <c r="K203" i="3"/>
  <c r="K528" i="3"/>
  <c r="K514" i="3"/>
  <c r="K518" i="3"/>
  <c r="K498" i="3"/>
  <c r="K502" i="3"/>
  <c r="K506" i="3"/>
  <c r="K414" i="3"/>
  <c r="K416" i="3"/>
  <c r="K418" i="3"/>
  <c r="K421" i="3"/>
  <c r="K194" i="3"/>
  <c r="K196" i="3"/>
  <c r="K198" i="3"/>
  <c r="K199" i="3"/>
  <c r="K202" i="3"/>
  <c r="K205" i="3"/>
  <c r="K169" i="3"/>
  <c r="K167" i="3"/>
  <c r="K165" i="3"/>
  <c r="K161" i="3"/>
  <c r="K149" i="3"/>
  <c r="K151" i="3"/>
  <c r="K153" i="3"/>
  <c r="K155" i="3"/>
  <c r="K128" i="3"/>
  <c r="K130" i="3"/>
  <c r="K132" i="3"/>
  <c r="K134" i="3"/>
  <c r="K136" i="3"/>
  <c r="K138" i="3"/>
  <c r="I513" i="3"/>
  <c r="I533" i="3"/>
  <c r="I528" i="3"/>
  <c r="I511" i="3"/>
  <c r="I514" i="3"/>
  <c r="I516" i="3"/>
  <c r="I518" i="3"/>
  <c r="I520" i="3"/>
  <c r="I498" i="3"/>
  <c r="I500" i="3"/>
  <c r="I502" i="3"/>
  <c r="I504" i="3"/>
  <c r="I506" i="3"/>
  <c r="I490" i="3"/>
  <c r="I491" i="3"/>
  <c r="I492" i="3"/>
  <c r="I493" i="3"/>
  <c r="I412" i="3"/>
  <c r="I203" i="3"/>
  <c r="I515" i="3"/>
  <c r="I519" i="3"/>
  <c r="I499" i="3"/>
  <c r="I503" i="3"/>
  <c r="I414" i="3"/>
  <c r="I416" i="3"/>
  <c r="I418" i="3"/>
  <c r="I421" i="3"/>
  <c r="I194" i="3"/>
  <c r="I196" i="3"/>
  <c r="I198" i="3"/>
  <c r="I199" i="3"/>
  <c r="I202" i="3"/>
  <c r="I205" i="3"/>
  <c r="I187" i="3"/>
  <c r="I186" i="3"/>
  <c r="I185" i="3"/>
  <c r="I184" i="3"/>
  <c r="I183" i="3"/>
  <c r="I182" i="3"/>
  <c r="I181" i="3"/>
  <c r="I180" i="3"/>
  <c r="I179" i="3"/>
  <c r="I178" i="3"/>
  <c r="I177" i="3"/>
  <c r="I176" i="3"/>
  <c r="I175" i="3"/>
  <c r="I174" i="3"/>
  <c r="I173" i="3"/>
  <c r="I172" i="3"/>
  <c r="I171" i="3"/>
  <c r="I170" i="3"/>
  <c r="I168" i="3"/>
  <c r="I166" i="3"/>
  <c r="I160" i="3"/>
  <c r="I148" i="3"/>
  <c r="I150" i="3"/>
  <c r="I152" i="3"/>
  <c r="I154" i="3"/>
  <c r="I156" i="3"/>
  <c r="I129" i="3"/>
  <c r="I131" i="3"/>
  <c r="I133" i="3"/>
  <c r="I135" i="3"/>
  <c r="I137" i="3"/>
  <c r="G201" i="3"/>
  <c r="G193" i="3"/>
  <c r="G534" i="3"/>
  <c r="G523" i="3"/>
  <c r="G512" i="3"/>
  <c r="G515" i="3"/>
  <c r="G517" i="3"/>
  <c r="G519" i="3"/>
  <c r="G497" i="3"/>
  <c r="G499" i="3"/>
  <c r="G501" i="3"/>
  <c r="G503" i="3"/>
  <c r="G505" i="3"/>
  <c r="G490" i="3"/>
  <c r="G491" i="3"/>
  <c r="G492" i="3"/>
  <c r="G493" i="3"/>
  <c r="G412" i="3"/>
  <c r="G532" i="3"/>
  <c r="G516" i="3"/>
  <c r="G520" i="3"/>
  <c r="G500" i="3"/>
  <c r="G504" i="3"/>
  <c r="G414" i="3"/>
  <c r="G416" i="3"/>
  <c r="G418" i="3"/>
  <c r="G421" i="3"/>
  <c r="G194" i="3"/>
  <c r="G196" i="3"/>
  <c r="G198" i="3"/>
  <c r="G199" i="3"/>
  <c r="G202" i="3"/>
  <c r="G205" i="3"/>
  <c r="G169" i="3"/>
  <c r="G167" i="3"/>
  <c r="G165" i="3"/>
  <c r="G161" i="3"/>
  <c r="G149" i="3"/>
  <c r="G151" i="3"/>
  <c r="G153" i="3"/>
  <c r="G155" i="3"/>
  <c r="G128" i="3"/>
  <c r="G130" i="3"/>
  <c r="G132" i="3"/>
  <c r="G134" i="3"/>
  <c r="G136" i="3"/>
  <c r="G138" i="3"/>
  <c r="E171" i="3"/>
  <c r="E175" i="3"/>
  <c r="E179" i="3"/>
  <c r="E183" i="3"/>
  <c r="E187" i="3"/>
  <c r="E535" i="3"/>
  <c r="E528" i="3"/>
  <c r="E514" i="3"/>
  <c r="E516" i="3"/>
  <c r="E518" i="3"/>
  <c r="E520" i="3"/>
  <c r="E498" i="3"/>
  <c r="E500" i="3"/>
  <c r="E502" i="3"/>
  <c r="E504" i="3"/>
  <c r="E506" i="3"/>
  <c r="E490" i="3"/>
  <c r="E491" i="3"/>
  <c r="E492" i="3"/>
  <c r="E493" i="3"/>
  <c r="E412" i="3"/>
  <c r="E173" i="3"/>
  <c r="E181" i="3"/>
  <c r="E533" i="3"/>
  <c r="E523" i="3"/>
  <c r="E512" i="3"/>
  <c r="E517" i="3"/>
  <c r="E497" i="3"/>
  <c r="E501" i="3"/>
  <c r="E505" i="3"/>
  <c r="E414" i="3"/>
  <c r="E416" i="3"/>
  <c r="E418" i="3"/>
  <c r="E421" i="3"/>
  <c r="E194" i="3"/>
  <c r="E196" i="3"/>
  <c r="E198" i="3"/>
  <c r="E199" i="3"/>
  <c r="E202" i="3"/>
  <c r="E205" i="3"/>
  <c r="E170" i="3"/>
  <c r="E168" i="3"/>
  <c r="E166" i="3"/>
  <c r="E160" i="3"/>
  <c r="E148" i="3"/>
  <c r="E150" i="3"/>
  <c r="E152" i="3"/>
  <c r="E154" i="3"/>
  <c r="E156" i="3"/>
  <c r="E129" i="3"/>
  <c r="E131" i="3"/>
  <c r="E133" i="3"/>
  <c r="E135" i="3"/>
  <c r="E137" i="3"/>
  <c r="E139" i="3"/>
  <c r="M123" i="3"/>
  <c r="E385" i="7"/>
  <c r="U360" i="3"/>
  <c r="S362" i="3"/>
  <c r="Q364" i="3"/>
  <c r="U364" i="3"/>
  <c r="S365" i="3"/>
  <c r="O366" i="3"/>
  <c r="S366" i="3"/>
  <c r="Q367" i="3"/>
  <c r="M368" i="3"/>
  <c r="Q368" i="3"/>
  <c r="U368" i="3"/>
  <c r="O369" i="3"/>
  <c r="S369" i="3"/>
  <c r="K370" i="3"/>
  <c r="O370" i="3"/>
  <c r="S370" i="3"/>
  <c r="I371" i="3"/>
  <c r="M371" i="3"/>
  <c r="Q371" i="3"/>
  <c r="I372" i="3"/>
  <c r="M372" i="3"/>
  <c r="Q372" i="3"/>
  <c r="U372" i="3"/>
  <c r="G373" i="3"/>
  <c r="K373" i="3"/>
  <c r="O373" i="3"/>
  <c r="S373" i="3"/>
  <c r="G379" i="3"/>
  <c r="K379" i="3"/>
  <c r="O379" i="3"/>
  <c r="S379" i="3"/>
  <c r="E380" i="3"/>
  <c r="I380" i="3"/>
  <c r="M380" i="3"/>
  <c r="Q380" i="3"/>
  <c r="U380" i="3"/>
  <c r="G381" i="3"/>
  <c r="K381" i="3"/>
  <c r="O381" i="3"/>
  <c r="S381" i="3"/>
  <c r="E382" i="3"/>
  <c r="I382" i="3"/>
  <c r="M382" i="3"/>
  <c r="Q382" i="3"/>
  <c r="U382" i="3"/>
  <c r="G383" i="3"/>
  <c r="K383" i="3"/>
  <c r="O383" i="3"/>
  <c r="S383" i="3"/>
  <c r="E384" i="3"/>
  <c r="I384" i="3"/>
  <c r="M384" i="3"/>
  <c r="Q384" i="3"/>
  <c r="U384" i="3"/>
  <c r="G385" i="3"/>
  <c r="K385" i="3"/>
  <c r="O385" i="3"/>
  <c r="S385" i="3"/>
  <c r="E386" i="3"/>
  <c r="I386" i="3"/>
  <c r="M386" i="3"/>
  <c r="Q386" i="3"/>
  <c r="U386" i="3"/>
  <c r="G387" i="3"/>
  <c r="K387" i="3"/>
  <c r="O387" i="3"/>
  <c r="S387" i="3"/>
  <c r="E388" i="3"/>
  <c r="I388" i="3"/>
  <c r="M388" i="3"/>
  <c r="Q388" i="3"/>
  <c r="U388" i="3"/>
  <c r="G389" i="3"/>
  <c r="K389" i="3"/>
  <c r="O389" i="3"/>
  <c r="S389" i="3"/>
  <c r="E390" i="3"/>
  <c r="I390" i="3"/>
  <c r="M390" i="3"/>
  <c r="Q390" i="3"/>
  <c r="U390" i="3"/>
  <c r="G391" i="3"/>
  <c r="K391" i="3"/>
  <c r="O391" i="3"/>
  <c r="S391" i="3"/>
  <c r="E392" i="3"/>
  <c r="I392" i="3"/>
  <c r="M392" i="3"/>
  <c r="Q392" i="3"/>
  <c r="U392" i="3"/>
  <c r="G393" i="3"/>
  <c r="K393" i="3"/>
  <c r="O393" i="3"/>
  <c r="S393" i="3"/>
  <c r="E394" i="3"/>
  <c r="I394" i="3"/>
  <c r="M394" i="3"/>
  <c r="Q394" i="3"/>
  <c r="U394" i="3"/>
  <c r="G398" i="3"/>
  <c r="K398" i="3"/>
  <c r="O398" i="3"/>
  <c r="S398" i="3"/>
  <c r="E399" i="3"/>
  <c r="I399" i="3"/>
  <c r="M399" i="3"/>
  <c r="Q399" i="3"/>
  <c r="E400" i="3"/>
  <c r="I400" i="3"/>
  <c r="M400" i="3"/>
  <c r="Q400" i="3"/>
  <c r="U400" i="3"/>
  <c r="G401" i="3"/>
  <c r="K401" i="3"/>
  <c r="O401" i="3"/>
  <c r="S401" i="3"/>
  <c r="G402" i="3"/>
  <c r="K402" i="3"/>
  <c r="O402" i="3"/>
  <c r="S402" i="3"/>
  <c r="E403" i="3"/>
  <c r="I403" i="3"/>
  <c r="M403" i="3"/>
  <c r="Q403" i="3"/>
  <c r="E404" i="3"/>
  <c r="I404" i="3"/>
  <c r="M404" i="3"/>
  <c r="Q404" i="3"/>
  <c r="U404" i="3"/>
  <c r="G405" i="3"/>
  <c r="K405" i="3"/>
  <c r="O405" i="3"/>
  <c r="S405" i="3"/>
  <c r="G406" i="3"/>
  <c r="K406" i="3"/>
  <c r="O406" i="3"/>
  <c r="S406" i="3"/>
  <c r="E407" i="3"/>
  <c r="I407" i="3"/>
  <c r="M407" i="3"/>
  <c r="Q407" i="3"/>
  <c r="E408" i="3"/>
  <c r="I408" i="3"/>
  <c r="M408" i="3"/>
  <c r="Q408" i="3"/>
  <c r="U408" i="3"/>
  <c r="G429" i="3"/>
  <c r="K429" i="3"/>
  <c r="O429" i="3"/>
  <c r="S429" i="3"/>
  <c r="E430" i="3"/>
  <c r="I430" i="3"/>
  <c r="M430" i="3"/>
  <c r="Q430" i="3"/>
  <c r="E431" i="3"/>
  <c r="I431" i="3"/>
  <c r="M431" i="3"/>
  <c r="Q431" i="3"/>
  <c r="U431" i="3"/>
  <c r="G432" i="3"/>
  <c r="K432" i="3"/>
  <c r="O432" i="3"/>
  <c r="S432" i="3"/>
  <c r="G433" i="3"/>
  <c r="K433" i="3"/>
  <c r="O433" i="3"/>
  <c r="S433" i="3"/>
  <c r="E434" i="3"/>
  <c r="I434" i="3"/>
  <c r="M434" i="3"/>
  <c r="Q434" i="3"/>
  <c r="E435" i="3"/>
  <c r="I435" i="3"/>
  <c r="M435" i="3"/>
  <c r="Q435" i="3"/>
  <c r="U435" i="3"/>
  <c r="G436" i="3"/>
  <c r="K436" i="3"/>
  <c r="O436" i="3"/>
  <c r="S436" i="3"/>
  <c r="G440" i="3"/>
  <c r="K440" i="3"/>
  <c r="O440" i="3"/>
  <c r="S440" i="3"/>
  <c r="G441" i="3"/>
  <c r="K441" i="3"/>
  <c r="O441" i="3"/>
  <c r="S441" i="3"/>
  <c r="E442" i="3"/>
  <c r="I442" i="3"/>
  <c r="M442" i="3"/>
  <c r="Q442" i="3"/>
  <c r="E443" i="3"/>
  <c r="I443" i="3"/>
  <c r="M443" i="3"/>
  <c r="Q443" i="3"/>
  <c r="U443" i="3"/>
  <c r="G444" i="3"/>
  <c r="K444" i="3"/>
  <c r="O444" i="3"/>
  <c r="S444" i="3"/>
  <c r="G445" i="3"/>
  <c r="K445" i="3"/>
  <c r="O445" i="3"/>
  <c r="S445" i="3"/>
  <c r="E446" i="3"/>
  <c r="I446" i="3"/>
  <c r="M446" i="3"/>
  <c r="Q446" i="3"/>
  <c r="E447" i="3"/>
  <c r="I447" i="3"/>
  <c r="M447" i="3"/>
  <c r="Q447" i="3"/>
  <c r="U447" i="3"/>
  <c r="G448" i="3"/>
  <c r="K448" i="3"/>
  <c r="O448" i="3"/>
  <c r="S448" i="3"/>
  <c r="G452" i="3"/>
  <c r="K452" i="3"/>
  <c r="O452" i="3"/>
  <c r="S452" i="3"/>
  <c r="E453" i="3"/>
  <c r="I453" i="3"/>
  <c r="M453" i="3"/>
  <c r="Q453" i="3"/>
  <c r="U453" i="3"/>
  <c r="G454" i="3"/>
  <c r="K454" i="3"/>
  <c r="O454" i="3"/>
  <c r="S454" i="3"/>
  <c r="E455" i="3"/>
  <c r="I455" i="3"/>
  <c r="M455" i="3"/>
  <c r="Q455" i="3"/>
  <c r="U455" i="3"/>
  <c r="G456" i="3"/>
  <c r="K456" i="3"/>
  <c r="O456" i="3"/>
  <c r="S456" i="3"/>
  <c r="O457" i="3"/>
  <c r="S457" i="3"/>
  <c r="E458" i="3"/>
  <c r="I458" i="3"/>
  <c r="M458" i="3"/>
  <c r="Q458" i="3"/>
  <c r="E459" i="3"/>
  <c r="I459" i="3"/>
  <c r="M459" i="3"/>
  <c r="Q459" i="3"/>
  <c r="U459" i="3"/>
  <c r="G460" i="3"/>
  <c r="K460" i="3"/>
  <c r="O460" i="3"/>
  <c r="S460" i="3"/>
  <c r="G461" i="3"/>
  <c r="K461" i="3"/>
  <c r="O461" i="3"/>
  <c r="S461" i="3"/>
  <c r="E462" i="3"/>
  <c r="I462" i="3"/>
  <c r="M462" i="3"/>
  <c r="Q462" i="3"/>
  <c r="E463" i="3"/>
  <c r="I463" i="3"/>
  <c r="M463" i="3"/>
  <c r="Q463" i="3"/>
  <c r="U463" i="3"/>
  <c r="G464" i="3"/>
  <c r="K464" i="3"/>
  <c r="O464" i="3"/>
  <c r="S464" i="3"/>
  <c r="G465" i="3"/>
  <c r="K465" i="3"/>
  <c r="O465" i="3"/>
  <c r="S465" i="3"/>
  <c r="E466" i="3"/>
  <c r="I466" i="3"/>
  <c r="M466" i="3"/>
  <c r="Q466" i="3"/>
  <c r="E467" i="3"/>
  <c r="I467" i="3"/>
  <c r="M467" i="3"/>
  <c r="Q467" i="3"/>
  <c r="U467" i="3"/>
  <c r="Q472" i="3"/>
  <c r="M472" i="3"/>
  <c r="I472" i="3"/>
  <c r="E472" i="3"/>
  <c r="G473" i="3"/>
  <c r="K473" i="3"/>
  <c r="O473" i="3"/>
  <c r="S473" i="3"/>
  <c r="U121" i="3"/>
  <c r="Q121" i="3"/>
  <c r="M121" i="3"/>
  <c r="I121" i="3"/>
  <c r="E121" i="3"/>
  <c r="S120" i="3"/>
  <c r="O120" i="3"/>
  <c r="K120" i="3"/>
  <c r="G120" i="3"/>
  <c r="U119" i="3"/>
  <c r="Q119" i="3"/>
  <c r="M119" i="3"/>
  <c r="I119" i="3"/>
  <c r="E119" i="3"/>
  <c r="S118" i="3"/>
  <c r="O118" i="3"/>
  <c r="K118" i="3"/>
  <c r="G118" i="3"/>
  <c r="U117" i="3"/>
  <c r="Q117" i="3"/>
  <c r="M117" i="3"/>
  <c r="I117" i="3"/>
  <c r="E117" i="3"/>
  <c r="S116" i="3"/>
  <c r="O116" i="3"/>
  <c r="K116" i="3"/>
  <c r="G116" i="3"/>
  <c r="U115" i="3"/>
  <c r="Q115" i="3"/>
  <c r="M115" i="3"/>
  <c r="I115" i="3"/>
  <c r="E115" i="3"/>
  <c r="S114" i="3"/>
  <c r="O114" i="3"/>
  <c r="K114" i="3"/>
  <c r="G114" i="3"/>
  <c r="U113" i="3"/>
  <c r="Q113" i="3"/>
  <c r="M113" i="3"/>
  <c r="I113" i="3"/>
  <c r="E113" i="3"/>
  <c r="S112" i="3"/>
  <c r="O112" i="3"/>
  <c r="K112" i="3"/>
  <c r="G112" i="3"/>
  <c r="U111" i="3"/>
  <c r="Q111" i="3"/>
  <c r="M111" i="3"/>
  <c r="I111" i="3"/>
  <c r="E111" i="3"/>
  <c r="S110" i="3"/>
  <c r="O110" i="3"/>
  <c r="K110" i="3"/>
  <c r="G110" i="3"/>
  <c r="U144" i="3"/>
  <c r="Q144" i="3"/>
  <c r="M144" i="3"/>
  <c r="I144" i="3"/>
  <c r="E144" i="3"/>
  <c r="S143" i="3"/>
  <c r="O143" i="3"/>
  <c r="K143" i="3"/>
  <c r="G143" i="3"/>
  <c r="U142" i="3"/>
  <c r="Q142" i="3"/>
  <c r="M142" i="3"/>
  <c r="I142" i="3"/>
  <c r="E142" i="3"/>
  <c r="S141" i="3"/>
  <c r="O141" i="3"/>
  <c r="K141" i="3"/>
  <c r="G141" i="3"/>
  <c r="U140" i="3"/>
  <c r="Q140" i="3"/>
  <c r="M140" i="3"/>
  <c r="I140" i="3"/>
  <c r="E140" i="3"/>
  <c r="S139" i="3"/>
  <c r="O139" i="3"/>
  <c r="K139" i="3"/>
  <c r="G139" i="3"/>
  <c r="Q138" i="3"/>
  <c r="I138" i="3"/>
  <c r="S137" i="3"/>
  <c r="K137" i="3"/>
  <c r="U136" i="3"/>
  <c r="M136" i="3"/>
  <c r="E136" i="3"/>
  <c r="O135" i="3"/>
  <c r="G135" i="3"/>
  <c r="Q134" i="3"/>
  <c r="I134" i="3"/>
  <c r="S133" i="3"/>
  <c r="K133" i="3"/>
  <c r="U132" i="3"/>
  <c r="M132" i="3"/>
  <c r="E132" i="3"/>
  <c r="O131" i="3"/>
  <c r="G131" i="3"/>
  <c r="Q130" i="3"/>
  <c r="I130" i="3"/>
  <c r="S129" i="3"/>
  <c r="K129" i="3"/>
  <c r="U128" i="3"/>
  <c r="M128" i="3"/>
  <c r="E128" i="3"/>
  <c r="O156" i="3"/>
  <c r="G156" i="3"/>
  <c r="Q155" i="3"/>
  <c r="I155" i="3"/>
  <c r="S154" i="3"/>
  <c r="K154" i="3"/>
  <c r="U153" i="3"/>
  <c r="M153" i="3"/>
  <c r="E153" i="3"/>
  <c r="O152" i="3"/>
  <c r="G152" i="3"/>
  <c r="Q151" i="3"/>
  <c r="I151" i="3"/>
  <c r="S150" i="3"/>
  <c r="K150" i="3"/>
  <c r="U149" i="3"/>
  <c r="M149" i="3"/>
  <c r="E149" i="3"/>
  <c r="O148" i="3"/>
  <c r="G148" i="3"/>
  <c r="Q161" i="3"/>
  <c r="I161" i="3"/>
  <c r="S160" i="3"/>
  <c r="K160" i="3"/>
  <c r="E165" i="3"/>
  <c r="M165" i="3"/>
  <c r="U165" i="3"/>
  <c r="K166" i="3"/>
  <c r="S166" i="3"/>
  <c r="I167" i="3"/>
  <c r="Q167" i="3"/>
  <c r="G168" i="3"/>
  <c r="O168" i="3"/>
  <c r="E169" i="3"/>
  <c r="M169" i="3"/>
  <c r="U169" i="3"/>
  <c r="K170" i="3"/>
  <c r="S170" i="3"/>
  <c r="K171" i="3"/>
  <c r="S171" i="3"/>
  <c r="K172" i="3"/>
  <c r="S172" i="3"/>
  <c r="K173" i="3"/>
  <c r="S173" i="3"/>
  <c r="K174" i="3"/>
  <c r="S174" i="3"/>
  <c r="K175" i="3"/>
  <c r="S175" i="3"/>
  <c r="K176" i="3"/>
  <c r="S176" i="3"/>
  <c r="K177" i="3"/>
  <c r="S177" i="3"/>
  <c r="K178" i="3"/>
  <c r="S178" i="3"/>
  <c r="K179" i="3"/>
  <c r="S179" i="3"/>
  <c r="K180" i="3"/>
  <c r="S180" i="3"/>
  <c r="K181" i="3"/>
  <c r="S181" i="3"/>
  <c r="K182" i="3"/>
  <c r="S182" i="3"/>
  <c r="K183" i="3"/>
  <c r="S183" i="3"/>
  <c r="K184" i="3"/>
  <c r="S184" i="3"/>
  <c r="K185" i="3"/>
  <c r="S185" i="3"/>
  <c r="K186" i="3"/>
  <c r="S186" i="3"/>
  <c r="K187" i="3"/>
  <c r="S187" i="3"/>
  <c r="S204" i="3"/>
  <c r="Q204" i="3"/>
  <c r="O204" i="3"/>
  <c r="M204" i="3"/>
  <c r="K204" i="3"/>
  <c r="I204" i="3"/>
  <c r="G204" i="3"/>
  <c r="E204" i="3"/>
  <c r="S200" i="3"/>
  <c r="Q200" i="3"/>
  <c r="O200" i="3"/>
  <c r="M200" i="3"/>
  <c r="K200" i="3"/>
  <c r="I200" i="3"/>
  <c r="G200" i="3"/>
  <c r="E200" i="3"/>
  <c r="U197" i="3"/>
  <c r="S197" i="3"/>
  <c r="Q197" i="3"/>
  <c r="O197" i="3"/>
  <c r="M197" i="3"/>
  <c r="K197" i="3"/>
  <c r="I197" i="3"/>
  <c r="G197" i="3"/>
  <c r="E197" i="3"/>
  <c r="U195" i="3"/>
  <c r="S195" i="3"/>
  <c r="Q195" i="3"/>
  <c r="O195" i="3"/>
  <c r="M195" i="3"/>
  <c r="K195" i="3"/>
  <c r="I195" i="3"/>
  <c r="G195" i="3"/>
  <c r="E195" i="3"/>
  <c r="U422" i="3"/>
  <c r="S422" i="3"/>
  <c r="Q422" i="3"/>
  <c r="O422" i="3"/>
  <c r="M422" i="3"/>
  <c r="K422" i="3"/>
  <c r="I422" i="3"/>
  <c r="G422" i="3"/>
  <c r="E422" i="3"/>
  <c r="U420" i="3"/>
  <c r="S420" i="3"/>
  <c r="Q420" i="3"/>
  <c r="O420" i="3"/>
  <c r="M420" i="3"/>
  <c r="K420" i="3"/>
  <c r="I420" i="3"/>
  <c r="G420" i="3"/>
  <c r="E420" i="3"/>
  <c r="U419" i="3"/>
  <c r="S419" i="3"/>
  <c r="Q419" i="3"/>
  <c r="O419" i="3"/>
  <c r="M419" i="3"/>
  <c r="K419" i="3"/>
  <c r="I419" i="3"/>
  <c r="G419" i="3"/>
  <c r="E419" i="3"/>
  <c r="S415" i="3"/>
  <c r="Q415" i="3"/>
  <c r="O415" i="3"/>
  <c r="M415" i="3"/>
  <c r="K415" i="3"/>
  <c r="I415" i="3"/>
  <c r="G415" i="3"/>
  <c r="E415" i="3"/>
  <c r="Q505" i="3"/>
  <c r="S504" i="3"/>
  <c r="U503" i="3"/>
  <c r="E503" i="3"/>
  <c r="G502" i="3"/>
  <c r="I501" i="3"/>
  <c r="K500" i="3"/>
  <c r="M499" i="3"/>
  <c r="O498" i="3"/>
  <c r="Q497" i="3"/>
  <c r="S520" i="3"/>
  <c r="U519" i="3"/>
  <c r="E519" i="3"/>
  <c r="G518" i="3"/>
  <c r="I517" i="3"/>
  <c r="K516" i="3"/>
  <c r="M515" i="3"/>
  <c r="O514" i="3"/>
  <c r="Q512" i="3"/>
  <c r="S511" i="3"/>
  <c r="I523" i="3"/>
  <c r="G528" i="3"/>
  <c r="G536" i="3"/>
  <c r="K534" i="3"/>
  <c r="O532" i="3"/>
  <c r="E177" i="3"/>
  <c r="M203" i="3"/>
  <c r="U513" i="3"/>
  <c r="V205" i="3"/>
  <c r="V199" i="3"/>
  <c r="V197" i="3"/>
  <c r="V195" i="3"/>
  <c r="V422" i="3"/>
  <c r="V420" i="3"/>
  <c r="V418" i="3"/>
  <c r="V416" i="3"/>
  <c r="V414" i="3"/>
  <c r="V412" i="3"/>
  <c r="V98" i="3"/>
  <c r="U206" i="3"/>
  <c r="U204" i="3"/>
  <c r="U202" i="3"/>
  <c r="U200" i="3"/>
  <c r="U196" i="3"/>
  <c r="U194" i="3"/>
  <c r="U466" i="3"/>
  <c r="U464" i="3"/>
  <c r="U462" i="3"/>
  <c r="U460" i="3"/>
  <c r="U458" i="3"/>
  <c r="U448" i="3"/>
  <c r="U446" i="3"/>
  <c r="U444" i="3"/>
  <c r="U442" i="3"/>
  <c r="U440" i="3"/>
  <c r="U436" i="3"/>
  <c r="U434" i="3"/>
  <c r="U432" i="3"/>
  <c r="U430" i="3"/>
  <c r="U421" i="3"/>
  <c r="U417" i="3"/>
  <c r="U415" i="3"/>
  <c r="U413" i="3"/>
  <c r="U407" i="3"/>
  <c r="U405" i="3"/>
  <c r="U403" i="3"/>
  <c r="U401" i="3"/>
  <c r="U399" i="3"/>
  <c r="U373" i="3"/>
  <c r="U371" i="3"/>
  <c r="U369" i="3"/>
  <c r="U367" i="3"/>
  <c r="U365" i="3"/>
  <c r="U363" i="3"/>
  <c r="U361" i="3"/>
  <c r="U359" i="3"/>
  <c r="U357" i="3"/>
  <c r="U355" i="3"/>
  <c r="U351" i="3"/>
  <c r="U347" i="3"/>
  <c r="U345" i="3"/>
  <c r="U343" i="3"/>
  <c r="U341" i="3"/>
  <c r="U339" i="3"/>
  <c r="U337" i="3"/>
  <c r="U335" i="3"/>
  <c r="U333" i="3"/>
  <c r="U331" i="3"/>
  <c r="U310" i="3"/>
  <c r="U308" i="3"/>
  <c r="U306" i="3"/>
  <c r="U304" i="3"/>
  <c r="U302" i="3"/>
  <c r="U300" i="3"/>
  <c r="U298" i="3"/>
  <c r="U296" i="3"/>
  <c r="U294" i="3"/>
  <c r="U292" i="3"/>
  <c r="U286" i="3"/>
  <c r="U284" i="3"/>
  <c r="U282" i="3"/>
  <c r="U280" i="3"/>
  <c r="U278" i="3"/>
  <c r="U275" i="3"/>
  <c r="U273" i="3"/>
  <c r="U269" i="3"/>
  <c r="U267" i="3"/>
  <c r="U265" i="3"/>
  <c r="U263" i="3"/>
  <c r="U261" i="3"/>
  <c r="U259" i="3"/>
  <c r="U257" i="3"/>
  <c r="U255" i="3"/>
  <c r="U253" i="3"/>
  <c r="U251" i="3"/>
  <c r="U249" i="3"/>
  <c r="U247" i="3"/>
  <c r="U245" i="3"/>
  <c r="U243" i="3"/>
  <c r="U241" i="3"/>
  <c r="U239" i="3"/>
  <c r="U237" i="3"/>
  <c r="U235" i="3"/>
  <c r="E488" i="3"/>
  <c r="E208" i="1"/>
  <c r="E35" i="2"/>
  <c r="E62" i="2"/>
  <c r="V192" i="1"/>
  <c r="V456" i="1"/>
  <c r="V452" i="1"/>
  <c r="V428" i="1"/>
  <c r="V419" i="1"/>
  <c r="V411" i="1"/>
  <c r="V397" i="1"/>
  <c r="V391" i="1"/>
  <c r="V387" i="1"/>
  <c r="V383" i="1"/>
  <c r="V379" i="1"/>
  <c r="V327" i="1"/>
  <c r="V325" i="1"/>
  <c r="V321" i="1"/>
  <c r="V317" i="1"/>
  <c r="O508" i="3"/>
  <c r="S530" i="3"/>
  <c r="U427" i="1"/>
  <c r="U377" i="1"/>
  <c r="U210" i="1"/>
  <c r="U271" i="1"/>
  <c r="U35" i="1"/>
  <c r="U47" i="1"/>
  <c r="U61" i="1"/>
  <c r="U191" i="1"/>
  <c r="U290" i="1"/>
  <c r="G50" i="2"/>
  <c r="G77" i="2"/>
  <c r="I271" i="3"/>
  <c r="R42" i="2"/>
  <c r="G44" i="2"/>
  <c r="G71" i="2"/>
  <c r="S271" i="3"/>
  <c r="Q471" i="3"/>
  <c r="N42" i="2"/>
  <c r="N69" i="2"/>
  <c r="N38" i="2"/>
  <c r="N65" i="2"/>
  <c r="E191" i="3"/>
  <c r="G377" i="7"/>
  <c r="T329" i="1"/>
  <c r="U329" i="3"/>
  <c r="T396" i="1"/>
  <c r="U396" i="3"/>
  <c r="U314" i="1"/>
  <c r="T349" i="1"/>
  <c r="U349" i="3"/>
  <c r="U108" i="1"/>
  <c r="U233" i="1"/>
  <c r="F51" i="2"/>
  <c r="F78" i="2"/>
  <c r="U221" i="1"/>
  <c r="T290" i="1"/>
  <c r="U290" i="3"/>
  <c r="U126" i="1"/>
  <c r="U428" i="3"/>
  <c r="U397" i="3"/>
  <c r="V446" i="1"/>
  <c r="V442" i="1"/>
  <c r="V436" i="1"/>
  <c r="V432" i="1"/>
  <c r="V415" i="1"/>
  <c r="V405" i="1"/>
  <c r="V401" i="1"/>
  <c r="V371" i="1"/>
  <c r="V369" i="1"/>
  <c r="V367" i="1"/>
  <c r="V365" i="1"/>
  <c r="V363" i="1"/>
  <c r="V361" i="1"/>
  <c r="V359" i="1"/>
  <c r="V357" i="1"/>
  <c r="V355" i="1"/>
  <c r="V351" i="1"/>
  <c r="V347" i="1"/>
  <c r="V345" i="1"/>
  <c r="V343" i="1"/>
  <c r="V341" i="1"/>
  <c r="V339" i="1"/>
  <c r="V337" i="1"/>
  <c r="V335" i="1"/>
  <c r="V333" i="1"/>
  <c r="V331" i="1"/>
  <c r="V307" i="1"/>
  <c r="V275" i="1"/>
  <c r="V273" i="1"/>
  <c r="V269" i="1"/>
  <c r="V267" i="1"/>
  <c r="V205" i="1"/>
  <c r="V202" i="1"/>
  <c r="V199" i="1"/>
  <c r="V197" i="1"/>
  <c r="V195" i="1"/>
  <c r="V124" i="1"/>
  <c r="V123" i="1"/>
  <c r="V98" i="1"/>
  <c r="V278" i="1"/>
  <c r="V280" i="1"/>
  <c r="V282" i="1"/>
  <c r="V284" i="1"/>
  <c r="V310" i="1"/>
  <c r="U472" i="3"/>
  <c r="V472" i="1"/>
  <c r="T208" i="1"/>
  <c r="O233" i="3"/>
  <c r="Q530" i="3"/>
  <c r="U410" i="1"/>
  <c r="U103" i="2"/>
  <c r="U128" i="2"/>
  <c r="D138" i="7"/>
  <c r="V422" i="1"/>
  <c r="V420" i="1"/>
  <c r="V418" i="1"/>
  <c r="V416" i="1"/>
  <c r="V414" i="1"/>
  <c r="V412" i="1"/>
  <c r="V35" i="1"/>
  <c r="Y46" i="2"/>
  <c r="Y73" i="2"/>
  <c r="Q271" i="3"/>
  <c r="K233" i="3"/>
  <c r="K495" i="3"/>
  <c r="E495" i="3"/>
  <c r="S375" i="1"/>
  <c r="S425" i="1"/>
  <c r="G189" i="1"/>
  <c r="M425" i="1"/>
  <c r="U208" i="1"/>
  <c r="E51" i="2"/>
  <c r="E78" i="2"/>
  <c r="V377" i="1"/>
  <c r="V108" i="1"/>
  <c r="V203" i="1"/>
  <c r="H486" i="1"/>
  <c r="I486" i="3"/>
  <c r="O488" i="3"/>
  <c r="G488" i="3"/>
  <c r="G34" i="2"/>
  <c r="G61" i="2"/>
  <c r="W44" i="2"/>
  <c r="W71" i="2"/>
  <c r="S38" i="2"/>
  <c r="S65" i="2"/>
  <c r="J158" i="1"/>
  <c r="K158" i="3"/>
  <c r="V451" i="3"/>
  <c r="V497" i="3"/>
  <c r="V498" i="3"/>
  <c r="V499" i="3"/>
  <c r="V500" i="3"/>
  <c r="V501" i="3"/>
  <c r="V502" i="3"/>
  <c r="V503" i="3"/>
  <c r="V504" i="3"/>
  <c r="V505" i="3"/>
  <c r="T451" i="3"/>
  <c r="T497" i="3"/>
  <c r="T498" i="3"/>
  <c r="T499" i="3"/>
  <c r="T500" i="3"/>
  <c r="T501" i="3"/>
  <c r="T502" i="3"/>
  <c r="T503" i="3"/>
  <c r="T504" i="3"/>
  <c r="T505" i="3"/>
  <c r="R203" i="3"/>
  <c r="R497" i="3"/>
  <c r="R498" i="3"/>
  <c r="R499" i="3"/>
  <c r="R500" i="3"/>
  <c r="R501" i="3"/>
  <c r="R502" i="3"/>
  <c r="R503" i="3"/>
  <c r="R504" i="3"/>
  <c r="R505" i="3"/>
  <c r="P23" i="3"/>
  <c r="P497" i="3"/>
  <c r="P498" i="3"/>
  <c r="P499" i="3"/>
  <c r="P500" i="3"/>
  <c r="P501" i="3"/>
  <c r="P502" i="3"/>
  <c r="P503" i="3"/>
  <c r="P504" i="3"/>
  <c r="P505" i="3"/>
  <c r="N451" i="3"/>
  <c r="N498" i="3"/>
  <c r="N499" i="3"/>
  <c r="N500" i="3"/>
  <c r="N501" i="3"/>
  <c r="N502" i="3"/>
  <c r="N503" i="3"/>
  <c r="N504" i="3"/>
  <c r="N505" i="3"/>
  <c r="L451" i="3"/>
  <c r="L536" i="3"/>
  <c r="L498" i="3"/>
  <c r="L499" i="3"/>
  <c r="L500" i="3"/>
  <c r="L501" i="3"/>
  <c r="L502" i="3"/>
  <c r="L503" i="3"/>
  <c r="L504" i="3"/>
  <c r="L505" i="3"/>
  <c r="L506" i="3"/>
  <c r="J498" i="3"/>
  <c r="J499" i="3"/>
  <c r="J500" i="3"/>
  <c r="J501" i="3"/>
  <c r="J502" i="3"/>
  <c r="J503" i="3"/>
  <c r="J504" i="3"/>
  <c r="J505" i="3"/>
  <c r="J506" i="3"/>
  <c r="H498" i="3"/>
  <c r="H499" i="3"/>
  <c r="H500" i="3"/>
  <c r="H501" i="3"/>
  <c r="H502" i="3"/>
  <c r="H503" i="3"/>
  <c r="H504" i="3"/>
  <c r="H505" i="3"/>
  <c r="H506" i="3"/>
  <c r="F498" i="3"/>
  <c r="F499" i="3"/>
  <c r="F500" i="3"/>
  <c r="F501" i="3"/>
  <c r="F502" i="3"/>
  <c r="F503" i="3"/>
  <c r="F504" i="3"/>
  <c r="F505" i="3"/>
  <c r="F506" i="3"/>
  <c r="D161" i="7"/>
  <c r="R438" i="3"/>
  <c r="N471" i="3"/>
  <c r="N427" i="3"/>
  <c r="L427" i="3"/>
  <c r="R126" i="3"/>
  <c r="P438" i="3"/>
  <c r="H495" i="3"/>
  <c r="L495" i="3"/>
  <c r="J35" i="3"/>
  <c r="J314" i="3"/>
  <c r="J427" i="3"/>
  <c r="L61" i="3"/>
  <c r="L108" i="3"/>
  <c r="H191" i="3"/>
  <c r="G380" i="7"/>
  <c r="J92" i="3"/>
  <c r="J290" i="3"/>
  <c r="L35" i="3"/>
  <c r="R354" i="3"/>
  <c r="R450" i="3"/>
  <c r="T61" i="3"/>
  <c r="T233" i="3"/>
  <c r="T377" i="3"/>
  <c r="V158" i="3"/>
  <c r="V314" i="3"/>
  <c r="T158" i="3"/>
  <c r="V61" i="3"/>
  <c r="P508" i="3"/>
  <c r="F61" i="3"/>
  <c r="H163" i="3"/>
  <c r="J10" i="3"/>
  <c r="J396" i="3"/>
  <c r="L10" i="3"/>
  <c r="L396" i="3"/>
  <c r="R508" i="3"/>
  <c r="H126" i="3"/>
  <c r="J329" i="3"/>
  <c r="J438" i="3"/>
  <c r="L25" i="3"/>
  <c r="L354" i="3"/>
  <c r="N47" i="3"/>
  <c r="N329" i="3"/>
  <c r="N438" i="3"/>
  <c r="P25" i="3"/>
  <c r="P377" i="3"/>
  <c r="R146" i="3"/>
  <c r="R377" i="3"/>
  <c r="T10" i="3"/>
  <c r="T396" i="3"/>
  <c r="V163" i="3"/>
  <c r="N10" i="3"/>
  <c r="N349" i="3"/>
  <c r="N450" i="3"/>
  <c r="P77" i="3"/>
  <c r="P314" i="3"/>
  <c r="R158" i="3"/>
  <c r="T25" i="3"/>
  <c r="T354" i="3"/>
  <c r="V210" i="3"/>
  <c r="V201" i="3"/>
  <c r="R451" i="3"/>
  <c r="P451" i="3"/>
  <c r="F151" i="2"/>
  <c r="G151" i="2"/>
  <c r="H151" i="2"/>
  <c r="D84" i="7"/>
  <c r="G84" i="7"/>
  <c r="E138" i="2"/>
  <c r="F138" i="2"/>
  <c r="G138" i="2"/>
  <c r="C156" i="2"/>
  <c r="E156" i="2"/>
  <c r="F156" i="2"/>
  <c r="F152" i="2"/>
  <c r="G152" i="2"/>
  <c r="H152" i="2"/>
  <c r="D85" i="7"/>
  <c r="G85" i="7"/>
  <c r="F150" i="2"/>
  <c r="G150" i="2"/>
  <c r="H150" i="2"/>
  <c r="D83" i="7"/>
  <c r="G83" i="7"/>
  <c r="F148" i="2"/>
  <c r="G148" i="2"/>
  <c r="H148" i="2"/>
  <c r="D81" i="7"/>
  <c r="G81" i="7"/>
  <c r="F146" i="2"/>
  <c r="G146" i="2"/>
  <c r="H146" i="2"/>
  <c r="D79" i="7"/>
  <c r="G79" i="7"/>
  <c r="F144" i="2"/>
  <c r="G144" i="2"/>
  <c r="H144" i="2"/>
  <c r="D77" i="7"/>
  <c r="G77" i="7"/>
  <c r="F142" i="2"/>
  <c r="G142" i="2"/>
  <c r="H142" i="2"/>
  <c r="D75" i="7"/>
  <c r="G75" i="7"/>
  <c r="F140" i="2"/>
  <c r="G140" i="2"/>
  <c r="H140" i="2"/>
  <c r="D73" i="7"/>
  <c r="G73" i="7"/>
  <c r="F155" i="2"/>
  <c r="G155" i="2"/>
  <c r="H155" i="2"/>
  <c r="D88" i="7"/>
  <c r="G88" i="7"/>
  <c r="F153" i="2"/>
  <c r="G153" i="2"/>
  <c r="H153" i="2"/>
  <c r="D86" i="7"/>
  <c r="G86" i="7"/>
  <c r="F149" i="2"/>
  <c r="G149" i="2"/>
  <c r="H149" i="2"/>
  <c r="D82" i="7"/>
  <c r="G82" i="7"/>
  <c r="F145" i="2"/>
  <c r="G145" i="2"/>
  <c r="H145" i="2"/>
  <c r="D78" i="7"/>
  <c r="G78" i="7"/>
  <c r="F141" i="2"/>
  <c r="G141" i="2"/>
  <c r="H141" i="2"/>
  <c r="D74" i="7"/>
  <c r="G74" i="7"/>
  <c r="V45" i="3"/>
  <c r="V27" i="3"/>
  <c r="V29" i="3"/>
  <c r="V31" i="3"/>
  <c r="V33" i="3"/>
  <c r="V222" i="3"/>
  <c r="V211" i="3"/>
  <c r="V428" i="3"/>
  <c r="V439" i="3"/>
  <c r="T45" i="3"/>
  <c r="T27" i="3"/>
  <c r="T29" i="3"/>
  <c r="T31" i="3"/>
  <c r="T33" i="3"/>
  <c r="T222" i="3"/>
  <c r="T211" i="3"/>
  <c r="T428" i="3"/>
  <c r="T439" i="3"/>
  <c r="R45" i="3"/>
  <c r="R27" i="3"/>
  <c r="R29" i="3"/>
  <c r="R31" i="3"/>
  <c r="R33" i="3"/>
  <c r="R19" i="3"/>
  <c r="R222" i="3"/>
  <c r="R211" i="3"/>
  <c r="R428" i="3"/>
  <c r="R439" i="3"/>
  <c r="P45" i="3"/>
  <c r="P27" i="3"/>
  <c r="P29" i="3"/>
  <c r="P31" i="3"/>
  <c r="P33" i="3"/>
  <c r="P26" i="3"/>
  <c r="P222" i="3"/>
  <c r="P211" i="3"/>
  <c r="P428" i="3"/>
  <c r="P439" i="3"/>
  <c r="N45" i="3"/>
  <c r="N27" i="3"/>
  <c r="N29" i="3"/>
  <c r="N31" i="3"/>
  <c r="N33" i="3"/>
  <c r="N26" i="3"/>
  <c r="N222" i="3"/>
  <c r="N211" i="3"/>
  <c r="N428" i="3"/>
  <c r="N439" i="3"/>
  <c r="L45" i="3"/>
  <c r="L27" i="3"/>
  <c r="L29" i="3"/>
  <c r="L31" i="3"/>
  <c r="L33" i="3"/>
  <c r="L26" i="3"/>
  <c r="L15" i="3"/>
  <c r="L222" i="3"/>
  <c r="L211" i="3"/>
  <c r="L428" i="3"/>
  <c r="L439" i="3"/>
  <c r="J45" i="3"/>
  <c r="J27" i="3"/>
  <c r="J29" i="3"/>
  <c r="J31" i="3"/>
  <c r="J33" i="3"/>
  <c r="J26" i="3"/>
  <c r="J222" i="3"/>
  <c r="J211" i="3"/>
  <c r="J439" i="3"/>
  <c r="J451" i="3"/>
  <c r="H45" i="3"/>
  <c r="H27" i="3"/>
  <c r="H29" i="3"/>
  <c r="H31" i="3"/>
  <c r="H33" i="3"/>
  <c r="H26" i="3"/>
  <c r="H23" i="3"/>
  <c r="H222" i="3"/>
  <c r="H211" i="3"/>
  <c r="H439" i="3"/>
  <c r="H451" i="3"/>
  <c r="F45" i="3"/>
  <c r="F23" i="3"/>
  <c r="F222" i="3"/>
  <c r="F439" i="3"/>
  <c r="F451" i="3"/>
  <c r="V377" i="3"/>
  <c r="F405" i="7"/>
  <c r="G397" i="7"/>
  <c r="J19" i="3"/>
  <c r="T15" i="3"/>
  <c r="T94" i="3"/>
  <c r="T41" i="3"/>
  <c r="T19" i="3"/>
  <c r="T147" i="3"/>
  <c r="T109" i="3"/>
  <c r="T350" i="3"/>
  <c r="T378" i="3"/>
  <c r="T397" i="3"/>
  <c r="T411" i="3"/>
  <c r="P94" i="3"/>
  <c r="P41" i="3"/>
  <c r="P19" i="3"/>
  <c r="P147" i="3"/>
  <c r="P350" i="3"/>
  <c r="P378" i="3"/>
  <c r="P397" i="3"/>
  <c r="P411" i="3"/>
  <c r="L94" i="3"/>
  <c r="L41" i="3"/>
  <c r="L19" i="3"/>
  <c r="L147" i="3"/>
  <c r="L124" i="3"/>
  <c r="L378" i="3"/>
  <c r="L397" i="3"/>
  <c r="L411" i="3"/>
  <c r="F94" i="3"/>
  <c r="F41" i="3"/>
  <c r="F27" i="3"/>
  <c r="F19" i="3"/>
  <c r="F147" i="3"/>
  <c r="F124" i="3"/>
  <c r="F378" i="3"/>
  <c r="F397" i="3"/>
  <c r="F411" i="3"/>
  <c r="F428" i="3"/>
  <c r="V94" i="3"/>
  <c r="V41" i="3"/>
  <c r="V15" i="3"/>
  <c r="V23" i="3"/>
  <c r="V147" i="3"/>
  <c r="V109" i="3"/>
  <c r="V123" i="3"/>
  <c r="V350" i="3"/>
  <c r="V378" i="3"/>
  <c r="V397" i="3"/>
  <c r="V411" i="3"/>
  <c r="R94" i="3"/>
  <c r="R41" i="3"/>
  <c r="R15" i="3"/>
  <c r="R23" i="3"/>
  <c r="R147" i="3"/>
  <c r="R109" i="3"/>
  <c r="R350" i="3"/>
  <c r="R378" i="3"/>
  <c r="R397" i="3"/>
  <c r="R411" i="3"/>
  <c r="N94" i="3"/>
  <c r="N41" i="3"/>
  <c r="N15" i="3"/>
  <c r="N23" i="3"/>
  <c r="N147" i="3"/>
  <c r="N124" i="3"/>
  <c r="N350" i="3"/>
  <c r="N378" i="3"/>
  <c r="N397" i="3"/>
  <c r="N411" i="3"/>
  <c r="J94" i="3"/>
  <c r="J41" i="3"/>
  <c r="J15" i="3"/>
  <c r="J23" i="3"/>
  <c r="J147" i="3"/>
  <c r="J124" i="3"/>
  <c r="J378" i="3"/>
  <c r="J397" i="3"/>
  <c r="J411" i="3"/>
  <c r="J428" i="3"/>
  <c r="H94" i="3"/>
  <c r="H41" i="3"/>
  <c r="H19" i="3"/>
  <c r="H147" i="3"/>
  <c r="H124" i="3"/>
  <c r="H378" i="3"/>
  <c r="H397" i="3"/>
  <c r="H411" i="3"/>
  <c r="H428" i="3"/>
  <c r="N495" i="3"/>
  <c r="F427" i="3"/>
  <c r="T471" i="3"/>
  <c r="R488" i="3"/>
  <c r="P530" i="3"/>
  <c r="F290" i="3"/>
  <c r="H92" i="3"/>
  <c r="F47" i="3"/>
  <c r="F163" i="3"/>
  <c r="H146" i="3"/>
  <c r="H314" i="3"/>
  <c r="H427" i="3"/>
  <c r="H410" i="3"/>
  <c r="L146" i="3"/>
  <c r="L314" i="3"/>
  <c r="N35" i="3"/>
  <c r="N146" i="3"/>
  <c r="N314" i="3"/>
  <c r="P108" i="3"/>
  <c r="C388" i="7"/>
  <c r="R77" i="3"/>
  <c r="L158" i="3"/>
  <c r="L410" i="3"/>
  <c r="N61" i="3"/>
  <c r="N158" i="3"/>
  <c r="N410" i="3"/>
  <c r="P61" i="3"/>
  <c r="P158" i="3"/>
  <c r="P329" i="3"/>
  <c r="P396" i="3"/>
  <c r="R47" i="3"/>
  <c r="R163" i="3"/>
  <c r="L123" i="3"/>
  <c r="E384" i="7"/>
  <c r="T36" i="3"/>
  <c r="R36" i="3"/>
  <c r="P36" i="3"/>
  <c r="N36" i="3"/>
  <c r="V36" i="3"/>
  <c r="F15" i="3"/>
  <c r="F31" i="3"/>
  <c r="H15" i="3"/>
  <c r="L23" i="3"/>
  <c r="N19" i="3"/>
  <c r="P15" i="3"/>
  <c r="T23" i="3"/>
  <c r="V19" i="3"/>
  <c r="V37" i="3"/>
  <c r="T37" i="3"/>
  <c r="R37" i="3"/>
  <c r="P37" i="3"/>
  <c r="N37" i="3"/>
  <c r="L37" i="3"/>
  <c r="J37" i="3"/>
  <c r="H37" i="3"/>
  <c r="F37" i="3"/>
  <c r="V326" i="3"/>
  <c r="V325" i="3"/>
  <c r="V324" i="3"/>
  <c r="V323" i="3"/>
  <c r="V322" i="3"/>
  <c r="V321" i="3"/>
  <c r="V320" i="3"/>
  <c r="V319" i="3"/>
  <c r="V318" i="3"/>
  <c r="V467" i="3"/>
  <c r="V466" i="3"/>
  <c r="V465" i="3"/>
  <c r="V464" i="3"/>
  <c r="V463" i="3"/>
  <c r="V462" i="3"/>
  <c r="V461" i="3"/>
  <c r="V460" i="3"/>
  <c r="V459" i="3"/>
  <c r="V458" i="3"/>
  <c r="V457" i="3"/>
  <c r="V307" i="3"/>
  <c r="V306" i="3"/>
  <c r="V305" i="3"/>
  <c r="V304" i="3"/>
  <c r="V303" i="3"/>
  <c r="V302" i="3"/>
  <c r="V301" i="3"/>
  <c r="V300" i="3"/>
  <c r="V317" i="3"/>
  <c r="V316" i="3"/>
  <c r="V315" i="3"/>
  <c r="V299" i="3"/>
  <c r="V298" i="3"/>
  <c r="V297" i="3"/>
  <c r="V296" i="3"/>
  <c r="V295" i="3"/>
  <c r="V294" i="3"/>
  <c r="V293" i="3"/>
  <c r="V292" i="3"/>
  <c r="V291"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86" i="3"/>
  <c r="V285" i="3"/>
  <c r="V284" i="3"/>
  <c r="V283" i="3"/>
  <c r="V282" i="3"/>
  <c r="V281" i="3"/>
  <c r="V280" i="3"/>
  <c r="V279" i="3"/>
  <c r="V278" i="3"/>
  <c r="V277" i="3"/>
  <c r="V275" i="3"/>
  <c r="V274" i="3"/>
  <c r="V273" i="3"/>
  <c r="V272" i="3"/>
  <c r="V230" i="3"/>
  <c r="V229" i="3"/>
  <c r="V228" i="3"/>
  <c r="V227" i="3"/>
  <c r="V226" i="3"/>
  <c r="V225" i="3"/>
  <c r="V224" i="3"/>
  <c r="V223" i="3"/>
  <c r="V219" i="3"/>
  <c r="V218" i="3"/>
  <c r="V217" i="3"/>
  <c r="V216" i="3"/>
  <c r="V215" i="3"/>
  <c r="V214" i="3"/>
  <c r="V213" i="3"/>
  <c r="V212" i="3"/>
  <c r="V99" i="3"/>
  <c r="V97" i="3"/>
  <c r="V95" i="3"/>
  <c r="V93" i="3"/>
  <c r="V49" i="3"/>
  <c r="V50" i="3"/>
  <c r="V51" i="3"/>
  <c r="V52" i="3"/>
  <c r="V53" i="3"/>
  <c r="V54" i="3"/>
  <c r="V55" i="3"/>
  <c r="V56" i="3"/>
  <c r="V57" i="3"/>
  <c r="V58" i="3"/>
  <c r="V59" i="3"/>
  <c r="V38" i="3"/>
  <c r="V40" i="3"/>
  <c r="V42" i="3"/>
  <c r="V44" i="3"/>
  <c r="V28" i="3"/>
  <c r="V30" i="3"/>
  <c r="V32" i="3"/>
  <c r="V12" i="3"/>
  <c r="V14" i="3"/>
  <c r="V16" i="3"/>
  <c r="V18" i="3"/>
  <c r="V20" i="3"/>
  <c r="V22" i="3"/>
  <c r="V26" i="3"/>
  <c r="V192" i="3"/>
  <c r="V159" i="3"/>
  <c r="V127" i="3"/>
  <c r="V124" i="3"/>
  <c r="V78" i="3"/>
  <c r="V48" i="3"/>
  <c r="V11" i="3"/>
  <c r="V489" i="3"/>
  <c r="V496" i="3"/>
  <c r="V509" i="3"/>
  <c r="V234" i="3"/>
  <c r="V330" i="3"/>
  <c r="T326" i="3"/>
  <c r="T325" i="3"/>
  <c r="T324" i="3"/>
  <c r="T323" i="3"/>
  <c r="T322" i="3"/>
  <c r="T321" i="3"/>
  <c r="T320" i="3"/>
  <c r="T319" i="3"/>
  <c r="T318" i="3"/>
  <c r="T467" i="3"/>
  <c r="T466" i="3"/>
  <c r="T465" i="3"/>
  <c r="T464" i="3"/>
  <c r="T463" i="3"/>
  <c r="T462" i="3"/>
  <c r="T461" i="3"/>
  <c r="T460" i="3"/>
  <c r="T459" i="3"/>
  <c r="T458" i="3"/>
  <c r="T457" i="3"/>
  <c r="T307" i="3"/>
  <c r="T306" i="3"/>
  <c r="T305" i="3"/>
  <c r="T304" i="3"/>
  <c r="T303" i="3"/>
  <c r="T302" i="3"/>
  <c r="T301" i="3"/>
  <c r="T300" i="3"/>
  <c r="T317" i="3"/>
  <c r="T316" i="3"/>
  <c r="T315" i="3"/>
  <c r="T299" i="3"/>
  <c r="T298" i="3"/>
  <c r="T297" i="3"/>
  <c r="T296" i="3"/>
  <c r="T295" i="3"/>
  <c r="T294" i="3"/>
  <c r="T293" i="3"/>
  <c r="T292" i="3"/>
  <c r="T291" i="3"/>
  <c r="T235" i="3"/>
  <c r="T236" i="3"/>
  <c r="T237" i="3"/>
  <c r="T238" i="3"/>
  <c r="T239" i="3"/>
  <c r="T240" i="3"/>
  <c r="T241" i="3"/>
  <c r="T242" i="3"/>
  <c r="T243" i="3"/>
  <c r="T244" i="3"/>
  <c r="T245" i="3"/>
  <c r="T246" i="3"/>
  <c r="T247" i="3"/>
  <c r="T248" i="3"/>
  <c r="T249" i="3"/>
  <c r="T250" i="3"/>
  <c r="T251" i="3"/>
  <c r="T252" i="3"/>
  <c r="T253" i="3"/>
  <c r="T254" i="3"/>
  <c r="T255" i="3"/>
  <c r="T256" i="3"/>
  <c r="T257" i="3"/>
  <c r="T258" i="3"/>
  <c r="T259" i="3"/>
  <c r="T260" i="3"/>
  <c r="T286" i="3"/>
  <c r="T285" i="3"/>
  <c r="T284" i="3"/>
  <c r="T283" i="3"/>
  <c r="T282" i="3"/>
  <c r="T281" i="3"/>
  <c r="T280" i="3"/>
  <c r="T279" i="3"/>
  <c r="T278" i="3"/>
  <c r="T277" i="3"/>
  <c r="T275" i="3"/>
  <c r="T274" i="3"/>
  <c r="T273" i="3"/>
  <c r="T272" i="3"/>
  <c r="T230" i="3"/>
  <c r="T229" i="3"/>
  <c r="T228" i="3"/>
  <c r="T227" i="3"/>
  <c r="T226" i="3"/>
  <c r="T225" i="3"/>
  <c r="T224" i="3"/>
  <c r="T223" i="3"/>
  <c r="T219" i="3"/>
  <c r="T218" i="3"/>
  <c r="T217" i="3"/>
  <c r="T216" i="3"/>
  <c r="T215" i="3"/>
  <c r="T214" i="3"/>
  <c r="T213" i="3"/>
  <c r="T212" i="3"/>
  <c r="T99" i="3"/>
  <c r="T97" i="3"/>
  <c r="T95" i="3"/>
  <c r="T93" i="3"/>
  <c r="T49" i="3"/>
  <c r="T50" i="3"/>
  <c r="T51" i="3"/>
  <c r="T52" i="3"/>
  <c r="T53" i="3"/>
  <c r="T54" i="3"/>
  <c r="T55" i="3"/>
  <c r="T56" i="3"/>
  <c r="T57" i="3"/>
  <c r="T58" i="3"/>
  <c r="T59" i="3"/>
  <c r="T38" i="3"/>
  <c r="T40" i="3"/>
  <c r="T42" i="3"/>
  <c r="T44" i="3"/>
  <c r="T28" i="3"/>
  <c r="T30" i="3"/>
  <c r="T32" i="3"/>
  <c r="T12" i="3"/>
  <c r="T14" i="3"/>
  <c r="T16" i="3"/>
  <c r="T18" i="3"/>
  <c r="T20" i="3"/>
  <c r="T22" i="3"/>
  <c r="T192" i="3"/>
  <c r="T159" i="3"/>
  <c r="T127" i="3"/>
  <c r="T78" i="3"/>
  <c r="T48" i="3"/>
  <c r="T11" i="3"/>
  <c r="T489" i="3"/>
  <c r="T496" i="3"/>
  <c r="T509" i="3"/>
  <c r="T123" i="3"/>
  <c r="T124" i="3"/>
  <c r="T234" i="3"/>
  <c r="T330" i="3"/>
  <c r="R326" i="3"/>
  <c r="R325" i="3"/>
  <c r="R324" i="3"/>
  <c r="R323" i="3"/>
  <c r="R322" i="3"/>
  <c r="R321" i="3"/>
  <c r="R320" i="3"/>
  <c r="R319" i="3"/>
  <c r="R318" i="3"/>
  <c r="R467" i="3"/>
  <c r="R466" i="3"/>
  <c r="R465" i="3"/>
  <c r="R464" i="3"/>
  <c r="R463" i="3"/>
  <c r="R462" i="3"/>
  <c r="R461" i="3"/>
  <c r="R460" i="3"/>
  <c r="R459" i="3"/>
  <c r="R458" i="3"/>
  <c r="R457" i="3"/>
  <c r="R307" i="3"/>
  <c r="R306" i="3"/>
  <c r="R305" i="3"/>
  <c r="R304" i="3"/>
  <c r="R303" i="3"/>
  <c r="R302" i="3"/>
  <c r="R301" i="3"/>
  <c r="R300" i="3"/>
  <c r="R317" i="3"/>
  <c r="R316" i="3"/>
  <c r="R315" i="3"/>
  <c r="R299" i="3"/>
  <c r="R298" i="3"/>
  <c r="R297" i="3"/>
  <c r="R296" i="3"/>
  <c r="R295" i="3"/>
  <c r="R294" i="3"/>
  <c r="R293" i="3"/>
  <c r="R292" i="3"/>
  <c r="R291" i="3"/>
  <c r="R235" i="3"/>
  <c r="R236" i="3"/>
  <c r="R237" i="3"/>
  <c r="R238" i="3"/>
  <c r="R239" i="3"/>
  <c r="R240" i="3"/>
  <c r="R241" i="3"/>
  <c r="R242" i="3"/>
  <c r="R243" i="3"/>
  <c r="R244" i="3"/>
  <c r="R245" i="3"/>
  <c r="R246" i="3"/>
  <c r="R247" i="3"/>
  <c r="R248" i="3"/>
  <c r="R249" i="3"/>
  <c r="R250" i="3"/>
  <c r="R251" i="3"/>
  <c r="R252" i="3"/>
  <c r="R253" i="3"/>
  <c r="R254" i="3"/>
  <c r="R255" i="3"/>
  <c r="R256" i="3"/>
  <c r="R257" i="3"/>
  <c r="R258" i="3"/>
  <c r="R259" i="3"/>
  <c r="R260" i="3"/>
  <c r="R286" i="3"/>
  <c r="R285" i="3"/>
  <c r="R284" i="3"/>
  <c r="R283" i="3"/>
  <c r="R282" i="3"/>
  <c r="R281" i="3"/>
  <c r="R280" i="3"/>
  <c r="R279" i="3"/>
  <c r="R278" i="3"/>
  <c r="R277" i="3"/>
  <c r="R275" i="3"/>
  <c r="R274" i="3"/>
  <c r="R273" i="3"/>
  <c r="R272" i="3"/>
  <c r="R230" i="3"/>
  <c r="R229" i="3"/>
  <c r="R228" i="3"/>
  <c r="R227" i="3"/>
  <c r="R226" i="3"/>
  <c r="R225" i="3"/>
  <c r="R224" i="3"/>
  <c r="R223" i="3"/>
  <c r="R219" i="3"/>
  <c r="R218" i="3"/>
  <c r="R217" i="3"/>
  <c r="R216" i="3"/>
  <c r="R215" i="3"/>
  <c r="R214" i="3"/>
  <c r="R213" i="3"/>
  <c r="R212" i="3"/>
  <c r="R99" i="3"/>
  <c r="R97" i="3"/>
  <c r="R95" i="3"/>
  <c r="R93" i="3"/>
  <c r="R49" i="3"/>
  <c r="R50" i="3"/>
  <c r="R51" i="3"/>
  <c r="R52" i="3"/>
  <c r="R53" i="3"/>
  <c r="R54" i="3"/>
  <c r="R55" i="3"/>
  <c r="R56" i="3"/>
  <c r="R57" i="3"/>
  <c r="R58" i="3"/>
  <c r="R59" i="3"/>
  <c r="R38" i="3"/>
  <c r="R40" i="3"/>
  <c r="R42" i="3"/>
  <c r="R44" i="3"/>
  <c r="R28" i="3"/>
  <c r="R30" i="3"/>
  <c r="R32" i="3"/>
  <c r="R12" i="3"/>
  <c r="R14" i="3"/>
  <c r="R16" i="3"/>
  <c r="R18" i="3"/>
  <c r="R20" i="3"/>
  <c r="R22" i="3"/>
  <c r="R26" i="3"/>
  <c r="R192" i="3"/>
  <c r="R159" i="3"/>
  <c r="R127" i="3"/>
  <c r="R78" i="3"/>
  <c r="R48" i="3"/>
  <c r="R11" i="3"/>
  <c r="R489" i="3"/>
  <c r="R496" i="3"/>
  <c r="R509" i="3"/>
  <c r="R124" i="3"/>
  <c r="R234" i="3"/>
  <c r="R330" i="3"/>
  <c r="P326" i="3"/>
  <c r="P325" i="3"/>
  <c r="P324" i="3"/>
  <c r="P323" i="3"/>
  <c r="P322" i="3"/>
  <c r="P321" i="3"/>
  <c r="P320" i="3"/>
  <c r="P319" i="3"/>
  <c r="P318" i="3"/>
  <c r="P467" i="3"/>
  <c r="P466" i="3"/>
  <c r="P465" i="3"/>
  <c r="P464" i="3"/>
  <c r="P463" i="3"/>
  <c r="P462" i="3"/>
  <c r="P461" i="3"/>
  <c r="P460" i="3"/>
  <c r="P459" i="3"/>
  <c r="P458" i="3"/>
  <c r="P457" i="3"/>
  <c r="P307" i="3"/>
  <c r="P306" i="3"/>
  <c r="P305" i="3"/>
  <c r="P304" i="3"/>
  <c r="P303" i="3"/>
  <c r="P302" i="3"/>
  <c r="P301" i="3"/>
  <c r="P300" i="3"/>
  <c r="P317" i="3"/>
  <c r="P316" i="3"/>
  <c r="P315" i="3"/>
  <c r="P299" i="3"/>
  <c r="P298" i="3"/>
  <c r="P297" i="3"/>
  <c r="P296" i="3"/>
  <c r="P295" i="3"/>
  <c r="P294" i="3"/>
  <c r="P293" i="3"/>
  <c r="P292" i="3"/>
  <c r="P291" i="3"/>
  <c r="P235" i="3"/>
  <c r="P236" i="3"/>
  <c r="P237" i="3"/>
  <c r="P238" i="3"/>
  <c r="P239" i="3"/>
  <c r="P240" i="3"/>
  <c r="P241" i="3"/>
  <c r="P242" i="3"/>
  <c r="P243" i="3"/>
  <c r="P244" i="3"/>
  <c r="P245" i="3"/>
  <c r="P246" i="3"/>
  <c r="P247" i="3"/>
  <c r="P248" i="3"/>
  <c r="P249" i="3"/>
  <c r="P250" i="3"/>
  <c r="P251" i="3"/>
  <c r="P252" i="3"/>
  <c r="P253" i="3"/>
  <c r="P254" i="3"/>
  <c r="P255" i="3"/>
  <c r="P256" i="3"/>
  <c r="P257" i="3"/>
  <c r="P258" i="3"/>
  <c r="P259" i="3"/>
  <c r="P260" i="3"/>
  <c r="P286" i="3"/>
  <c r="P285" i="3"/>
  <c r="P284" i="3"/>
  <c r="P283" i="3"/>
  <c r="P282" i="3"/>
  <c r="P281" i="3"/>
  <c r="P280" i="3"/>
  <c r="P279" i="3"/>
  <c r="P278" i="3"/>
  <c r="P277" i="3"/>
  <c r="P275" i="3"/>
  <c r="P274" i="3"/>
  <c r="P273" i="3"/>
  <c r="P272" i="3"/>
  <c r="P230" i="3"/>
  <c r="P229" i="3"/>
  <c r="P228" i="3"/>
  <c r="P227" i="3"/>
  <c r="P226" i="3"/>
  <c r="P225" i="3"/>
  <c r="P224" i="3"/>
  <c r="P223" i="3"/>
  <c r="P219" i="3"/>
  <c r="P218" i="3"/>
  <c r="P217" i="3"/>
  <c r="P216" i="3"/>
  <c r="P215" i="3"/>
  <c r="P214" i="3"/>
  <c r="P213" i="3"/>
  <c r="P212" i="3"/>
  <c r="P99" i="3"/>
  <c r="P97" i="3"/>
  <c r="P95" i="3"/>
  <c r="P93" i="3"/>
  <c r="P49" i="3"/>
  <c r="P50" i="3"/>
  <c r="P51" i="3"/>
  <c r="P52" i="3"/>
  <c r="P53" i="3"/>
  <c r="P54" i="3"/>
  <c r="P55" i="3"/>
  <c r="P56" i="3"/>
  <c r="P57" i="3"/>
  <c r="P58" i="3"/>
  <c r="P59" i="3"/>
  <c r="P38" i="3"/>
  <c r="P40" i="3"/>
  <c r="P42" i="3"/>
  <c r="P44" i="3"/>
  <c r="P28" i="3"/>
  <c r="P30" i="3"/>
  <c r="P32" i="3"/>
  <c r="P12" i="3"/>
  <c r="P14" i="3"/>
  <c r="P16" i="3"/>
  <c r="P18" i="3"/>
  <c r="P20" i="3"/>
  <c r="P22" i="3"/>
  <c r="P192" i="3"/>
  <c r="P159" i="3"/>
  <c r="P127" i="3"/>
  <c r="P109" i="3"/>
  <c r="P78" i="3"/>
  <c r="P48" i="3"/>
  <c r="P11" i="3"/>
  <c r="P123" i="3"/>
  <c r="E388" i="7"/>
  <c r="P489" i="3"/>
  <c r="P496" i="3"/>
  <c r="P509" i="3"/>
  <c r="P124" i="3"/>
  <c r="P234" i="3"/>
  <c r="P330" i="3"/>
  <c r="N326" i="3"/>
  <c r="N325" i="3"/>
  <c r="N324" i="3"/>
  <c r="N323" i="3"/>
  <c r="N322" i="3"/>
  <c r="N321" i="3"/>
  <c r="N320" i="3"/>
  <c r="N319" i="3"/>
  <c r="N318" i="3"/>
  <c r="N467" i="3"/>
  <c r="N466" i="3"/>
  <c r="N465" i="3"/>
  <c r="N464" i="3"/>
  <c r="N463" i="3"/>
  <c r="N462" i="3"/>
  <c r="N461" i="3"/>
  <c r="N460" i="3"/>
  <c r="N459" i="3"/>
  <c r="N458" i="3"/>
  <c r="N457" i="3"/>
  <c r="N307" i="3"/>
  <c r="N306" i="3"/>
  <c r="N305" i="3"/>
  <c r="N304" i="3"/>
  <c r="N303" i="3"/>
  <c r="N302" i="3"/>
  <c r="N301" i="3"/>
  <c r="N300" i="3"/>
  <c r="N317" i="3"/>
  <c r="N316" i="3"/>
  <c r="N315" i="3"/>
  <c r="N299" i="3"/>
  <c r="N298" i="3"/>
  <c r="N297" i="3"/>
  <c r="N296" i="3"/>
  <c r="N295" i="3"/>
  <c r="N294" i="3"/>
  <c r="N293" i="3"/>
  <c r="N292" i="3"/>
  <c r="N291"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86" i="3"/>
  <c r="N285" i="3"/>
  <c r="N284" i="3"/>
  <c r="N283" i="3"/>
  <c r="N282" i="3"/>
  <c r="N281" i="3"/>
  <c r="N280" i="3"/>
  <c r="N279" i="3"/>
  <c r="N278" i="3"/>
  <c r="N277" i="3"/>
  <c r="N275" i="3"/>
  <c r="N274" i="3"/>
  <c r="N273" i="3"/>
  <c r="N272" i="3"/>
  <c r="N230" i="3"/>
  <c r="N229" i="3"/>
  <c r="N228" i="3"/>
  <c r="N227" i="3"/>
  <c r="N226" i="3"/>
  <c r="N225" i="3"/>
  <c r="N224" i="3"/>
  <c r="N223" i="3"/>
  <c r="N219" i="3"/>
  <c r="N218" i="3"/>
  <c r="N217" i="3"/>
  <c r="N216" i="3"/>
  <c r="N215" i="3"/>
  <c r="N214" i="3"/>
  <c r="N213" i="3"/>
  <c r="N212" i="3"/>
  <c r="N99" i="3"/>
  <c r="N97" i="3"/>
  <c r="N95" i="3"/>
  <c r="N93" i="3"/>
  <c r="N49" i="3"/>
  <c r="N50" i="3"/>
  <c r="N51" i="3"/>
  <c r="N52" i="3"/>
  <c r="N53" i="3"/>
  <c r="N54" i="3"/>
  <c r="N55" i="3"/>
  <c r="N56" i="3"/>
  <c r="N57" i="3"/>
  <c r="N58" i="3"/>
  <c r="N59" i="3"/>
  <c r="N38" i="3"/>
  <c r="N40" i="3"/>
  <c r="N42" i="3"/>
  <c r="N44" i="3"/>
  <c r="N28" i="3"/>
  <c r="N30" i="3"/>
  <c r="N32" i="3"/>
  <c r="N12" i="3"/>
  <c r="N14" i="3"/>
  <c r="N16" i="3"/>
  <c r="N18" i="3"/>
  <c r="N20" i="3"/>
  <c r="N22" i="3"/>
  <c r="N192" i="3"/>
  <c r="N159" i="3"/>
  <c r="N127" i="3"/>
  <c r="N109" i="3"/>
  <c r="N78" i="3"/>
  <c r="N48" i="3"/>
  <c r="N11" i="3"/>
  <c r="N489" i="3"/>
  <c r="N496" i="3"/>
  <c r="N509" i="3"/>
  <c r="N234" i="3"/>
  <c r="N330" i="3"/>
  <c r="L326" i="3"/>
  <c r="L325" i="3"/>
  <c r="L324" i="3"/>
  <c r="L323" i="3"/>
  <c r="L322" i="3"/>
  <c r="L321" i="3"/>
  <c r="L320" i="3"/>
  <c r="L319" i="3"/>
  <c r="L318" i="3"/>
  <c r="L467" i="3"/>
  <c r="L466" i="3"/>
  <c r="L465" i="3"/>
  <c r="L464" i="3"/>
  <c r="L463" i="3"/>
  <c r="L462" i="3"/>
  <c r="L461" i="3"/>
  <c r="L460" i="3"/>
  <c r="L459" i="3"/>
  <c r="L458" i="3"/>
  <c r="L308" i="3"/>
  <c r="L307" i="3"/>
  <c r="L306" i="3"/>
  <c r="L305" i="3"/>
  <c r="L304" i="3"/>
  <c r="L303" i="3"/>
  <c r="L302" i="3"/>
  <c r="L301" i="3"/>
  <c r="L300" i="3"/>
  <c r="L317" i="3"/>
  <c r="L316" i="3"/>
  <c r="L315" i="3"/>
  <c r="L299" i="3"/>
  <c r="L298" i="3"/>
  <c r="L297" i="3"/>
  <c r="L296" i="3"/>
  <c r="L295" i="3"/>
  <c r="L294" i="3"/>
  <c r="L293" i="3"/>
  <c r="L292" i="3"/>
  <c r="L291"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86" i="3"/>
  <c r="L285" i="3"/>
  <c r="L284" i="3"/>
  <c r="L283" i="3"/>
  <c r="L282" i="3"/>
  <c r="L281" i="3"/>
  <c r="L280" i="3"/>
  <c r="L279" i="3"/>
  <c r="L278" i="3"/>
  <c r="L277" i="3"/>
  <c r="L275" i="3"/>
  <c r="L274" i="3"/>
  <c r="L273" i="3"/>
  <c r="L272" i="3"/>
  <c r="L230" i="3"/>
  <c r="L229" i="3"/>
  <c r="L228" i="3"/>
  <c r="L227" i="3"/>
  <c r="L226" i="3"/>
  <c r="L225" i="3"/>
  <c r="L224" i="3"/>
  <c r="L223" i="3"/>
  <c r="L219" i="3"/>
  <c r="L218" i="3"/>
  <c r="L217" i="3"/>
  <c r="L216" i="3"/>
  <c r="L215" i="3"/>
  <c r="L214" i="3"/>
  <c r="L213" i="3"/>
  <c r="L212" i="3"/>
  <c r="L99" i="3"/>
  <c r="L97" i="3"/>
  <c r="L95" i="3"/>
  <c r="L93" i="3"/>
  <c r="L49" i="3"/>
  <c r="L50" i="3"/>
  <c r="L51" i="3"/>
  <c r="L52" i="3"/>
  <c r="L53" i="3"/>
  <c r="L54" i="3"/>
  <c r="L55" i="3"/>
  <c r="L56" i="3"/>
  <c r="L57" i="3"/>
  <c r="L58" i="3"/>
  <c r="L59" i="3"/>
  <c r="L38" i="3"/>
  <c r="L40" i="3"/>
  <c r="L42" i="3"/>
  <c r="L44" i="3"/>
  <c r="L28" i="3"/>
  <c r="L30" i="3"/>
  <c r="L32" i="3"/>
  <c r="L12" i="3"/>
  <c r="L14" i="3"/>
  <c r="L16" i="3"/>
  <c r="L18" i="3"/>
  <c r="L20" i="3"/>
  <c r="L22" i="3"/>
  <c r="L192" i="3"/>
  <c r="L159" i="3"/>
  <c r="L127" i="3"/>
  <c r="L109" i="3"/>
  <c r="L78" i="3"/>
  <c r="L48" i="3"/>
  <c r="L36" i="3"/>
  <c r="L11" i="3"/>
  <c r="L489" i="3"/>
  <c r="L496" i="3"/>
  <c r="L509" i="3"/>
  <c r="L234" i="3"/>
  <c r="L330" i="3"/>
  <c r="J327" i="3"/>
  <c r="J326" i="3"/>
  <c r="J325" i="3"/>
  <c r="J324" i="3"/>
  <c r="J323" i="3"/>
  <c r="J322" i="3"/>
  <c r="J321" i="3"/>
  <c r="J320" i="3"/>
  <c r="J319" i="3"/>
  <c r="J318" i="3"/>
  <c r="J467" i="3"/>
  <c r="J466" i="3"/>
  <c r="J465" i="3"/>
  <c r="J464" i="3"/>
  <c r="J463" i="3"/>
  <c r="J462" i="3"/>
  <c r="J461" i="3"/>
  <c r="J460" i="3"/>
  <c r="J459" i="3"/>
  <c r="J458" i="3"/>
  <c r="J308" i="3"/>
  <c r="J307" i="3"/>
  <c r="J306" i="3"/>
  <c r="J305" i="3"/>
  <c r="J304" i="3"/>
  <c r="J303" i="3"/>
  <c r="J302" i="3"/>
  <c r="J301" i="3"/>
  <c r="J300" i="3"/>
  <c r="J317" i="3"/>
  <c r="J316" i="3"/>
  <c r="J315" i="3"/>
  <c r="J299" i="3"/>
  <c r="J298" i="3"/>
  <c r="J297" i="3"/>
  <c r="J296" i="3"/>
  <c r="J295" i="3"/>
  <c r="J294" i="3"/>
  <c r="J293" i="3"/>
  <c r="J292"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309" i="3"/>
  <c r="J286" i="3"/>
  <c r="J285" i="3"/>
  <c r="J284" i="3"/>
  <c r="J283" i="3"/>
  <c r="J282" i="3"/>
  <c r="J281" i="3"/>
  <c r="J280" i="3"/>
  <c r="J279" i="3"/>
  <c r="J278" i="3"/>
  <c r="J277" i="3"/>
  <c r="J275" i="3"/>
  <c r="J274" i="3"/>
  <c r="J273" i="3"/>
  <c r="J272" i="3"/>
  <c r="J230" i="3"/>
  <c r="J229" i="3"/>
  <c r="J228" i="3"/>
  <c r="J227" i="3"/>
  <c r="J226" i="3"/>
  <c r="J225" i="3"/>
  <c r="J224" i="3"/>
  <c r="J223" i="3"/>
  <c r="J219" i="3"/>
  <c r="J218" i="3"/>
  <c r="J217" i="3"/>
  <c r="J216" i="3"/>
  <c r="J215" i="3"/>
  <c r="J214" i="3"/>
  <c r="J213" i="3"/>
  <c r="J212" i="3"/>
  <c r="J99" i="3"/>
  <c r="J97" i="3"/>
  <c r="J95" i="3"/>
  <c r="J93" i="3"/>
  <c r="J49" i="3"/>
  <c r="J50" i="3"/>
  <c r="J51" i="3"/>
  <c r="J52" i="3"/>
  <c r="J53" i="3"/>
  <c r="J54" i="3"/>
  <c r="J55" i="3"/>
  <c r="J56" i="3"/>
  <c r="J57" i="3"/>
  <c r="J58" i="3"/>
  <c r="J59" i="3"/>
  <c r="J38" i="3"/>
  <c r="J40" i="3"/>
  <c r="J42" i="3"/>
  <c r="J44" i="3"/>
  <c r="J28" i="3"/>
  <c r="J30" i="3"/>
  <c r="J32" i="3"/>
  <c r="J12" i="3"/>
  <c r="J14" i="3"/>
  <c r="J16" i="3"/>
  <c r="J18" i="3"/>
  <c r="J20" i="3"/>
  <c r="J22" i="3"/>
  <c r="J192" i="3"/>
  <c r="J159" i="3"/>
  <c r="J127" i="3"/>
  <c r="J109" i="3"/>
  <c r="J78" i="3"/>
  <c r="J48" i="3"/>
  <c r="J36" i="3"/>
  <c r="J11" i="3"/>
  <c r="J123" i="3"/>
  <c r="E382" i="7"/>
  <c r="J489" i="3"/>
  <c r="J496" i="3"/>
  <c r="J509" i="3"/>
  <c r="J234" i="3"/>
  <c r="J291" i="3"/>
  <c r="J330" i="3"/>
  <c r="H472" i="3"/>
  <c r="H327" i="3"/>
  <c r="H326" i="3"/>
  <c r="H325" i="3"/>
  <c r="H324" i="3"/>
  <c r="H323" i="3"/>
  <c r="H322" i="3"/>
  <c r="H321" i="3"/>
  <c r="H320" i="3"/>
  <c r="H319" i="3"/>
  <c r="H318" i="3"/>
  <c r="H467" i="3"/>
  <c r="H466" i="3"/>
  <c r="H465" i="3"/>
  <c r="H464" i="3"/>
  <c r="H463" i="3"/>
  <c r="H462" i="3"/>
  <c r="H461" i="3"/>
  <c r="H460" i="3"/>
  <c r="H459" i="3"/>
  <c r="H458" i="3"/>
  <c r="H308" i="3"/>
  <c r="H307" i="3"/>
  <c r="H306" i="3"/>
  <c r="H305" i="3"/>
  <c r="H304" i="3"/>
  <c r="H303" i="3"/>
  <c r="H302" i="3"/>
  <c r="H301" i="3"/>
  <c r="H317" i="3"/>
  <c r="H316" i="3"/>
  <c r="H315" i="3"/>
  <c r="H300" i="3"/>
  <c r="H299" i="3"/>
  <c r="H298" i="3"/>
  <c r="H297" i="3"/>
  <c r="H296" i="3"/>
  <c r="H295" i="3"/>
  <c r="H294" i="3"/>
  <c r="H293" i="3"/>
  <c r="H292"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310" i="3"/>
  <c r="H309" i="3"/>
  <c r="H286" i="3"/>
  <c r="H285" i="3"/>
  <c r="H284" i="3"/>
  <c r="H283" i="3"/>
  <c r="H282" i="3"/>
  <c r="H281" i="3"/>
  <c r="H280" i="3"/>
  <c r="H279" i="3"/>
  <c r="H278" i="3"/>
  <c r="H277" i="3"/>
  <c r="H275" i="3"/>
  <c r="H274" i="3"/>
  <c r="H273" i="3"/>
  <c r="H272" i="3"/>
  <c r="H230" i="3"/>
  <c r="H229" i="3"/>
  <c r="H228" i="3"/>
  <c r="H227" i="3"/>
  <c r="H226" i="3"/>
  <c r="H225" i="3"/>
  <c r="H224" i="3"/>
  <c r="H223" i="3"/>
  <c r="H219" i="3"/>
  <c r="H218" i="3"/>
  <c r="H217" i="3"/>
  <c r="H216" i="3"/>
  <c r="H215" i="3"/>
  <c r="H214" i="3"/>
  <c r="H213" i="3"/>
  <c r="H212" i="3"/>
  <c r="H99" i="3"/>
  <c r="H97" i="3"/>
  <c r="H95" i="3"/>
  <c r="H93" i="3"/>
  <c r="H49" i="3"/>
  <c r="H50" i="3"/>
  <c r="H51" i="3"/>
  <c r="H52" i="3"/>
  <c r="H53" i="3"/>
  <c r="H54" i="3"/>
  <c r="H55" i="3"/>
  <c r="H56" i="3"/>
  <c r="H57" i="3"/>
  <c r="H58" i="3"/>
  <c r="H59" i="3"/>
  <c r="H38" i="3"/>
  <c r="H40" i="3"/>
  <c r="H42" i="3"/>
  <c r="H44" i="3"/>
  <c r="H28" i="3"/>
  <c r="H30" i="3"/>
  <c r="H32" i="3"/>
  <c r="H12" i="3"/>
  <c r="H14" i="3"/>
  <c r="H16" i="3"/>
  <c r="H18" i="3"/>
  <c r="H20" i="3"/>
  <c r="H22" i="3"/>
  <c r="H192" i="3"/>
  <c r="H159" i="3"/>
  <c r="H127" i="3"/>
  <c r="H109" i="3"/>
  <c r="H78" i="3"/>
  <c r="H48" i="3"/>
  <c r="H36" i="3"/>
  <c r="H11" i="3"/>
  <c r="H489" i="3"/>
  <c r="H496" i="3"/>
  <c r="H509" i="3"/>
  <c r="H234" i="3"/>
  <c r="H291" i="3"/>
  <c r="H330" i="3"/>
  <c r="F327" i="3"/>
  <c r="F326" i="3"/>
  <c r="F325" i="3"/>
  <c r="F324" i="3"/>
  <c r="F323" i="3"/>
  <c r="F322" i="3"/>
  <c r="F321" i="3"/>
  <c r="F320" i="3"/>
  <c r="F319" i="3"/>
  <c r="F318" i="3"/>
  <c r="F467" i="3"/>
  <c r="F466" i="3"/>
  <c r="F465" i="3"/>
  <c r="F464" i="3"/>
  <c r="F463" i="3"/>
  <c r="F462" i="3"/>
  <c r="F461" i="3"/>
  <c r="F460" i="3"/>
  <c r="F459" i="3"/>
  <c r="F458" i="3"/>
  <c r="F311" i="3"/>
  <c r="F308" i="3"/>
  <c r="F307" i="3"/>
  <c r="F306" i="3"/>
  <c r="F305" i="3"/>
  <c r="F304" i="3"/>
  <c r="F303" i="3"/>
  <c r="F302" i="3"/>
  <c r="F301" i="3"/>
  <c r="F317" i="3"/>
  <c r="F316" i="3"/>
  <c r="F315" i="3"/>
  <c r="F300" i="3"/>
  <c r="F299" i="3"/>
  <c r="F298" i="3"/>
  <c r="F297" i="3"/>
  <c r="F296" i="3"/>
  <c r="F295" i="3"/>
  <c r="F294" i="3"/>
  <c r="F293" i="3"/>
  <c r="F292"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310" i="3"/>
  <c r="F309" i="3"/>
  <c r="F286" i="3"/>
  <c r="F285" i="3"/>
  <c r="F284" i="3"/>
  <c r="F283" i="3"/>
  <c r="F282" i="3"/>
  <c r="F281" i="3"/>
  <c r="F280" i="3"/>
  <c r="F279" i="3"/>
  <c r="F278" i="3"/>
  <c r="F277" i="3"/>
  <c r="F275" i="3"/>
  <c r="F274" i="3"/>
  <c r="F273" i="3"/>
  <c r="F272" i="3"/>
  <c r="F230" i="3"/>
  <c r="F229" i="3"/>
  <c r="F228" i="3"/>
  <c r="F227" i="3"/>
  <c r="F226" i="3"/>
  <c r="F225" i="3"/>
  <c r="F224" i="3"/>
  <c r="F223" i="3"/>
  <c r="F219" i="3"/>
  <c r="F218" i="3"/>
  <c r="F217" i="3"/>
  <c r="F216" i="3"/>
  <c r="F215" i="3"/>
  <c r="F214" i="3"/>
  <c r="F213" i="3"/>
  <c r="F212" i="3"/>
  <c r="F99" i="3"/>
  <c r="F97" i="3"/>
  <c r="F95" i="3"/>
  <c r="F93" i="3"/>
  <c r="F49" i="3"/>
  <c r="F50" i="3"/>
  <c r="F51" i="3"/>
  <c r="F52" i="3"/>
  <c r="F53" i="3"/>
  <c r="F54" i="3"/>
  <c r="F55" i="3"/>
  <c r="F56" i="3"/>
  <c r="F57" i="3"/>
  <c r="F58" i="3"/>
  <c r="F59" i="3"/>
  <c r="F38" i="3"/>
  <c r="F40" i="3"/>
  <c r="F42" i="3"/>
  <c r="F44" i="3"/>
  <c r="F28" i="3"/>
  <c r="F30" i="3"/>
  <c r="F32" i="3"/>
  <c r="F26" i="3"/>
  <c r="F12" i="3"/>
  <c r="F14" i="3"/>
  <c r="F16" i="3"/>
  <c r="F18" i="3"/>
  <c r="F20" i="3"/>
  <c r="F22" i="3"/>
  <c r="F192" i="3"/>
  <c r="F159" i="3"/>
  <c r="F127" i="3"/>
  <c r="F109" i="3"/>
  <c r="F78" i="3"/>
  <c r="F48" i="3"/>
  <c r="F123" i="3"/>
  <c r="E378" i="7"/>
  <c r="F489" i="3"/>
  <c r="F496" i="3"/>
  <c r="F509" i="3"/>
  <c r="F234" i="3"/>
  <c r="F291" i="3"/>
  <c r="F330" i="3"/>
  <c r="V233" i="3"/>
  <c r="V108" i="3"/>
  <c r="C394" i="7"/>
  <c r="T191" i="3"/>
  <c r="G392" i="7"/>
  <c r="V427" i="3"/>
  <c r="V508" i="3"/>
  <c r="F495" i="3"/>
  <c r="J191" i="3"/>
  <c r="G382" i="7"/>
  <c r="J495" i="3"/>
  <c r="N425" i="3"/>
  <c r="H377" i="3"/>
  <c r="H271" i="3"/>
  <c r="P233" i="3"/>
  <c r="N233" i="3"/>
  <c r="F233" i="3"/>
  <c r="F271" i="3"/>
  <c r="J158" i="3"/>
  <c r="J410" i="3"/>
  <c r="L92" i="3"/>
  <c r="J61" i="3"/>
  <c r="J108" i="3"/>
  <c r="C382" i="7"/>
  <c r="R329" i="3"/>
  <c r="R396" i="3"/>
  <c r="R349" i="3"/>
  <c r="T92" i="3"/>
  <c r="T146" i="3"/>
  <c r="C392" i="7"/>
  <c r="T290" i="3"/>
  <c r="V35" i="3"/>
  <c r="V410" i="3"/>
  <c r="V191" i="3"/>
  <c r="G394" i="7"/>
  <c r="T35" i="3"/>
  <c r="T314" i="3"/>
  <c r="T410" i="3"/>
  <c r="V92" i="3"/>
  <c r="V146" i="3"/>
  <c r="V290" i="3"/>
  <c r="F77" i="3"/>
  <c r="F25" i="3"/>
  <c r="F126" i="3"/>
  <c r="F208" i="3"/>
  <c r="F410" i="3"/>
  <c r="H61" i="3"/>
  <c r="H158" i="3"/>
  <c r="F10" i="3"/>
  <c r="F221" i="3"/>
  <c r="F314" i="3"/>
  <c r="F377" i="3"/>
  <c r="H35" i="3"/>
  <c r="H108" i="3"/>
  <c r="C380" i="7"/>
  <c r="H290" i="3"/>
  <c r="L233" i="3"/>
  <c r="L377" i="3"/>
  <c r="P35" i="3"/>
  <c r="P146" i="3"/>
  <c r="R25" i="3"/>
  <c r="N290" i="3"/>
  <c r="P92" i="3"/>
  <c r="P354" i="3"/>
  <c r="P450" i="3"/>
  <c r="R10" i="3"/>
  <c r="R221" i="3"/>
  <c r="F158" i="3"/>
  <c r="H47" i="3"/>
  <c r="H221" i="3"/>
  <c r="J77" i="3"/>
  <c r="J349" i="3"/>
  <c r="L77" i="3"/>
  <c r="L349" i="3"/>
  <c r="F146" i="3"/>
  <c r="H210" i="3"/>
  <c r="J25" i="3"/>
  <c r="R123" i="3"/>
  <c r="E390" i="7"/>
  <c r="V531" i="3"/>
  <c r="T531" i="3"/>
  <c r="R531" i="3"/>
  <c r="P531" i="3"/>
  <c r="N531" i="3"/>
  <c r="L531" i="3"/>
  <c r="J531" i="3"/>
  <c r="H531" i="3"/>
  <c r="F531" i="3"/>
  <c r="F522" i="3"/>
  <c r="F211" i="3"/>
  <c r="V527" i="3"/>
  <c r="T527" i="3"/>
  <c r="R527" i="3"/>
  <c r="P527" i="3"/>
  <c r="F11" i="3"/>
  <c r="F36" i="3"/>
  <c r="V62" i="3"/>
  <c r="T62" i="3"/>
  <c r="R62" i="3"/>
  <c r="P62" i="3"/>
  <c r="N62" i="3"/>
  <c r="L62" i="3"/>
  <c r="J62" i="3"/>
  <c r="H62" i="3"/>
  <c r="F62" i="3"/>
  <c r="V164" i="3"/>
  <c r="T164" i="3"/>
  <c r="R164" i="3"/>
  <c r="P164" i="3"/>
  <c r="N164" i="3"/>
  <c r="L164" i="3"/>
  <c r="J164" i="3"/>
  <c r="H164" i="3"/>
  <c r="F164" i="3"/>
  <c r="F21" i="3"/>
  <c r="F17" i="3"/>
  <c r="F13" i="3"/>
  <c r="F33" i="3"/>
  <c r="F29" i="3"/>
  <c r="T26" i="3"/>
  <c r="H21" i="3"/>
  <c r="H17" i="3"/>
  <c r="H13" i="3"/>
  <c r="J21" i="3"/>
  <c r="J17" i="3"/>
  <c r="J13" i="3"/>
  <c r="L21" i="3"/>
  <c r="L17" i="3"/>
  <c r="L13" i="3"/>
  <c r="N21" i="3"/>
  <c r="N17" i="3"/>
  <c r="N13" i="3"/>
  <c r="P21" i="3"/>
  <c r="P17" i="3"/>
  <c r="P13" i="3"/>
  <c r="R21" i="3"/>
  <c r="R17" i="3"/>
  <c r="R13" i="3"/>
  <c r="T21" i="3"/>
  <c r="T17" i="3"/>
  <c r="T13" i="3"/>
  <c r="V21" i="3"/>
  <c r="V17" i="3"/>
  <c r="V13" i="3"/>
  <c r="V43" i="3"/>
  <c r="T43" i="3"/>
  <c r="R43" i="3"/>
  <c r="P43" i="3"/>
  <c r="N43" i="3"/>
  <c r="L43" i="3"/>
  <c r="J43" i="3"/>
  <c r="H43" i="3"/>
  <c r="F43" i="3"/>
  <c r="V39" i="3"/>
  <c r="T39" i="3"/>
  <c r="R39" i="3"/>
  <c r="P39" i="3"/>
  <c r="N39" i="3"/>
  <c r="L39" i="3"/>
  <c r="J39" i="3"/>
  <c r="H39" i="3"/>
  <c r="F39" i="3"/>
  <c r="F63" i="3"/>
  <c r="H63" i="3"/>
  <c r="J63" i="3"/>
  <c r="L63" i="3"/>
  <c r="N63" i="3"/>
  <c r="P63" i="3"/>
  <c r="R63" i="3"/>
  <c r="T63" i="3"/>
  <c r="V63" i="3"/>
  <c r="F64" i="3"/>
  <c r="H64" i="3"/>
  <c r="J64" i="3"/>
  <c r="L64" i="3"/>
  <c r="N64" i="3"/>
  <c r="P64" i="3"/>
  <c r="R64" i="3"/>
  <c r="T64" i="3"/>
  <c r="V64" i="3"/>
  <c r="F65" i="3"/>
  <c r="H65" i="3"/>
  <c r="J65" i="3"/>
  <c r="L65" i="3"/>
  <c r="N65" i="3"/>
  <c r="P65" i="3"/>
  <c r="R65" i="3"/>
  <c r="T65" i="3"/>
  <c r="V65" i="3"/>
  <c r="F66" i="3"/>
  <c r="H66" i="3"/>
  <c r="J66" i="3"/>
  <c r="L66" i="3"/>
  <c r="N66" i="3"/>
  <c r="P66" i="3"/>
  <c r="R66" i="3"/>
  <c r="T66" i="3"/>
  <c r="V66" i="3"/>
  <c r="F67" i="3"/>
  <c r="H67" i="3"/>
  <c r="J67" i="3"/>
  <c r="L67" i="3"/>
  <c r="N67" i="3"/>
  <c r="P67" i="3"/>
  <c r="R67" i="3"/>
  <c r="T67" i="3"/>
  <c r="V67" i="3"/>
  <c r="F68" i="3"/>
  <c r="H68" i="3"/>
  <c r="J68" i="3"/>
  <c r="L68" i="3"/>
  <c r="N68" i="3"/>
  <c r="P68" i="3"/>
  <c r="R68" i="3"/>
  <c r="T68" i="3"/>
  <c r="V68" i="3"/>
  <c r="F69" i="3"/>
  <c r="H69" i="3"/>
  <c r="J69" i="3"/>
  <c r="L69" i="3"/>
  <c r="N69" i="3"/>
  <c r="P69" i="3"/>
  <c r="R69" i="3"/>
  <c r="T69" i="3"/>
  <c r="V69" i="3"/>
  <c r="F70" i="3"/>
  <c r="H70" i="3"/>
  <c r="J70" i="3"/>
  <c r="L70" i="3"/>
  <c r="N70" i="3"/>
  <c r="P70" i="3"/>
  <c r="R70" i="3"/>
  <c r="T70" i="3"/>
  <c r="V70" i="3"/>
  <c r="F71" i="3"/>
  <c r="H71" i="3"/>
  <c r="J71" i="3"/>
  <c r="L71" i="3"/>
  <c r="N71" i="3"/>
  <c r="P71" i="3"/>
  <c r="R71" i="3"/>
  <c r="T71" i="3"/>
  <c r="V71" i="3"/>
  <c r="F72" i="3"/>
  <c r="H72" i="3"/>
  <c r="J72" i="3"/>
  <c r="L72" i="3"/>
  <c r="N72" i="3"/>
  <c r="P72" i="3"/>
  <c r="R72" i="3"/>
  <c r="T72" i="3"/>
  <c r="V72" i="3"/>
  <c r="F73" i="3"/>
  <c r="H73" i="3"/>
  <c r="J73" i="3"/>
  <c r="L73" i="3"/>
  <c r="N73" i="3"/>
  <c r="P73" i="3"/>
  <c r="R73" i="3"/>
  <c r="T73" i="3"/>
  <c r="V73" i="3"/>
  <c r="F74" i="3"/>
  <c r="H74" i="3"/>
  <c r="J74" i="3"/>
  <c r="L74" i="3"/>
  <c r="N74" i="3"/>
  <c r="P74" i="3"/>
  <c r="R74" i="3"/>
  <c r="T74" i="3"/>
  <c r="V74" i="3"/>
  <c r="F75" i="3"/>
  <c r="H75" i="3"/>
  <c r="J75" i="3"/>
  <c r="L75" i="3"/>
  <c r="N75" i="3"/>
  <c r="P75" i="3"/>
  <c r="R75" i="3"/>
  <c r="T75" i="3"/>
  <c r="V75" i="3"/>
  <c r="H79" i="3"/>
  <c r="J79" i="3"/>
  <c r="L79" i="3"/>
  <c r="N79" i="3"/>
  <c r="P79" i="3"/>
  <c r="R79" i="3"/>
  <c r="T79" i="3"/>
  <c r="V79" i="3"/>
  <c r="H80" i="3"/>
  <c r="J80" i="3"/>
  <c r="L80" i="3"/>
  <c r="N80" i="3"/>
  <c r="P80" i="3"/>
  <c r="R80" i="3"/>
  <c r="T80" i="3"/>
  <c r="V80" i="3"/>
  <c r="H81" i="3"/>
  <c r="J81" i="3"/>
  <c r="L81" i="3"/>
  <c r="N81" i="3"/>
  <c r="P81" i="3"/>
  <c r="R81" i="3"/>
  <c r="T81" i="3"/>
  <c r="V81" i="3"/>
  <c r="H82" i="3"/>
  <c r="J82" i="3"/>
  <c r="L82" i="3"/>
  <c r="N82" i="3"/>
  <c r="P82" i="3"/>
  <c r="R82" i="3"/>
  <c r="T82" i="3"/>
  <c r="V82" i="3"/>
  <c r="H83" i="3"/>
  <c r="J83" i="3"/>
  <c r="L83" i="3"/>
  <c r="N83" i="3"/>
  <c r="P83" i="3"/>
  <c r="R83" i="3"/>
  <c r="T83" i="3"/>
  <c r="V83" i="3"/>
  <c r="H84" i="3"/>
  <c r="J84" i="3"/>
  <c r="L84" i="3"/>
  <c r="N84" i="3"/>
  <c r="P84" i="3"/>
  <c r="R84" i="3"/>
  <c r="T84" i="3"/>
  <c r="V84" i="3"/>
  <c r="H85" i="3"/>
  <c r="J85" i="3"/>
  <c r="L85" i="3"/>
  <c r="N85" i="3"/>
  <c r="P85" i="3"/>
  <c r="R85" i="3"/>
  <c r="T85" i="3"/>
  <c r="V85" i="3"/>
  <c r="H86" i="3"/>
  <c r="J86" i="3"/>
  <c r="L86" i="3"/>
  <c r="N86" i="3"/>
  <c r="P86" i="3"/>
  <c r="R86" i="3"/>
  <c r="T86" i="3"/>
  <c r="V86" i="3"/>
  <c r="H87" i="3"/>
  <c r="J87" i="3"/>
  <c r="L87" i="3"/>
  <c r="N87" i="3"/>
  <c r="P87" i="3"/>
  <c r="R87" i="3"/>
  <c r="T87" i="3"/>
  <c r="V87" i="3"/>
  <c r="H88" i="3"/>
  <c r="J88" i="3"/>
  <c r="L88" i="3"/>
  <c r="N88" i="3"/>
  <c r="P88" i="3"/>
  <c r="R88" i="3"/>
  <c r="T88" i="3"/>
  <c r="V88" i="3"/>
  <c r="H89" i="3"/>
  <c r="J89" i="3"/>
  <c r="L89" i="3"/>
  <c r="N89" i="3"/>
  <c r="P89" i="3"/>
  <c r="R89" i="3"/>
  <c r="T89" i="3"/>
  <c r="V89" i="3"/>
  <c r="H90" i="3"/>
  <c r="J90" i="3"/>
  <c r="L90" i="3"/>
  <c r="N90" i="3"/>
  <c r="P90" i="3"/>
  <c r="R90" i="3"/>
  <c r="T90" i="3"/>
  <c r="V90" i="3"/>
  <c r="F79" i="3"/>
  <c r="F80" i="3"/>
  <c r="F81" i="3"/>
  <c r="F82" i="3"/>
  <c r="F83" i="3"/>
  <c r="F84" i="3"/>
  <c r="F85" i="3"/>
  <c r="F86" i="3"/>
  <c r="F87" i="3"/>
  <c r="F88" i="3"/>
  <c r="F89" i="3"/>
  <c r="F90" i="3"/>
  <c r="F96" i="3"/>
  <c r="H96" i="3"/>
  <c r="J96" i="3"/>
  <c r="L96" i="3"/>
  <c r="N96" i="3"/>
  <c r="P96" i="3"/>
  <c r="R96" i="3"/>
  <c r="T96" i="3"/>
  <c r="V96" i="3"/>
  <c r="F100" i="3"/>
  <c r="H100" i="3"/>
  <c r="J100" i="3"/>
  <c r="L100" i="3"/>
  <c r="N100" i="3"/>
  <c r="P100" i="3"/>
  <c r="R100" i="3"/>
  <c r="T100" i="3"/>
  <c r="V100" i="3"/>
  <c r="V269" i="3"/>
  <c r="T269" i="3"/>
  <c r="R269" i="3"/>
  <c r="P269" i="3"/>
  <c r="N269" i="3"/>
  <c r="L269" i="3"/>
  <c r="J269" i="3"/>
  <c r="H269" i="3"/>
  <c r="F269" i="3"/>
  <c r="V268" i="3"/>
  <c r="T268" i="3"/>
  <c r="R268" i="3"/>
  <c r="P268" i="3"/>
  <c r="N268" i="3"/>
  <c r="L268" i="3"/>
  <c r="J268" i="3"/>
  <c r="H268" i="3"/>
  <c r="F268" i="3"/>
  <c r="V267" i="3"/>
  <c r="T267" i="3"/>
  <c r="R267" i="3"/>
  <c r="P267" i="3"/>
  <c r="N267" i="3"/>
  <c r="L267" i="3"/>
  <c r="J267" i="3"/>
  <c r="H267" i="3"/>
  <c r="F267" i="3"/>
  <c r="V266" i="3"/>
  <c r="T266" i="3"/>
  <c r="R266" i="3"/>
  <c r="P266" i="3"/>
  <c r="N266" i="3"/>
  <c r="L266" i="3"/>
  <c r="J266" i="3"/>
  <c r="H266" i="3"/>
  <c r="F266" i="3"/>
  <c r="V265" i="3"/>
  <c r="T265" i="3"/>
  <c r="R265" i="3"/>
  <c r="P265" i="3"/>
  <c r="N265" i="3"/>
  <c r="L265" i="3"/>
  <c r="J265" i="3"/>
  <c r="H265" i="3"/>
  <c r="F265" i="3"/>
  <c r="V264" i="3"/>
  <c r="T264" i="3"/>
  <c r="R264" i="3"/>
  <c r="P264" i="3"/>
  <c r="N264" i="3"/>
  <c r="L264" i="3"/>
  <c r="J264" i="3"/>
  <c r="H264" i="3"/>
  <c r="F264" i="3"/>
  <c r="V263" i="3"/>
  <c r="T263" i="3"/>
  <c r="R263" i="3"/>
  <c r="P263" i="3"/>
  <c r="N263" i="3"/>
  <c r="L263" i="3"/>
  <c r="J263" i="3"/>
  <c r="H263" i="3"/>
  <c r="F263" i="3"/>
  <c r="V262" i="3"/>
  <c r="T262" i="3"/>
  <c r="R262" i="3"/>
  <c r="P262" i="3"/>
  <c r="N262" i="3"/>
  <c r="L262" i="3"/>
  <c r="J262" i="3"/>
  <c r="H262" i="3"/>
  <c r="F262" i="3"/>
  <c r="V261" i="3"/>
  <c r="T261" i="3"/>
  <c r="R261" i="3"/>
  <c r="P261" i="3"/>
  <c r="N261" i="3"/>
  <c r="L261" i="3"/>
  <c r="J261" i="3"/>
  <c r="H261" i="3"/>
  <c r="F261" i="3"/>
  <c r="J354" i="3"/>
  <c r="L329" i="3"/>
  <c r="L438" i="3"/>
  <c r="N25" i="3"/>
  <c r="N77" i="3"/>
  <c r="N163" i="3"/>
  <c r="N354" i="3"/>
  <c r="P290" i="3"/>
  <c r="R290" i="3"/>
  <c r="T77" i="3"/>
  <c r="T349" i="3"/>
  <c r="T450" i="3"/>
  <c r="V47" i="3"/>
  <c r="V221" i="3"/>
  <c r="N126" i="3"/>
  <c r="N396" i="3"/>
  <c r="P10" i="3"/>
  <c r="R61" i="3"/>
  <c r="R314" i="3"/>
  <c r="T329" i="3"/>
  <c r="T438" i="3"/>
  <c r="V522" i="3"/>
  <c r="T522" i="3"/>
  <c r="R522" i="3"/>
  <c r="P522" i="3"/>
  <c r="N522" i="3"/>
  <c r="L522" i="3"/>
  <c r="J522" i="3"/>
  <c r="H522" i="3"/>
  <c r="J527" i="3"/>
  <c r="H527" i="3"/>
  <c r="F527" i="3"/>
  <c r="N527" i="3"/>
  <c r="L527" i="3"/>
  <c r="V511" i="3"/>
  <c r="V512" i="3"/>
  <c r="V514" i="3"/>
  <c r="V515" i="3"/>
  <c r="V516" i="3"/>
  <c r="V517" i="3"/>
  <c r="V518" i="3"/>
  <c r="V519" i="3"/>
  <c r="V520" i="3"/>
  <c r="V172" i="3"/>
  <c r="V347" i="3"/>
  <c r="V346" i="3"/>
  <c r="V345" i="3"/>
  <c r="V344" i="3"/>
  <c r="V343" i="3"/>
  <c r="V342" i="3"/>
  <c r="V341" i="3"/>
  <c r="V340" i="3"/>
  <c r="V339" i="3"/>
  <c r="V338" i="3"/>
  <c r="V337" i="3"/>
  <c r="V336" i="3"/>
  <c r="V335" i="3"/>
  <c r="V334" i="3"/>
  <c r="V333" i="3"/>
  <c r="V332" i="3"/>
  <c r="V331" i="3"/>
  <c r="V327" i="3"/>
  <c r="T511" i="3"/>
  <c r="T512" i="3"/>
  <c r="T514" i="3"/>
  <c r="T515" i="3"/>
  <c r="T516" i="3"/>
  <c r="T517" i="3"/>
  <c r="T518" i="3"/>
  <c r="T519" i="3"/>
  <c r="T520" i="3"/>
  <c r="T172" i="3"/>
  <c r="T347" i="3"/>
  <c r="T346" i="3"/>
  <c r="T345" i="3"/>
  <c r="T344" i="3"/>
  <c r="T343" i="3"/>
  <c r="T342" i="3"/>
  <c r="T341" i="3"/>
  <c r="T340" i="3"/>
  <c r="T339" i="3"/>
  <c r="T338" i="3"/>
  <c r="T337" i="3"/>
  <c r="T336" i="3"/>
  <c r="T335" i="3"/>
  <c r="T334" i="3"/>
  <c r="T333" i="3"/>
  <c r="T332" i="3"/>
  <c r="T331" i="3"/>
  <c r="T327" i="3"/>
  <c r="R511" i="3"/>
  <c r="R512" i="3"/>
  <c r="R514" i="3"/>
  <c r="R515" i="3"/>
  <c r="R516" i="3"/>
  <c r="R517" i="3"/>
  <c r="R518" i="3"/>
  <c r="R519" i="3"/>
  <c r="R520" i="3"/>
  <c r="R172" i="3"/>
  <c r="R347" i="3"/>
  <c r="R346" i="3"/>
  <c r="R345" i="3"/>
  <c r="R344" i="3"/>
  <c r="R343" i="3"/>
  <c r="R342" i="3"/>
  <c r="R341" i="3"/>
  <c r="R340" i="3"/>
  <c r="R339" i="3"/>
  <c r="R338" i="3"/>
  <c r="R337" i="3"/>
  <c r="R336" i="3"/>
  <c r="R335" i="3"/>
  <c r="R334" i="3"/>
  <c r="R333" i="3"/>
  <c r="R332" i="3"/>
  <c r="R331" i="3"/>
  <c r="R327" i="3"/>
  <c r="P511" i="3"/>
  <c r="P512" i="3"/>
  <c r="P514" i="3"/>
  <c r="P515" i="3"/>
  <c r="P516" i="3"/>
  <c r="P517" i="3"/>
  <c r="P518" i="3"/>
  <c r="P519" i="3"/>
  <c r="P520" i="3"/>
  <c r="P172" i="3"/>
  <c r="P472" i="3"/>
  <c r="P347" i="3"/>
  <c r="P346" i="3"/>
  <c r="P345" i="3"/>
  <c r="P344" i="3"/>
  <c r="P343" i="3"/>
  <c r="P342" i="3"/>
  <c r="P341" i="3"/>
  <c r="P340" i="3"/>
  <c r="P339" i="3"/>
  <c r="P338" i="3"/>
  <c r="P337" i="3"/>
  <c r="P336" i="3"/>
  <c r="P335" i="3"/>
  <c r="P334" i="3"/>
  <c r="P333" i="3"/>
  <c r="P332" i="3"/>
  <c r="P331" i="3"/>
  <c r="P327" i="3"/>
  <c r="N511" i="3"/>
  <c r="N512" i="3"/>
  <c r="N514" i="3"/>
  <c r="N515" i="3"/>
  <c r="N516" i="3"/>
  <c r="N517" i="3"/>
  <c r="N518" i="3"/>
  <c r="N519" i="3"/>
  <c r="N520" i="3"/>
  <c r="N497" i="3"/>
  <c r="N172" i="3"/>
  <c r="N347" i="3"/>
  <c r="N346" i="3"/>
  <c r="N345" i="3"/>
  <c r="N344" i="3"/>
  <c r="N343" i="3"/>
  <c r="N342" i="3"/>
  <c r="N341" i="3"/>
  <c r="N340" i="3"/>
  <c r="N339" i="3"/>
  <c r="N338" i="3"/>
  <c r="N337" i="3"/>
  <c r="N336" i="3"/>
  <c r="N335" i="3"/>
  <c r="N334" i="3"/>
  <c r="N333" i="3"/>
  <c r="N332" i="3"/>
  <c r="N331" i="3"/>
  <c r="N327" i="3"/>
  <c r="L511" i="3"/>
  <c r="L512" i="3"/>
  <c r="L514" i="3"/>
  <c r="L515" i="3"/>
  <c r="L516" i="3"/>
  <c r="L517" i="3"/>
  <c r="L518" i="3"/>
  <c r="L519" i="3"/>
  <c r="L520" i="3"/>
  <c r="L497" i="3"/>
  <c r="L172" i="3"/>
  <c r="L347" i="3"/>
  <c r="L346" i="3"/>
  <c r="L345" i="3"/>
  <c r="L344" i="3"/>
  <c r="L343" i="3"/>
  <c r="L342" i="3"/>
  <c r="L341" i="3"/>
  <c r="L340" i="3"/>
  <c r="L339" i="3"/>
  <c r="L338" i="3"/>
  <c r="L337" i="3"/>
  <c r="L336" i="3"/>
  <c r="L335" i="3"/>
  <c r="L334" i="3"/>
  <c r="L333" i="3"/>
  <c r="L332" i="3"/>
  <c r="L331" i="3"/>
  <c r="L327" i="3"/>
  <c r="J511" i="3"/>
  <c r="J512" i="3"/>
  <c r="J514" i="3"/>
  <c r="J515" i="3"/>
  <c r="J516" i="3"/>
  <c r="J517" i="3"/>
  <c r="J518" i="3"/>
  <c r="J519" i="3"/>
  <c r="J520" i="3"/>
  <c r="J497" i="3"/>
  <c r="J172" i="3"/>
  <c r="J347" i="3"/>
  <c r="J346" i="3"/>
  <c r="J345" i="3"/>
  <c r="J344" i="3"/>
  <c r="J343" i="3"/>
  <c r="J342" i="3"/>
  <c r="J341" i="3"/>
  <c r="J340" i="3"/>
  <c r="J339" i="3"/>
  <c r="J338" i="3"/>
  <c r="J337" i="3"/>
  <c r="J336" i="3"/>
  <c r="J335" i="3"/>
  <c r="J334" i="3"/>
  <c r="J333" i="3"/>
  <c r="J332" i="3"/>
  <c r="J331" i="3"/>
  <c r="H511" i="3"/>
  <c r="H512" i="3"/>
  <c r="H514" i="3"/>
  <c r="H515" i="3"/>
  <c r="H516" i="3"/>
  <c r="H517" i="3"/>
  <c r="H518" i="3"/>
  <c r="H519" i="3"/>
  <c r="H520" i="3"/>
  <c r="H497" i="3"/>
  <c r="H172" i="3"/>
  <c r="H347" i="3"/>
  <c r="H346" i="3"/>
  <c r="H345" i="3"/>
  <c r="H344" i="3"/>
  <c r="H343" i="3"/>
  <c r="H342" i="3"/>
  <c r="H341" i="3"/>
  <c r="H340" i="3"/>
  <c r="H339" i="3"/>
  <c r="H338" i="3"/>
  <c r="H337" i="3"/>
  <c r="H336" i="3"/>
  <c r="H335" i="3"/>
  <c r="H334" i="3"/>
  <c r="H333" i="3"/>
  <c r="H332" i="3"/>
  <c r="H331" i="3"/>
  <c r="F512" i="3"/>
  <c r="F514" i="3"/>
  <c r="F515" i="3"/>
  <c r="F516" i="3"/>
  <c r="F517" i="3"/>
  <c r="F518" i="3"/>
  <c r="F519" i="3"/>
  <c r="F520" i="3"/>
  <c r="F497" i="3"/>
  <c r="F172" i="3"/>
  <c r="F457" i="3"/>
  <c r="F347" i="3"/>
  <c r="F346" i="3"/>
  <c r="F345" i="3"/>
  <c r="F344" i="3"/>
  <c r="F343" i="3"/>
  <c r="F342" i="3"/>
  <c r="F341" i="3"/>
  <c r="F340" i="3"/>
  <c r="F339" i="3"/>
  <c r="F338" i="3"/>
  <c r="F337" i="3"/>
  <c r="F336" i="3"/>
  <c r="F335" i="3"/>
  <c r="F334" i="3"/>
  <c r="F333" i="3"/>
  <c r="F332" i="3"/>
  <c r="F331" i="3"/>
  <c r="V536" i="3"/>
  <c r="V187" i="3"/>
  <c r="V185" i="3"/>
  <c r="V183" i="3"/>
  <c r="V181" i="3"/>
  <c r="V179" i="3"/>
  <c r="V177" i="3"/>
  <c r="V175" i="3"/>
  <c r="V173" i="3"/>
  <c r="V528" i="3"/>
  <c r="V523" i="3"/>
  <c r="V510" i="3"/>
  <c r="V186" i="3"/>
  <c r="V182" i="3"/>
  <c r="V178" i="3"/>
  <c r="V174" i="3"/>
  <c r="V171" i="3"/>
  <c r="V160" i="3"/>
  <c r="V161" i="3"/>
  <c r="V148" i="3"/>
  <c r="V149" i="3"/>
  <c r="V150" i="3"/>
  <c r="V151" i="3"/>
  <c r="V152" i="3"/>
  <c r="V153" i="3"/>
  <c r="V154" i="3"/>
  <c r="V155" i="3"/>
  <c r="V156" i="3"/>
  <c r="V184" i="3"/>
  <c r="V176" i="3"/>
  <c r="V170" i="3"/>
  <c r="V169" i="3"/>
  <c r="V168" i="3"/>
  <c r="V167" i="3"/>
  <c r="V166" i="3"/>
  <c r="V165" i="3"/>
  <c r="V128" i="3"/>
  <c r="V129" i="3"/>
  <c r="V130" i="3"/>
  <c r="V131" i="3"/>
  <c r="V132" i="3"/>
  <c r="V133" i="3"/>
  <c r="V134" i="3"/>
  <c r="V135" i="3"/>
  <c r="V136" i="3"/>
  <c r="V137" i="3"/>
  <c r="V138" i="3"/>
  <c r="V139" i="3"/>
  <c r="V140" i="3"/>
  <c r="V141" i="3"/>
  <c r="V142" i="3"/>
  <c r="V143" i="3"/>
  <c r="V144" i="3"/>
  <c r="V110" i="3"/>
  <c r="V111" i="3"/>
  <c r="V112" i="3"/>
  <c r="V113" i="3"/>
  <c r="V114" i="3"/>
  <c r="V115" i="3"/>
  <c r="V116" i="3"/>
  <c r="V117" i="3"/>
  <c r="V118" i="3"/>
  <c r="V119" i="3"/>
  <c r="V120" i="3"/>
  <c r="V121" i="3"/>
  <c r="V472" i="3"/>
  <c r="V180" i="3"/>
  <c r="V473" i="3"/>
  <c r="V456" i="3"/>
  <c r="V455" i="3"/>
  <c r="V454" i="3"/>
  <c r="V453" i="3"/>
  <c r="V452" i="3"/>
  <c r="V448" i="3"/>
  <c r="V447" i="3"/>
  <c r="V446" i="3"/>
  <c r="V445" i="3"/>
  <c r="V444" i="3"/>
  <c r="V443" i="3"/>
  <c r="V442" i="3"/>
  <c r="V441" i="3"/>
  <c r="V440" i="3"/>
  <c r="V436" i="3"/>
  <c r="V435" i="3"/>
  <c r="V434" i="3"/>
  <c r="V433" i="3"/>
  <c r="V432" i="3"/>
  <c r="V431" i="3"/>
  <c r="V430" i="3"/>
  <c r="V429" i="3"/>
  <c r="V408" i="3"/>
  <c r="V407" i="3"/>
  <c r="V406" i="3"/>
  <c r="V405" i="3"/>
  <c r="V404" i="3"/>
  <c r="V403" i="3"/>
  <c r="V402" i="3"/>
  <c r="V401" i="3"/>
  <c r="V400" i="3"/>
  <c r="V399" i="3"/>
  <c r="V398" i="3"/>
  <c r="V394" i="3"/>
  <c r="V393" i="3"/>
  <c r="V392" i="3"/>
  <c r="V391" i="3"/>
  <c r="V390" i="3"/>
  <c r="V389" i="3"/>
  <c r="V388" i="3"/>
  <c r="V387" i="3"/>
  <c r="V386" i="3"/>
  <c r="V385" i="3"/>
  <c r="V384" i="3"/>
  <c r="V383" i="3"/>
  <c r="V382" i="3"/>
  <c r="V381" i="3"/>
  <c r="V380" i="3"/>
  <c r="V379" i="3"/>
  <c r="V373" i="3"/>
  <c r="V372" i="3"/>
  <c r="V371" i="3"/>
  <c r="V370" i="3"/>
  <c r="V369" i="3"/>
  <c r="V368" i="3"/>
  <c r="V367" i="3"/>
  <c r="V366" i="3"/>
  <c r="V365" i="3"/>
  <c r="V364" i="3"/>
  <c r="V363" i="3"/>
  <c r="V362" i="3"/>
  <c r="V361" i="3"/>
  <c r="V360" i="3"/>
  <c r="V359" i="3"/>
  <c r="V358" i="3"/>
  <c r="V357" i="3"/>
  <c r="V356" i="3"/>
  <c r="V355" i="3"/>
  <c r="V352" i="3"/>
  <c r="V351" i="3"/>
  <c r="V311" i="3"/>
  <c r="V310" i="3"/>
  <c r="V309" i="3"/>
  <c r="V308" i="3"/>
  <c r="T510" i="3"/>
  <c r="T187" i="3"/>
  <c r="T185" i="3"/>
  <c r="T183" i="3"/>
  <c r="T181" i="3"/>
  <c r="T179" i="3"/>
  <c r="T177" i="3"/>
  <c r="T175" i="3"/>
  <c r="T173" i="3"/>
  <c r="T203" i="3"/>
  <c r="T528" i="3"/>
  <c r="T523" i="3"/>
  <c r="T186" i="3"/>
  <c r="T182" i="3"/>
  <c r="T178" i="3"/>
  <c r="T174" i="3"/>
  <c r="T171" i="3"/>
  <c r="T160" i="3"/>
  <c r="T161" i="3"/>
  <c r="T148" i="3"/>
  <c r="T149" i="3"/>
  <c r="T150" i="3"/>
  <c r="T151" i="3"/>
  <c r="T152" i="3"/>
  <c r="T153" i="3"/>
  <c r="T154" i="3"/>
  <c r="T155" i="3"/>
  <c r="T156" i="3"/>
  <c r="T536" i="3"/>
  <c r="T184" i="3"/>
  <c r="T176" i="3"/>
  <c r="T170" i="3"/>
  <c r="T169" i="3"/>
  <c r="T168" i="3"/>
  <c r="T167" i="3"/>
  <c r="T166" i="3"/>
  <c r="T165" i="3"/>
  <c r="T128" i="3"/>
  <c r="T129" i="3"/>
  <c r="T130" i="3"/>
  <c r="T131" i="3"/>
  <c r="T132" i="3"/>
  <c r="T133" i="3"/>
  <c r="T134" i="3"/>
  <c r="T135" i="3"/>
  <c r="T136" i="3"/>
  <c r="T137" i="3"/>
  <c r="T138" i="3"/>
  <c r="T139" i="3"/>
  <c r="T140" i="3"/>
  <c r="T141" i="3"/>
  <c r="T142" i="3"/>
  <c r="T143" i="3"/>
  <c r="T144" i="3"/>
  <c r="T110" i="3"/>
  <c r="T111" i="3"/>
  <c r="T112" i="3"/>
  <c r="T113" i="3"/>
  <c r="T114" i="3"/>
  <c r="T115" i="3"/>
  <c r="T116" i="3"/>
  <c r="T117" i="3"/>
  <c r="T118" i="3"/>
  <c r="T119" i="3"/>
  <c r="T120" i="3"/>
  <c r="T121" i="3"/>
  <c r="T180" i="3"/>
  <c r="T473" i="3"/>
  <c r="T472" i="3"/>
  <c r="T456" i="3"/>
  <c r="T455" i="3"/>
  <c r="T454" i="3"/>
  <c r="T453" i="3"/>
  <c r="T452" i="3"/>
  <c r="T448" i="3"/>
  <c r="T447" i="3"/>
  <c r="T446" i="3"/>
  <c r="T445" i="3"/>
  <c r="T444" i="3"/>
  <c r="T443" i="3"/>
  <c r="T442" i="3"/>
  <c r="T441" i="3"/>
  <c r="T440" i="3"/>
  <c r="T436" i="3"/>
  <c r="T435" i="3"/>
  <c r="T434" i="3"/>
  <c r="T433" i="3"/>
  <c r="T432" i="3"/>
  <c r="T431" i="3"/>
  <c r="T430" i="3"/>
  <c r="T429" i="3"/>
  <c r="T408" i="3"/>
  <c r="T407" i="3"/>
  <c r="T406" i="3"/>
  <c r="T405" i="3"/>
  <c r="T404" i="3"/>
  <c r="T403" i="3"/>
  <c r="T402" i="3"/>
  <c r="T401" i="3"/>
  <c r="T400" i="3"/>
  <c r="T399" i="3"/>
  <c r="T398" i="3"/>
  <c r="T394" i="3"/>
  <c r="T393" i="3"/>
  <c r="T392" i="3"/>
  <c r="T391" i="3"/>
  <c r="T390" i="3"/>
  <c r="T389" i="3"/>
  <c r="T388" i="3"/>
  <c r="T387" i="3"/>
  <c r="T386" i="3"/>
  <c r="T385" i="3"/>
  <c r="T384" i="3"/>
  <c r="T383" i="3"/>
  <c r="T382" i="3"/>
  <c r="T381" i="3"/>
  <c r="T380" i="3"/>
  <c r="T379" i="3"/>
  <c r="T373" i="3"/>
  <c r="T372" i="3"/>
  <c r="T371" i="3"/>
  <c r="T370" i="3"/>
  <c r="T369" i="3"/>
  <c r="T368" i="3"/>
  <c r="T367" i="3"/>
  <c r="T366" i="3"/>
  <c r="T365" i="3"/>
  <c r="T364" i="3"/>
  <c r="T363" i="3"/>
  <c r="T362" i="3"/>
  <c r="T361" i="3"/>
  <c r="T360" i="3"/>
  <c r="T359" i="3"/>
  <c r="T358" i="3"/>
  <c r="T357" i="3"/>
  <c r="T356" i="3"/>
  <c r="T355" i="3"/>
  <c r="T352" i="3"/>
  <c r="T351" i="3"/>
  <c r="T311" i="3"/>
  <c r="T310" i="3"/>
  <c r="T309" i="3"/>
  <c r="T308" i="3"/>
  <c r="R536" i="3"/>
  <c r="R187" i="3"/>
  <c r="R185" i="3"/>
  <c r="R183" i="3"/>
  <c r="R181" i="3"/>
  <c r="R179" i="3"/>
  <c r="R177" i="3"/>
  <c r="R175" i="3"/>
  <c r="R173" i="3"/>
  <c r="R528" i="3"/>
  <c r="R523" i="3"/>
  <c r="R186" i="3"/>
  <c r="R182" i="3"/>
  <c r="R178" i="3"/>
  <c r="R174" i="3"/>
  <c r="R171" i="3"/>
  <c r="R160" i="3"/>
  <c r="R161" i="3"/>
  <c r="R148" i="3"/>
  <c r="R149" i="3"/>
  <c r="R150" i="3"/>
  <c r="R151" i="3"/>
  <c r="R152" i="3"/>
  <c r="R153" i="3"/>
  <c r="R154" i="3"/>
  <c r="R155" i="3"/>
  <c r="R156" i="3"/>
  <c r="R510" i="3"/>
  <c r="R184" i="3"/>
  <c r="R176" i="3"/>
  <c r="R170" i="3"/>
  <c r="R169" i="3"/>
  <c r="R168" i="3"/>
  <c r="R167" i="3"/>
  <c r="R166" i="3"/>
  <c r="R165" i="3"/>
  <c r="R128" i="3"/>
  <c r="R129" i="3"/>
  <c r="R130" i="3"/>
  <c r="R131" i="3"/>
  <c r="R132" i="3"/>
  <c r="R133" i="3"/>
  <c r="R134" i="3"/>
  <c r="R135" i="3"/>
  <c r="R136" i="3"/>
  <c r="R137" i="3"/>
  <c r="R138" i="3"/>
  <c r="R139" i="3"/>
  <c r="R140" i="3"/>
  <c r="R141" i="3"/>
  <c r="R142" i="3"/>
  <c r="R143" i="3"/>
  <c r="R144" i="3"/>
  <c r="R110" i="3"/>
  <c r="R111" i="3"/>
  <c r="R112" i="3"/>
  <c r="R113" i="3"/>
  <c r="R114" i="3"/>
  <c r="R115" i="3"/>
  <c r="R116" i="3"/>
  <c r="R117" i="3"/>
  <c r="R118" i="3"/>
  <c r="R119" i="3"/>
  <c r="R120" i="3"/>
  <c r="R121" i="3"/>
  <c r="R472" i="3"/>
  <c r="R180" i="3"/>
  <c r="R473" i="3"/>
  <c r="R456" i="3"/>
  <c r="R455" i="3"/>
  <c r="R454" i="3"/>
  <c r="R453" i="3"/>
  <c r="R452" i="3"/>
  <c r="R448" i="3"/>
  <c r="R447" i="3"/>
  <c r="R446" i="3"/>
  <c r="R445" i="3"/>
  <c r="R444" i="3"/>
  <c r="R443" i="3"/>
  <c r="R442" i="3"/>
  <c r="R441" i="3"/>
  <c r="R440" i="3"/>
  <c r="R436" i="3"/>
  <c r="R435" i="3"/>
  <c r="R434" i="3"/>
  <c r="R433" i="3"/>
  <c r="R432" i="3"/>
  <c r="R431" i="3"/>
  <c r="R430" i="3"/>
  <c r="R429" i="3"/>
  <c r="R408" i="3"/>
  <c r="R407" i="3"/>
  <c r="R406" i="3"/>
  <c r="R405" i="3"/>
  <c r="R404" i="3"/>
  <c r="R403" i="3"/>
  <c r="R402" i="3"/>
  <c r="R401" i="3"/>
  <c r="R400" i="3"/>
  <c r="R399" i="3"/>
  <c r="R398" i="3"/>
  <c r="R394" i="3"/>
  <c r="R393" i="3"/>
  <c r="R392" i="3"/>
  <c r="R391" i="3"/>
  <c r="R390" i="3"/>
  <c r="R389" i="3"/>
  <c r="R388" i="3"/>
  <c r="R387" i="3"/>
  <c r="R386" i="3"/>
  <c r="R385" i="3"/>
  <c r="R384" i="3"/>
  <c r="R383" i="3"/>
  <c r="R382" i="3"/>
  <c r="R381" i="3"/>
  <c r="R380" i="3"/>
  <c r="R379" i="3"/>
  <c r="R373" i="3"/>
  <c r="R372" i="3"/>
  <c r="R371" i="3"/>
  <c r="R370" i="3"/>
  <c r="R369" i="3"/>
  <c r="R368" i="3"/>
  <c r="R367" i="3"/>
  <c r="R366" i="3"/>
  <c r="R365" i="3"/>
  <c r="R364" i="3"/>
  <c r="R363" i="3"/>
  <c r="R362" i="3"/>
  <c r="R361" i="3"/>
  <c r="R360" i="3"/>
  <c r="R359" i="3"/>
  <c r="R358" i="3"/>
  <c r="R357" i="3"/>
  <c r="R356" i="3"/>
  <c r="R355" i="3"/>
  <c r="R352" i="3"/>
  <c r="R351" i="3"/>
  <c r="R311" i="3"/>
  <c r="R310" i="3"/>
  <c r="R309" i="3"/>
  <c r="R308" i="3"/>
  <c r="P203" i="3"/>
  <c r="P510" i="3"/>
  <c r="P187" i="3"/>
  <c r="P185" i="3"/>
  <c r="P183" i="3"/>
  <c r="P181" i="3"/>
  <c r="P179" i="3"/>
  <c r="P177" i="3"/>
  <c r="P175" i="3"/>
  <c r="P173" i="3"/>
  <c r="P536" i="3"/>
  <c r="P528" i="3"/>
  <c r="P523" i="3"/>
  <c r="P186" i="3"/>
  <c r="P182" i="3"/>
  <c r="P178" i="3"/>
  <c r="P174" i="3"/>
  <c r="P171" i="3"/>
  <c r="P160" i="3"/>
  <c r="P161" i="3"/>
  <c r="P148" i="3"/>
  <c r="P149" i="3"/>
  <c r="P150" i="3"/>
  <c r="P151" i="3"/>
  <c r="P152" i="3"/>
  <c r="P153" i="3"/>
  <c r="P154" i="3"/>
  <c r="P155" i="3"/>
  <c r="P156" i="3"/>
  <c r="P184" i="3"/>
  <c r="P176" i="3"/>
  <c r="P170" i="3"/>
  <c r="P169" i="3"/>
  <c r="P168" i="3"/>
  <c r="P167" i="3"/>
  <c r="P166" i="3"/>
  <c r="P165" i="3"/>
  <c r="P128" i="3"/>
  <c r="P129" i="3"/>
  <c r="P130" i="3"/>
  <c r="P131" i="3"/>
  <c r="P132" i="3"/>
  <c r="P133" i="3"/>
  <c r="P134" i="3"/>
  <c r="P135" i="3"/>
  <c r="P136" i="3"/>
  <c r="P137" i="3"/>
  <c r="P138" i="3"/>
  <c r="P139" i="3"/>
  <c r="P140" i="3"/>
  <c r="P141" i="3"/>
  <c r="P142" i="3"/>
  <c r="P143" i="3"/>
  <c r="P144" i="3"/>
  <c r="P110" i="3"/>
  <c r="P111" i="3"/>
  <c r="P112" i="3"/>
  <c r="P113" i="3"/>
  <c r="P114" i="3"/>
  <c r="P115" i="3"/>
  <c r="P116" i="3"/>
  <c r="P117" i="3"/>
  <c r="P118" i="3"/>
  <c r="P119" i="3"/>
  <c r="P120" i="3"/>
  <c r="P121" i="3"/>
  <c r="P180" i="3"/>
  <c r="P473" i="3"/>
  <c r="P456" i="3"/>
  <c r="P455" i="3"/>
  <c r="P454" i="3"/>
  <c r="P453" i="3"/>
  <c r="P452" i="3"/>
  <c r="P448" i="3"/>
  <c r="P447" i="3"/>
  <c r="P446" i="3"/>
  <c r="P445" i="3"/>
  <c r="P444" i="3"/>
  <c r="P443" i="3"/>
  <c r="P442" i="3"/>
  <c r="P441" i="3"/>
  <c r="P440" i="3"/>
  <c r="P436" i="3"/>
  <c r="P435" i="3"/>
  <c r="P434" i="3"/>
  <c r="P433" i="3"/>
  <c r="P432" i="3"/>
  <c r="P431" i="3"/>
  <c r="P430" i="3"/>
  <c r="P429" i="3"/>
  <c r="P408" i="3"/>
  <c r="P407" i="3"/>
  <c r="P406" i="3"/>
  <c r="P405" i="3"/>
  <c r="P404" i="3"/>
  <c r="P403" i="3"/>
  <c r="P402" i="3"/>
  <c r="P401" i="3"/>
  <c r="P400" i="3"/>
  <c r="P399" i="3"/>
  <c r="P398" i="3"/>
  <c r="P394" i="3"/>
  <c r="P393" i="3"/>
  <c r="P392" i="3"/>
  <c r="P391" i="3"/>
  <c r="P390" i="3"/>
  <c r="P389" i="3"/>
  <c r="P388" i="3"/>
  <c r="P387" i="3"/>
  <c r="P386" i="3"/>
  <c r="P385" i="3"/>
  <c r="P384" i="3"/>
  <c r="P383" i="3"/>
  <c r="P382" i="3"/>
  <c r="P381" i="3"/>
  <c r="P380" i="3"/>
  <c r="P379" i="3"/>
  <c r="P373" i="3"/>
  <c r="P372" i="3"/>
  <c r="P371" i="3"/>
  <c r="P370" i="3"/>
  <c r="P369" i="3"/>
  <c r="P368" i="3"/>
  <c r="P367" i="3"/>
  <c r="P366" i="3"/>
  <c r="P365" i="3"/>
  <c r="P364" i="3"/>
  <c r="P363" i="3"/>
  <c r="P362" i="3"/>
  <c r="P361" i="3"/>
  <c r="P360" i="3"/>
  <c r="P359" i="3"/>
  <c r="P358" i="3"/>
  <c r="P357" i="3"/>
  <c r="P356" i="3"/>
  <c r="P355" i="3"/>
  <c r="P352" i="3"/>
  <c r="P351" i="3"/>
  <c r="P311" i="3"/>
  <c r="P310" i="3"/>
  <c r="P309" i="3"/>
  <c r="P308" i="3"/>
  <c r="N203" i="3"/>
  <c r="N536" i="3"/>
  <c r="N187" i="3"/>
  <c r="N185" i="3"/>
  <c r="N183" i="3"/>
  <c r="N181" i="3"/>
  <c r="N179" i="3"/>
  <c r="N177" i="3"/>
  <c r="N175" i="3"/>
  <c r="N173" i="3"/>
  <c r="N528" i="3"/>
  <c r="N523" i="3"/>
  <c r="N510" i="3"/>
  <c r="N186" i="3"/>
  <c r="N182" i="3"/>
  <c r="N178" i="3"/>
  <c r="N174" i="3"/>
  <c r="N171" i="3"/>
  <c r="N160" i="3"/>
  <c r="N161" i="3"/>
  <c r="N148" i="3"/>
  <c r="N149" i="3"/>
  <c r="N150" i="3"/>
  <c r="N151" i="3"/>
  <c r="N152" i="3"/>
  <c r="N153" i="3"/>
  <c r="N154" i="3"/>
  <c r="N155" i="3"/>
  <c r="N156" i="3"/>
  <c r="N184" i="3"/>
  <c r="N176" i="3"/>
  <c r="N170" i="3"/>
  <c r="N169" i="3"/>
  <c r="N168" i="3"/>
  <c r="N167" i="3"/>
  <c r="N166" i="3"/>
  <c r="N165" i="3"/>
  <c r="N128" i="3"/>
  <c r="N129" i="3"/>
  <c r="N130" i="3"/>
  <c r="N131" i="3"/>
  <c r="N132" i="3"/>
  <c r="N133" i="3"/>
  <c r="N134" i="3"/>
  <c r="N135" i="3"/>
  <c r="N136" i="3"/>
  <c r="N137" i="3"/>
  <c r="N138" i="3"/>
  <c r="N139" i="3"/>
  <c r="N140" i="3"/>
  <c r="N141" i="3"/>
  <c r="N142" i="3"/>
  <c r="N143" i="3"/>
  <c r="N144" i="3"/>
  <c r="N110" i="3"/>
  <c r="N111" i="3"/>
  <c r="N112" i="3"/>
  <c r="N113" i="3"/>
  <c r="N114" i="3"/>
  <c r="N115" i="3"/>
  <c r="N116" i="3"/>
  <c r="N117" i="3"/>
  <c r="N118" i="3"/>
  <c r="N119" i="3"/>
  <c r="N120" i="3"/>
  <c r="N121" i="3"/>
  <c r="N472" i="3"/>
  <c r="L203" i="3"/>
  <c r="L510" i="3"/>
  <c r="L187" i="3"/>
  <c r="L185" i="3"/>
  <c r="L183" i="3"/>
  <c r="L181" i="3"/>
  <c r="L179" i="3"/>
  <c r="L177" i="3"/>
  <c r="L175" i="3"/>
  <c r="L173" i="3"/>
  <c r="L528" i="3"/>
  <c r="L523" i="3"/>
  <c r="L186" i="3"/>
  <c r="L182" i="3"/>
  <c r="L178" i="3"/>
  <c r="L174" i="3"/>
  <c r="L171" i="3"/>
  <c r="L160" i="3"/>
  <c r="L161" i="3"/>
  <c r="L148" i="3"/>
  <c r="L149" i="3"/>
  <c r="L150" i="3"/>
  <c r="L151" i="3"/>
  <c r="L152" i="3"/>
  <c r="L153" i="3"/>
  <c r="L154" i="3"/>
  <c r="L155" i="3"/>
  <c r="L156" i="3"/>
  <c r="L184" i="3"/>
  <c r="L176" i="3"/>
  <c r="L170" i="3"/>
  <c r="L169" i="3"/>
  <c r="L168" i="3"/>
  <c r="L167" i="3"/>
  <c r="L166" i="3"/>
  <c r="L165" i="3"/>
  <c r="L128" i="3"/>
  <c r="L129" i="3"/>
  <c r="L130" i="3"/>
  <c r="L131" i="3"/>
  <c r="L132" i="3"/>
  <c r="L133" i="3"/>
  <c r="L134" i="3"/>
  <c r="L135" i="3"/>
  <c r="L136" i="3"/>
  <c r="L137" i="3"/>
  <c r="L138" i="3"/>
  <c r="L139" i="3"/>
  <c r="L140" i="3"/>
  <c r="L141" i="3"/>
  <c r="L142" i="3"/>
  <c r="L143" i="3"/>
  <c r="L144" i="3"/>
  <c r="L110" i="3"/>
  <c r="L111" i="3"/>
  <c r="L112" i="3"/>
  <c r="L113" i="3"/>
  <c r="L114" i="3"/>
  <c r="L115" i="3"/>
  <c r="L116" i="3"/>
  <c r="L117" i="3"/>
  <c r="L118" i="3"/>
  <c r="L119" i="3"/>
  <c r="L120" i="3"/>
  <c r="L121" i="3"/>
  <c r="J536" i="3"/>
  <c r="J187" i="3"/>
  <c r="J185" i="3"/>
  <c r="J183" i="3"/>
  <c r="J181" i="3"/>
  <c r="J179" i="3"/>
  <c r="J177" i="3"/>
  <c r="J175" i="3"/>
  <c r="J173" i="3"/>
  <c r="J203" i="3"/>
  <c r="J528" i="3"/>
  <c r="J523" i="3"/>
  <c r="J186" i="3"/>
  <c r="J182" i="3"/>
  <c r="J178" i="3"/>
  <c r="J174" i="3"/>
  <c r="J171" i="3"/>
  <c r="J160" i="3"/>
  <c r="J161" i="3"/>
  <c r="J148" i="3"/>
  <c r="J149" i="3"/>
  <c r="J150" i="3"/>
  <c r="J151" i="3"/>
  <c r="J152" i="3"/>
  <c r="J153" i="3"/>
  <c r="J154" i="3"/>
  <c r="J155" i="3"/>
  <c r="J156" i="3"/>
  <c r="J184" i="3"/>
  <c r="J176" i="3"/>
  <c r="J170" i="3"/>
  <c r="J169" i="3"/>
  <c r="J168" i="3"/>
  <c r="J167" i="3"/>
  <c r="J166" i="3"/>
  <c r="J165" i="3"/>
  <c r="J128" i="3"/>
  <c r="J129" i="3"/>
  <c r="J130" i="3"/>
  <c r="J131" i="3"/>
  <c r="J132" i="3"/>
  <c r="J133" i="3"/>
  <c r="J134" i="3"/>
  <c r="J135" i="3"/>
  <c r="J136" i="3"/>
  <c r="J137" i="3"/>
  <c r="J138" i="3"/>
  <c r="J139" i="3"/>
  <c r="J140" i="3"/>
  <c r="J141" i="3"/>
  <c r="J142" i="3"/>
  <c r="J143" i="3"/>
  <c r="J144" i="3"/>
  <c r="J110" i="3"/>
  <c r="J111" i="3"/>
  <c r="J112" i="3"/>
  <c r="J113" i="3"/>
  <c r="J114" i="3"/>
  <c r="J115" i="3"/>
  <c r="J116" i="3"/>
  <c r="J117" i="3"/>
  <c r="J118" i="3"/>
  <c r="J119" i="3"/>
  <c r="J120" i="3"/>
  <c r="J121" i="3"/>
  <c r="J472" i="3"/>
  <c r="J457" i="3"/>
  <c r="H203" i="3"/>
  <c r="H510" i="3"/>
  <c r="H187" i="3"/>
  <c r="H185" i="3"/>
  <c r="H183" i="3"/>
  <c r="H181" i="3"/>
  <c r="H179" i="3"/>
  <c r="H177" i="3"/>
  <c r="H175" i="3"/>
  <c r="H528" i="3"/>
  <c r="H523" i="3"/>
  <c r="H186" i="3"/>
  <c r="H182" i="3"/>
  <c r="H178" i="3"/>
  <c r="H174" i="3"/>
  <c r="H173" i="3"/>
  <c r="H171" i="3"/>
  <c r="H160" i="3"/>
  <c r="H161" i="3"/>
  <c r="H148" i="3"/>
  <c r="H149" i="3"/>
  <c r="H150" i="3"/>
  <c r="H151" i="3"/>
  <c r="H152" i="3"/>
  <c r="H153" i="3"/>
  <c r="H154" i="3"/>
  <c r="H155" i="3"/>
  <c r="H156" i="3"/>
  <c r="H184" i="3"/>
  <c r="H176" i="3"/>
  <c r="H170" i="3"/>
  <c r="H169" i="3"/>
  <c r="H168" i="3"/>
  <c r="H167" i="3"/>
  <c r="H166" i="3"/>
  <c r="H165" i="3"/>
  <c r="H128" i="3"/>
  <c r="H129" i="3"/>
  <c r="H130" i="3"/>
  <c r="H131" i="3"/>
  <c r="H132" i="3"/>
  <c r="H133" i="3"/>
  <c r="H134" i="3"/>
  <c r="H135" i="3"/>
  <c r="H136" i="3"/>
  <c r="H137" i="3"/>
  <c r="H138" i="3"/>
  <c r="H139" i="3"/>
  <c r="H140" i="3"/>
  <c r="H141" i="3"/>
  <c r="H142" i="3"/>
  <c r="H143" i="3"/>
  <c r="H144" i="3"/>
  <c r="H110" i="3"/>
  <c r="H111" i="3"/>
  <c r="H112" i="3"/>
  <c r="H113" i="3"/>
  <c r="H114" i="3"/>
  <c r="H115" i="3"/>
  <c r="H116" i="3"/>
  <c r="H117" i="3"/>
  <c r="H118" i="3"/>
  <c r="H119" i="3"/>
  <c r="H120" i="3"/>
  <c r="H121" i="3"/>
  <c r="F203" i="3"/>
  <c r="F511" i="3"/>
  <c r="F187" i="3"/>
  <c r="F185" i="3"/>
  <c r="F183" i="3"/>
  <c r="F181" i="3"/>
  <c r="F179" i="3"/>
  <c r="F177" i="3"/>
  <c r="F175" i="3"/>
  <c r="F528" i="3"/>
  <c r="F523" i="3"/>
  <c r="F510" i="3"/>
  <c r="F186" i="3"/>
  <c r="F182" i="3"/>
  <c r="F178" i="3"/>
  <c r="F174" i="3"/>
  <c r="F173" i="3"/>
  <c r="F171" i="3"/>
  <c r="F160" i="3"/>
  <c r="F161" i="3"/>
  <c r="F148" i="3"/>
  <c r="F149" i="3"/>
  <c r="F150" i="3"/>
  <c r="F151" i="3"/>
  <c r="F152" i="3"/>
  <c r="F153" i="3"/>
  <c r="F154" i="3"/>
  <c r="F155" i="3"/>
  <c r="F156" i="3"/>
  <c r="F184" i="3"/>
  <c r="F176" i="3"/>
  <c r="F170" i="3"/>
  <c r="F169" i="3"/>
  <c r="F168" i="3"/>
  <c r="F167" i="3"/>
  <c r="F166" i="3"/>
  <c r="F165" i="3"/>
  <c r="F128" i="3"/>
  <c r="F129" i="3"/>
  <c r="F130" i="3"/>
  <c r="F131" i="3"/>
  <c r="F132" i="3"/>
  <c r="F133" i="3"/>
  <c r="F134" i="3"/>
  <c r="F135" i="3"/>
  <c r="F136" i="3"/>
  <c r="F137" i="3"/>
  <c r="F138" i="3"/>
  <c r="F139" i="3"/>
  <c r="F140" i="3"/>
  <c r="F141" i="3"/>
  <c r="F142" i="3"/>
  <c r="F143" i="3"/>
  <c r="F144" i="3"/>
  <c r="F110" i="3"/>
  <c r="F111" i="3"/>
  <c r="F112" i="3"/>
  <c r="F113" i="3"/>
  <c r="F114" i="3"/>
  <c r="F115" i="3"/>
  <c r="F116" i="3"/>
  <c r="F117" i="3"/>
  <c r="F118" i="3"/>
  <c r="F119" i="3"/>
  <c r="F120" i="3"/>
  <c r="F121" i="3"/>
  <c r="F472" i="3"/>
  <c r="N308" i="3"/>
  <c r="L309" i="3"/>
  <c r="N309" i="3"/>
  <c r="J310" i="3"/>
  <c r="L310" i="3"/>
  <c r="N310" i="3"/>
  <c r="H311" i="3"/>
  <c r="J311" i="3"/>
  <c r="L311" i="3"/>
  <c r="N311" i="3"/>
  <c r="F350" i="3"/>
  <c r="H350" i="3"/>
  <c r="J350" i="3"/>
  <c r="L350" i="3"/>
  <c r="F351" i="3"/>
  <c r="H351" i="3"/>
  <c r="J351" i="3"/>
  <c r="L351" i="3"/>
  <c r="N351" i="3"/>
  <c r="F352" i="3"/>
  <c r="H352" i="3"/>
  <c r="J352" i="3"/>
  <c r="L352" i="3"/>
  <c r="N352" i="3"/>
  <c r="F355" i="3"/>
  <c r="H355" i="3"/>
  <c r="J355" i="3"/>
  <c r="L355" i="3"/>
  <c r="N355" i="3"/>
  <c r="F356" i="3"/>
  <c r="H356" i="3"/>
  <c r="J356" i="3"/>
  <c r="L356" i="3"/>
  <c r="N356" i="3"/>
  <c r="F357" i="3"/>
  <c r="H357" i="3"/>
  <c r="J357" i="3"/>
  <c r="L357" i="3"/>
  <c r="N357" i="3"/>
  <c r="F358" i="3"/>
  <c r="H358" i="3"/>
  <c r="J358" i="3"/>
  <c r="L358" i="3"/>
  <c r="N358" i="3"/>
  <c r="F359" i="3"/>
  <c r="H359" i="3"/>
  <c r="J359" i="3"/>
  <c r="L359" i="3"/>
  <c r="N359" i="3"/>
  <c r="F360" i="3"/>
  <c r="H360" i="3"/>
  <c r="J360" i="3"/>
  <c r="L360" i="3"/>
  <c r="N360" i="3"/>
  <c r="F361" i="3"/>
  <c r="H361" i="3"/>
  <c r="J361" i="3"/>
  <c r="L361" i="3"/>
  <c r="N361" i="3"/>
  <c r="F362" i="3"/>
  <c r="H362" i="3"/>
  <c r="J362" i="3"/>
  <c r="L362" i="3"/>
  <c r="N362" i="3"/>
  <c r="F363" i="3"/>
  <c r="H363" i="3"/>
  <c r="J363" i="3"/>
  <c r="L363" i="3"/>
  <c r="N363" i="3"/>
  <c r="F364" i="3"/>
  <c r="H364" i="3"/>
  <c r="J364" i="3"/>
  <c r="L364" i="3"/>
  <c r="N364" i="3"/>
  <c r="F365" i="3"/>
  <c r="H365" i="3"/>
  <c r="J365" i="3"/>
  <c r="L365" i="3"/>
  <c r="N365" i="3"/>
  <c r="F366" i="3"/>
  <c r="H366" i="3"/>
  <c r="J366" i="3"/>
  <c r="L366" i="3"/>
  <c r="N366" i="3"/>
  <c r="F367" i="3"/>
  <c r="H367" i="3"/>
  <c r="J367" i="3"/>
  <c r="L367" i="3"/>
  <c r="N367" i="3"/>
  <c r="F368" i="3"/>
  <c r="H368" i="3"/>
  <c r="J368" i="3"/>
  <c r="L368" i="3"/>
  <c r="N368" i="3"/>
  <c r="F369" i="3"/>
  <c r="H369" i="3"/>
  <c r="J369" i="3"/>
  <c r="L369" i="3"/>
  <c r="N369" i="3"/>
  <c r="F370" i="3"/>
  <c r="H370" i="3"/>
  <c r="J370" i="3"/>
  <c r="L370" i="3"/>
  <c r="N370" i="3"/>
  <c r="F371" i="3"/>
  <c r="H371" i="3"/>
  <c r="J371" i="3"/>
  <c r="L371" i="3"/>
  <c r="N371" i="3"/>
  <c r="F372" i="3"/>
  <c r="H372" i="3"/>
  <c r="J372" i="3"/>
  <c r="L372" i="3"/>
  <c r="N372" i="3"/>
  <c r="F373" i="3"/>
  <c r="H373" i="3"/>
  <c r="J373" i="3"/>
  <c r="L373" i="3"/>
  <c r="N373" i="3"/>
  <c r="F379" i="3"/>
  <c r="H379" i="3"/>
  <c r="J379" i="3"/>
  <c r="L379" i="3"/>
  <c r="N379" i="3"/>
  <c r="F380" i="3"/>
  <c r="H380" i="3"/>
  <c r="J380" i="3"/>
  <c r="L380" i="3"/>
  <c r="N380" i="3"/>
  <c r="F381" i="3"/>
  <c r="H381" i="3"/>
  <c r="J381" i="3"/>
  <c r="L381" i="3"/>
  <c r="N381" i="3"/>
  <c r="F382" i="3"/>
  <c r="H382" i="3"/>
  <c r="J382" i="3"/>
  <c r="L382" i="3"/>
  <c r="N382" i="3"/>
  <c r="F383" i="3"/>
  <c r="H383" i="3"/>
  <c r="J383" i="3"/>
  <c r="L383" i="3"/>
  <c r="N383" i="3"/>
  <c r="F384" i="3"/>
  <c r="H384" i="3"/>
  <c r="J384" i="3"/>
  <c r="L384" i="3"/>
  <c r="N384" i="3"/>
  <c r="F385" i="3"/>
  <c r="H385" i="3"/>
  <c r="J385" i="3"/>
  <c r="L385" i="3"/>
  <c r="N385" i="3"/>
  <c r="F386" i="3"/>
  <c r="H386" i="3"/>
  <c r="J386" i="3"/>
  <c r="L386" i="3"/>
  <c r="N386" i="3"/>
  <c r="F387" i="3"/>
  <c r="H387" i="3"/>
  <c r="J387" i="3"/>
  <c r="L387" i="3"/>
  <c r="N387" i="3"/>
  <c r="F388" i="3"/>
  <c r="H388" i="3"/>
  <c r="J388" i="3"/>
  <c r="L388" i="3"/>
  <c r="N388" i="3"/>
  <c r="F389" i="3"/>
  <c r="H389" i="3"/>
  <c r="J389" i="3"/>
  <c r="L389" i="3"/>
  <c r="N389" i="3"/>
  <c r="F390" i="3"/>
  <c r="H390" i="3"/>
  <c r="J390" i="3"/>
  <c r="L390" i="3"/>
  <c r="N390" i="3"/>
  <c r="F391" i="3"/>
  <c r="H391" i="3"/>
  <c r="J391" i="3"/>
  <c r="L391" i="3"/>
  <c r="N391" i="3"/>
  <c r="F392" i="3"/>
  <c r="H392" i="3"/>
  <c r="J392" i="3"/>
  <c r="L392" i="3"/>
  <c r="N392" i="3"/>
  <c r="F393" i="3"/>
  <c r="H393" i="3"/>
  <c r="J393" i="3"/>
  <c r="L393" i="3"/>
  <c r="N393" i="3"/>
  <c r="F394" i="3"/>
  <c r="H394" i="3"/>
  <c r="J394" i="3"/>
  <c r="L394" i="3"/>
  <c r="N394" i="3"/>
  <c r="F398" i="3"/>
  <c r="H398" i="3"/>
  <c r="J398" i="3"/>
  <c r="L398" i="3"/>
  <c r="N398" i="3"/>
  <c r="F399" i="3"/>
  <c r="H399" i="3"/>
  <c r="J399" i="3"/>
  <c r="L399" i="3"/>
  <c r="N399" i="3"/>
  <c r="F400" i="3"/>
  <c r="H400" i="3"/>
  <c r="J400" i="3"/>
  <c r="L400" i="3"/>
  <c r="N400" i="3"/>
  <c r="F401" i="3"/>
  <c r="H401" i="3"/>
  <c r="J401" i="3"/>
  <c r="L401" i="3"/>
  <c r="N401" i="3"/>
  <c r="F402" i="3"/>
  <c r="H402" i="3"/>
  <c r="J402" i="3"/>
  <c r="L402" i="3"/>
  <c r="N402" i="3"/>
  <c r="F403" i="3"/>
  <c r="H403" i="3"/>
  <c r="J403" i="3"/>
  <c r="L403" i="3"/>
  <c r="N403" i="3"/>
  <c r="F404" i="3"/>
  <c r="H404" i="3"/>
  <c r="J404" i="3"/>
  <c r="L404" i="3"/>
  <c r="N404" i="3"/>
  <c r="F405" i="3"/>
  <c r="H405" i="3"/>
  <c r="J405" i="3"/>
  <c r="L405" i="3"/>
  <c r="N405" i="3"/>
  <c r="F406" i="3"/>
  <c r="H406" i="3"/>
  <c r="J406" i="3"/>
  <c r="L406" i="3"/>
  <c r="N406" i="3"/>
  <c r="F407" i="3"/>
  <c r="H407" i="3"/>
  <c r="J407" i="3"/>
  <c r="L407" i="3"/>
  <c r="N407" i="3"/>
  <c r="F408" i="3"/>
  <c r="H408" i="3"/>
  <c r="J408" i="3"/>
  <c r="L408" i="3"/>
  <c r="N408" i="3"/>
  <c r="F429" i="3"/>
  <c r="H429" i="3"/>
  <c r="J429" i="3"/>
  <c r="L429" i="3"/>
  <c r="N429" i="3"/>
  <c r="F430" i="3"/>
  <c r="H430" i="3"/>
  <c r="J430" i="3"/>
  <c r="L430" i="3"/>
  <c r="N430" i="3"/>
  <c r="F431" i="3"/>
  <c r="H431" i="3"/>
  <c r="J431" i="3"/>
  <c r="L431" i="3"/>
  <c r="N431" i="3"/>
  <c r="F432" i="3"/>
  <c r="H432" i="3"/>
  <c r="J432" i="3"/>
  <c r="L432" i="3"/>
  <c r="N432" i="3"/>
  <c r="F433" i="3"/>
  <c r="H433" i="3"/>
  <c r="J433" i="3"/>
  <c r="L433" i="3"/>
  <c r="N433" i="3"/>
  <c r="F434" i="3"/>
  <c r="H434" i="3"/>
  <c r="J434" i="3"/>
  <c r="L434" i="3"/>
  <c r="N434" i="3"/>
  <c r="F435" i="3"/>
  <c r="H435" i="3"/>
  <c r="J435" i="3"/>
  <c r="L435" i="3"/>
  <c r="N435" i="3"/>
  <c r="F436" i="3"/>
  <c r="H436" i="3"/>
  <c r="J436" i="3"/>
  <c r="L436" i="3"/>
  <c r="N436" i="3"/>
  <c r="F440" i="3"/>
  <c r="H440" i="3"/>
  <c r="J440" i="3"/>
  <c r="L440" i="3"/>
  <c r="N440" i="3"/>
  <c r="F441" i="3"/>
  <c r="H441" i="3"/>
  <c r="J441" i="3"/>
  <c r="L441" i="3"/>
  <c r="N441" i="3"/>
  <c r="F442" i="3"/>
  <c r="H442" i="3"/>
  <c r="J442" i="3"/>
  <c r="L442" i="3"/>
  <c r="N442" i="3"/>
  <c r="F443" i="3"/>
  <c r="H443" i="3"/>
  <c r="J443" i="3"/>
  <c r="L443" i="3"/>
  <c r="N443" i="3"/>
  <c r="F444" i="3"/>
  <c r="H444" i="3"/>
  <c r="J444" i="3"/>
  <c r="L444" i="3"/>
  <c r="N444" i="3"/>
  <c r="F445" i="3"/>
  <c r="H445" i="3"/>
  <c r="J445" i="3"/>
  <c r="L445" i="3"/>
  <c r="N445" i="3"/>
  <c r="F446" i="3"/>
  <c r="H446" i="3"/>
  <c r="J446" i="3"/>
  <c r="L446" i="3"/>
  <c r="N446" i="3"/>
  <c r="F447" i="3"/>
  <c r="H447" i="3"/>
  <c r="J447" i="3"/>
  <c r="L447" i="3"/>
  <c r="N447" i="3"/>
  <c r="F448" i="3"/>
  <c r="H448" i="3"/>
  <c r="J448" i="3"/>
  <c r="L448" i="3"/>
  <c r="N448" i="3"/>
  <c r="F452" i="3"/>
  <c r="H452" i="3"/>
  <c r="J452" i="3"/>
  <c r="L452" i="3"/>
  <c r="N452" i="3"/>
  <c r="F453" i="3"/>
  <c r="H453" i="3"/>
  <c r="J453" i="3"/>
  <c r="L453" i="3"/>
  <c r="N453" i="3"/>
  <c r="F454" i="3"/>
  <c r="H454" i="3"/>
  <c r="J454" i="3"/>
  <c r="L454" i="3"/>
  <c r="N454" i="3"/>
  <c r="F455" i="3"/>
  <c r="H455" i="3"/>
  <c r="J455" i="3"/>
  <c r="L455" i="3"/>
  <c r="N455" i="3"/>
  <c r="F456" i="3"/>
  <c r="H456" i="3"/>
  <c r="J456" i="3"/>
  <c r="L456" i="3"/>
  <c r="N456" i="3"/>
  <c r="H457" i="3"/>
  <c r="L472" i="3"/>
  <c r="F473" i="3"/>
  <c r="H473" i="3"/>
  <c r="J473" i="3"/>
  <c r="L473" i="3"/>
  <c r="N473" i="3"/>
  <c r="F180" i="3"/>
  <c r="H180" i="3"/>
  <c r="J180" i="3"/>
  <c r="L180" i="3"/>
  <c r="N180" i="3"/>
  <c r="J510" i="3"/>
  <c r="D30" i="13"/>
  <c r="F458" i="7"/>
  <c r="F461" i="7"/>
  <c r="E461" i="7"/>
  <c r="E458" i="7"/>
  <c r="U276" i="3"/>
  <c r="U203" i="3"/>
  <c r="U532" i="3"/>
  <c r="U534" i="3"/>
  <c r="U536" i="3"/>
  <c r="U510" i="3"/>
  <c r="S276" i="3"/>
  <c r="S513" i="3"/>
  <c r="S203" i="3"/>
  <c r="S533" i="3"/>
  <c r="S535" i="3"/>
  <c r="S536" i="3"/>
  <c r="S510" i="3"/>
  <c r="Q276" i="3"/>
  <c r="Q201" i="3"/>
  <c r="Q193" i="3"/>
  <c r="Q532" i="3"/>
  <c r="Q534" i="3"/>
  <c r="Q536" i="3"/>
  <c r="Q510" i="3"/>
  <c r="O276" i="3"/>
  <c r="O513" i="3"/>
  <c r="O193" i="3"/>
  <c r="O533" i="3"/>
  <c r="O535" i="3"/>
  <c r="O536" i="3"/>
  <c r="O510" i="3"/>
  <c r="M276" i="3"/>
  <c r="M201" i="3"/>
  <c r="M193" i="3"/>
  <c r="M532" i="3"/>
  <c r="M534" i="3"/>
  <c r="M536" i="3"/>
  <c r="M510" i="3"/>
  <c r="K276" i="3"/>
  <c r="K513" i="3"/>
  <c r="K193" i="3"/>
  <c r="K533" i="3"/>
  <c r="K535" i="3"/>
  <c r="K536" i="3"/>
  <c r="K510" i="3"/>
  <c r="I276" i="3"/>
  <c r="I201" i="3"/>
  <c r="I193" i="3"/>
  <c r="I532" i="3"/>
  <c r="I534" i="3"/>
  <c r="I536" i="3"/>
  <c r="I510" i="3"/>
  <c r="G276" i="3"/>
  <c r="G513" i="3"/>
  <c r="G203" i="3"/>
  <c r="G533" i="3"/>
  <c r="G535" i="3"/>
  <c r="G510" i="3"/>
  <c r="G511" i="3"/>
  <c r="E276" i="3"/>
  <c r="E201" i="3"/>
  <c r="E203" i="3"/>
  <c r="E172" i="3"/>
  <c r="E174" i="3"/>
  <c r="E176" i="3"/>
  <c r="E178" i="3"/>
  <c r="E180" i="3"/>
  <c r="E182" i="3"/>
  <c r="E184" i="3"/>
  <c r="E186" i="3"/>
  <c r="E532" i="3"/>
  <c r="E534" i="3"/>
  <c r="E536" i="3"/>
  <c r="E510" i="3"/>
  <c r="E511" i="3"/>
  <c r="C8" i="13"/>
  <c r="J8" i="13"/>
  <c r="C9" i="13"/>
  <c r="J9" i="13"/>
  <c r="C10" i="13"/>
  <c r="J10" i="13"/>
  <c r="C11" i="13"/>
  <c r="J11" i="13"/>
  <c r="C12" i="13"/>
  <c r="J12" i="13"/>
  <c r="C13" i="13"/>
  <c r="J13" i="13"/>
  <c r="C14" i="13"/>
  <c r="J14" i="13"/>
  <c r="C15" i="13"/>
  <c r="J15" i="13"/>
  <c r="C16" i="13"/>
  <c r="J16" i="13"/>
  <c r="C17" i="13"/>
  <c r="J17" i="13"/>
  <c r="C18" i="13"/>
  <c r="J18" i="13"/>
  <c r="C19" i="13"/>
  <c r="J19" i="13"/>
  <c r="C20" i="13"/>
  <c r="J20" i="13"/>
  <c r="C21" i="13"/>
  <c r="J21" i="13"/>
  <c r="C23" i="13"/>
  <c r="C24" i="13"/>
  <c r="J22" i="13"/>
  <c r="C25" i="13"/>
  <c r="V513" i="3"/>
  <c r="V203" i="3"/>
  <c r="V532" i="3"/>
  <c r="V533" i="3"/>
  <c r="V534" i="3"/>
  <c r="V535" i="3"/>
  <c r="T193" i="3"/>
  <c r="T532" i="3"/>
  <c r="T533" i="3"/>
  <c r="T534" i="3"/>
  <c r="T535" i="3"/>
  <c r="R513" i="3"/>
  <c r="R193" i="3"/>
  <c r="R532" i="3"/>
  <c r="R533" i="3"/>
  <c r="R534" i="3"/>
  <c r="R535" i="3"/>
  <c r="P193" i="3"/>
  <c r="P532" i="3"/>
  <c r="P533" i="3"/>
  <c r="P534" i="3"/>
  <c r="P535" i="3"/>
  <c r="N513" i="3"/>
  <c r="N193" i="3"/>
  <c r="N532" i="3"/>
  <c r="N533" i="3"/>
  <c r="N534" i="3"/>
  <c r="N535" i="3"/>
  <c r="L193" i="3"/>
  <c r="L532" i="3"/>
  <c r="L533" i="3"/>
  <c r="L534" i="3"/>
  <c r="L535" i="3"/>
  <c r="J513" i="3"/>
  <c r="J193" i="3"/>
  <c r="J532" i="3"/>
  <c r="J533" i="3"/>
  <c r="J534" i="3"/>
  <c r="J535" i="3"/>
  <c r="H193" i="3"/>
  <c r="H532" i="3"/>
  <c r="H533" i="3"/>
  <c r="H534" i="3"/>
  <c r="H535" i="3"/>
  <c r="H536" i="3"/>
  <c r="F513" i="3"/>
  <c r="F193" i="3"/>
  <c r="F532" i="3"/>
  <c r="F533" i="3"/>
  <c r="F534" i="3"/>
  <c r="F535" i="3"/>
  <c r="F536" i="3"/>
  <c r="N123" i="3"/>
  <c r="E386" i="7"/>
  <c r="U201" i="3"/>
  <c r="H123" i="3"/>
  <c r="E380" i="7"/>
  <c r="V438" i="1"/>
  <c r="V427" i="1"/>
  <c r="V349" i="1"/>
  <c r="V329" i="1"/>
  <c r="V146" i="1"/>
  <c r="C405" i="7"/>
  <c r="C397" i="7"/>
  <c r="V488" i="1"/>
  <c r="V25" i="1"/>
  <c r="P25" i="1"/>
  <c r="Q25" i="3"/>
  <c r="N61" i="1"/>
  <c r="O61" i="3"/>
  <c r="L508" i="1"/>
  <c r="Y42" i="2"/>
  <c r="Y69" i="2"/>
  <c r="P10" i="1"/>
  <c r="Q10" i="3"/>
  <c r="W34" i="2"/>
  <c r="W61" i="2"/>
  <c r="E530" i="3"/>
  <c r="Y39" i="2"/>
  <c r="Y66" i="2"/>
  <c r="J508" i="3"/>
  <c r="V495" i="3"/>
  <c r="S51" i="2"/>
  <c r="S78" i="2"/>
  <c r="G106" i="1"/>
  <c r="H106" i="3"/>
  <c r="D37" i="2"/>
  <c r="D64" i="2"/>
  <c r="E210" i="3"/>
  <c r="D208" i="1"/>
  <c r="E208" i="3"/>
  <c r="F191" i="3"/>
  <c r="G378" i="7"/>
  <c r="N35" i="2"/>
  <c r="N62" i="2"/>
  <c r="N41" i="2"/>
  <c r="N68" i="2"/>
  <c r="L191" i="3"/>
  <c r="G384" i="7"/>
  <c r="M375" i="1"/>
  <c r="N377" i="3"/>
  <c r="Q208" i="1"/>
  <c r="R210" i="3"/>
  <c r="L41" i="2"/>
  <c r="L68" i="2"/>
  <c r="L471" i="3"/>
  <c r="M210" i="3"/>
  <c r="L208" i="1"/>
  <c r="O210" i="3"/>
  <c r="N208" i="1"/>
  <c r="N46" i="2"/>
  <c r="N73" i="2"/>
  <c r="Q191" i="3"/>
  <c r="G389" i="7"/>
  <c r="Q221" i="3"/>
  <c r="P208" i="1"/>
  <c r="V126" i="3"/>
  <c r="E394" i="7"/>
  <c r="U189" i="1"/>
  <c r="T427" i="3"/>
  <c r="L508" i="3"/>
  <c r="T486" i="1"/>
  <c r="T540" i="1"/>
  <c r="U540" i="3"/>
  <c r="N508" i="3"/>
  <c r="W38" i="2"/>
  <c r="W65" i="2"/>
  <c r="N51" i="2"/>
  <c r="N78" i="2"/>
  <c r="T375" i="3"/>
  <c r="J49" i="2"/>
  <c r="J76" i="2"/>
  <c r="H189" i="3"/>
  <c r="Q233" i="3"/>
  <c r="J471" i="3"/>
  <c r="S46" i="2"/>
  <c r="S73" i="2"/>
  <c r="N191" i="3"/>
  <c r="G386" i="7"/>
  <c r="F210" i="3"/>
  <c r="S191" i="3"/>
  <c r="G391" i="7"/>
  <c r="O471" i="3"/>
  <c r="O191" i="3"/>
  <c r="G387" i="7"/>
  <c r="K191" i="3"/>
  <c r="G383" i="7"/>
  <c r="U495" i="3"/>
  <c r="M495" i="3"/>
  <c r="M288" i="1"/>
  <c r="R46" i="2"/>
  <c r="P486" i="1"/>
  <c r="Q486" i="3"/>
  <c r="G208" i="1"/>
  <c r="O123" i="3"/>
  <c r="E387" i="7"/>
  <c r="E404" i="7"/>
  <c r="E396" i="7"/>
  <c r="L486" i="1"/>
  <c r="L540" i="1"/>
  <c r="M540" i="3"/>
  <c r="U93" i="2"/>
  <c r="V10" i="1"/>
  <c r="V210" i="1"/>
  <c r="V193" i="1"/>
  <c r="V191" i="1"/>
  <c r="G471" i="1"/>
  <c r="D498" i="7" a="1"/>
  <c r="D503" i="7"/>
  <c r="R508" i="1"/>
  <c r="D152" i="7"/>
  <c r="U119" i="2"/>
  <c r="D129" i="7"/>
  <c r="R45" i="2"/>
  <c r="P488" i="3"/>
  <c r="W47" i="2"/>
  <c r="W74" i="2"/>
  <c r="R530" i="3"/>
  <c r="G221" i="3"/>
  <c r="F208" i="1"/>
  <c r="F37" i="2"/>
  <c r="F64" i="2"/>
  <c r="H233" i="3"/>
  <c r="K375" i="1"/>
  <c r="J41" i="2"/>
  <c r="J68" i="2"/>
  <c r="N108" i="3"/>
  <c r="C386" i="7"/>
  <c r="M189" i="1"/>
  <c r="N189" i="3"/>
  <c r="P349" i="3"/>
  <c r="O288" i="1"/>
  <c r="H45" i="2"/>
  <c r="H72" i="2"/>
  <c r="S221" i="3"/>
  <c r="R208" i="1"/>
  <c r="L290" i="3"/>
  <c r="K288" i="1"/>
  <c r="N92" i="3"/>
  <c r="M8" i="1"/>
  <c r="O25" i="3"/>
  <c r="N8" i="1"/>
  <c r="O438" i="3"/>
  <c r="N425" i="1"/>
  <c r="G45" i="2"/>
  <c r="G72" i="2"/>
  <c r="P271" i="3"/>
  <c r="Q108" i="3"/>
  <c r="C389" i="7"/>
  <c r="P189" i="1"/>
  <c r="V271" i="3"/>
  <c r="G51" i="2"/>
  <c r="G78" i="2"/>
  <c r="J208" i="1"/>
  <c r="K210" i="3"/>
  <c r="T42" i="2"/>
  <c r="T69" i="2"/>
  <c r="R271" i="3"/>
  <c r="K530" i="3"/>
  <c r="W40" i="2"/>
  <c r="W67" i="2"/>
  <c r="S488" i="3"/>
  <c r="R486" i="1"/>
  <c r="G314" i="3"/>
  <c r="F288" i="1"/>
  <c r="U92" i="2"/>
  <c r="U97" i="2"/>
  <c r="U104" i="2"/>
  <c r="U129" i="2"/>
  <c r="U98" i="2"/>
  <c r="U90" i="2"/>
  <c r="U86" i="2"/>
  <c r="U95" i="2"/>
  <c r="U89" i="2"/>
  <c r="U100" i="2"/>
  <c r="U101" i="2"/>
  <c r="U102" i="2"/>
  <c r="U87" i="2"/>
  <c r="U96" i="2"/>
  <c r="V508" i="1"/>
  <c r="V530" i="1"/>
  <c r="V495" i="1"/>
  <c r="T34" i="2"/>
  <c r="T44" i="2"/>
  <c r="H208" i="1"/>
  <c r="I208" i="3"/>
  <c r="U99" i="2"/>
  <c r="D157" i="7"/>
  <c r="V410" i="1"/>
  <c r="V354" i="1"/>
  <c r="V314" i="1"/>
  <c r="V290" i="1"/>
  <c r="V221" i="1"/>
  <c r="V208" i="1"/>
  <c r="V126" i="1"/>
  <c r="V92" i="1"/>
  <c r="V61" i="1"/>
  <c r="V77" i="1"/>
  <c r="U88" i="2"/>
  <c r="U113" i="2"/>
  <c r="D123" i="7"/>
  <c r="L37" i="2"/>
  <c r="L64" i="2"/>
  <c r="H471" i="3"/>
  <c r="V62" i="2"/>
  <c r="V52" i="2"/>
  <c r="V79" i="2"/>
  <c r="V104" i="2"/>
  <c r="V129" i="2"/>
  <c r="U329" i="1"/>
  <c r="V329" i="3"/>
  <c r="L377" i="1"/>
  <c r="L290" i="1"/>
  <c r="H314" i="1"/>
  <c r="I314" i="3"/>
  <c r="O495" i="1"/>
  <c r="V396" i="1"/>
  <c r="V163" i="1"/>
  <c r="E405" i="7"/>
  <c r="E397" i="7"/>
  <c r="V158" i="1"/>
  <c r="V47" i="1"/>
  <c r="U450" i="1"/>
  <c r="L314" i="1"/>
  <c r="M314" i="3"/>
  <c r="H377" i="1"/>
  <c r="I377" i="3"/>
  <c r="H290" i="1"/>
  <c r="I290" i="3"/>
  <c r="G77" i="1"/>
  <c r="H77" i="3"/>
  <c r="F471" i="1"/>
  <c r="D471" i="1"/>
  <c r="I530" i="1"/>
  <c r="R77" i="2"/>
  <c r="T50" i="2"/>
  <c r="M486" i="3"/>
  <c r="T36" i="2"/>
  <c r="T63" i="2"/>
  <c r="R63" i="2"/>
  <c r="R67" i="2"/>
  <c r="T40" i="2"/>
  <c r="D146" i="7"/>
  <c r="I375" i="1"/>
  <c r="J375" i="3"/>
  <c r="R69" i="2"/>
  <c r="U106" i="1"/>
  <c r="V106" i="3"/>
  <c r="H540" i="1"/>
  <c r="I540" i="3"/>
  <c r="T48" i="2"/>
  <c r="P525" i="1"/>
  <c r="J233" i="3"/>
  <c r="E34" i="2"/>
  <c r="E61" i="2"/>
  <c r="I488" i="3"/>
  <c r="T288" i="1"/>
  <c r="H50" i="2"/>
  <c r="H77" i="2"/>
  <c r="U488" i="3"/>
  <c r="J486" i="1"/>
  <c r="J540" i="1"/>
  <c r="K540" i="3"/>
  <c r="D486" i="1"/>
  <c r="V208" i="3"/>
  <c r="J377" i="3"/>
  <c r="N486" i="1"/>
  <c r="N540" i="1"/>
  <c r="O540" i="3"/>
  <c r="F486" i="1"/>
  <c r="T513" i="3"/>
  <c r="T276" i="3"/>
  <c r="P513" i="3"/>
  <c r="P276" i="3"/>
  <c r="L513" i="3"/>
  <c r="L276" i="3"/>
  <c r="H513" i="3"/>
  <c r="H276" i="3"/>
  <c r="O221" i="1"/>
  <c r="P221" i="3"/>
  <c r="O163" i="1"/>
  <c r="P163" i="3"/>
  <c r="F410" i="1"/>
  <c r="S530" i="1"/>
  <c r="M530" i="1"/>
  <c r="H508" i="1"/>
  <c r="J276" i="3"/>
  <c r="R276" i="3"/>
  <c r="U91" i="2"/>
  <c r="V193" i="3"/>
  <c r="T201" i="3"/>
  <c r="R201" i="3"/>
  <c r="P201" i="3"/>
  <c r="N201" i="3"/>
  <c r="L201" i="3"/>
  <c r="J201" i="3"/>
  <c r="H201" i="3"/>
  <c r="U471" i="1"/>
  <c r="T427" i="1"/>
  <c r="U427" i="3"/>
  <c r="O210" i="1"/>
  <c r="O126" i="1"/>
  <c r="L471" i="1"/>
  <c r="J471" i="1"/>
  <c r="H471" i="1"/>
  <c r="F427" i="1"/>
  <c r="G427" i="3"/>
  <c r="E471" i="1"/>
  <c r="D158" i="1"/>
  <c r="E158" i="3"/>
  <c r="Q495" i="1"/>
  <c r="K530" i="1"/>
  <c r="E488" i="1"/>
  <c r="F276" i="3"/>
  <c r="N276" i="3"/>
  <c r="V276" i="3"/>
  <c r="M271" i="3"/>
  <c r="G271" i="3"/>
  <c r="C384" i="7"/>
  <c r="J39" i="2"/>
  <c r="J66" i="2"/>
  <c r="T67" i="2"/>
  <c r="U288" i="3"/>
  <c r="R540" i="1"/>
  <c r="S540" i="3"/>
  <c r="L375" i="3"/>
  <c r="Q288" i="1"/>
  <c r="U530" i="3"/>
  <c r="S288" i="1"/>
  <c r="R189" i="1"/>
  <c r="F508" i="3"/>
  <c r="I288" i="1"/>
  <c r="D543" i="4"/>
  <c r="V479" i="1"/>
  <c r="D276" i="3"/>
  <c r="F201" i="3"/>
  <c r="U438" i="1"/>
  <c r="V438" i="3"/>
  <c r="U354" i="1"/>
  <c r="V354" i="3"/>
  <c r="U25" i="1"/>
  <c r="V25" i="3"/>
  <c r="U77" i="1"/>
  <c r="T410" i="1"/>
  <c r="U410" i="3"/>
  <c r="R377" i="1"/>
  <c r="R290" i="1"/>
  <c r="T191" i="1"/>
  <c r="T92" i="1"/>
  <c r="U92" i="3"/>
  <c r="S271" i="1"/>
  <c r="S210" i="1"/>
  <c r="S126" i="1"/>
  <c r="R314" i="1"/>
  <c r="S314" i="3"/>
  <c r="R10" i="1"/>
  <c r="S10" i="3"/>
  <c r="Q191" i="1"/>
  <c r="Q92" i="1"/>
  <c r="R92" i="3"/>
  <c r="P438" i="1"/>
  <c r="Q438" i="3"/>
  <c r="P354" i="1"/>
  <c r="Q354" i="3"/>
  <c r="P329" i="1"/>
  <c r="O427" i="1"/>
  <c r="N314" i="1"/>
  <c r="O314" i="3"/>
  <c r="N146" i="1"/>
  <c r="M271" i="1"/>
  <c r="M210" i="1"/>
  <c r="M457" i="3"/>
  <c r="L146" i="1"/>
  <c r="L61" i="1"/>
  <c r="L457" i="3"/>
  <c r="K221" i="1"/>
  <c r="L221" i="3"/>
  <c r="K163" i="1"/>
  <c r="L163" i="3"/>
  <c r="J377" i="1"/>
  <c r="J290" i="1"/>
  <c r="J61" i="1"/>
  <c r="K61" i="3"/>
  <c r="I450" i="1"/>
  <c r="J450" i="3"/>
  <c r="I271" i="1"/>
  <c r="I221" i="1"/>
  <c r="J221" i="3"/>
  <c r="I163" i="1"/>
  <c r="I47" i="1"/>
  <c r="J47" i="3"/>
  <c r="H146" i="1"/>
  <c r="I146" i="3"/>
  <c r="H61" i="1"/>
  <c r="I61" i="3"/>
  <c r="G438" i="1"/>
  <c r="H438" i="3"/>
  <c r="G354" i="1"/>
  <c r="H354" i="3"/>
  <c r="G329" i="1"/>
  <c r="G25" i="1"/>
  <c r="F191" i="1"/>
  <c r="F92" i="1"/>
  <c r="G92" i="3"/>
  <c r="E396" i="1"/>
  <c r="E349" i="1"/>
  <c r="F349" i="3"/>
  <c r="E92" i="1"/>
  <c r="F92" i="3"/>
  <c r="D377" i="1"/>
  <c r="D290" i="1"/>
  <c r="D61" i="1"/>
  <c r="E61" i="3"/>
  <c r="U530" i="1"/>
  <c r="U488" i="1"/>
  <c r="T508" i="1"/>
  <c r="I488" i="1"/>
  <c r="G530" i="1"/>
  <c r="G488" i="1"/>
  <c r="F508" i="1"/>
  <c r="F525" i="1"/>
  <c r="E530" i="1"/>
  <c r="U396" i="1"/>
  <c r="U349" i="1"/>
  <c r="U10" i="1"/>
  <c r="V10" i="3"/>
  <c r="T471" i="1"/>
  <c r="T233" i="1"/>
  <c r="T108" i="1"/>
  <c r="U108" i="3"/>
  <c r="T35" i="1"/>
  <c r="S221" i="1"/>
  <c r="T221" i="3"/>
  <c r="S163" i="1"/>
  <c r="S47" i="1"/>
  <c r="R471" i="1"/>
  <c r="R77" i="1"/>
  <c r="S77" i="3"/>
  <c r="Q471" i="1"/>
  <c r="Q410" i="1"/>
  <c r="R410" i="3"/>
  <c r="Q233" i="1"/>
  <c r="Q108" i="1"/>
  <c r="Q35" i="1"/>
  <c r="P396" i="1"/>
  <c r="P349" i="1"/>
  <c r="Q349" i="3"/>
  <c r="P77" i="1"/>
  <c r="O191" i="1"/>
  <c r="O471" i="1"/>
  <c r="O410" i="1"/>
  <c r="O47" i="1"/>
  <c r="N377" i="1"/>
  <c r="N290" i="1"/>
  <c r="N158" i="1"/>
  <c r="O158" i="3"/>
  <c r="M221" i="1"/>
  <c r="N221" i="3"/>
  <c r="L158" i="1"/>
  <c r="M158" i="3"/>
  <c r="K271" i="1"/>
  <c r="K210" i="1"/>
  <c r="K126" i="1"/>
  <c r="K47" i="1"/>
  <c r="L47" i="3"/>
  <c r="J314" i="1"/>
  <c r="K314" i="3"/>
  <c r="J146" i="1"/>
  <c r="I210" i="1"/>
  <c r="I126" i="1"/>
  <c r="J126" i="3"/>
  <c r="H158" i="1"/>
  <c r="I158" i="3"/>
  <c r="G396" i="1"/>
  <c r="G349" i="1"/>
  <c r="H349" i="3"/>
  <c r="G10" i="1"/>
  <c r="H10" i="3"/>
  <c r="F233" i="1"/>
  <c r="F108" i="1"/>
  <c r="F35" i="1"/>
  <c r="E438" i="1"/>
  <c r="F438" i="3"/>
  <c r="E354" i="1"/>
  <c r="F354" i="3"/>
  <c r="E329" i="1"/>
  <c r="E108" i="1"/>
  <c r="E35" i="1"/>
  <c r="D314" i="1"/>
  <c r="E314" i="3"/>
  <c r="D146" i="1"/>
  <c r="S488" i="1"/>
  <c r="J508" i="1"/>
  <c r="D508" i="1"/>
  <c r="M450" i="3"/>
  <c r="L425" i="1"/>
  <c r="V450" i="3"/>
  <c r="K457" i="3"/>
  <c r="J450" i="1"/>
  <c r="K450" i="3"/>
  <c r="I457" i="3"/>
  <c r="H450" i="1"/>
  <c r="G457" i="3"/>
  <c r="F450" i="1"/>
  <c r="E450" i="1"/>
  <c r="E457" i="3"/>
  <c r="V457" i="1"/>
  <c r="K49" i="2"/>
  <c r="T425" i="3"/>
  <c r="K43" i="2"/>
  <c r="D450" i="1"/>
  <c r="K450" i="1"/>
  <c r="S450" i="3"/>
  <c r="R425" i="1"/>
  <c r="U450" i="3"/>
  <c r="P450" i="1"/>
  <c r="G450" i="1"/>
  <c r="Y37" i="2"/>
  <c r="H508" i="3"/>
  <c r="W42" i="2"/>
  <c r="M530" i="3"/>
  <c r="W36" i="2"/>
  <c r="G530" i="3"/>
  <c r="S49" i="2"/>
  <c r="T495" i="3"/>
  <c r="Y49" i="2"/>
  <c r="Y76" i="2"/>
  <c r="T508" i="3"/>
  <c r="D403" i="7"/>
  <c r="D395" i="7"/>
  <c r="D405" i="7"/>
  <c r="D397" i="7"/>
  <c r="E42" i="2"/>
  <c r="M208" i="3"/>
  <c r="Q375" i="1"/>
  <c r="E36" i="2"/>
  <c r="G208" i="3"/>
  <c r="I126" i="3"/>
  <c r="I329" i="3"/>
  <c r="H288" i="1"/>
  <c r="I396" i="3"/>
  <c r="H375" i="1"/>
  <c r="G40" i="2"/>
  <c r="K271" i="3"/>
  <c r="I189" i="1"/>
  <c r="J146" i="3"/>
  <c r="C498" i="7" a="1"/>
  <c r="T108" i="3"/>
  <c r="D234" i="3"/>
  <c r="V233" i="1"/>
  <c r="R25" i="1"/>
  <c r="Q427" i="1"/>
  <c r="K488" i="1"/>
  <c r="M488" i="1"/>
  <c r="V375" i="1"/>
  <c r="M508" i="3"/>
  <c r="V271" i="1"/>
  <c r="J8" i="1"/>
  <c r="C40" i="2"/>
  <c r="P540" i="1"/>
  <c r="Q540" i="3"/>
  <c r="E38" i="2"/>
  <c r="E65" i="2"/>
  <c r="D510" i="7"/>
  <c r="L525" i="1"/>
  <c r="L539" i="1"/>
  <c r="M539" i="3"/>
  <c r="V486" i="1"/>
  <c r="V525" i="1"/>
  <c r="V539" i="1"/>
  <c r="U486" i="3"/>
  <c r="E50" i="2"/>
  <c r="E77" i="2"/>
  <c r="U208" i="3"/>
  <c r="U425" i="1"/>
  <c r="V189" i="1"/>
  <c r="V106" i="1"/>
  <c r="D106" i="3"/>
  <c r="V88" i="2"/>
  <c r="H8" i="1"/>
  <c r="I8" i="3"/>
  <c r="G498" i="7" a="1"/>
  <c r="H189" i="1"/>
  <c r="I189" i="3"/>
  <c r="I425" i="1"/>
  <c r="T425" i="1"/>
  <c r="U425" i="3"/>
  <c r="J425" i="1"/>
  <c r="P288" i="3"/>
  <c r="K486" i="3"/>
  <c r="T38" i="2"/>
  <c r="U124" i="2"/>
  <c r="D134" i="7"/>
  <c r="F143" i="2"/>
  <c r="G143" i="2"/>
  <c r="H143" i="2"/>
  <c r="D76" i="7"/>
  <c r="G76" i="7"/>
  <c r="H138" i="2"/>
  <c r="X40" i="2"/>
  <c r="X67" i="2"/>
  <c r="F139" i="2"/>
  <c r="G139" i="2"/>
  <c r="H139" i="2"/>
  <c r="D72" i="7"/>
  <c r="G72" i="7"/>
  <c r="F147" i="2"/>
  <c r="G147" i="2"/>
  <c r="H147" i="2"/>
  <c r="D80" i="7"/>
  <c r="G80" i="7"/>
  <c r="F154" i="2"/>
  <c r="G154" i="2"/>
  <c r="H154" i="2"/>
  <c r="D87" i="7"/>
  <c r="G87" i="7"/>
  <c r="J24" i="13"/>
  <c r="C26" i="13"/>
  <c r="J25" i="13"/>
  <c r="C27" i="13"/>
  <c r="P10" i="13"/>
  <c r="P9" i="13"/>
  <c r="D504" i="7"/>
  <c r="D501" i="7"/>
  <c r="E460" i="7"/>
  <c r="F460" i="7"/>
  <c r="D507" i="7"/>
  <c r="F397" i="7"/>
  <c r="H397" i="7"/>
  <c r="D514" i="7"/>
  <c r="D498" i="7"/>
  <c r="D511" i="7"/>
  <c r="D508" i="7"/>
  <c r="D513" i="7"/>
  <c r="D499" i="7"/>
  <c r="D506" i="7"/>
  <c r="D500" i="7"/>
  <c r="D502" i="7"/>
  <c r="V8" i="1"/>
  <c r="Y48" i="2"/>
  <c r="Y75" i="2"/>
  <c r="S508" i="3"/>
  <c r="D151" i="7"/>
  <c r="U118" i="2"/>
  <c r="D128" i="7"/>
  <c r="E37" i="2"/>
  <c r="E64" i="2"/>
  <c r="H208" i="3"/>
  <c r="R73" i="2"/>
  <c r="T46" i="2"/>
  <c r="D51" i="2"/>
  <c r="D78" i="2"/>
  <c r="V189" i="3"/>
  <c r="Q208" i="3"/>
  <c r="E46" i="2"/>
  <c r="E73" i="2"/>
  <c r="O208" i="3"/>
  <c r="E44" i="2"/>
  <c r="E71" i="2"/>
  <c r="D515" i="7"/>
  <c r="D509" i="7"/>
  <c r="D512" i="7"/>
  <c r="D519" i="7"/>
  <c r="D505" i="7"/>
  <c r="N288" i="3"/>
  <c r="H43" i="2"/>
  <c r="H70" i="2"/>
  <c r="E47" i="2"/>
  <c r="E74" i="2"/>
  <c r="R208" i="3"/>
  <c r="J43" i="2"/>
  <c r="J70" i="2"/>
  <c r="N375" i="3"/>
  <c r="W39" i="2"/>
  <c r="W66" i="2"/>
  <c r="J530" i="3"/>
  <c r="L36" i="2"/>
  <c r="L63" i="2"/>
  <c r="G471" i="3"/>
  <c r="S45" i="2"/>
  <c r="S72" i="2"/>
  <c r="P495" i="3"/>
  <c r="O486" i="1"/>
  <c r="M290" i="3"/>
  <c r="L288" i="1"/>
  <c r="V288" i="1"/>
  <c r="X44" i="2"/>
  <c r="T71" i="2"/>
  <c r="D145" i="7"/>
  <c r="U112" i="2"/>
  <c r="D122" i="7"/>
  <c r="D159" i="7"/>
  <c r="U126" i="2"/>
  <c r="D136" i="7"/>
  <c r="D147" i="7"/>
  <c r="U114" i="2"/>
  <c r="D124" i="7"/>
  <c r="U111" i="2"/>
  <c r="D121" i="7"/>
  <c r="D144" i="7"/>
  <c r="U123" i="2"/>
  <c r="D133" i="7"/>
  <c r="D156" i="7"/>
  <c r="U122" i="2"/>
  <c r="D132" i="7"/>
  <c r="D155" i="7"/>
  <c r="G288" i="3"/>
  <c r="H36" i="2"/>
  <c r="H63" i="2"/>
  <c r="S486" i="3"/>
  <c r="R525" i="1"/>
  <c r="K208" i="3"/>
  <c r="E40" i="2"/>
  <c r="E67" i="2"/>
  <c r="L34" i="2"/>
  <c r="L61" i="2"/>
  <c r="E471" i="3"/>
  <c r="M377" i="3"/>
  <c r="L375" i="1"/>
  <c r="V97" i="2"/>
  <c r="V98" i="2"/>
  <c r="V96" i="2"/>
  <c r="V103" i="2"/>
  <c r="V95" i="2"/>
  <c r="V86" i="2"/>
  <c r="V102" i="2"/>
  <c r="V101" i="2"/>
  <c r="V89" i="2"/>
  <c r="V92" i="2"/>
  <c r="V91" i="2"/>
  <c r="V94" i="2"/>
  <c r="V90" i="2"/>
  <c r="V99" i="2"/>
  <c r="V93" i="2"/>
  <c r="V100" i="2"/>
  <c r="V87" i="2"/>
  <c r="X34" i="2"/>
  <c r="X61" i="2"/>
  <c r="T61" i="2"/>
  <c r="D154" i="7"/>
  <c r="U121" i="2"/>
  <c r="D131" i="7"/>
  <c r="D160" i="7"/>
  <c r="U127" i="2"/>
  <c r="D137" i="7"/>
  <c r="D158" i="7"/>
  <c r="U125" i="2"/>
  <c r="D135" i="7"/>
  <c r="U120" i="2"/>
  <c r="D130" i="7"/>
  <c r="D153" i="7"/>
  <c r="D148" i="7"/>
  <c r="U115" i="2"/>
  <c r="D125" i="7"/>
  <c r="D150" i="7"/>
  <c r="U117" i="2"/>
  <c r="D127" i="7"/>
  <c r="P106" i="1"/>
  <c r="Q106" i="3"/>
  <c r="D46" i="2"/>
  <c r="D73" i="2"/>
  <c r="Q189" i="3"/>
  <c r="K44" i="2"/>
  <c r="K71" i="2"/>
  <c r="O425" i="3"/>
  <c r="O8" i="3"/>
  <c r="C44" i="2"/>
  <c r="C71" i="2"/>
  <c r="N8" i="3"/>
  <c r="C43" i="2"/>
  <c r="C70" i="2"/>
  <c r="L288" i="3"/>
  <c r="H41" i="2"/>
  <c r="H68" i="2"/>
  <c r="E48" i="2"/>
  <c r="E75" i="2"/>
  <c r="S208" i="3"/>
  <c r="M106" i="1"/>
  <c r="N106" i="3"/>
  <c r="D43" i="2"/>
  <c r="D70" i="2"/>
  <c r="T45" i="2"/>
  <c r="R72" i="2"/>
  <c r="D276" i="6"/>
  <c r="D276" i="4"/>
  <c r="D276" i="5"/>
  <c r="N276" i="6"/>
  <c r="N276" i="4"/>
  <c r="N276" i="5"/>
  <c r="R35" i="2"/>
  <c r="F488" i="3"/>
  <c r="E486" i="1"/>
  <c r="S47" i="2"/>
  <c r="Q486" i="1"/>
  <c r="R495" i="3"/>
  <c r="L35" i="2"/>
  <c r="L62" i="2"/>
  <c r="F471" i="3"/>
  <c r="L38" i="2"/>
  <c r="L65" i="2"/>
  <c r="I471" i="3"/>
  <c r="L42" i="2"/>
  <c r="L69" i="2"/>
  <c r="M471" i="3"/>
  <c r="P210" i="3"/>
  <c r="O208" i="1"/>
  <c r="L51" i="2"/>
  <c r="L78" i="2"/>
  <c r="V471" i="3"/>
  <c r="D149" i="7"/>
  <c r="U116" i="2"/>
  <c r="D126" i="7"/>
  <c r="J276" i="6"/>
  <c r="J276" i="4"/>
  <c r="J276" i="5"/>
  <c r="W43" i="2"/>
  <c r="W70" i="2"/>
  <c r="N530" i="3"/>
  <c r="G410" i="3"/>
  <c r="F375" i="1"/>
  <c r="E276" i="4"/>
  <c r="E276" i="5"/>
  <c r="G276" i="4"/>
  <c r="G276" i="5"/>
  <c r="I276" i="4"/>
  <c r="I276" i="5"/>
  <c r="K276" i="4"/>
  <c r="K276" i="5"/>
  <c r="M276" i="4"/>
  <c r="M276" i="5"/>
  <c r="O276" i="4"/>
  <c r="O276" i="5"/>
  <c r="Q276" i="4"/>
  <c r="Q276" i="5"/>
  <c r="S276" i="4"/>
  <c r="S276" i="5"/>
  <c r="U276" i="4"/>
  <c r="U276" i="5"/>
  <c r="G146" i="7"/>
  <c r="V113" i="2"/>
  <c r="G123" i="7"/>
  <c r="O486" i="3"/>
  <c r="N525" i="1"/>
  <c r="M525" i="3"/>
  <c r="X50" i="2"/>
  <c r="X77" i="2"/>
  <c r="T77" i="2"/>
  <c r="V276" i="6"/>
  <c r="V276" i="4"/>
  <c r="V276" i="5"/>
  <c r="F276" i="6"/>
  <c r="F276" i="4"/>
  <c r="F276" i="5"/>
  <c r="W41" i="2"/>
  <c r="W68" i="2"/>
  <c r="L530" i="3"/>
  <c r="L40" i="2"/>
  <c r="L67" i="2"/>
  <c r="K471" i="3"/>
  <c r="P126" i="3"/>
  <c r="O189" i="1"/>
  <c r="O106" i="1"/>
  <c r="R276" i="6"/>
  <c r="R276" i="4"/>
  <c r="R276" i="5"/>
  <c r="Y38" i="2"/>
  <c r="Y65" i="2"/>
  <c r="I508" i="3"/>
  <c r="H525" i="1"/>
  <c r="W49" i="2"/>
  <c r="W76" i="2"/>
  <c r="T530" i="3"/>
  <c r="H276" i="6"/>
  <c r="H276" i="4"/>
  <c r="H276" i="5"/>
  <c r="L276" i="6"/>
  <c r="L276" i="4"/>
  <c r="L276" i="5"/>
  <c r="P276" i="6"/>
  <c r="P276" i="4"/>
  <c r="P276" i="5"/>
  <c r="T276" i="6"/>
  <c r="T276" i="4"/>
  <c r="T276" i="5"/>
  <c r="E276" i="6"/>
  <c r="G276" i="6"/>
  <c r="I276" i="6"/>
  <c r="K276" i="6"/>
  <c r="M276" i="6"/>
  <c r="O276" i="6"/>
  <c r="Q276" i="6"/>
  <c r="S276" i="6"/>
  <c r="U276" i="6"/>
  <c r="F540" i="1"/>
  <c r="G540" i="3"/>
  <c r="G486" i="3"/>
  <c r="D540" i="1"/>
  <c r="E540" i="3"/>
  <c r="E486" i="3"/>
  <c r="P539" i="1"/>
  <c r="Q539" i="3"/>
  <c r="Q525" i="3"/>
  <c r="X48" i="2"/>
  <c r="T75" i="2"/>
  <c r="G525" i="3"/>
  <c r="F539" i="1"/>
  <c r="G539" i="3"/>
  <c r="Y34" i="2"/>
  <c r="E508" i="3"/>
  <c r="R49" i="2"/>
  <c r="R76" i="2"/>
  <c r="T488" i="3"/>
  <c r="S486" i="1"/>
  <c r="F108" i="3"/>
  <c r="E189" i="1"/>
  <c r="C404" i="7"/>
  <c r="C396" i="7"/>
  <c r="F396" i="7"/>
  <c r="G35" i="3"/>
  <c r="F8" i="1"/>
  <c r="F36" i="2"/>
  <c r="G233" i="3"/>
  <c r="D377" i="7" a="1"/>
  <c r="J210" i="3"/>
  <c r="I208" i="1"/>
  <c r="L126" i="3"/>
  <c r="K189" i="1"/>
  <c r="G41" i="2"/>
  <c r="G68" i="2"/>
  <c r="L271" i="3"/>
  <c r="O290" i="3"/>
  <c r="N288" i="1"/>
  <c r="P47" i="3"/>
  <c r="O8" i="1"/>
  <c r="L45" i="2"/>
  <c r="P471" i="3"/>
  <c r="V471" i="1"/>
  <c r="D471" i="3"/>
  <c r="Q77" i="3"/>
  <c r="P8" i="1"/>
  <c r="Q396" i="3"/>
  <c r="P375" i="1"/>
  <c r="R108" i="3"/>
  <c r="Q189" i="1"/>
  <c r="T47" i="3"/>
  <c r="S8" i="1"/>
  <c r="C393" i="7"/>
  <c r="L50" i="2"/>
  <c r="L77" i="2"/>
  <c r="U471" i="3"/>
  <c r="V349" i="3"/>
  <c r="U288" i="1"/>
  <c r="W35" i="2"/>
  <c r="F530" i="3"/>
  <c r="R37" i="2"/>
  <c r="H488" i="3"/>
  <c r="G486" i="1"/>
  <c r="R39" i="2"/>
  <c r="J488" i="3"/>
  <c r="I486" i="1"/>
  <c r="R51" i="2"/>
  <c r="V488" i="3"/>
  <c r="U486" i="1"/>
  <c r="E377" i="3"/>
  <c r="D375" i="1"/>
  <c r="H25" i="3"/>
  <c r="G8" i="1"/>
  <c r="K290" i="3"/>
  <c r="J288" i="1"/>
  <c r="M146" i="3"/>
  <c r="L189" i="1"/>
  <c r="N210" i="3"/>
  <c r="M208" i="1"/>
  <c r="O146" i="3"/>
  <c r="N189" i="1"/>
  <c r="P427" i="3"/>
  <c r="O425" i="1"/>
  <c r="T126" i="3"/>
  <c r="S189" i="1"/>
  <c r="G49" i="2"/>
  <c r="G76" i="2"/>
  <c r="T271" i="3"/>
  <c r="N50" i="2"/>
  <c r="N77" i="2"/>
  <c r="U191" i="3"/>
  <c r="S377" i="3"/>
  <c r="R375" i="1"/>
  <c r="V77" i="3"/>
  <c r="U8" i="1"/>
  <c r="D30" i="3"/>
  <c r="D27" i="3"/>
  <c r="D373" i="3"/>
  <c r="D499" i="3"/>
  <c r="D517" i="3"/>
  <c r="D90" i="3"/>
  <c r="D49" i="3"/>
  <c r="D114" i="3"/>
  <c r="D149" i="3"/>
  <c r="D197" i="3"/>
  <c r="D198" i="3"/>
  <c r="D199" i="3"/>
  <c r="D200" i="3"/>
  <c r="D202" i="3"/>
  <c r="D261" i="3"/>
  <c r="D262" i="3"/>
  <c r="D291" i="3"/>
  <c r="D292" i="3"/>
  <c r="D332" i="3"/>
  <c r="D333" i="3"/>
  <c r="D334" i="3"/>
  <c r="D335" i="3"/>
  <c r="D357" i="3"/>
  <c r="D358" i="3"/>
  <c r="D359" i="3"/>
  <c r="D381" i="3"/>
  <c r="D382" i="3"/>
  <c r="D385" i="3"/>
  <c r="D389" i="3"/>
  <c r="D390" i="3"/>
  <c r="D391" i="3"/>
  <c r="D392" i="3"/>
  <c r="D400" i="3"/>
  <c r="D401" i="3"/>
  <c r="D402" i="3"/>
  <c r="D403" i="3"/>
  <c r="D404" i="3"/>
  <c r="D405" i="3"/>
  <c r="D406" i="3"/>
  <c r="D442" i="3"/>
  <c r="D453" i="3"/>
  <c r="D454" i="3"/>
  <c r="D455" i="3"/>
  <c r="D461" i="3"/>
  <c r="D462" i="3"/>
  <c r="D463" i="3"/>
  <c r="D464" i="3"/>
  <c r="D465" i="3"/>
  <c r="D466" i="3"/>
  <c r="D193" i="3"/>
  <c r="D496" i="3"/>
  <c r="D159" i="3"/>
  <c r="D456" i="3"/>
  <c r="D432" i="3"/>
  <c r="D97" i="3"/>
  <c r="D205" i="3"/>
  <c r="D64" i="3"/>
  <c r="D81" i="3"/>
  <c r="D473" i="3"/>
  <c r="D135" i="3"/>
  <c r="D489" i="3"/>
  <c r="D443" i="3"/>
  <c r="D393" i="3"/>
  <c r="D372" i="3"/>
  <c r="D368" i="3"/>
  <c r="D352" i="3"/>
  <c r="D183" i="3"/>
  <c r="D130" i="3"/>
  <c r="D18" i="3"/>
  <c r="D14" i="3"/>
  <c r="D50" i="3"/>
  <c r="D516" i="3"/>
  <c r="D510" i="3"/>
  <c r="D532" i="3"/>
  <c r="D500" i="3"/>
  <c r="D132" i="3"/>
  <c r="D279" i="3"/>
  <c r="D42" i="3"/>
  <c r="D40" i="3"/>
  <c r="D33" i="3"/>
  <c r="D134" i="3"/>
  <c r="D282" i="3"/>
  <c r="D57" i="3"/>
  <c r="D94" i="3"/>
  <c r="D129" i="3"/>
  <c r="D168" i="3"/>
  <c r="D169" i="3"/>
  <c r="D170" i="3"/>
  <c r="D171" i="3"/>
  <c r="D172" i="3"/>
  <c r="D173" i="3"/>
  <c r="D174" i="3"/>
  <c r="D320" i="3"/>
  <c r="D345" i="3"/>
  <c r="D420" i="3"/>
  <c r="D203" i="3"/>
  <c r="D211" i="3"/>
  <c r="D350" i="3"/>
  <c r="D421" i="3"/>
  <c r="D306" i="3"/>
  <c r="D68" i="3"/>
  <c r="D83" i="3"/>
  <c r="D111" i="3"/>
  <c r="D95" i="3"/>
  <c r="D467" i="3"/>
  <c r="D383" i="3"/>
  <c r="D360" i="3"/>
  <c r="D319" i="3"/>
  <c r="D243" i="3"/>
  <c r="D196" i="3"/>
  <c r="D154" i="3"/>
  <c r="D16" i="3"/>
  <c r="D58" i="3"/>
  <c r="D75" i="3"/>
  <c r="D514" i="3"/>
  <c r="D506" i="3"/>
  <c r="D491" i="3"/>
  <c r="D281" i="3"/>
  <c r="D44" i="3"/>
  <c r="D509" i="3"/>
  <c r="D109" i="3"/>
  <c r="D72" i="3"/>
  <c r="D62" i="3"/>
  <c r="D79" i="3"/>
  <c r="D115" i="3"/>
  <c r="D254" i="3"/>
  <c r="D323" i="3"/>
  <c r="D407" i="3"/>
  <c r="D344" i="3"/>
  <c r="D264" i="3"/>
  <c r="D206" i="3"/>
  <c r="D175" i="3"/>
  <c r="D22" i="3"/>
  <c r="D11" i="3"/>
  <c r="D518" i="3"/>
  <c r="D536" i="3"/>
  <c r="D502" i="3"/>
  <c r="D277" i="3"/>
  <c r="D534" i="3"/>
  <c r="D246" i="3"/>
  <c r="D439" i="3"/>
  <c r="D164" i="3"/>
  <c r="D351" i="3"/>
  <c r="D124" i="3"/>
  <c r="D37" i="3"/>
  <c r="D35" i="3"/>
  <c r="D63" i="3"/>
  <c r="D61" i="3"/>
  <c r="E61" i="4"/>
  <c r="E61" i="5"/>
  <c r="D497" i="3"/>
  <c r="D523" i="3"/>
  <c r="D528" i="3"/>
  <c r="D310" i="3"/>
  <c r="D78" i="3"/>
  <c r="D26" i="3"/>
  <c r="D531" i="3"/>
  <c r="D411" i="3"/>
  <c r="D379" i="3"/>
  <c r="D221" i="3"/>
  <c r="N221" i="6"/>
  <c r="D214" i="3"/>
  <c r="D148" i="3"/>
  <c r="D12" i="3"/>
  <c r="D488" i="3"/>
  <c r="D210" i="3"/>
  <c r="D290" i="3"/>
  <c r="D512" i="3"/>
  <c r="D452" i="3"/>
  <c r="D428" i="3"/>
  <c r="D356" i="3"/>
  <c r="D330" i="3"/>
  <c r="D315" i="3"/>
  <c r="D272" i="3"/>
  <c r="D222" i="3"/>
  <c r="D194" i="3"/>
  <c r="D127" i="3"/>
  <c r="D110" i="3"/>
  <c r="D163" i="3"/>
  <c r="L163" i="6"/>
  <c r="D146" i="3"/>
  <c r="I146" i="6"/>
  <c r="C403" i="7"/>
  <c r="C395" i="7"/>
  <c r="D108" i="3"/>
  <c r="T108" i="4"/>
  <c r="T108" i="5"/>
  <c r="D377" i="3"/>
  <c r="D427" i="3"/>
  <c r="D284" i="3"/>
  <c r="D505" i="3"/>
  <c r="D86" i="3"/>
  <c r="D66" i="3"/>
  <c r="D70" i="3"/>
  <c r="D52" i="3"/>
  <c r="D36" i="3"/>
  <c r="D41" i="3"/>
  <c r="D17" i="3"/>
  <c r="D23" i="3"/>
  <c r="D112" i="3"/>
  <c r="D120" i="3"/>
  <c r="D138" i="3"/>
  <c r="D142" i="3"/>
  <c r="D155" i="3"/>
  <c r="D166" i="3"/>
  <c r="D179" i="3"/>
  <c r="D186" i="3"/>
  <c r="D204" i="3"/>
  <c r="D219" i="3"/>
  <c r="D225" i="3"/>
  <c r="D228" i="3"/>
  <c r="D235" i="3"/>
  <c r="D239" i="3"/>
  <c r="D248" i="3"/>
  <c r="D252" i="3"/>
  <c r="D257" i="3"/>
  <c r="D265" i="3"/>
  <c r="D273" i="3"/>
  <c r="D304" i="3"/>
  <c r="D309" i="3"/>
  <c r="D318" i="3"/>
  <c r="D324" i="3"/>
  <c r="D341" i="3"/>
  <c r="D355" i="3"/>
  <c r="D370" i="3"/>
  <c r="D386" i="3"/>
  <c r="D433" i="3"/>
  <c r="D441" i="3"/>
  <c r="D447" i="3"/>
  <c r="D459" i="3"/>
  <c r="D535" i="3"/>
  <c r="D212" i="3"/>
  <c r="D501" i="3"/>
  <c r="D519" i="3"/>
  <c r="D82" i="3"/>
  <c r="D65" i="3"/>
  <c r="D74" i="3"/>
  <c r="D51" i="3"/>
  <c r="D43" i="3"/>
  <c r="D19" i="3"/>
  <c r="D113" i="3"/>
  <c r="D118" i="3"/>
  <c r="D151" i="3"/>
  <c r="D181" i="3"/>
  <c r="D187" i="3"/>
  <c r="D215" i="3"/>
  <c r="D245" i="3"/>
  <c r="D249" i="3"/>
  <c r="D253" i="3"/>
  <c r="D258" i="3"/>
  <c r="D266" i="3"/>
  <c r="D286" i="3"/>
  <c r="D296" i="3"/>
  <c r="D300" i="3"/>
  <c r="D308" i="3"/>
  <c r="D337" i="3"/>
  <c r="D346" i="3"/>
  <c r="D363" i="3"/>
  <c r="D384" i="3"/>
  <c r="D394" i="3"/>
  <c r="D408" i="3"/>
  <c r="D414" i="3"/>
  <c r="D418" i="3"/>
  <c r="D434" i="3"/>
  <c r="D440" i="3"/>
  <c r="D446" i="3"/>
  <c r="D458" i="3"/>
  <c r="D31" i="3"/>
  <c r="D96" i="3"/>
  <c r="D283" i="3"/>
  <c r="D278" i="3"/>
  <c r="D493" i="3"/>
  <c r="D511" i="3"/>
  <c r="D88" i="3"/>
  <c r="D56" i="3"/>
  <c r="D39" i="3"/>
  <c r="D93" i="3"/>
  <c r="D100" i="3"/>
  <c r="D131" i="3"/>
  <c r="D139" i="3"/>
  <c r="D143" i="3"/>
  <c r="D152" i="3"/>
  <c r="D165" i="3"/>
  <c r="D176" i="3"/>
  <c r="D180" i="3"/>
  <c r="D192" i="3"/>
  <c r="D224" i="3"/>
  <c r="D229" i="3"/>
  <c r="D238" i="3"/>
  <c r="D242" i="3"/>
  <c r="D267" i="3"/>
  <c r="D293" i="3"/>
  <c r="D297" i="3"/>
  <c r="D301" i="3"/>
  <c r="D317" i="3"/>
  <c r="D325" i="3"/>
  <c r="D331" i="3"/>
  <c r="D338" i="3"/>
  <c r="D347" i="3"/>
  <c r="D364" i="3"/>
  <c r="D369" i="3"/>
  <c r="D378" i="3"/>
  <c r="D399" i="3"/>
  <c r="D415" i="3"/>
  <c r="D419" i="3"/>
  <c r="D429" i="3"/>
  <c r="D54" i="3"/>
  <c r="D161" i="3"/>
  <c r="D303" i="3"/>
  <c r="D285" i="3"/>
  <c r="D520" i="3"/>
  <c r="D77" i="3"/>
  <c r="S77" i="6"/>
  <c r="D158" i="3"/>
  <c r="D396" i="3"/>
  <c r="I396" i="6"/>
  <c r="D495" i="3"/>
  <c r="T495" i="4"/>
  <c r="T495" i="5"/>
  <c r="D527" i="3"/>
  <c r="D349" i="3"/>
  <c r="Q349" i="4"/>
  <c r="Q349" i="5"/>
  <c r="D410" i="3"/>
  <c r="R410" i="6"/>
  <c r="D271" i="3"/>
  <c r="K271" i="4"/>
  <c r="K271" i="5"/>
  <c r="D375" i="3"/>
  <c r="D539" i="3"/>
  <c r="D123" i="3"/>
  <c r="D92" i="3"/>
  <c r="F92" i="6"/>
  <c r="J288" i="3"/>
  <c r="H39" i="2"/>
  <c r="H66" i="2"/>
  <c r="D8" i="1"/>
  <c r="R106" i="1"/>
  <c r="D48" i="2"/>
  <c r="S189" i="3"/>
  <c r="T375" i="1"/>
  <c r="D208" i="3"/>
  <c r="M208" i="4"/>
  <c r="M208" i="5"/>
  <c r="H47" i="2"/>
  <c r="H74" i="2"/>
  <c r="R288" i="3"/>
  <c r="D525" i="1"/>
  <c r="E498" i="7" a="1"/>
  <c r="D525" i="3"/>
  <c r="D8" i="3"/>
  <c r="D191" i="3"/>
  <c r="Y40" i="2"/>
  <c r="K508" i="3"/>
  <c r="J525" i="1"/>
  <c r="E146" i="3"/>
  <c r="F498" i="7" a="1"/>
  <c r="D189" i="1"/>
  <c r="F35" i="3"/>
  <c r="E8" i="1"/>
  <c r="F329" i="3"/>
  <c r="E288" i="1"/>
  <c r="G108" i="3"/>
  <c r="F189" i="1"/>
  <c r="H396" i="3"/>
  <c r="G375" i="1"/>
  <c r="K146" i="3"/>
  <c r="J189" i="1"/>
  <c r="L210" i="3"/>
  <c r="K208" i="1"/>
  <c r="M158" i="6"/>
  <c r="O377" i="3"/>
  <c r="N375" i="1"/>
  <c r="P410" i="3"/>
  <c r="O375" i="1"/>
  <c r="N45" i="2"/>
  <c r="N72" i="2"/>
  <c r="P191" i="3"/>
  <c r="R35" i="3"/>
  <c r="Q8" i="1"/>
  <c r="F47" i="2"/>
  <c r="F74" i="2"/>
  <c r="R233" i="3"/>
  <c r="L47" i="2"/>
  <c r="L74" i="2"/>
  <c r="R471" i="3"/>
  <c r="L48" i="2"/>
  <c r="L75" i="2"/>
  <c r="S471" i="3"/>
  <c r="T163" i="3"/>
  <c r="E403" i="7"/>
  <c r="E395" i="7"/>
  <c r="U35" i="3"/>
  <c r="T8" i="1"/>
  <c r="F50" i="2"/>
  <c r="F77" i="2"/>
  <c r="U233" i="3"/>
  <c r="V396" i="3"/>
  <c r="U375" i="1"/>
  <c r="Y36" i="2"/>
  <c r="Y63" i="2"/>
  <c r="G508" i="3"/>
  <c r="W37" i="2"/>
  <c r="W64" i="2"/>
  <c r="H530" i="3"/>
  <c r="Y50" i="2"/>
  <c r="U508" i="3"/>
  <c r="T525" i="1"/>
  <c r="W51" i="2"/>
  <c r="W78" i="2"/>
  <c r="V530" i="3"/>
  <c r="E290" i="3"/>
  <c r="D288" i="1"/>
  <c r="F396" i="3"/>
  <c r="E375" i="1"/>
  <c r="N36" i="2"/>
  <c r="G191" i="3"/>
  <c r="F403" i="7"/>
  <c r="G395" i="7"/>
  <c r="J498" i="7" a="1"/>
  <c r="F404" i="7"/>
  <c r="G396" i="7"/>
  <c r="H329" i="3"/>
  <c r="G288" i="1"/>
  <c r="J163" i="3"/>
  <c r="H498" i="7" a="1"/>
  <c r="G39" i="2"/>
  <c r="J271" i="3"/>
  <c r="K377" i="3"/>
  <c r="J375" i="1"/>
  <c r="M61" i="3"/>
  <c r="L8" i="1"/>
  <c r="G43" i="2"/>
  <c r="G70" i="2"/>
  <c r="N271" i="3"/>
  <c r="Q329" i="3"/>
  <c r="P288" i="1"/>
  <c r="R191" i="3"/>
  <c r="N47" i="2"/>
  <c r="N74" i="2"/>
  <c r="T210" i="3"/>
  <c r="S208" i="1"/>
  <c r="S290" i="3"/>
  <c r="R288" i="1"/>
  <c r="D128" i="3"/>
  <c r="D84" i="3"/>
  <c r="D87" i="3"/>
  <c r="D69" i="3"/>
  <c r="D73" i="3"/>
  <c r="D55" i="3"/>
  <c r="D38" i="3"/>
  <c r="D13" i="3"/>
  <c r="D20" i="3"/>
  <c r="D99" i="3"/>
  <c r="D117" i="3"/>
  <c r="D136" i="3"/>
  <c r="D140" i="3"/>
  <c r="D147" i="3"/>
  <c r="D160" i="3"/>
  <c r="D177" i="3"/>
  <c r="D184" i="3"/>
  <c r="D195" i="3"/>
  <c r="D217" i="3"/>
  <c r="D223" i="3"/>
  <c r="D226" i="3"/>
  <c r="D230" i="3"/>
  <c r="D237" i="3"/>
  <c r="D244" i="3"/>
  <c r="D250" i="3"/>
  <c r="D255" i="3"/>
  <c r="D259" i="3"/>
  <c r="D268" i="3"/>
  <c r="D275" i="3"/>
  <c r="D307" i="3"/>
  <c r="D316" i="3"/>
  <c r="D321" i="3"/>
  <c r="D326" i="3"/>
  <c r="D343" i="3"/>
  <c r="D367" i="3"/>
  <c r="D380" i="3"/>
  <c r="D388" i="3"/>
  <c r="D435" i="3"/>
  <c r="D445" i="3"/>
  <c r="D451" i="3"/>
  <c r="D513" i="3"/>
  <c r="D472" i="3"/>
  <c r="D28" i="3"/>
  <c r="D492" i="3"/>
  <c r="D498" i="3"/>
  <c r="D503" i="3"/>
  <c r="D80" i="3"/>
  <c r="D89" i="3"/>
  <c r="D67" i="3"/>
  <c r="D48" i="3"/>
  <c r="D53" i="3"/>
  <c r="D45" i="3"/>
  <c r="D21" i="3"/>
  <c r="D116" i="3"/>
  <c r="D144" i="3"/>
  <c r="D153" i="3"/>
  <c r="D185" i="3"/>
  <c r="D213" i="3"/>
  <c r="D241" i="3"/>
  <c r="D247" i="3"/>
  <c r="D251" i="3"/>
  <c r="D256" i="3"/>
  <c r="D260" i="3"/>
  <c r="D274" i="3"/>
  <c r="D294" i="3"/>
  <c r="D298" i="3"/>
  <c r="D302" i="3"/>
  <c r="D311" i="3"/>
  <c r="D339" i="3"/>
  <c r="D361" i="3"/>
  <c r="D365" i="3"/>
  <c r="D387" i="3"/>
  <c r="D398" i="3"/>
  <c r="D412" i="3"/>
  <c r="D416" i="3"/>
  <c r="D430" i="3"/>
  <c r="D436" i="3"/>
  <c r="D444" i="3"/>
  <c r="D448" i="3"/>
  <c r="D460" i="3"/>
  <c r="D32" i="3"/>
  <c r="D29" i="3"/>
  <c r="D280" i="3"/>
  <c r="D490" i="3"/>
  <c r="D533" i="3"/>
  <c r="D515" i="3"/>
  <c r="D71" i="3"/>
  <c r="D59" i="3"/>
  <c r="D15" i="3"/>
  <c r="D98" i="3"/>
  <c r="D121" i="3"/>
  <c r="D137" i="3"/>
  <c r="D141" i="3"/>
  <c r="D150" i="3"/>
  <c r="D156" i="3"/>
  <c r="D167" i="3"/>
  <c r="D178" i="3"/>
  <c r="D182" i="3"/>
  <c r="D218" i="3"/>
  <c r="D227" i="3"/>
  <c r="D236" i="3"/>
  <c r="D240" i="3"/>
  <c r="D263" i="3"/>
  <c r="D269" i="3"/>
  <c r="D295" i="3"/>
  <c r="D299" i="3"/>
  <c r="D305" i="3"/>
  <c r="D322" i="3"/>
  <c r="D327" i="3"/>
  <c r="D336" i="3"/>
  <c r="D342" i="3"/>
  <c r="D362" i="3"/>
  <c r="D366" i="3"/>
  <c r="D371" i="3"/>
  <c r="D397" i="3"/>
  <c r="D413" i="3"/>
  <c r="D417" i="3"/>
  <c r="D422" i="3"/>
  <c r="D431" i="3"/>
  <c r="D85" i="3"/>
  <c r="D119" i="3"/>
  <c r="D216" i="3"/>
  <c r="D340" i="3"/>
  <c r="D133" i="3"/>
  <c r="D504" i="3"/>
  <c r="D508" i="3"/>
  <c r="T508" i="4"/>
  <c r="T508" i="5"/>
  <c r="D530" i="3"/>
  <c r="U530" i="6"/>
  <c r="D201" i="3"/>
  <c r="D47" i="3"/>
  <c r="J47" i="4"/>
  <c r="J47" i="5"/>
  <c r="D438" i="3"/>
  <c r="D522" i="3"/>
  <c r="D354" i="3"/>
  <c r="T189" i="1"/>
  <c r="I8" i="1"/>
  <c r="D25" i="3"/>
  <c r="D314" i="3"/>
  <c r="E314" i="4"/>
  <c r="D10" i="3"/>
  <c r="D486" i="3"/>
  <c r="K8" i="1"/>
  <c r="H49" i="2"/>
  <c r="H76" i="2"/>
  <c r="T288" i="3"/>
  <c r="D288" i="3"/>
  <c r="E540" i="1"/>
  <c r="F540" i="3"/>
  <c r="D329" i="3"/>
  <c r="I329" i="4"/>
  <c r="D189" i="3"/>
  <c r="D126" i="3"/>
  <c r="I126" i="6"/>
  <c r="Q450" i="3"/>
  <c r="P425" i="1"/>
  <c r="H450" i="3"/>
  <c r="G425" i="1"/>
  <c r="K39" i="2"/>
  <c r="K66" i="2"/>
  <c r="J425" i="3"/>
  <c r="L450" i="3"/>
  <c r="K425" i="1"/>
  <c r="E450" i="3"/>
  <c r="D425" i="1"/>
  <c r="K70" i="2"/>
  <c r="K76" i="2"/>
  <c r="D457" i="3"/>
  <c r="G457" i="6"/>
  <c r="V450" i="1"/>
  <c r="E425" i="1"/>
  <c r="F450" i="3"/>
  <c r="G457" i="4"/>
  <c r="G457" i="5"/>
  <c r="K42" i="2"/>
  <c r="K69" i="2"/>
  <c r="M425" i="3"/>
  <c r="K50" i="2"/>
  <c r="S425" i="3"/>
  <c r="K48" i="2"/>
  <c r="K75" i="2"/>
  <c r="K425" i="3"/>
  <c r="K40" i="2"/>
  <c r="K67" i="2"/>
  <c r="G450" i="3"/>
  <c r="F425" i="1"/>
  <c r="H425" i="1"/>
  <c r="I450" i="3"/>
  <c r="K51" i="2"/>
  <c r="V425" i="3"/>
  <c r="P234" i="4"/>
  <c r="P234" i="5"/>
  <c r="L234" i="4"/>
  <c r="L234" i="5"/>
  <c r="G234" i="4"/>
  <c r="G234" i="5"/>
  <c r="R234" i="6"/>
  <c r="V234" i="6"/>
  <c r="O234" i="4"/>
  <c r="O234" i="5"/>
  <c r="I234" i="6"/>
  <c r="N234" i="6"/>
  <c r="O234" i="6"/>
  <c r="P234" i="6"/>
  <c r="H234" i="6"/>
  <c r="D234" i="6"/>
  <c r="D234" i="4"/>
  <c r="D234" i="5"/>
  <c r="K234" i="4"/>
  <c r="K234" i="5"/>
  <c r="U234" i="4"/>
  <c r="U234" i="5"/>
  <c r="U234" i="6"/>
  <c r="G234" i="6"/>
  <c r="H234" i="4"/>
  <c r="H234" i="5"/>
  <c r="F234" i="4"/>
  <c r="F234" i="5"/>
  <c r="S234" i="6"/>
  <c r="J234" i="6"/>
  <c r="F234" i="6"/>
  <c r="M234" i="6"/>
  <c r="V234" i="4"/>
  <c r="V234" i="5"/>
  <c r="R234" i="4"/>
  <c r="R234" i="5"/>
  <c r="N234" i="4"/>
  <c r="N234" i="5"/>
  <c r="Q234" i="4"/>
  <c r="Q234" i="5"/>
  <c r="E234" i="6"/>
  <c r="I234" i="4"/>
  <c r="I234" i="5"/>
  <c r="T234" i="6"/>
  <c r="L234" i="6"/>
  <c r="M234" i="4"/>
  <c r="M234" i="5"/>
  <c r="S234" i="4"/>
  <c r="S234" i="5"/>
  <c r="Q234" i="6"/>
  <c r="K234" i="6"/>
  <c r="E234" i="4"/>
  <c r="E234" i="5"/>
  <c r="T234" i="4"/>
  <c r="T234" i="5"/>
  <c r="J234" i="4"/>
  <c r="J234" i="5"/>
  <c r="C503" i="7"/>
  <c r="C506" i="7"/>
  <c r="C500" i="7"/>
  <c r="C508" i="7"/>
  <c r="C514" i="7"/>
  <c r="C511" i="7"/>
  <c r="C507" i="7"/>
  <c r="C513" i="7"/>
  <c r="C499" i="7"/>
  <c r="C509" i="7"/>
  <c r="C502" i="7"/>
  <c r="C501" i="7"/>
  <c r="C504" i="7"/>
  <c r="C515" i="7"/>
  <c r="C498" i="7"/>
  <c r="C510" i="7"/>
  <c r="C505" i="7"/>
  <c r="C512" i="7"/>
  <c r="I106" i="1"/>
  <c r="D39" i="2"/>
  <c r="J189" i="3"/>
  <c r="K271" i="6"/>
  <c r="G505" i="7"/>
  <c r="O505" i="7"/>
  <c r="J447" i="7"/>
  <c r="G499" i="7"/>
  <c r="O499" i="7"/>
  <c r="J441" i="7"/>
  <c r="G508" i="7"/>
  <c r="O508" i="7"/>
  <c r="J450" i="7"/>
  <c r="G501" i="7"/>
  <c r="O501" i="7"/>
  <c r="J443" i="7"/>
  <c r="G507" i="7"/>
  <c r="O507" i="7"/>
  <c r="J449" i="7"/>
  <c r="G510" i="7"/>
  <c r="O510" i="7"/>
  <c r="J452" i="7"/>
  <c r="G503" i="7"/>
  <c r="O503" i="7"/>
  <c r="J445" i="7"/>
  <c r="G513" i="7"/>
  <c r="O513" i="7"/>
  <c r="J455" i="7"/>
  <c r="G511" i="7"/>
  <c r="O511" i="7"/>
  <c r="J453" i="7"/>
  <c r="G509" i="7"/>
  <c r="O509" i="7"/>
  <c r="J451" i="7"/>
  <c r="G502" i="7"/>
  <c r="O502" i="7"/>
  <c r="J444" i="7"/>
  <c r="G498" i="7"/>
  <c r="G512" i="7"/>
  <c r="G500" i="7"/>
  <c r="O500" i="7"/>
  <c r="J442" i="7"/>
  <c r="G514" i="7"/>
  <c r="O514" i="7"/>
  <c r="J456" i="7"/>
  <c r="G504" i="7"/>
  <c r="O504" i="7"/>
  <c r="J446" i="7"/>
  <c r="G506" i="7"/>
  <c r="O506" i="7"/>
  <c r="J448" i="7"/>
  <c r="G515" i="7"/>
  <c r="O515" i="7"/>
  <c r="J457" i="7"/>
  <c r="D38" i="2"/>
  <c r="E63" i="2"/>
  <c r="M208" i="6"/>
  <c r="T495" i="6"/>
  <c r="H508" i="6"/>
  <c r="R41" i="2"/>
  <c r="L488" i="3"/>
  <c r="K486" i="1"/>
  <c r="S25" i="3"/>
  <c r="R8" i="1"/>
  <c r="R43" i="2"/>
  <c r="N488" i="3"/>
  <c r="M486" i="1"/>
  <c r="R427" i="3"/>
  <c r="Q425" i="1"/>
  <c r="D233" i="3"/>
  <c r="T108" i="6"/>
  <c r="J146" i="6"/>
  <c r="C38" i="2"/>
  <c r="G67" i="2"/>
  <c r="K8" i="3"/>
  <c r="J38" i="2"/>
  <c r="J65" i="2"/>
  <c r="I375" i="3"/>
  <c r="H38" i="2"/>
  <c r="I288" i="3"/>
  <c r="I126" i="4"/>
  <c r="I126" i="5"/>
  <c r="G208" i="6"/>
  <c r="J47" i="2"/>
  <c r="R375" i="3"/>
  <c r="E69" i="2"/>
  <c r="T49" i="2"/>
  <c r="S76" i="2"/>
  <c r="W63" i="2"/>
  <c r="X36" i="2"/>
  <c r="X42" i="2"/>
  <c r="W69" i="2"/>
  <c r="Y64" i="2"/>
  <c r="V103" i="1"/>
  <c r="H106" i="1"/>
  <c r="V540" i="1"/>
  <c r="D540" i="3"/>
  <c r="T65" i="2"/>
  <c r="X38" i="2"/>
  <c r="X65" i="2"/>
  <c r="W52" i="2"/>
  <c r="W79" i="2"/>
  <c r="G208" i="4"/>
  <c r="G208" i="5"/>
  <c r="J146" i="4"/>
  <c r="J146" i="5"/>
  <c r="M530" i="4"/>
  <c r="M530" i="5"/>
  <c r="N106" i="4"/>
  <c r="N106" i="5"/>
  <c r="I146" i="4"/>
  <c r="I146" i="5"/>
  <c r="S52" i="2"/>
  <c r="S79" i="2"/>
  <c r="G530" i="4"/>
  <c r="G530" i="5"/>
  <c r="U410" i="6"/>
  <c r="G156" i="2"/>
  <c r="Y52" i="2"/>
  <c r="Y79" i="2"/>
  <c r="Y104" i="2"/>
  <c r="Y129" i="2"/>
  <c r="L221" i="6"/>
  <c r="D71" i="7"/>
  <c r="G71" i="7"/>
  <c r="H156" i="2"/>
  <c r="D89" i="7"/>
  <c r="G89" i="7"/>
  <c r="I329" i="6"/>
  <c r="U92" i="6"/>
  <c r="T508" i="6"/>
  <c r="I396" i="4"/>
  <c r="I396" i="5"/>
  <c r="K61" i="4"/>
  <c r="K61" i="5"/>
  <c r="M530" i="6"/>
  <c r="G530" i="6"/>
  <c r="U410" i="4"/>
  <c r="U410" i="5"/>
  <c r="L221" i="4"/>
  <c r="L221" i="5"/>
  <c r="K61" i="6"/>
  <c r="H396" i="7"/>
  <c r="I397" i="7"/>
  <c r="F395" i="7"/>
  <c r="H395" i="7"/>
  <c r="F92" i="4"/>
  <c r="F92" i="5"/>
  <c r="Q349" i="6"/>
  <c r="H508" i="4"/>
  <c r="H508" i="5"/>
  <c r="U92" i="4"/>
  <c r="U92" i="5"/>
  <c r="Z38" i="2"/>
  <c r="C22" i="7"/>
  <c r="D516" i="7"/>
  <c r="D518" i="7"/>
  <c r="T73" i="2"/>
  <c r="X46" i="2"/>
  <c r="K457" i="6"/>
  <c r="G158" i="7"/>
  <c r="V125" i="2"/>
  <c r="G135" i="7"/>
  <c r="G157" i="7"/>
  <c r="V124" i="2"/>
  <c r="G134" i="7"/>
  <c r="V119" i="2"/>
  <c r="G129" i="7"/>
  <c r="G152" i="7"/>
  <c r="V117" i="2"/>
  <c r="G127" i="7"/>
  <c r="G150" i="7"/>
  <c r="G159" i="7"/>
  <c r="V126" i="2"/>
  <c r="G136" i="7"/>
  <c r="G144" i="7"/>
  <c r="V111" i="2"/>
  <c r="G121" i="7"/>
  <c r="V128" i="2"/>
  <c r="G138" i="7"/>
  <c r="G161" i="7"/>
  <c r="V123" i="2"/>
  <c r="G133" i="7"/>
  <c r="G156" i="7"/>
  <c r="J42" i="2"/>
  <c r="J69" i="2"/>
  <c r="M375" i="3"/>
  <c r="M375" i="4"/>
  <c r="M375" i="5"/>
  <c r="S525" i="3"/>
  <c r="S525" i="6"/>
  <c r="R539" i="1"/>
  <c r="S539" i="3"/>
  <c r="S539" i="6"/>
  <c r="X45" i="2"/>
  <c r="T72" i="2"/>
  <c r="G145" i="7"/>
  <c r="V112" i="2"/>
  <c r="G122" i="7"/>
  <c r="V118" i="2"/>
  <c r="G128" i="7"/>
  <c r="G151" i="7"/>
  <c r="G148" i="7"/>
  <c r="V115" i="2"/>
  <c r="G125" i="7"/>
  <c r="V116" i="2"/>
  <c r="G126" i="7"/>
  <c r="G149" i="7"/>
  <c r="G147" i="7"/>
  <c r="V114" i="2"/>
  <c r="G124" i="7"/>
  <c r="G160" i="7"/>
  <c r="V127" i="2"/>
  <c r="G137" i="7"/>
  <c r="V120" i="2"/>
  <c r="G130" i="7"/>
  <c r="G153" i="7"/>
  <c r="V121" i="2"/>
  <c r="G131" i="7"/>
  <c r="G154" i="7"/>
  <c r="G155" i="7"/>
  <c r="V122" i="2"/>
  <c r="G132" i="7"/>
  <c r="Z44" i="2"/>
  <c r="X71" i="2"/>
  <c r="H42" i="2"/>
  <c r="H69" i="2"/>
  <c r="M288" i="3"/>
  <c r="M288" i="4"/>
  <c r="M288" i="5"/>
  <c r="P486" i="3"/>
  <c r="P486" i="6"/>
  <c r="O525" i="1"/>
  <c r="O540" i="1"/>
  <c r="P540" i="3"/>
  <c r="P540" i="6"/>
  <c r="G66" i="2"/>
  <c r="G52" i="2"/>
  <c r="G79" i="2"/>
  <c r="G101" i="2"/>
  <c r="Z48" i="2"/>
  <c r="X75" i="2"/>
  <c r="P189" i="3"/>
  <c r="P189" i="4"/>
  <c r="P189" i="5"/>
  <c r="D45" i="2"/>
  <c r="N539" i="1"/>
  <c r="O539" i="3"/>
  <c r="O539" i="6"/>
  <c r="O525" i="3"/>
  <c r="O525" i="6"/>
  <c r="G375" i="3"/>
  <c r="J36" i="2"/>
  <c r="J63" i="2"/>
  <c r="E45" i="2"/>
  <c r="E72" i="2"/>
  <c r="P208" i="3"/>
  <c r="P208" i="6"/>
  <c r="S74" i="2"/>
  <c r="T47" i="2"/>
  <c r="E457" i="6"/>
  <c r="I457" i="4"/>
  <c r="I457" i="5"/>
  <c r="Z65" i="2"/>
  <c r="H539" i="1"/>
  <c r="I539" i="3"/>
  <c r="I539" i="4"/>
  <c r="I539" i="5"/>
  <c r="I525" i="3"/>
  <c r="I525" i="4"/>
  <c r="I525" i="5"/>
  <c r="Q540" i="1"/>
  <c r="R540" i="3"/>
  <c r="R486" i="3"/>
  <c r="R486" i="6"/>
  <c r="Q525" i="1"/>
  <c r="F486" i="3"/>
  <c r="F486" i="6"/>
  <c r="E525" i="1"/>
  <c r="T35" i="2"/>
  <c r="T62" i="2"/>
  <c r="R62" i="2"/>
  <c r="E314" i="5"/>
  <c r="F126" i="4"/>
  <c r="F126" i="5"/>
  <c r="V126" i="6"/>
  <c r="P126" i="4"/>
  <c r="P126" i="5"/>
  <c r="R126" i="6"/>
  <c r="V126" i="4"/>
  <c r="V126" i="5"/>
  <c r="Q126" i="6"/>
  <c r="F126" i="6"/>
  <c r="M126" i="6"/>
  <c r="D126" i="6"/>
  <c r="O126" i="4"/>
  <c r="O126" i="5"/>
  <c r="U126" i="4"/>
  <c r="U126" i="5"/>
  <c r="K126" i="4"/>
  <c r="K126" i="5"/>
  <c r="G126" i="4"/>
  <c r="G126" i="5"/>
  <c r="S126" i="6"/>
  <c r="M126" i="4"/>
  <c r="M126" i="5"/>
  <c r="Q126" i="4"/>
  <c r="Q126" i="5"/>
  <c r="S126" i="4"/>
  <c r="S126" i="5"/>
  <c r="D126" i="4"/>
  <c r="D126" i="5"/>
  <c r="O126" i="6"/>
  <c r="H126" i="4"/>
  <c r="H126" i="5"/>
  <c r="H126" i="6"/>
  <c r="P126" i="6"/>
  <c r="N126" i="6"/>
  <c r="E126" i="4"/>
  <c r="E126" i="5"/>
  <c r="G126" i="6"/>
  <c r="N126" i="4"/>
  <c r="N126" i="5"/>
  <c r="E126" i="6"/>
  <c r="K126" i="6"/>
  <c r="U126" i="6"/>
  <c r="R126" i="4"/>
  <c r="R126" i="5"/>
  <c r="R329" i="4"/>
  <c r="R329" i="5"/>
  <c r="U329" i="6"/>
  <c r="T329" i="6"/>
  <c r="L329" i="6"/>
  <c r="S329" i="6"/>
  <c r="D329" i="4"/>
  <c r="D329" i="5"/>
  <c r="V329" i="6"/>
  <c r="O329" i="4"/>
  <c r="O329" i="5"/>
  <c r="O329" i="6"/>
  <c r="V329" i="4"/>
  <c r="V329" i="5"/>
  <c r="L329" i="4"/>
  <c r="L329" i="5"/>
  <c r="N329" i="4"/>
  <c r="N329" i="5"/>
  <c r="G329" i="4"/>
  <c r="G329" i="5"/>
  <c r="K329" i="6"/>
  <c r="P329" i="6"/>
  <c r="G329" i="6"/>
  <c r="M329" i="4"/>
  <c r="M329" i="5"/>
  <c r="M329" i="6"/>
  <c r="E329" i="6"/>
  <c r="J329" i="6"/>
  <c r="T329" i="4"/>
  <c r="T329" i="5"/>
  <c r="P329" i="4"/>
  <c r="P329" i="5"/>
  <c r="E329" i="4"/>
  <c r="E329" i="5"/>
  <c r="J329" i="4"/>
  <c r="J329" i="5"/>
  <c r="S329" i="4"/>
  <c r="S329" i="5"/>
  <c r="N329" i="6"/>
  <c r="D329" i="6"/>
  <c r="K329" i="4"/>
  <c r="K329" i="5"/>
  <c r="R329" i="6"/>
  <c r="U329" i="4"/>
  <c r="U329" i="5"/>
  <c r="D106" i="4"/>
  <c r="D106" i="5"/>
  <c r="D106" i="6"/>
  <c r="H106" i="4"/>
  <c r="H106" i="5"/>
  <c r="H106" i="6"/>
  <c r="V106" i="6"/>
  <c r="Q106" i="4"/>
  <c r="Q106" i="5"/>
  <c r="V106" i="4"/>
  <c r="V106" i="5"/>
  <c r="Q106" i="6"/>
  <c r="P288" i="6"/>
  <c r="G288" i="6"/>
  <c r="D288" i="6"/>
  <c r="L288" i="6"/>
  <c r="N288" i="6"/>
  <c r="P288" i="4"/>
  <c r="P288" i="5"/>
  <c r="L288" i="4"/>
  <c r="L288" i="5"/>
  <c r="U288" i="4"/>
  <c r="U288" i="5"/>
  <c r="N288" i="4"/>
  <c r="N288" i="5"/>
  <c r="D288" i="4"/>
  <c r="D288" i="5"/>
  <c r="G288" i="4"/>
  <c r="G288" i="5"/>
  <c r="D486" i="4"/>
  <c r="D486" i="5"/>
  <c r="D486" i="6"/>
  <c r="M486" i="4"/>
  <c r="M486" i="5"/>
  <c r="P486" i="4"/>
  <c r="P486" i="5"/>
  <c r="S486" i="4"/>
  <c r="S486" i="5"/>
  <c r="G486" i="6"/>
  <c r="I486" i="4"/>
  <c r="I486" i="5"/>
  <c r="U486" i="4"/>
  <c r="U486" i="5"/>
  <c r="O486" i="4"/>
  <c r="O486" i="5"/>
  <c r="R486" i="4"/>
  <c r="R486" i="5"/>
  <c r="S486" i="6"/>
  <c r="Q486" i="4"/>
  <c r="Q486" i="5"/>
  <c r="M486" i="6"/>
  <c r="E486" i="6"/>
  <c r="Q486" i="6"/>
  <c r="E486" i="4"/>
  <c r="E486" i="5"/>
  <c r="U486" i="6"/>
  <c r="G486" i="4"/>
  <c r="G486" i="5"/>
  <c r="I486" i="6"/>
  <c r="O486" i="6"/>
  <c r="L10" i="4"/>
  <c r="L10" i="5"/>
  <c r="J10" i="6"/>
  <c r="O10" i="6"/>
  <c r="Q10" i="4"/>
  <c r="Q10" i="5"/>
  <c r="R10" i="4"/>
  <c r="R10" i="5"/>
  <c r="F10" i="4"/>
  <c r="F10" i="5"/>
  <c r="G10" i="6"/>
  <c r="E10" i="6"/>
  <c r="O10" i="4"/>
  <c r="O10" i="5"/>
  <c r="P10" i="4"/>
  <c r="P10" i="5"/>
  <c r="T10" i="4"/>
  <c r="T10" i="5"/>
  <c r="L10" i="6"/>
  <c r="M10" i="6"/>
  <c r="D10" i="4"/>
  <c r="D10" i="5"/>
  <c r="T10" i="6"/>
  <c r="J10" i="4"/>
  <c r="J10" i="5"/>
  <c r="E10" i="4"/>
  <c r="E10" i="5"/>
  <c r="N10" i="4"/>
  <c r="N10" i="5"/>
  <c r="R10" i="6"/>
  <c r="M10" i="4"/>
  <c r="M10" i="5"/>
  <c r="F10" i="6"/>
  <c r="G10" i="4"/>
  <c r="G10" i="5"/>
  <c r="D10" i="6"/>
  <c r="N10" i="6"/>
  <c r="P10" i="6"/>
  <c r="Q10" i="6"/>
  <c r="K10" i="6"/>
  <c r="U10" i="4"/>
  <c r="U10" i="5"/>
  <c r="I10" i="4"/>
  <c r="I10" i="5"/>
  <c r="K10" i="4"/>
  <c r="K10" i="5"/>
  <c r="U10" i="6"/>
  <c r="I10" i="6"/>
  <c r="F25" i="6"/>
  <c r="G25" i="4"/>
  <c r="G25" i="5"/>
  <c r="F25" i="4"/>
  <c r="F25" i="5"/>
  <c r="Q25" i="4"/>
  <c r="Q25" i="5"/>
  <c r="J25" i="4"/>
  <c r="J25" i="5"/>
  <c r="Q25" i="6"/>
  <c r="R25" i="6"/>
  <c r="M25" i="4"/>
  <c r="M25" i="5"/>
  <c r="D25" i="4"/>
  <c r="D25" i="5"/>
  <c r="D25" i="6"/>
  <c r="I25" i="4"/>
  <c r="I25" i="5"/>
  <c r="U25" i="4"/>
  <c r="U25" i="5"/>
  <c r="U25" i="6"/>
  <c r="K25" i="4"/>
  <c r="K25" i="5"/>
  <c r="J25" i="6"/>
  <c r="O25" i="6"/>
  <c r="T25" i="4"/>
  <c r="T25" i="5"/>
  <c r="K25" i="6"/>
  <c r="O25" i="4"/>
  <c r="O25" i="5"/>
  <c r="I25" i="6"/>
  <c r="N25" i="6"/>
  <c r="L25" i="4"/>
  <c r="L25" i="5"/>
  <c r="E25" i="4"/>
  <c r="E25" i="5"/>
  <c r="P25" i="6"/>
  <c r="N25" i="4"/>
  <c r="N25" i="5"/>
  <c r="T25" i="6"/>
  <c r="G25" i="6"/>
  <c r="R25" i="4"/>
  <c r="R25" i="5"/>
  <c r="M25" i="6"/>
  <c r="L25" i="6"/>
  <c r="E25" i="6"/>
  <c r="P25" i="4"/>
  <c r="P25" i="5"/>
  <c r="J8" i="3"/>
  <c r="C39" i="2"/>
  <c r="C66" i="2"/>
  <c r="I354" i="6"/>
  <c r="T354" i="4"/>
  <c r="T354" i="5"/>
  <c r="L354" i="4"/>
  <c r="L354" i="5"/>
  <c r="P354" i="4"/>
  <c r="P354" i="5"/>
  <c r="D354" i="6"/>
  <c r="T354" i="6"/>
  <c r="M354" i="6"/>
  <c r="J354" i="4"/>
  <c r="J354" i="5"/>
  <c r="S354" i="4"/>
  <c r="S354" i="5"/>
  <c r="O354" i="4"/>
  <c r="O354" i="5"/>
  <c r="M354" i="4"/>
  <c r="M354" i="5"/>
  <c r="G354" i="6"/>
  <c r="E354" i="4"/>
  <c r="I354" i="4"/>
  <c r="I354" i="5"/>
  <c r="U354" i="4"/>
  <c r="U354" i="5"/>
  <c r="L354" i="6"/>
  <c r="O354" i="6"/>
  <c r="D354" i="4"/>
  <c r="D354" i="5"/>
  <c r="N354" i="6"/>
  <c r="S354" i="6"/>
  <c r="N354" i="4"/>
  <c r="N354" i="5"/>
  <c r="P354" i="6"/>
  <c r="E354" i="6"/>
  <c r="G354" i="4"/>
  <c r="G354" i="5"/>
  <c r="J354" i="6"/>
  <c r="R354" i="4"/>
  <c r="R354" i="5"/>
  <c r="K354" i="6"/>
  <c r="U354" i="6"/>
  <c r="K354" i="4"/>
  <c r="K354" i="5"/>
  <c r="R354" i="6"/>
  <c r="H438" i="4"/>
  <c r="H438" i="5"/>
  <c r="J438" i="6"/>
  <c r="D438" i="4"/>
  <c r="D438" i="5"/>
  <c r="D438" i="6"/>
  <c r="N438" i="6"/>
  <c r="J438" i="4"/>
  <c r="J438" i="5"/>
  <c r="K438" i="6"/>
  <c r="U438" i="6"/>
  <c r="O438" i="6"/>
  <c r="N438" i="4"/>
  <c r="N438" i="5"/>
  <c r="S438" i="6"/>
  <c r="R438" i="6"/>
  <c r="U438" i="4"/>
  <c r="U438" i="5"/>
  <c r="I438" i="4"/>
  <c r="I438" i="5"/>
  <c r="P438" i="4"/>
  <c r="P438" i="5"/>
  <c r="I438" i="6"/>
  <c r="G438" i="6"/>
  <c r="M438" i="4"/>
  <c r="M438" i="5"/>
  <c r="E438" i="4"/>
  <c r="E438" i="5"/>
  <c r="L438" i="6"/>
  <c r="T438" i="6"/>
  <c r="S438" i="4"/>
  <c r="S438" i="5"/>
  <c r="R438" i="4"/>
  <c r="R438" i="5"/>
  <c r="K438" i="4"/>
  <c r="K438" i="5"/>
  <c r="P438" i="6"/>
  <c r="O438" i="4"/>
  <c r="O438" i="5"/>
  <c r="G438" i="4"/>
  <c r="G438" i="5"/>
  <c r="M438" i="6"/>
  <c r="E438" i="6"/>
  <c r="L438" i="4"/>
  <c r="L438" i="5"/>
  <c r="T438" i="4"/>
  <c r="T438" i="5"/>
  <c r="P201" i="4"/>
  <c r="P201" i="5"/>
  <c r="T201" i="4"/>
  <c r="T201" i="5"/>
  <c r="E201" i="4"/>
  <c r="E201" i="5"/>
  <c r="M201" i="4"/>
  <c r="M201" i="5"/>
  <c r="U201" i="4"/>
  <c r="U201" i="5"/>
  <c r="J201" i="4"/>
  <c r="J201" i="5"/>
  <c r="U201" i="6"/>
  <c r="K201" i="4"/>
  <c r="K201" i="5"/>
  <c r="S201" i="4"/>
  <c r="S201" i="5"/>
  <c r="P201" i="6"/>
  <c r="M201" i="6"/>
  <c r="F201" i="6"/>
  <c r="H201" i="6"/>
  <c r="D201" i="6"/>
  <c r="G201" i="6"/>
  <c r="O201" i="6"/>
  <c r="L201" i="4"/>
  <c r="L201" i="5"/>
  <c r="K201" i="6"/>
  <c r="L201" i="6"/>
  <c r="F201" i="4"/>
  <c r="F201" i="5"/>
  <c r="E201" i="6"/>
  <c r="D201" i="4"/>
  <c r="D201" i="5"/>
  <c r="I201" i="4"/>
  <c r="I201" i="5"/>
  <c r="Q201" i="4"/>
  <c r="Q201" i="5"/>
  <c r="R201" i="4"/>
  <c r="R201" i="5"/>
  <c r="V201" i="6"/>
  <c r="G201" i="4"/>
  <c r="G201" i="5"/>
  <c r="O201" i="4"/>
  <c r="O201" i="5"/>
  <c r="V201" i="4"/>
  <c r="V201" i="5"/>
  <c r="N201" i="6"/>
  <c r="I201" i="6"/>
  <c r="J201" i="6"/>
  <c r="H201" i="4"/>
  <c r="H201" i="5"/>
  <c r="T201" i="6"/>
  <c r="Q201" i="6"/>
  <c r="N201" i="4"/>
  <c r="N201" i="5"/>
  <c r="S201" i="6"/>
  <c r="R201" i="6"/>
  <c r="R508" i="4"/>
  <c r="R508" i="5"/>
  <c r="I508" i="6"/>
  <c r="P508" i="6"/>
  <c r="Q508" i="4"/>
  <c r="Q508" i="5"/>
  <c r="O508" i="6"/>
  <c r="N508" i="4"/>
  <c r="N508" i="5"/>
  <c r="L508" i="6"/>
  <c r="M508" i="4"/>
  <c r="M508" i="5"/>
  <c r="O508" i="4"/>
  <c r="O508" i="5"/>
  <c r="V508" i="4"/>
  <c r="V508" i="5"/>
  <c r="Q508" i="6"/>
  <c r="N508" i="6"/>
  <c r="J508" i="6"/>
  <c r="V508" i="6"/>
  <c r="J508" i="4"/>
  <c r="J508" i="5"/>
  <c r="P508" i="4"/>
  <c r="P508" i="5"/>
  <c r="L508" i="4"/>
  <c r="L508" i="5"/>
  <c r="R508" i="6"/>
  <c r="D508" i="4"/>
  <c r="D508" i="5"/>
  <c r="D508" i="6"/>
  <c r="M508" i="6"/>
  <c r="I508" i="4"/>
  <c r="I508" i="5"/>
  <c r="S508" i="4"/>
  <c r="S508" i="5"/>
  <c r="S508" i="6"/>
  <c r="O133" i="6"/>
  <c r="M133" i="4"/>
  <c r="M133" i="5"/>
  <c r="S133" i="4"/>
  <c r="S133" i="5"/>
  <c r="I133" i="6"/>
  <c r="D133" i="6"/>
  <c r="K133" i="4"/>
  <c r="K133" i="5"/>
  <c r="G133" i="4"/>
  <c r="G133" i="5"/>
  <c r="S133" i="6"/>
  <c r="I133" i="4"/>
  <c r="I133" i="5"/>
  <c r="Q133" i="6"/>
  <c r="G133" i="6"/>
  <c r="M133" i="6"/>
  <c r="K133" i="6"/>
  <c r="L133" i="4"/>
  <c r="L133" i="5"/>
  <c r="O133" i="4"/>
  <c r="O133" i="5"/>
  <c r="Q133" i="4"/>
  <c r="Q133" i="5"/>
  <c r="D133" i="4"/>
  <c r="D133" i="5"/>
  <c r="U133" i="4"/>
  <c r="U133" i="5"/>
  <c r="E133" i="4"/>
  <c r="E133" i="5"/>
  <c r="E133" i="6"/>
  <c r="U133" i="6"/>
  <c r="N133" i="6"/>
  <c r="T133" i="6"/>
  <c r="P133" i="4"/>
  <c r="P133" i="5"/>
  <c r="J133" i="6"/>
  <c r="T133" i="4"/>
  <c r="T133" i="5"/>
  <c r="P133" i="6"/>
  <c r="J133" i="4"/>
  <c r="J133" i="5"/>
  <c r="V133" i="6"/>
  <c r="H133" i="4"/>
  <c r="H133" i="5"/>
  <c r="F133" i="6"/>
  <c r="N133" i="4"/>
  <c r="N133" i="5"/>
  <c r="V133" i="4"/>
  <c r="V133" i="5"/>
  <c r="R133" i="4"/>
  <c r="R133" i="5"/>
  <c r="R133" i="6"/>
  <c r="H133" i="6"/>
  <c r="F133" i="4"/>
  <c r="F133" i="5"/>
  <c r="L133" i="6"/>
  <c r="Q216" i="6"/>
  <c r="P216" i="4"/>
  <c r="P216" i="5"/>
  <c r="G216" i="4"/>
  <c r="G216" i="5"/>
  <c r="G216" i="6"/>
  <c r="K216" i="4"/>
  <c r="K216" i="5"/>
  <c r="M216" i="6"/>
  <c r="O216" i="6"/>
  <c r="Q216" i="4"/>
  <c r="Q216" i="5"/>
  <c r="P216" i="6"/>
  <c r="K216" i="6"/>
  <c r="M216" i="4"/>
  <c r="M216" i="5"/>
  <c r="O216" i="4"/>
  <c r="O216" i="5"/>
  <c r="S216" i="4"/>
  <c r="S216" i="5"/>
  <c r="S216" i="6"/>
  <c r="E216" i="6"/>
  <c r="I216" i="6"/>
  <c r="U216" i="4"/>
  <c r="U216" i="5"/>
  <c r="F216" i="4"/>
  <c r="F216" i="5"/>
  <c r="L216" i="6"/>
  <c r="N216" i="6"/>
  <c r="H216" i="6"/>
  <c r="D216" i="6"/>
  <c r="E216" i="4"/>
  <c r="E216" i="5"/>
  <c r="I216" i="4"/>
  <c r="I216" i="5"/>
  <c r="U216" i="6"/>
  <c r="D216" i="4"/>
  <c r="D216" i="5"/>
  <c r="T216" i="6"/>
  <c r="J216" i="4"/>
  <c r="J216" i="5"/>
  <c r="R216" i="4"/>
  <c r="R216" i="5"/>
  <c r="J216" i="6"/>
  <c r="L216" i="4"/>
  <c r="L216" i="5"/>
  <c r="T216" i="4"/>
  <c r="T216" i="5"/>
  <c r="F216" i="6"/>
  <c r="V216" i="4"/>
  <c r="V216" i="5"/>
  <c r="H216" i="4"/>
  <c r="H216" i="5"/>
  <c r="R216" i="6"/>
  <c r="N216" i="4"/>
  <c r="N216" i="5"/>
  <c r="V216" i="6"/>
  <c r="E85" i="4"/>
  <c r="E85" i="5"/>
  <c r="E85" i="6"/>
  <c r="U85" i="6"/>
  <c r="S85" i="6"/>
  <c r="K85" i="6"/>
  <c r="G85" i="4"/>
  <c r="G85" i="5"/>
  <c r="S85" i="4"/>
  <c r="S85" i="5"/>
  <c r="Q85" i="6"/>
  <c r="U85" i="4"/>
  <c r="U85" i="5"/>
  <c r="G85" i="6"/>
  <c r="M85" i="6"/>
  <c r="I85" i="4"/>
  <c r="I85" i="5"/>
  <c r="Q85" i="4"/>
  <c r="Q85" i="5"/>
  <c r="D85" i="6"/>
  <c r="O85" i="6"/>
  <c r="O85" i="4"/>
  <c r="O85" i="5"/>
  <c r="K85" i="4"/>
  <c r="K85" i="5"/>
  <c r="J85" i="4"/>
  <c r="J85" i="5"/>
  <c r="P85" i="6"/>
  <c r="V85" i="6"/>
  <c r="N85" i="6"/>
  <c r="T85" i="4"/>
  <c r="T85" i="5"/>
  <c r="F85" i="4"/>
  <c r="F85" i="5"/>
  <c r="N85" i="4"/>
  <c r="N85" i="5"/>
  <c r="L85" i="4"/>
  <c r="L85" i="5"/>
  <c r="L85" i="6"/>
  <c r="J85" i="6"/>
  <c r="P85" i="4"/>
  <c r="P85" i="5"/>
  <c r="H85" i="4"/>
  <c r="H85" i="5"/>
  <c r="R85" i="4"/>
  <c r="R85" i="5"/>
  <c r="R85" i="6"/>
  <c r="F85" i="6"/>
  <c r="V85" i="4"/>
  <c r="V85" i="5"/>
  <c r="H85" i="6"/>
  <c r="T85" i="6"/>
  <c r="M85" i="4"/>
  <c r="M85" i="5"/>
  <c r="D85" i="4"/>
  <c r="D85" i="5"/>
  <c r="I85" i="6"/>
  <c r="T422" i="4"/>
  <c r="T422" i="5"/>
  <c r="P422" i="6"/>
  <c r="T422" i="6"/>
  <c r="E422" i="6"/>
  <c r="U422" i="4"/>
  <c r="U422" i="5"/>
  <c r="N422" i="6"/>
  <c r="P422" i="4"/>
  <c r="P422" i="5"/>
  <c r="F422" i="4"/>
  <c r="F422" i="5"/>
  <c r="S422" i="4"/>
  <c r="S422" i="5"/>
  <c r="R422" i="6"/>
  <c r="D422" i="4"/>
  <c r="D422" i="5"/>
  <c r="D422" i="6"/>
  <c r="R422" i="4"/>
  <c r="R422" i="5"/>
  <c r="L422" i="4"/>
  <c r="L422" i="5"/>
  <c r="J422" i="4"/>
  <c r="J422" i="5"/>
  <c r="H422" i="6"/>
  <c r="N422" i="4"/>
  <c r="N422" i="5"/>
  <c r="H422" i="4"/>
  <c r="H422" i="5"/>
  <c r="S422" i="6"/>
  <c r="V422" i="4"/>
  <c r="V422" i="5"/>
  <c r="L422" i="6"/>
  <c r="V422" i="6"/>
  <c r="F422" i="6"/>
  <c r="J422" i="6"/>
  <c r="U422" i="6"/>
  <c r="O422" i="6"/>
  <c r="K422" i="6"/>
  <c r="G422" i="6"/>
  <c r="Q422" i="6"/>
  <c r="M422" i="6"/>
  <c r="I422" i="4"/>
  <c r="I422" i="5"/>
  <c r="E422" i="4"/>
  <c r="E422" i="5"/>
  <c r="K422" i="4"/>
  <c r="K422" i="5"/>
  <c r="M422" i="4"/>
  <c r="M422" i="5"/>
  <c r="O422" i="4"/>
  <c r="O422" i="5"/>
  <c r="Q422" i="4"/>
  <c r="Q422" i="5"/>
  <c r="G422" i="4"/>
  <c r="G422" i="5"/>
  <c r="I422" i="6"/>
  <c r="P413" i="4"/>
  <c r="P413" i="5"/>
  <c r="J413" i="4"/>
  <c r="J413" i="5"/>
  <c r="F413" i="4"/>
  <c r="F413" i="5"/>
  <c r="R413" i="6"/>
  <c r="R413" i="4"/>
  <c r="R413" i="5"/>
  <c r="L413" i="4"/>
  <c r="L413" i="5"/>
  <c r="F413" i="6"/>
  <c r="L413" i="6"/>
  <c r="V413" i="6"/>
  <c r="H413" i="4"/>
  <c r="H413" i="5"/>
  <c r="H413" i="6"/>
  <c r="D413" i="4"/>
  <c r="D413" i="5"/>
  <c r="V413" i="4"/>
  <c r="V413" i="5"/>
  <c r="T413" i="4"/>
  <c r="T413" i="5"/>
  <c r="J413" i="6"/>
  <c r="N413" i="6"/>
  <c r="U413" i="6"/>
  <c r="T413" i="6"/>
  <c r="D413" i="6"/>
  <c r="N413" i="4"/>
  <c r="N413" i="5"/>
  <c r="P413" i="6"/>
  <c r="U413" i="4"/>
  <c r="U413" i="5"/>
  <c r="M413" i="4"/>
  <c r="M413" i="5"/>
  <c r="Q413" i="4"/>
  <c r="Q413" i="5"/>
  <c r="I413" i="4"/>
  <c r="I413" i="5"/>
  <c r="O413" i="4"/>
  <c r="O413" i="5"/>
  <c r="M413" i="6"/>
  <c r="O413" i="6"/>
  <c r="S413" i="6"/>
  <c r="K413" i="6"/>
  <c r="E413" i="6"/>
  <c r="I413" i="6"/>
  <c r="S413" i="4"/>
  <c r="S413" i="5"/>
  <c r="K413" i="4"/>
  <c r="K413" i="5"/>
  <c r="G413" i="4"/>
  <c r="G413" i="5"/>
  <c r="G413" i="6"/>
  <c r="E413" i="4"/>
  <c r="E413" i="5"/>
  <c r="Q413" i="6"/>
  <c r="I371" i="4"/>
  <c r="I371" i="5"/>
  <c r="M371" i="6"/>
  <c r="D371" i="6"/>
  <c r="I371" i="6"/>
  <c r="E371" i="4"/>
  <c r="E371" i="5"/>
  <c r="U371" i="4"/>
  <c r="U371" i="5"/>
  <c r="U371" i="6"/>
  <c r="S371" i="4"/>
  <c r="S371" i="5"/>
  <c r="K371" i="4"/>
  <c r="K371" i="5"/>
  <c r="S371" i="6"/>
  <c r="K371" i="6"/>
  <c r="D371" i="4"/>
  <c r="D371" i="5"/>
  <c r="Q371" i="6"/>
  <c r="M371" i="4"/>
  <c r="M371" i="5"/>
  <c r="E371" i="6"/>
  <c r="Q371" i="4"/>
  <c r="Q371" i="5"/>
  <c r="O371" i="4"/>
  <c r="O371" i="5"/>
  <c r="G371" i="4"/>
  <c r="G371" i="5"/>
  <c r="O371" i="6"/>
  <c r="G371" i="6"/>
  <c r="F371" i="4"/>
  <c r="F371" i="5"/>
  <c r="J371" i="6"/>
  <c r="N371" i="4"/>
  <c r="N371" i="5"/>
  <c r="F371" i="6"/>
  <c r="R371" i="4"/>
  <c r="R371" i="5"/>
  <c r="V371" i="6"/>
  <c r="P371" i="6"/>
  <c r="J371" i="4"/>
  <c r="J371" i="5"/>
  <c r="L371" i="6"/>
  <c r="R371" i="6"/>
  <c r="V371" i="4"/>
  <c r="V371" i="5"/>
  <c r="P371" i="4"/>
  <c r="P371" i="5"/>
  <c r="H371" i="4"/>
  <c r="H371" i="5"/>
  <c r="H371" i="6"/>
  <c r="L371" i="4"/>
  <c r="L371" i="5"/>
  <c r="T371" i="4"/>
  <c r="T371" i="5"/>
  <c r="T371" i="6"/>
  <c r="N371" i="6"/>
  <c r="O362" i="4"/>
  <c r="O362" i="5"/>
  <c r="S362" i="6"/>
  <c r="G362" i="6"/>
  <c r="K362" i="4"/>
  <c r="K362" i="5"/>
  <c r="S362" i="4"/>
  <c r="S362" i="5"/>
  <c r="I362" i="6"/>
  <c r="D362" i="6"/>
  <c r="Q362" i="6"/>
  <c r="E362" i="4"/>
  <c r="E362" i="5"/>
  <c r="M362" i="4"/>
  <c r="M362" i="5"/>
  <c r="U362" i="4"/>
  <c r="U362" i="5"/>
  <c r="G362" i="4"/>
  <c r="G362" i="5"/>
  <c r="O362" i="6"/>
  <c r="D362" i="4"/>
  <c r="D362" i="5"/>
  <c r="E362" i="6"/>
  <c r="M362" i="6"/>
  <c r="K362" i="6"/>
  <c r="U362" i="6"/>
  <c r="I362" i="4"/>
  <c r="I362" i="5"/>
  <c r="Q362" i="4"/>
  <c r="Q362" i="5"/>
  <c r="F362" i="4"/>
  <c r="F362" i="5"/>
  <c r="L362" i="4"/>
  <c r="L362" i="5"/>
  <c r="V362" i="6"/>
  <c r="N362" i="4"/>
  <c r="N362" i="5"/>
  <c r="T362" i="6"/>
  <c r="J362" i="4"/>
  <c r="J362" i="5"/>
  <c r="P362" i="6"/>
  <c r="R362" i="6"/>
  <c r="V362" i="4"/>
  <c r="V362" i="5"/>
  <c r="N362" i="6"/>
  <c r="T362" i="4"/>
  <c r="T362" i="5"/>
  <c r="J362" i="6"/>
  <c r="P362" i="4"/>
  <c r="P362" i="5"/>
  <c r="R362" i="4"/>
  <c r="R362" i="5"/>
  <c r="H362" i="4"/>
  <c r="H362" i="5"/>
  <c r="F362" i="6"/>
  <c r="H362" i="6"/>
  <c r="L362" i="6"/>
  <c r="H336" i="4"/>
  <c r="H336" i="5"/>
  <c r="R336" i="4"/>
  <c r="R336" i="5"/>
  <c r="P336" i="4"/>
  <c r="P336" i="5"/>
  <c r="J336" i="4"/>
  <c r="J336" i="5"/>
  <c r="D336" i="4"/>
  <c r="D336" i="5"/>
  <c r="L336" i="4"/>
  <c r="L336" i="5"/>
  <c r="T336" i="4"/>
  <c r="T336" i="5"/>
  <c r="F336" i="4"/>
  <c r="F336" i="5"/>
  <c r="N336" i="4"/>
  <c r="N336" i="5"/>
  <c r="V336" i="4"/>
  <c r="V336" i="5"/>
  <c r="R336" i="6"/>
  <c r="J336" i="6"/>
  <c r="P336" i="6"/>
  <c r="T336" i="6"/>
  <c r="D336" i="6"/>
  <c r="V336" i="6"/>
  <c r="N336" i="6"/>
  <c r="F336" i="6"/>
  <c r="H336" i="6"/>
  <c r="L336" i="6"/>
  <c r="E336" i="4"/>
  <c r="E336" i="5"/>
  <c r="I336" i="4"/>
  <c r="I336" i="5"/>
  <c r="M336" i="4"/>
  <c r="M336" i="5"/>
  <c r="Q336" i="4"/>
  <c r="Q336" i="5"/>
  <c r="U336" i="4"/>
  <c r="U336" i="5"/>
  <c r="G336" i="4"/>
  <c r="G336" i="5"/>
  <c r="K336" i="4"/>
  <c r="K336" i="5"/>
  <c r="O336" i="4"/>
  <c r="O336" i="5"/>
  <c r="S336" i="4"/>
  <c r="S336" i="5"/>
  <c r="G336" i="6"/>
  <c r="O336" i="6"/>
  <c r="Q336" i="6"/>
  <c r="I336" i="6"/>
  <c r="U336" i="6"/>
  <c r="E336" i="6"/>
  <c r="K336" i="6"/>
  <c r="M336" i="6"/>
  <c r="S336" i="6"/>
  <c r="N322" i="4"/>
  <c r="N322" i="5"/>
  <c r="M322" i="6"/>
  <c r="F322" i="4"/>
  <c r="F322" i="5"/>
  <c r="P322" i="6"/>
  <c r="G322" i="6"/>
  <c r="Q322" i="4"/>
  <c r="Q322" i="5"/>
  <c r="H322" i="4"/>
  <c r="H322" i="5"/>
  <c r="P322" i="4"/>
  <c r="P322" i="5"/>
  <c r="D322" i="6"/>
  <c r="R322" i="6"/>
  <c r="R322" i="4"/>
  <c r="R322" i="5"/>
  <c r="T322" i="4"/>
  <c r="T322" i="5"/>
  <c r="K322" i="6"/>
  <c r="S322" i="4"/>
  <c r="S322" i="5"/>
  <c r="U322" i="6"/>
  <c r="N322" i="6"/>
  <c r="V322" i="4"/>
  <c r="V322" i="5"/>
  <c r="G322" i="4"/>
  <c r="G322" i="5"/>
  <c r="Q322" i="6"/>
  <c r="D322" i="4"/>
  <c r="D322" i="5"/>
  <c r="L322" i="6"/>
  <c r="T322" i="6"/>
  <c r="J322" i="6"/>
  <c r="J322" i="4"/>
  <c r="J322" i="5"/>
  <c r="H322" i="6"/>
  <c r="K322" i="4"/>
  <c r="K322" i="5"/>
  <c r="O322" i="4"/>
  <c r="O322" i="5"/>
  <c r="O322" i="6"/>
  <c r="S322" i="6"/>
  <c r="U322" i="4"/>
  <c r="U322" i="5"/>
  <c r="E322" i="6"/>
  <c r="I322" i="4"/>
  <c r="I322" i="5"/>
  <c r="E322" i="4"/>
  <c r="E322" i="5"/>
  <c r="I322" i="6"/>
  <c r="M322" i="4"/>
  <c r="M322" i="5"/>
  <c r="L322" i="4"/>
  <c r="L322" i="5"/>
  <c r="V322" i="6"/>
  <c r="F322" i="6"/>
  <c r="I299" i="4"/>
  <c r="I299" i="5"/>
  <c r="E299" i="6"/>
  <c r="Q299" i="4"/>
  <c r="Q299" i="5"/>
  <c r="D299" i="4"/>
  <c r="D299" i="5"/>
  <c r="U299" i="6"/>
  <c r="D299" i="6"/>
  <c r="K299" i="4"/>
  <c r="K299" i="5"/>
  <c r="S299" i="4"/>
  <c r="S299" i="5"/>
  <c r="K299" i="6"/>
  <c r="S299" i="6"/>
  <c r="G299" i="4"/>
  <c r="G299" i="5"/>
  <c r="O299" i="4"/>
  <c r="O299" i="5"/>
  <c r="G299" i="6"/>
  <c r="O299" i="6"/>
  <c r="J299" i="4"/>
  <c r="J299" i="5"/>
  <c r="H299" i="4"/>
  <c r="H299" i="5"/>
  <c r="F299" i="4"/>
  <c r="F299" i="5"/>
  <c r="F299" i="6"/>
  <c r="V299" i="6"/>
  <c r="H299" i="6"/>
  <c r="R299" i="4"/>
  <c r="R299" i="5"/>
  <c r="R299" i="6"/>
  <c r="V299" i="4"/>
  <c r="V299" i="5"/>
  <c r="L299" i="4"/>
  <c r="L299" i="5"/>
  <c r="N299" i="4"/>
  <c r="N299" i="5"/>
  <c r="N299" i="6"/>
  <c r="P299" i="4"/>
  <c r="P299" i="5"/>
  <c r="T299" i="4"/>
  <c r="T299" i="5"/>
  <c r="T299" i="6"/>
  <c r="M299" i="4"/>
  <c r="M299" i="5"/>
  <c r="U299" i="4"/>
  <c r="U299" i="5"/>
  <c r="Q299" i="6"/>
  <c r="L299" i="6"/>
  <c r="P299" i="6"/>
  <c r="J299" i="6"/>
  <c r="I299" i="6"/>
  <c r="E299" i="4"/>
  <c r="E299" i="5"/>
  <c r="M299" i="6"/>
  <c r="I269" i="6"/>
  <c r="M269" i="4"/>
  <c r="M269" i="5"/>
  <c r="I269" i="4"/>
  <c r="I269" i="5"/>
  <c r="O269" i="6"/>
  <c r="S269" i="4"/>
  <c r="S269" i="5"/>
  <c r="K269" i="4"/>
  <c r="K269" i="5"/>
  <c r="E269" i="6"/>
  <c r="G269" i="6"/>
  <c r="O269" i="4"/>
  <c r="O269" i="5"/>
  <c r="G269" i="4"/>
  <c r="G269" i="5"/>
  <c r="F269" i="4"/>
  <c r="F269" i="5"/>
  <c r="V269" i="4"/>
  <c r="V269" i="5"/>
  <c r="P269" i="4"/>
  <c r="P269" i="5"/>
  <c r="N269" i="4"/>
  <c r="N269" i="5"/>
  <c r="H269" i="6"/>
  <c r="N269" i="6"/>
  <c r="U269" i="4"/>
  <c r="U269" i="5"/>
  <c r="U269" i="6"/>
  <c r="S269" i="6"/>
  <c r="J269" i="6"/>
  <c r="Q269" i="4"/>
  <c r="Q269" i="5"/>
  <c r="D269" i="4"/>
  <c r="D269" i="5"/>
  <c r="Q269" i="6"/>
  <c r="E269" i="4"/>
  <c r="E269" i="5"/>
  <c r="D269" i="6"/>
  <c r="K269" i="6"/>
  <c r="J269" i="4"/>
  <c r="J269" i="5"/>
  <c r="T269" i="6"/>
  <c r="R269" i="6"/>
  <c r="F269" i="6"/>
  <c r="T269" i="4"/>
  <c r="T269" i="5"/>
  <c r="R269" i="4"/>
  <c r="R269" i="5"/>
  <c r="L269" i="4"/>
  <c r="L269" i="5"/>
  <c r="L269" i="6"/>
  <c r="V269" i="6"/>
  <c r="P269" i="6"/>
  <c r="M269" i="6"/>
  <c r="H269" i="4"/>
  <c r="H269" i="5"/>
  <c r="S240" i="4"/>
  <c r="S240" i="5"/>
  <c r="O240" i="6"/>
  <c r="R240" i="6"/>
  <c r="M240" i="6"/>
  <c r="G240" i="6"/>
  <c r="F240" i="4"/>
  <c r="F240" i="5"/>
  <c r="F240" i="6"/>
  <c r="J240" i="4"/>
  <c r="J240" i="5"/>
  <c r="G240" i="4"/>
  <c r="G240" i="5"/>
  <c r="K240" i="6"/>
  <c r="D240" i="4"/>
  <c r="D240" i="5"/>
  <c r="V240" i="6"/>
  <c r="T240" i="4"/>
  <c r="T240" i="5"/>
  <c r="P240" i="4"/>
  <c r="P240" i="5"/>
  <c r="P240" i="6"/>
  <c r="L240" i="6"/>
  <c r="H240" i="4"/>
  <c r="H240" i="5"/>
  <c r="I240" i="6"/>
  <c r="K240" i="4"/>
  <c r="K240" i="5"/>
  <c r="J240" i="6"/>
  <c r="Q240" i="4"/>
  <c r="Q240" i="5"/>
  <c r="D240" i="6"/>
  <c r="O240" i="4"/>
  <c r="O240" i="5"/>
  <c r="S240" i="6"/>
  <c r="V240" i="4"/>
  <c r="V240" i="5"/>
  <c r="T240" i="6"/>
  <c r="L240" i="4"/>
  <c r="L240" i="5"/>
  <c r="H240" i="6"/>
  <c r="N240" i="6"/>
  <c r="U240" i="6"/>
  <c r="U240" i="4"/>
  <c r="U240" i="5"/>
  <c r="E240" i="4"/>
  <c r="E240" i="5"/>
  <c r="N240" i="4"/>
  <c r="N240" i="5"/>
  <c r="R240" i="4"/>
  <c r="R240" i="5"/>
  <c r="E240" i="6"/>
  <c r="I240" i="4"/>
  <c r="I240" i="5"/>
  <c r="Q240" i="6"/>
  <c r="M240" i="4"/>
  <c r="M240" i="5"/>
  <c r="D227" i="6"/>
  <c r="L227" i="6"/>
  <c r="T227" i="6"/>
  <c r="F227" i="6"/>
  <c r="N227" i="6"/>
  <c r="V227" i="6"/>
  <c r="H227" i="6"/>
  <c r="P227" i="6"/>
  <c r="M227" i="6"/>
  <c r="J227" i="6"/>
  <c r="R227" i="6"/>
  <c r="T227" i="4"/>
  <c r="T227" i="5"/>
  <c r="P227" i="4"/>
  <c r="P227" i="5"/>
  <c r="L227" i="4"/>
  <c r="L227" i="5"/>
  <c r="H227" i="4"/>
  <c r="H227" i="5"/>
  <c r="V227" i="4"/>
  <c r="V227" i="5"/>
  <c r="R227" i="4"/>
  <c r="R227" i="5"/>
  <c r="N227" i="4"/>
  <c r="N227" i="5"/>
  <c r="J227" i="4"/>
  <c r="J227" i="5"/>
  <c r="F227" i="4"/>
  <c r="F227" i="5"/>
  <c r="K227" i="6"/>
  <c r="S227" i="6"/>
  <c r="D227" i="4"/>
  <c r="D227" i="5"/>
  <c r="E227" i="4"/>
  <c r="E227" i="5"/>
  <c r="G227" i="4"/>
  <c r="G227" i="5"/>
  <c r="I227" i="6"/>
  <c r="M227" i="4"/>
  <c r="M227" i="5"/>
  <c r="O227" i="4"/>
  <c r="O227" i="5"/>
  <c r="Q227" i="6"/>
  <c r="U227" i="4"/>
  <c r="U227" i="5"/>
  <c r="E227" i="6"/>
  <c r="O227" i="6"/>
  <c r="U227" i="6"/>
  <c r="G227" i="6"/>
  <c r="I227" i="4"/>
  <c r="I227" i="5"/>
  <c r="Q227" i="4"/>
  <c r="Q227" i="5"/>
  <c r="K227" i="4"/>
  <c r="K227" i="5"/>
  <c r="S227" i="4"/>
  <c r="S227" i="5"/>
  <c r="Q182" i="6"/>
  <c r="F182" i="6"/>
  <c r="N182" i="6"/>
  <c r="E182" i="6"/>
  <c r="V182" i="6"/>
  <c r="P182" i="6"/>
  <c r="L182" i="4"/>
  <c r="L182" i="5"/>
  <c r="F182" i="4"/>
  <c r="F182" i="5"/>
  <c r="P182" i="4"/>
  <c r="P182" i="5"/>
  <c r="S182" i="4"/>
  <c r="S182" i="5"/>
  <c r="D182" i="6"/>
  <c r="T182" i="6"/>
  <c r="J182" i="6"/>
  <c r="R182" i="6"/>
  <c r="L182" i="6"/>
  <c r="H182" i="6"/>
  <c r="R182" i="4"/>
  <c r="R182" i="5"/>
  <c r="V182" i="4"/>
  <c r="V182" i="5"/>
  <c r="T182" i="4"/>
  <c r="T182" i="5"/>
  <c r="J182" i="4"/>
  <c r="J182" i="5"/>
  <c r="N182" i="4"/>
  <c r="N182" i="5"/>
  <c r="D182" i="4"/>
  <c r="D182" i="5"/>
  <c r="G182" i="6"/>
  <c r="K182" i="6"/>
  <c r="Q182" i="4"/>
  <c r="Q182" i="5"/>
  <c r="U182" i="6"/>
  <c r="E182" i="4"/>
  <c r="E182" i="5"/>
  <c r="I182" i="6"/>
  <c r="O182" i="6"/>
  <c r="S182" i="6"/>
  <c r="G182" i="4"/>
  <c r="G182" i="5"/>
  <c r="M182" i="4"/>
  <c r="M182" i="5"/>
  <c r="M182" i="6"/>
  <c r="I182" i="4"/>
  <c r="I182" i="5"/>
  <c r="U182" i="4"/>
  <c r="U182" i="5"/>
  <c r="K182" i="4"/>
  <c r="K182" i="5"/>
  <c r="O182" i="4"/>
  <c r="O182" i="5"/>
  <c r="H182" i="4"/>
  <c r="H182" i="5"/>
  <c r="D167" i="6"/>
  <c r="P167" i="6"/>
  <c r="R167" i="6"/>
  <c r="L167" i="4"/>
  <c r="L167" i="5"/>
  <c r="J167" i="6"/>
  <c r="H167" i="6"/>
  <c r="T167" i="4"/>
  <c r="T167" i="5"/>
  <c r="V167" i="6"/>
  <c r="S167" i="4"/>
  <c r="S167" i="5"/>
  <c r="G167" i="4"/>
  <c r="G167" i="5"/>
  <c r="I167" i="4"/>
  <c r="I167" i="5"/>
  <c r="M167" i="6"/>
  <c r="U167" i="6"/>
  <c r="G167" i="6"/>
  <c r="K167" i="6"/>
  <c r="O167" i="4"/>
  <c r="O167" i="5"/>
  <c r="Q167" i="4"/>
  <c r="Q167" i="5"/>
  <c r="I167" i="6"/>
  <c r="M167" i="4"/>
  <c r="M167" i="5"/>
  <c r="E167" i="4"/>
  <c r="E167" i="5"/>
  <c r="E167" i="6"/>
  <c r="K167" i="4"/>
  <c r="K167" i="5"/>
  <c r="O167" i="6"/>
  <c r="Q167" i="6"/>
  <c r="U167" i="4"/>
  <c r="U167" i="5"/>
  <c r="S167" i="6"/>
  <c r="F167" i="6"/>
  <c r="T167" i="6"/>
  <c r="P167" i="4"/>
  <c r="P167" i="5"/>
  <c r="V167" i="4"/>
  <c r="V167" i="5"/>
  <c r="N167" i="4"/>
  <c r="N167" i="5"/>
  <c r="F167" i="4"/>
  <c r="F167" i="5"/>
  <c r="D167" i="4"/>
  <c r="D167" i="5"/>
  <c r="H167" i="4"/>
  <c r="H167" i="5"/>
  <c r="J167" i="4"/>
  <c r="J167" i="5"/>
  <c r="R167" i="4"/>
  <c r="R167" i="5"/>
  <c r="L167" i="6"/>
  <c r="N167" i="6"/>
  <c r="O150" i="4"/>
  <c r="O150" i="5"/>
  <c r="G150" i="6"/>
  <c r="K150" i="6"/>
  <c r="O150" i="6"/>
  <c r="S150" i="6"/>
  <c r="D150" i="4"/>
  <c r="D150" i="5"/>
  <c r="G150" i="4"/>
  <c r="G150" i="5"/>
  <c r="K150" i="4"/>
  <c r="K150" i="5"/>
  <c r="Q150" i="4"/>
  <c r="Q150" i="5"/>
  <c r="U150" i="4"/>
  <c r="U150" i="5"/>
  <c r="P150" i="4"/>
  <c r="P150" i="5"/>
  <c r="E150" i="4"/>
  <c r="E150" i="5"/>
  <c r="I150" i="4"/>
  <c r="I150" i="5"/>
  <c r="M150" i="4"/>
  <c r="M150" i="5"/>
  <c r="S150" i="4"/>
  <c r="S150" i="5"/>
  <c r="D150" i="6"/>
  <c r="E150" i="6"/>
  <c r="I150" i="6"/>
  <c r="M150" i="6"/>
  <c r="Q150" i="6"/>
  <c r="U150" i="6"/>
  <c r="P150" i="6"/>
  <c r="V150" i="4"/>
  <c r="V150" i="5"/>
  <c r="T150" i="6"/>
  <c r="N150" i="4"/>
  <c r="N150" i="5"/>
  <c r="J150" i="4"/>
  <c r="J150" i="5"/>
  <c r="F150" i="4"/>
  <c r="F150" i="5"/>
  <c r="J150" i="6"/>
  <c r="H150" i="6"/>
  <c r="R150" i="4"/>
  <c r="R150" i="5"/>
  <c r="R150" i="6"/>
  <c r="T150" i="4"/>
  <c r="T150" i="5"/>
  <c r="H150" i="4"/>
  <c r="H150" i="5"/>
  <c r="L150" i="4"/>
  <c r="L150" i="5"/>
  <c r="N150" i="6"/>
  <c r="L150" i="6"/>
  <c r="V150" i="6"/>
  <c r="F150" i="6"/>
  <c r="Q137" i="4"/>
  <c r="Q137" i="5"/>
  <c r="O137" i="6"/>
  <c r="G137" i="4"/>
  <c r="G137" i="5"/>
  <c r="M137" i="6"/>
  <c r="D137" i="6"/>
  <c r="U137" i="4"/>
  <c r="U137" i="5"/>
  <c r="M137" i="4"/>
  <c r="M137" i="5"/>
  <c r="E137" i="4"/>
  <c r="E137" i="5"/>
  <c r="G137" i="6"/>
  <c r="K137" i="6"/>
  <c r="E137" i="6"/>
  <c r="I137" i="6"/>
  <c r="O137" i="4"/>
  <c r="O137" i="5"/>
  <c r="U137" i="6"/>
  <c r="S137" i="4"/>
  <c r="S137" i="5"/>
  <c r="S137" i="6"/>
  <c r="F137" i="6"/>
  <c r="P137" i="6"/>
  <c r="L137" i="4"/>
  <c r="L137" i="5"/>
  <c r="D137" i="4"/>
  <c r="D137" i="5"/>
  <c r="I137" i="4"/>
  <c r="I137" i="5"/>
  <c r="Q137" i="6"/>
  <c r="J137" i="4"/>
  <c r="J137" i="5"/>
  <c r="P137" i="4"/>
  <c r="P137" i="5"/>
  <c r="V137" i="4"/>
  <c r="V137" i="5"/>
  <c r="T137" i="6"/>
  <c r="N137" i="4"/>
  <c r="N137" i="5"/>
  <c r="L137" i="6"/>
  <c r="K137" i="4"/>
  <c r="K137" i="5"/>
  <c r="R137" i="4"/>
  <c r="R137" i="5"/>
  <c r="R137" i="6"/>
  <c r="J137" i="6"/>
  <c r="V137" i="6"/>
  <c r="T137" i="4"/>
  <c r="T137" i="5"/>
  <c r="N137" i="6"/>
  <c r="H137" i="4"/>
  <c r="H137" i="5"/>
  <c r="H137" i="6"/>
  <c r="F137" i="4"/>
  <c r="F137" i="5"/>
  <c r="G98" i="6"/>
  <c r="D98" i="6"/>
  <c r="E98" i="6"/>
  <c r="O98" i="6"/>
  <c r="S98" i="6"/>
  <c r="G98" i="4"/>
  <c r="G98" i="5"/>
  <c r="E98" i="4"/>
  <c r="E98" i="5"/>
  <c r="T98" i="6"/>
  <c r="S98" i="4"/>
  <c r="S98" i="5"/>
  <c r="Q98" i="4"/>
  <c r="Q98" i="5"/>
  <c r="K98" i="4"/>
  <c r="K98" i="5"/>
  <c r="U98" i="6"/>
  <c r="I98" i="4"/>
  <c r="I98" i="5"/>
  <c r="M98" i="6"/>
  <c r="P98" i="6"/>
  <c r="N98" i="6"/>
  <c r="K98" i="6"/>
  <c r="T98" i="4"/>
  <c r="T98" i="5"/>
  <c r="Q98" i="6"/>
  <c r="D98" i="4"/>
  <c r="D98" i="5"/>
  <c r="O98" i="4"/>
  <c r="O98" i="5"/>
  <c r="I98" i="6"/>
  <c r="U98" i="4"/>
  <c r="U98" i="5"/>
  <c r="M98" i="4"/>
  <c r="M98" i="5"/>
  <c r="P98" i="4"/>
  <c r="P98" i="5"/>
  <c r="H98" i="6"/>
  <c r="J98" i="4"/>
  <c r="J98" i="5"/>
  <c r="L98" i="6"/>
  <c r="R98" i="4"/>
  <c r="R98" i="5"/>
  <c r="V98" i="4"/>
  <c r="V98" i="5"/>
  <c r="F98" i="4"/>
  <c r="F98" i="5"/>
  <c r="H98" i="4"/>
  <c r="H98" i="5"/>
  <c r="J98" i="6"/>
  <c r="L98" i="4"/>
  <c r="L98" i="5"/>
  <c r="R98" i="6"/>
  <c r="V98" i="6"/>
  <c r="N98" i="4"/>
  <c r="N98" i="5"/>
  <c r="F98" i="6"/>
  <c r="L59" i="6"/>
  <c r="P59" i="4"/>
  <c r="P59" i="5"/>
  <c r="J59" i="6"/>
  <c r="F59" i="6"/>
  <c r="J59" i="4"/>
  <c r="J59" i="5"/>
  <c r="R59" i="4"/>
  <c r="R59" i="5"/>
  <c r="H59" i="4"/>
  <c r="H59" i="5"/>
  <c r="D59" i="4"/>
  <c r="D59" i="5"/>
  <c r="G59" i="6"/>
  <c r="M59" i="6"/>
  <c r="H59" i="6"/>
  <c r="R59" i="6"/>
  <c r="Q59" i="6"/>
  <c r="K59" i="4"/>
  <c r="K59" i="5"/>
  <c r="F59" i="4"/>
  <c r="F59" i="5"/>
  <c r="L59" i="4"/>
  <c r="L59" i="5"/>
  <c r="D59" i="6"/>
  <c r="I59" i="4"/>
  <c r="I59" i="5"/>
  <c r="I59" i="6"/>
  <c r="G59" i="4"/>
  <c r="G59" i="5"/>
  <c r="P59" i="6"/>
  <c r="V59" i="4"/>
  <c r="V59" i="5"/>
  <c r="V59" i="6"/>
  <c r="T59" i="4"/>
  <c r="T59" i="5"/>
  <c r="S59" i="4"/>
  <c r="S59" i="5"/>
  <c r="S59" i="6"/>
  <c r="Q59" i="4"/>
  <c r="Q59" i="5"/>
  <c r="K59" i="6"/>
  <c r="O59" i="6"/>
  <c r="U59" i="6"/>
  <c r="E59" i="6"/>
  <c r="O59" i="4"/>
  <c r="O59" i="5"/>
  <c r="N59" i="4"/>
  <c r="N59" i="5"/>
  <c r="M59" i="4"/>
  <c r="M59" i="5"/>
  <c r="U59" i="4"/>
  <c r="U59" i="5"/>
  <c r="T59" i="6"/>
  <c r="N59" i="6"/>
  <c r="E59" i="4"/>
  <c r="E59" i="5"/>
  <c r="T515" i="6"/>
  <c r="L515" i="6"/>
  <c r="D515" i="6"/>
  <c r="P515" i="6"/>
  <c r="H515" i="6"/>
  <c r="R515" i="4"/>
  <c r="R515" i="5"/>
  <c r="J515" i="4"/>
  <c r="J515" i="5"/>
  <c r="O515" i="6"/>
  <c r="U515" i="4"/>
  <c r="U515" i="5"/>
  <c r="Q515" i="4"/>
  <c r="Q515" i="5"/>
  <c r="M515" i="4"/>
  <c r="M515" i="5"/>
  <c r="I515" i="4"/>
  <c r="I515" i="5"/>
  <c r="E515" i="4"/>
  <c r="E515" i="5"/>
  <c r="O515" i="4"/>
  <c r="O515" i="5"/>
  <c r="G515" i="4"/>
  <c r="G515" i="5"/>
  <c r="Q515" i="6"/>
  <c r="J515" i="6"/>
  <c r="R515" i="6"/>
  <c r="I515" i="6"/>
  <c r="S515" i="4"/>
  <c r="S515" i="5"/>
  <c r="K515" i="4"/>
  <c r="K515" i="5"/>
  <c r="F515" i="4"/>
  <c r="F515" i="5"/>
  <c r="N515" i="4"/>
  <c r="N515" i="5"/>
  <c r="V515" i="4"/>
  <c r="V515" i="5"/>
  <c r="D515" i="4"/>
  <c r="D515" i="5"/>
  <c r="H515" i="4"/>
  <c r="H515" i="5"/>
  <c r="L515" i="4"/>
  <c r="L515" i="5"/>
  <c r="P515" i="4"/>
  <c r="P515" i="5"/>
  <c r="T515" i="4"/>
  <c r="T515" i="5"/>
  <c r="F515" i="6"/>
  <c r="N515" i="6"/>
  <c r="G515" i="6"/>
  <c r="M515" i="6"/>
  <c r="K515" i="6"/>
  <c r="E515" i="6"/>
  <c r="U515" i="6"/>
  <c r="S515" i="6"/>
  <c r="V515" i="6"/>
  <c r="M490" i="6"/>
  <c r="V490" i="4"/>
  <c r="V490" i="5"/>
  <c r="N490" i="4"/>
  <c r="N490" i="5"/>
  <c r="F490" i="4"/>
  <c r="F490" i="5"/>
  <c r="R490" i="6"/>
  <c r="H490" i="6"/>
  <c r="N490" i="6"/>
  <c r="T490" i="6"/>
  <c r="Q490" i="4"/>
  <c r="Q490" i="5"/>
  <c r="T490" i="4"/>
  <c r="T490" i="5"/>
  <c r="P490" i="4"/>
  <c r="P490" i="5"/>
  <c r="L490" i="4"/>
  <c r="L490" i="5"/>
  <c r="H490" i="4"/>
  <c r="H490" i="5"/>
  <c r="D490" i="4"/>
  <c r="D490" i="5"/>
  <c r="V490" i="6"/>
  <c r="F490" i="6"/>
  <c r="L490" i="6"/>
  <c r="I490" i="4"/>
  <c r="I490" i="5"/>
  <c r="M490" i="4"/>
  <c r="M490" i="5"/>
  <c r="J490" i="6"/>
  <c r="J490" i="4"/>
  <c r="J490" i="5"/>
  <c r="R490" i="4"/>
  <c r="R490" i="5"/>
  <c r="E490" i="6"/>
  <c r="S490" i="6"/>
  <c r="G490" i="6"/>
  <c r="U490" i="4"/>
  <c r="U490" i="5"/>
  <c r="E490" i="4"/>
  <c r="E490" i="5"/>
  <c r="P490" i="6"/>
  <c r="D490" i="6"/>
  <c r="U490" i="6"/>
  <c r="S490" i="4"/>
  <c r="S490" i="5"/>
  <c r="G490" i="4"/>
  <c r="G490" i="5"/>
  <c r="O490" i="6"/>
  <c r="K490" i="4"/>
  <c r="K490" i="5"/>
  <c r="Q490" i="6"/>
  <c r="O490" i="4"/>
  <c r="O490" i="5"/>
  <c r="K490" i="6"/>
  <c r="I490" i="6"/>
  <c r="U29" i="6"/>
  <c r="K29" i="6"/>
  <c r="O29" i="6"/>
  <c r="O29" i="4"/>
  <c r="O29" i="5"/>
  <c r="E29" i="4"/>
  <c r="E29" i="5"/>
  <c r="U29" i="4"/>
  <c r="U29" i="5"/>
  <c r="Q29" i="4"/>
  <c r="Q29" i="5"/>
  <c r="M29" i="4"/>
  <c r="M29" i="5"/>
  <c r="I29" i="4"/>
  <c r="I29" i="5"/>
  <c r="D29" i="4"/>
  <c r="D29" i="5"/>
  <c r="I29" i="6"/>
  <c r="S29" i="6"/>
  <c r="H29" i="6"/>
  <c r="Q29" i="6"/>
  <c r="G29" i="4"/>
  <c r="G29" i="5"/>
  <c r="T29" i="6"/>
  <c r="H29" i="4"/>
  <c r="H29" i="5"/>
  <c r="F29" i="6"/>
  <c r="S29" i="4"/>
  <c r="S29" i="5"/>
  <c r="K29" i="4"/>
  <c r="K29" i="5"/>
  <c r="D29" i="6"/>
  <c r="M29" i="6"/>
  <c r="N29" i="4"/>
  <c r="N29" i="5"/>
  <c r="E29" i="6"/>
  <c r="T29" i="4"/>
  <c r="T29" i="5"/>
  <c r="N29" i="6"/>
  <c r="F29" i="4"/>
  <c r="F29" i="5"/>
  <c r="V29" i="6"/>
  <c r="R29" i="6"/>
  <c r="L29" i="4"/>
  <c r="L29" i="5"/>
  <c r="J29" i="6"/>
  <c r="G29" i="6"/>
  <c r="V29" i="4"/>
  <c r="V29" i="5"/>
  <c r="R29" i="4"/>
  <c r="R29" i="5"/>
  <c r="P29" i="4"/>
  <c r="P29" i="5"/>
  <c r="P29" i="6"/>
  <c r="L29" i="6"/>
  <c r="J29" i="4"/>
  <c r="J29" i="5"/>
  <c r="H460" i="6"/>
  <c r="N460" i="4"/>
  <c r="N460" i="5"/>
  <c r="I460" i="4"/>
  <c r="I460" i="5"/>
  <c r="Q460" i="6"/>
  <c r="D460" i="6"/>
  <c r="M460" i="6"/>
  <c r="D460" i="4"/>
  <c r="D460" i="5"/>
  <c r="O460" i="4"/>
  <c r="O460" i="5"/>
  <c r="U460" i="6"/>
  <c r="P460" i="4"/>
  <c r="P460" i="5"/>
  <c r="T460" i="6"/>
  <c r="N460" i="6"/>
  <c r="V460" i="6"/>
  <c r="E460" i="4"/>
  <c r="E460" i="5"/>
  <c r="U460" i="4"/>
  <c r="U460" i="5"/>
  <c r="K460" i="4"/>
  <c r="K460" i="5"/>
  <c r="I460" i="6"/>
  <c r="M460" i="4"/>
  <c r="M460" i="5"/>
  <c r="K460" i="6"/>
  <c r="O460" i="6"/>
  <c r="Q460" i="4"/>
  <c r="Q460" i="5"/>
  <c r="S460" i="6"/>
  <c r="G460" i="4"/>
  <c r="G460" i="5"/>
  <c r="G460" i="6"/>
  <c r="H460" i="4"/>
  <c r="H460" i="5"/>
  <c r="L460" i="4"/>
  <c r="L460" i="5"/>
  <c r="L460" i="6"/>
  <c r="P460" i="6"/>
  <c r="T460" i="4"/>
  <c r="T460" i="5"/>
  <c r="J460" i="4"/>
  <c r="J460" i="5"/>
  <c r="J460" i="6"/>
  <c r="R460" i="4"/>
  <c r="R460" i="5"/>
  <c r="V460" i="4"/>
  <c r="V460" i="5"/>
  <c r="E460" i="6"/>
  <c r="S460" i="4"/>
  <c r="S460" i="5"/>
  <c r="F460" i="4"/>
  <c r="F460" i="5"/>
  <c r="F460" i="6"/>
  <c r="R460" i="6"/>
  <c r="E444" i="4"/>
  <c r="E444" i="5"/>
  <c r="O444" i="6"/>
  <c r="U444" i="4"/>
  <c r="U444" i="5"/>
  <c r="D444" i="4"/>
  <c r="D444" i="5"/>
  <c r="E444" i="6"/>
  <c r="M444" i="6"/>
  <c r="U444" i="6"/>
  <c r="K444" i="4"/>
  <c r="K444" i="5"/>
  <c r="S444" i="4"/>
  <c r="S444" i="5"/>
  <c r="S444" i="6"/>
  <c r="Q444" i="4"/>
  <c r="Q444" i="5"/>
  <c r="I444" i="6"/>
  <c r="Q444" i="6"/>
  <c r="G444" i="4"/>
  <c r="G444" i="5"/>
  <c r="O444" i="4"/>
  <c r="O444" i="5"/>
  <c r="K444" i="6"/>
  <c r="I444" i="4"/>
  <c r="I444" i="5"/>
  <c r="F444" i="4"/>
  <c r="F444" i="5"/>
  <c r="L444" i="6"/>
  <c r="V444" i="4"/>
  <c r="V444" i="5"/>
  <c r="H444" i="6"/>
  <c r="T444" i="4"/>
  <c r="T444" i="5"/>
  <c r="P444" i="4"/>
  <c r="P444" i="5"/>
  <c r="J444" i="6"/>
  <c r="R444" i="6"/>
  <c r="P444" i="6"/>
  <c r="V444" i="6"/>
  <c r="J444" i="4"/>
  <c r="J444" i="5"/>
  <c r="R444" i="4"/>
  <c r="R444" i="5"/>
  <c r="N444" i="4"/>
  <c r="N444" i="5"/>
  <c r="F444" i="6"/>
  <c r="N444" i="6"/>
  <c r="H444" i="4"/>
  <c r="H444" i="5"/>
  <c r="T444" i="6"/>
  <c r="M444" i="4"/>
  <c r="M444" i="5"/>
  <c r="G444" i="6"/>
  <c r="L444" i="4"/>
  <c r="L444" i="5"/>
  <c r="D444" i="6"/>
  <c r="M430" i="4"/>
  <c r="M430" i="5"/>
  <c r="E430" i="6"/>
  <c r="M430" i="6"/>
  <c r="I430" i="6"/>
  <c r="Q430" i="6"/>
  <c r="O430" i="6"/>
  <c r="S430" i="6"/>
  <c r="D430" i="6"/>
  <c r="K430" i="6"/>
  <c r="G430" i="6"/>
  <c r="U430" i="6"/>
  <c r="Q430" i="4"/>
  <c r="Q430" i="5"/>
  <c r="G430" i="4"/>
  <c r="G430" i="5"/>
  <c r="O430" i="4"/>
  <c r="O430" i="5"/>
  <c r="E430" i="4"/>
  <c r="E430" i="5"/>
  <c r="I430" i="4"/>
  <c r="I430" i="5"/>
  <c r="D430" i="4"/>
  <c r="D430" i="5"/>
  <c r="K430" i="4"/>
  <c r="K430" i="5"/>
  <c r="S430" i="4"/>
  <c r="S430" i="5"/>
  <c r="U430" i="4"/>
  <c r="U430" i="5"/>
  <c r="L430" i="6"/>
  <c r="V430" i="6"/>
  <c r="H430" i="6"/>
  <c r="R430" i="6"/>
  <c r="F430" i="4"/>
  <c r="F430" i="5"/>
  <c r="F430" i="6"/>
  <c r="L430" i="4"/>
  <c r="L430" i="5"/>
  <c r="T430" i="6"/>
  <c r="R430" i="4"/>
  <c r="R430" i="5"/>
  <c r="P430" i="4"/>
  <c r="P430" i="5"/>
  <c r="P430" i="6"/>
  <c r="T430" i="4"/>
  <c r="T430" i="5"/>
  <c r="N430" i="6"/>
  <c r="J430" i="4"/>
  <c r="J430" i="5"/>
  <c r="J430" i="6"/>
  <c r="N430" i="4"/>
  <c r="N430" i="5"/>
  <c r="V430" i="4"/>
  <c r="V430" i="5"/>
  <c r="H430" i="4"/>
  <c r="H430" i="5"/>
  <c r="P412" i="6"/>
  <c r="V412" i="6"/>
  <c r="N412" i="6"/>
  <c r="T412" i="4"/>
  <c r="T412" i="5"/>
  <c r="D412" i="4"/>
  <c r="D412" i="5"/>
  <c r="J412" i="6"/>
  <c r="L412" i="6"/>
  <c r="P412" i="4"/>
  <c r="P412" i="5"/>
  <c r="F412" i="4"/>
  <c r="F412" i="5"/>
  <c r="H412" i="6"/>
  <c r="N412" i="4"/>
  <c r="N412" i="5"/>
  <c r="R412" i="6"/>
  <c r="J412" i="4"/>
  <c r="J412" i="5"/>
  <c r="F412" i="6"/>
  <c r="L412" i="4"/>
  <c r="L412" i="5"/>
  <c r="R412" i="4"/>
  <c r="R412" i="5"/>
  <c r="T412" i="6"/>
  <c r="D412" i="6"/>
  <c r="V412" i="4"/>
  <c r="V412" i="5"/>
  <c r="H412" i="4"/>
  <c r="H412" i="5"/>
  <c r="M412" i="6"/>
  <c r="E412" i="6"/>
  <c r="K412" i="4"/>
  <c r="K412" i="5"/>
  <c r="I412" i="4"/>
  <c r="I412" i="5"/>
  <c r="G412" i="6"/>
  <c r="Q412" i="4"/>
  <c r="Q412" i="5"/>
  <c r="Q412" i="6"/>
  <c r="O412" i="4"/>
  <c r="O412" i="5"/>
  <c r="U412" i="4"/>
  <c r="U412" i="5"/>
  <c r="G412" i="4"/>
  <c r="G412" i="5"/>
  <c r="O412" i="6"/>
  <c r="U412" i="6"/>
  <c r="E412" i="4"/>
  <c r="E412" i="5"/>
  <c r="I412" i="6"/>
  <c r="K412" i="6"/>
  <c r="S412" i="4"/>
  <c r="S412" i="5"/>
  <c r="S412" i="6"/>
  <c r="M412" i="4"/>
  <c r="M412" i="5"/>
  <c r="U387" i="4"/>
  <c r="U387" i="5"/>
  <c r="K387" i="6"/>
  <c r="E387" i="4"/>
  <c r="E387" i="5"/>
  <c r="G387" i="6"/>
  <c r="M387" i="4"/>
  <c r="M387" i="5"/>
  <c r="S387" i="6"/>
  <c r="O387" i="6"/>
  <c r="G387" i="4"/>
  <c r="G387" i="5"/>
  <c r="O387" i="4"/>
  <c r="O387" i="5"/>
  <c r="U387" i="6"/>
  <c r="M387" i="6"/>
  <c r="E387" i="6"/>
  <c r="I387" i="4"/>
  <c r="I387" i="5"/>
  <c r="D387" i="4"/>
  <c r="D387" i="5"/>
  <c r="K387" i="4"/>
  <c r="K387" i="5"/>
  <c r="S387" i="4"/>
  <c r="S387" i="5"/>
  <c r="Q387" i="6"/>
  <c r="I387" i="6"/>
  <c r="Q387" i="4"/>
  <c r="Q387" i="5"/>
  <c r="D387" i="6"/>
  <c r="R387" i="4"/>
  <c r="R387" i="5"/>
  <c r="H387" i="4"/>
  <c r="H387" i="5"/>
  <c r="J387" i="4"/>
  <c r="J387" i="5"/>
  <c r="L387" i="4"/>
  <c r="L387" i="5"/>
  <c r="P387" i="6"/>
  <c r="T387" i="4"/>
  <c r="T387" i="5"/>
  <c r="H387" i="6"/>
  <c r="R387" i="6"/>
  <c r="P387" i="4"/>
  <c r="P387" i="5"/>
  <c r="L387" i="6"/>
  <c r="F387" i="4"/>
  <c r="F387" i="5"/>
  <c r="F387" i="6"/>
  <c r="N387" i="6"/>
  <c r="V387" i="4"/>
  <c r="V387" i="5"/>
  <c r="T387" i="6"/>
  <c r="J387" i="6"/>
  <c r="N387" i="4"/>
  <c r="N387" i="5"/>
  <c r="V387" i="6"/>
  <c r="G361" i="6"/>
  <c r="O361" i="4"/>
  <c r="O361" i="5"/>
  <c r="S361" i="4"/>
  <c r="S361" i="5"/>
  <c r="K361" i="6"/>
  <c r="Q361" i="4"/>
  <c r="Q361" i="5"/>
  <c r="I361" i="4"/>
  <c r="I361" i="5"/>
  <c r="U361" i="6"/>
  <c r="M361" i="6"/>
  <c r="E361" i="6"/>
  <c r="U361" i="4"/>
  <c r="U361" i="5"/>
  <c r="M361" i="4"/>
  <c r="M361" i="5"/>
  <c r="E361" i="4"/>
  <c r="E361" i="5"/>
  <c r="Q361" i="6"/>
  <c r="I361" i="6"/>
  <c r="F361" i="4"/>
  <c r="F361" i="5"/>
  <c r="V361" i="6"/>
  <c r="L361" i="4"/>
  <c r="L361" i="5"/>
  <c r="H361" i="4"/>
  <c r="H361" i="5"/>
  <c r="T361" i="4"/>
  <c r="T361" i="5"/>
  <c r="T361" i="6"/>
  <c r="P361" i="4"/>
  <c r="P361" i="5"/>
  <c r="V361" i="4"/>
  <c r="V361" i="5"/>
  <c r="D361" i="4"/>
  <c r="D361" i="5"/>
  <c r="O361" i="6"/>
  <c r="G361" i="4"/>
  <c r="G361" i="5"/>
  <c r="J361" i="4"/>
  <c r="J361" i="5"/>
  <c r="R361" i="4"/>
  <c r="R361" i="5"/>
  <c r="R361" i="6"/>
  <c r="H361" i="6"/>
  <c r="K361" i="4"/>
  <c r="K361" i="5"/>
  <c r="D361" i="6"/>
  <c r="P361" i="6"/>
  <c r="S361" i="6"/>
  <c r="J361" i="6"/>
  <c r="N361" i="6"/>
  <c r="L361" i="6"/>
  <c r="N361" i="4"/>
  <c r="N361" i="5"/>
  <c r="F361" i="6"/>
  <c r="K311" i="4"/>
  <c r="K311" i="5"/>
  <c r="O311" i="6"/>
  <c r="U311" i="4"/>
  <c r="U311" i="5"/>
  <c r="S311" i="4"/>
  <c r="S311" i="5"/>
  <c r="E311" i="4"/>
  <c r="E311" i="5"/>
  <c r="R311" i="4"/>
  <c r="R311" i="5"/>
  <c r="G311" i="4"/>
  <c r="G311" i="5"/>
  <c r="G311" i="6"/>
  <c r="M311" i="4"/>
  <c r="M311" i="5"/>
  <c r="D311" i="4"/>
  <c r="D311" i="5"/>
  <c r="Q311" i="4"/>
  <c r="Q311" i="5"/>
  <c r="M311" i="6"/>
  <c r="D311" i="6"/>
  <c r="S311" i="6"/>
  <c r="J311" i="4"/>
  <c r="J311" i="5"/>
  <c r="J311" i="6"/>
  <c r="N311" i="6"/>
  <c r="T311" i="4"/>
  <c r="T311" i="5"/>
  <c r="T311" i="6"/>
  <c r="U311" i="6"/>
  <c r="O311" i="4"/>
  <c r="O311" i="5"/>
  <c r="I311" i="6"/>
  <c r="E311" i="6"/>
  <c r="I311" i="4"/>
  <c r="I311" i="5"/>
  <c r="K311" i="6"/>
  <c r="Q311" i="6"/>
  <c r="N311" i="4"/>
  <c r="N311" i="5"/>
  <c r="P311" i="4"/>
  <c r="P311" i="5"/>
  <c r="P311" i="6"/>
  <c r="H311" i="4"/>
  <c r="H311" i="5"/>
  <c r="L311" i="4"/>
  <c r="L311" i="5"/>
  <c r="L311" i="6"/>
  <c r="V311" i="6"/>
  <c r="R311" i="6"/>
  <c r="F311" i="4"/>
  <c r="F311" i="5"/>
  <c r="F311" i="6"/>
  <c r="H311" i="6"/>
  <c r="V311" i="4"/>
  <c r="V311" i="5"/>
  <c r="I298" i="6"/>
  <c r="S298" i="6"/>
  <c r="L298" i="4"/>
  <c r="L298" i="5"/>
  <c r="P298" i="6"/>
  <c r="T298" i="6"/>
  <c r="R298" i="6"/>
  <c r="E298" i="4"/>
  <c r="E298" i="5"/>
  <c r="U298" i="4"/>
  <c r="U298" i="5"/>
  <c r="Q298" i="6"/>
  <c r="K298" i="4"/>
  <c r="K298" i="5"/>
  <c r="S298" i="4"/>
  <c r="S298" i="5"/>
  <c r="O298" i="6"/>
  <c r="E298" i="6"/>
  <c r="D298" i="4"/>
  <c r="D298" i="5"/>
  <c r="H298" i="6"/>
  <c r="N298" i="4"/>
  <c r="N298" i="5"/>
  <c r="D298" i="6"/>
  <c r="M298" i="6"/>
  <c r="L298" i="6"/>
  <c r="P298" i="4"/>
  <c r="P298" i="5"/>
  <c r="T298" i="4"/>
  <c r="T298" i="5"/>
  <c r="R298" i="4"/>
  <c r="R298" i="5"/>
  <c r="G298" i="4"/>
  <c r="G298" i="5"/>
  <c r="O298" i="4"/>
  <c r="O298" i="5"/>
  <c r="G298" i="6"/>
  <c r="U298" i="6"/>
  <c r="Q298" i="4"/>
  <c r="Q298" i="5"/>
  <c r="F298" i="4"/>
  <c r="F298" i="5"/>
  <c r="F298" i="6"/>
  <c r="H298" i="4"/>
  <c r="H298" i="5"/>
  <c r="J298" i="4"/>
  <c r="J298" i="5"/>
  <c r="J298" i="6"/>
  <c r="N298" i="6"/>
  <c r="V298" i="4"/>
  <c r="V298" i="5"/>
  <c r="V298" i="6"/>
  <c r="M298" i="4"/>
  <c r="M298" i="5"/>
  <c r="I298" i="4"/>
  <c r="I298" i="5"/>
  <c r="K298" i="6"/>
  <c r="H274" i="4"/>
  <c r="H274" i="5"/>
  <c r="T274" i="6"/>
  <c r="D274" i="4"/>
  <c r="D274" i="5"/>
  <c r="P274" i="4"/>
  <c r="P274" i="5"/>
  <c r="L274" i="6"/>
  <c r="L274" i="4"/>
  <c r="L274" i="5"/>
  <c r="H274" i="6"/>
  <c r="D274" i="6"/>
  <c r="J274" i="6"/>
  <c r="R274" i="6"/>
  <c r="T274" i="4"/>
  <c r="T274" i="5"/>
  <c r="P274" i="6"/>
  <c r="F274" i="4"/>
  <c r="F274" i="5"/>
  <c r="J274" i="4"/>
  <c r="J274" i="5"/>
  <c r="N274" i="4"/>
  <c r="N274" i="5"/>
  <c r="R274" i="4"/>
  <c r="R274" i="5"/>
  <c r="V274" i="4"/>
  <c r="V274" i="5"/>
  <c r="F274" i="6"/>
  <c r="N274" i="6"/>
  <c r="V274" i="6"/>
  <c r="O274" i="4"/>
  <c r="O274" i="5"/>
  <c r="Q274" i="4"/>
  <c r="Q274" i="5"/>
  <c r="K274" i="4"/>
  <c r="K274" i="5"/>
  <c r="M274" i="4"/>
  <c r="M274" i="5"/>
  <c r="K274" i="6"/>
  <c r="S274" i="6"/>
  <c r="E274" i="6"/>
  <c r="M274" i="6"/>
  <c r="Q274" i="6"/>
  <c r="G274" i="4"/>
  <c r="G274" i="5"/>
  <c r="G274" i="6"/>
  <c r="S274" i="4"/>
  <c r="S274" i="5"/>
  <c r="E274" i="4"/>
  <c r="E274" i="5"/>
  <c r="I274" i="4"/>
  <c r="I274" i="5"/>
  <c r="I274" i="6"/>
  <c r="U274" i="4"/>
  <c r="U274" i="5"/>
  <c r="O274" i="6"/>
  <c r="U274" i="6"/>
  <c r="D256" i="4"/>
  <c r="D256" i="5"/>
  <c r="O256" i="6"/>
  <c r="O256" i="4"/>
  <c r="O256" i="5"/>
  <c r="S256" i="6"/>
  <c r="S256" i="4"/>
  <c r="S256" i="5"/>
  <c r="K256" i="4"/>
  <c r="K256" i="5"/>
  <c r="G256" i="4"/>
  <c r="G256" i="5"/>
  <c r="G256" i="6"/>
  <c r="K256" i="6"/>
  <c r="D256" i="6"/>
  <c r="Q256" i="6"/>
  <c r="I256" i="6"/>
  <c r="U256" i="4"/>
  <c r="U256" i="5"/>
  <c r="M256" i="4"/>
  <c r="M256" i="5"/>
  <c r="E256" i="4"/>
  <c r="E256" i="5"/>
  <c r="U256" i="6"/>
  <c r="M256" i="6"/>
  <c r="E256" i="6"/>
  <c r="Q256" i="4"/>
  <c r="Q256" i="5"/>
  <c r="I256" i="4"/>
  <c r="I256" i="5"/>
  <c r="P256" i="6"/>
  <c r="J256" i="6"/>
  <c r="L256" i="6"/>
  <c r="T256" i="4"/>
  <c r="T256" i="5"/>
  <c r="N256" i="6"/>
  <c r="V256" i="6"/>
  <c r="R256" i="4"/>
  <c r="R256" i="5"/>
  <c r="L256" i="4"/>
  <c r="L256" i="5"/>
  <c r="T256" i="6"/>
  <c r="N256" i="4"/>
  <c r="N256" i="5"/>
  <c r="H256" i="4"/>
  <c r="H256" i="5"/>
  <c r="H256" i="6"/>
  <c r="V256" i="4"/>
  <c r="V256" i="5"/>
  <c r="R256" i="6"/>
  <c r="F256" i="4"/>
  <c r="F256" i="5"/>
  <c r="P256" i="4"/>
  <c r="P256" i="5"/>
  <c r="J256" i="4"/>
  <c r="J256" i="5"/>
  <c r="F256" i="6"/>
  <c r="D247" i="4"/>
  <c r="D247" i="5"/>
  <c r="K247" i="6"/>
  <c r="S247" i="6"/>
  <c r="G247" i="4"/>
  <c r="G247" i="5"/>
  <c r="G247" i="6"/>
  <c r="K247" i="4"/>
  <c r="K247" i="5"/>
  <c r="O247" i="4"/>
  <c r="O247" i="5"/>
  <c r="S247" i="4"/>
  <c r="S247" i="5"/>
  <c r="O247" i="6"/>
  <c r="D247" i="6"/>
  <c r="Q247" i="6"/>
  <c r="I247" i="6"/>
  <c r="U247" i="4"/>
  <c r="U247" i="5"/>
  <c r="M247" i="4"/>
  <c r="M247" i="5"/>
  <c r="E247" i="4"/>
  <c r="E247" i="5"/>
  <c r="U247" i="6"/>
  <c r="M247" i="6"/>
  <c r="E247" i="6"/>
  <c r="Q247" i="4"/>
  <c r="Q247" i="5"/>
  <c r="I247" i="4"/>
  <c r="I247" i="5"/>
  <c r="N247" i="6"/>
  <c r="J247" i="4"/>
  <c r="J247" i="5"/>
  <c r="P247" i="6"/>
  <c r="L247" i="6"/>
  <c r="V247" i="4"/>
  <c r="V247" i="5"/>
  <c r="V247" i="6"/>
  <c r="H247" i="6"/>
  <c r="T247" i="6"/>
  <c r="R247" i="6"/>
  <c r="L247" i="4"/>
  <c r="L247" i="5"/>
  <c r="H247" i="4"/>
  <c r="H247" i="5"/>
  <c r="T247" i="4"/>
  <c r="T247" i="5"/>
  <c r="R247" i="4"/>
  <c r="R247" i="5"/>
  <c r="F247" i="4"/>
  <c r="F247" i="5"/>
  <c r="F247" i="6"/>
  <c r="P247" i="4"/>
  <c r="P247" i="5"/>
  <c r="N247" i="4"/>
  <c r="N247" i="5"/>
  <c r="J247" i="6"/>
  <c r="L213" i="4"/>
  <c r="L213" i="5"/>
  <c r="R213" i="4"/>
  <c r="R213" i="5"/>
  <c r="R213" i="6"/>
  <c r="O213" i="4"/>
  <c r="O213" i="5"/>
  <c r="O213" i="6"/>
  <c r="D213" i="6"/>
  <c r="P213" i="6"/>
  <c r="G213" i="6"/>
  <c r="Q213" i="6"/>
  <c r="H213" i="6"/>
  <c r="P213" i="4"/>
  <c r="P213" i="5"/>
  <c r="V213" i="4"/>
  <c r="V213" i="5"/>
  <c r="F213" i="4"/>
  <c r="F213" i="5"/>
  <c r="N213" i="6"/>
  <c r="K213" i="4"/>
  <c r="K213" i="5"/>
  <c r="S213" i="4"/>
  <c r="S213" i="5"/>
  <c r="H213" i="4"/>
  <c r="H213" i="5"/>
  <c r="T213" i="6"/>
  <c r="J213" i="4"/>
  <c r="J213" i="5"/>
  <c r="J213" i="6"/>
  <c r="G213" i="4"/>
  <c r="G213" i="5"/>
  <c r="Q213" i="4"/>
  <c r="Q213" i="5"/>
  <c r="T213" i="4"/>
  <c r="T213" i="5"/>
  <c r="L213" i="6"/>
  <c r="D213" i="4"/>
  <c r="D213" i="5"/>
  <c r="N213" i="4"/>
  <c r="N213" i="5"/>
  <c r="V213" i="6"/>
  <c r="F213" i="6"/>
  <c r="K213" i="6"/>
  <c r="S213" i="6"/>
  <c r="I213" i="6"/>
  <c r="U213" i="4"/>
  <c r="U213" i="5"/>
  <c r="E213" i="4"/>
  <c r="E213" i="5"/>
  <c r="E213" i="6"/>
  <c r="I213" i="4"/>
  <c r="I213" i="5"/>
  <c r="M213" i="4"/>
  <c r="M213" i="5"/>
  <c r="M213" i="6"/>
  <c r="U213" i="6"/>
  <c r="D153" i="6"/>
  <c r="K153" i="6"/>
  <c r="S153" i="6"/>
  <c r="D153" i="4"/>
  <c r="D153" i="5"/>
  <c r="G153" i="6"/>
  <c r="O153" i="6"/>
  <c r="U153" i="4"/>
  <c r="U153" i="5"/>
  <c r="V153" i="4"/>
  <c r="V153" i="5"/>
  <c r="P153" i="6"/>
  <c r="J153" i="4"/>
  <c r="J153" i="5"/>
  <c r="R153" i="4"/>
  <c r="R153" i="5"/>
  <c r="N153" i="4"/>
  <c r="N153" i="5"/>
  <c r="L153" i="6"/>
  <c r="F153" i="4"/>
  <c r="F153" i="5"/>
  <c r="H153" i="6"/>
  <c r="P153" i="4"/>
  <c r="P153" i="5"/>
  <c r="T153" i="4"/>
  <c r="T153" i="5"/>
  <c r="H153" i="4"/>
  <c r="H153" i="5"/>
  <c r="R153" i="6"/>
  <c r="J153" i="6"/>
  <c r="T153" i="6"/>
  <c r="V153" i="6"/>
  <c r="F153" i="6"/>
  <c r="O153" i="4"/>
  <c r="O153" i="5"/>
  <c r="G153" i="4"/>
  <c r="G153" i="5"/>
  <c r="K153" i="4"/>
  <c r="K153" i="5"/>
  <c r="Q153" i="4"/>
  <c r="Q153" i="5"/>
  <c r="E153" i="6"/>
  <c r="M153" i="6"/>
  <c r="U153" i="6"/>
  <c r="I153" i="4"/>
  <c r="I153" i="5"/>
  <c r="S153" i="4"/>
  <c r="S153" i="5"/>
  <c r="N153" i="6"/>
  <c r="L153" i="4"/>
  <c r="L153" i="5"/>
  <c r="I153" i="6"/>
  <c r="Q153" i="6"/>
  <c r="E153" i="4"/>
  <c r="E153" i="5"/>
  <c r="M153" i="4"/>
  <c r="M153" i="5"/>
  <c r="D116" i="6"/>
  <c r="S116" i="6"/>
  <c r="K116" i="6"/>
  <c r="U116" i="6"/>
  <c r="E116" i="6"/>
  <c r="I116" i="6"/>
  <c r="G116" i="4"/>
  <c r="G116" i="5"/>
  <c r="O116" i="4"/>
  <c r="O116" i="5"/>
  <c r="E116" i="4"/>
  <c r="E116" i="5"/>
  <c r="M116" i="4"/>
  <c r="M116" i="5"/>
  <c r="U116" i="4"/>
  <c r="U116" i="5"/>
  <c r="V116" i="6"/>
  <c r="O116" i="6"/>
  <c r="G116" i="6"/>
  <c r="M116" i="6"/>
  <c r="Q116" i="6"/>
  <c r="D116" i="4"/>
  <c r="D116" i="5"/>
  <c r="K116" i="4"/>
  <c r="K116" i="5"/>
  <c r="S116" i="4"/>
  <c r="S116" i="5"/>
  <c r="I116" i="4"/>
  <c r="I116" i="5"/>
  <c r="Q116" i="4"/>
  <c r="Q116" i="5"/>
  <c r="V116" i="4"/>
  <c r="V116" i="5"/>
  <c r="T116" i="4"/>
  <c r="T116" i="5"/>
  <c r="R116" i="4"/>
  <c r="R116" i="5"/>
  <c r="P116" i="4"/>
  <c r="P116" i="5"/>
  <c r="N116" i="4"/>
  <c r="N116" i="5"/>
  <c r="L116" i="4"/>
  <c r="L116" i="5"/>
  <c r="J116" i="4"/>
  <c r="J116" i="5"/>
  <c r="H116" i="6"/>
  <c r="F116" i="4"/>
  <c r="F116" i="5"/>
  <c r="F116" i="6"/>
  <c r="H116" i="4"/>
  <c r="H116" i="5"/>
  <c r="L116" i="6"/>
  <c r="P116" i="6"/>
  <c r="N116" i="6"/>
  <c r="T116" i="6"/>
  <c r="R116" i="6"/>
  <c r="J116" i="6"/>
  <c r="F45" i="4"/>
  <c r="F45" i="5"/>
  <c r="O45" i="4"/>
  <c r="O45" i="5"/>
  <c r="D45" i="6"/>
  <c r="I45" i="6"/>
  <c r="K45" i="6"/>
  <c r="G45" i="6"/>
  <c r="U45" i="6"/>
  <c r="M45" i="4"/>
  <c r="M45" i="5"/>
  <c r="U45" i="4"/>
  <c r="U45" i="5"/>
  <c r="E45" i="4"/>
  <c r="E45" i="5"/>
  <c r="S45" i="6"/>
  <c r="E45" i="6"/>
  <c r="G45" i="4"/>
  <c r="G45" i="5"/>
  <c r="M45" i="6"/>
  <c r="Q45" i="6"/>
  <c r="S45" i="4"/>
  <c r="S45" i="5"/>
  <c r="K45" i="4"/>
  <c r="K45" i="5"/>
  <c r="R45" i="6"/>
  <c r="H45" i="4"/>
  <c r="H45" i="5"/>
  <c r="D45" i="4"/>
  <c r="D45" i="5"/>
  <c r="O45" i="6"/>
  <c r="V45" i="4"/>
  <c r="V45" i="5"/>
  <c r="T45" i="4"/>
  <c r="T45" i="5"/>
  <c r="T45" i="6"/>
  <c r="P45" i="6"/>
  <c r="Q45" i="4"/>
  <c r="Q45" i="5"/>
  <c r="I45" i="4"/>
  <c r="I45" i="5"/>
  <c r="V45" i="6"/>
  <c r="P45" i="4"/>
  <c r="P45" i="5"/>
  <c r="N45" i="4"/>
  <c r="N45" i="5"/>
  <c r="N45" i="6"/>
  <c r="L45" i="4"/>
  <c r="L45" i="5"/>
  <c r="F45" i="6"/>
  <c r="L45" i="6"/>
  <c r="J45" i="6"/>
  <c r="H45" i="6"/>
  <c r="J45" i="4"/>
  <c r="J45" i="5"/>
  <c r="R45" i="4"/>
  <c r="R45" i="5"/>
  <c r="I48" i="6"/>
  <c r="D48" i="6"/>
  <c r="H48" i="6"/>
  <c r="L48" i="6"/>
  <c r="P48" i="6"/>
  <c r="T48" i="6"/>
  <c r="F48" i="4"/>
  <c r="F48" i="5"/>
  <c r="N48" i="4"/>
  <c r="N48" i="5"/>
  <c r="F48" i="6"/>
  <c r="J48" i="6"/>
  <c r="N48" i="6"/>
  <c r="R48" i="6"/>
  <c r="V48" i="6"/>
  <c r="E48" i="4"/>
  <c r="E48" i="5"/>
  <c r="S48" i="4"/>
  <c r="S48" i="5"/>
  <c r="O48" i="4"/>
  <c r="O48" i="5"/>
  <c r="K48" i="6"/>
  <c r="U48" i="4"/>
  <c r="U48" i="5"/>
  <c r="Q48" i="4"/>
  <c r="Q48" i="5"/>
  <c r="M48" i="4"/>
  <c r="M48" i="5"/>
  <c r="I48" i="4"/>
  <c r="I48" i="5"/>
  <c r="G48" i="4"/>
  <c r="G48" i="5"/>
  <c r="M48" i="6"/>
  <c r="P48" i="4"/>
  <c r="P48" i="5"/>
  <c r="D48" i="4"/>
  <c r="D48" i="5"/>
  <c r="H48" i="4"/>
  <c r="H48" i="5"/>
  <c r="R48" i="4"/>
  <c r="R48" i="5"/>
  <c r="Q48" i="6"/>
  <c r="U48" i="6"/>
  <c r="E48" i="6"/>
  <c r="T48" i="4"/>
  <c r="T48" i="5"/>
  <c r="J48" i="4"/>
  <c r="J48" i="5"/>
  <c r="L48" i="4"/>
  <c r="L48" i="5"/>
  <c r="V48" i="4"/>
  <c r="V48" i="5"/>
  <c r="O48" i="6"/>
  <c r="K48" i="4"/>
  <c r="K48" i="5"/>
  <c r="S48" i="6"/>
  <c r="G48" i="6"/>
  <c r="D89" i="6"/>
  <c r="D89" i="4"/>
  <c r="D89" i="5"/>
  <c r="O89" i="6"/>
  <c r="K89" i="6"/>
  <c r="E89" i="4"/>
  <c r="E89" i="5"/>
  <c r="U89" i="4"/>
  <c r="U89" i="5"/>
  <c r="U89" i="6"/>
  <c r="K89" i="4"/>
  <c r="K89" i="5"/>
  <c r="G89" i="4"/>
  <c r="G89" i="5"/>
  <c r="O89" i="4"/>
  <c r="O89" i="5"/>
  <c r="Q89" i="4"/>
  <c r="Q89" i="5"/>
  <c r="Q89" i="6"/>
  <c r="I89" i="4"/>
  <c r="I89" i="5"/>
  <c r="G89" i="6"/>
  <c r="M89" i="4"/>
  <c r="M89" i="5"/>
  <c r="I89" i="6"/>
  <c r="S89" i="6"/>
  <c r="E89" i="6"/>
  <c r="S89" i="4"/>
  <c r="S89" i="5"/>
  <c r="M89" i="6"/>
  <c r="V89" i="6"/>
  <c r="J89" i="4"/>
  <c r="J89" i="5"/>
  <c r="L89" i="4"/>
  <c r="L89" i="5"/>
  <c r="T89" i="6"/>
  <c r="F89" i="6"/>
  <c r="L89" i="6"/>
  <c r="V89" i="4"/>
  <c r="V89" i="5"/>
  <c r="J89" i="6"/>
  <c r="H89" i="4"/>
  <c r="H89" i="5"/>
  <c r="P89" i="6"/>
  <c r="R89" i="4"/>
  <c r="R89" i="5"/>
  <c r="T89" i="4"/>
  <c r="T89" i="5"/>
  <c r="H89" i="6"/>
  <c r="P89" i="4"/>
  <c r="P89" i="5"/>
  <c r="R89" i="6"/>
  <c r="N89" i="4"/>
  <c r="N89" i="5"/>
  <c r="F89" i="4"/>
  <c r="F89" i="5"/>
  <c r="N89" i="6"/>
  <c r="R503" i="6"/>
  <c r="T503" i="6"/>
  <c r="H503" i="6"/>
  <c r="D503" i="6"/>
  <c r="J503" i="6"/>
  <c r="I503" i="6"/>
  <c r="F503" i="4"/>
  <c r="F503" i="5"/>
  <c r="K503" i="4"/>
  <c r="K503" i="5"/>
  <c r="J503" i="4"/>
  <c r="J503" i="5"/>
  <c r="U503" i="4"/>
  <c r="U503" i="5"/>
  <c r="Q503" i="6"/>
  <c r="G503" i="6"/>
  <c r="T503" i="4"/>
  <c r="T503" i="5"/>
  <c r="H503" i="4"/>
  <c r="H503" i="5"/>
  <c r="V503" i="4"/>
  <c r="V503" i="5"/>
  <c r="L503" i="4"/>
  <c r="L503" i="5"/>
  <c r="P503" i="4"/>
  <c r="P503" i="5"/>
  <c r="R503" i="4"/>
  <c r="R503" i="5"/>
  <c r="N503" i="4"/>
  <c r="N503" i="5"/>
  <c r="K503" i="6"/>
  <c r="U503" i="6"/>
  <c r="M503" i="6"/>
  <c r="S503" i="6"/>
  <c r="I503" i="4"/>
  <c r="I503" i="5"/>
  <c r="E503" i="6"/>
  <c r="L503" i="6"/>
  <c r="N503" i="6"/>
  <c r="G503" i="4"/>
  <c r="G503" i="5"/>
  <c r="O503" i="6"/>
  <c r="E503" i="4"/>
  <c r="E503" i="5"/>
  <c r="Q503" i="4"/>
  <c r="Q503" i="5"/>
  <c r="D503" i="4"/>
  <c r="D503" i="5"/>
  <c r="S503" i="4"/>
  <c r="S503" i="5"/>
  <c r="P503" i="6"/>
  <c r="F503" i="6"/>
  <c r="V503" i="6"/>
  <c r="M503" i="4"/>
  <c r="M503" i="5"/>
  <c r="O503" i="4"/>
  <c r="O503" i="5"/>
  <c r="V492" i="4"/>
  <c r="V492" i="5"/>
  <c r="R492" i="4"/>
  <c r="R492" i="5"/>
  <c r="N492" i="4"/>
  <c r="N492" i="5"/>
  <c r="J492" i="4"/>
  <c r="J492" i="5"/>
  <c r="F492" i="4"/>
  <c r="F492" i="5"/>
  <c r="T492" i="6"/>
  <c r="D492" i="6"/>
  <c r="J492" i="6"/>
  <c r="K492" i="6"/>
  <c r="L492" i="6"/>
  <c r="R492" i="6"/>
  <c r="U492" i="4"/>
  <c r="U492" i="5"/>
  <c r="O492" i="4"/>
  <c r="O492" i="5"/>
  <c r="G492" i="4"/>
  <c r="G492" i="5"/>
  <c r="Q492" i="6"/>
  <c r="S492" i="6"/>
  <c r="K492" i="4"/>
  <c r="K492" i="5"/>
  <c r="E492" i="4"/>
  <c r="E492" i="5"/>
  <c r="M492" i="4"/>
  <c r="M492" i="5"/>
  <c r="I492" i="4"/>
  <c r="I492" i="5"/>
  <c r="Q492" i="4"/>
  <c r="Q492" i="5"/>
  <c r="F492" i="6"/>
  <c r="V492" i="6"/>
  <c r="P492" i="6"/>
  <c r="H492" i="4"/>
  <c r="H492" i="5"/>
  <c r="P492" i="4"/>
  <c r="P492" i="5"/>
  <c r="O492" i="6"/>
  <c r="U492" i="6"/>
  <c r="N492" i="6"/>
  <c r="H492" i="6"/>
  <c r="D492" i="4"/>
  <c r="D492" i="5"/>
  <c r="L492" i="4"/>
  <c r="L492" i="5"/>
  <c r="G492" i="6"/>
  <c r="S492" i="4"/>
  <c r="S492" i="5"/>
  <c r="E492" i="6"/>
  <c r="M492" i="6"/>
  <c r="I492" i="6"/>
  <c r="T492" i="4"/>
  <c r="T492" i="5"/>
  <c r="F472" i="4"/>
  <c r="F472" i="5"/>
  <c r="K472" i="6"/>
  <c r="G472" i="4"/>
  <c r="G472" i="5"/>
  <c r="S472" i="4"/>
  <c r="S472" i="5"/>
  <c r="P472" i="6"/>
  <c r="F472" i="6"/>
  <c r="D472" i="6"/>
  <c r="I472" i="6"/>
  <c r="R472" i="4"/>
  <c r="R472" i="5"/>
  <c r="N472" i="4"/>
  <c r="N472" i="5"/>
  <c r="N472" i="6"/>
  <c r="Q472" i="6"/>
  <c r="O472" i="4"/>
  <c r="O472" i="5"/>
  <c r="G472" i="6"/>
  <c r="S472" i="6"/>
  <c r="K472" i="4"/>
  <c r="K472" i="5"/>
  <c r="D472" i="4"/>
  <c r="D472" i="5"/>
  <c r="T472" i="4"/>
  <c r="T472" i="5"/>
  <c r="P472" i="4"/>
  <c r="P472" i="5"/>
  <c r="L472" i="4"/>
  <c r="L472" i="5"/>
  <c r="H472" i="6"/>
  <c r="E472" i="6"/>
  <c r="R472" i="6"/>
  <c r="U472" i="6"/>
  <c r="M472" i="6"/>
  <c r="J472" i="6"/>
  <c r="O472" i="6"/>
  <c r="T472" i="6"/>
  <c r="V472" i="4"/>
  <c r="V472" i="5"/>
  <c r="V472" i="6"/>
  <c r="J472" i="4"/>
  <c r="J472" i="5"/>
  <c r="L472" i="6"/>
  <c r="E472" i="4"/>
  <c r="E472" i="5"/>
  <c r="I472" i="4"/>
  <c r="I472" i="5"/>
  <c r="M472" i="4"/>
  <c r="M472" i="5"/>
  <c r="Q472" i="4"/>
  <c r="Q472" i="5"/>
  <c r="U472" i="4"/>
  <c r="U472" i="5"/>
  <c r="H472" i="4"/>
  <c r="H472" i="5"/>
  <c r="I451" i="4"/>
  <c r="I451" i="5"/>
  <c r="L451" i="6"/>
  <c r="R451" i="4"/>
  <c r="R451" i="5"/>
  <c r="D451" i="4"/>
  <c r="D451" i="5"/>
  <c r="O451" i="6"/>
  <c r="T451" i="6"/>
  <c r="P451" i="6"/>
  <c r="T451" i="4"/>
  <c r="T451" i="5"/>
  <c r="R451" i="6"/>
  <c r="J451" i="6"/>
  <c r="J451" i="4"/>
  <c r="J451" i="5"/>
  <c r="N451" i="4"/>
  <c r="N451" i="5"/>
  <c r="H451" i="4"/>
  <c r="H451" i="5"/>
  <c r="P451" i="4"/>
  <c r="P451" i="5"/>
  <c r="F451" i="6"/>
  <c r="H451" i="6"/>
  <c r="N451" i="6"/>
  <c r="F451" i="4"/>
  <c r="F451" i="5"/>
  <c r="V451" i="4"/>
  <c r="V451" i="5"/>
  <c r="L451" i="4"/>
  <c r="L451" i="5"/>
  <c r="D451" i="6"/>
  <c r="V451" i="6"/>
  <c r="S451" i="6"/>
  <c r="O451" i="4"/>
  <c r="O451" i="5"/>
  <c r="I451" i="6"/>
  <c r="E451" i="4"/>
  <c r="E451" i="5"/>
  <c r="U451" i="6"/>
  <c r="M451" i="6"/>
  <c r="Q451" i="6"/>
  <c r="G451" i="4"/>
  <c r="G451" i="5"/>
  <c r="U451" i="4"/>
  <c r="U451" i="5"/>
  <c r="M451" i="4"/>
  <c r="M451" i="5"/>
  <c r="K451" i="4"/>
  <c r="K451" i="5"/>
  <c r="K451" i="6"/>
  <c r="G451" i="6"/>
  <c r="Q451" i="4"/>
  <c r="Q451" i="5"/>
  <c r="E451" i="6"/>
  <c r="S451" i="4"/>
  <c r="S451" i="5"/>
  <c r="I435" i="6"/>
  <c r="K435" i="6"/>
  <c r="E435" i="6"/>
  <c r="S435" i="6"/>
  <c r="O435" i="6"/>
  <c r="G435" i="6"/>
  <c r="T435" i="4"/>
  <c r="T435" i="5"/>
  <c r="Q435" i="4"/>
  <c r="Q435" i="5"/>
  <c r="K435" i="4"/>
  <c r="K435" i="5"/>
  <c r="G435" i="4"/>
  <c r="G435" i="5"/>
  <c r="U435" i="4"/>
  <c r="U435" i="5"/>
  <c r="H435" i="4"/>
  <c r="H435" i="5"/>
  <c r="D435" i="4"/>
  <c r="D435" i="5"/>
  <c r="S435" i="4"/>
  <c r="S435" i="5"/>
  <c r="O435" i="4"/>
  <c r="O435" i="5"/>
  <c r="I435" i="4"/>
  <c r="I435" i="5"/>
  <c r="E435" i="4"/>
  <c r="E435" i="5"/>
  <c r="R435" i="4"/>
  <c r="R435" i="5"/>
  <c r="M435" i="6"/>
  <c r="Q435" i="6"/>
  <c r="M435" i="4"/>
  <c r="M435" i="5"/>
  <c r="U435" i="6"/>
  <c r="D435" i="6"/>
  <c r="H435" i="6"/>
  <c r="L435" i="6"/>
  <c r="P435" i="6"/>
  <c r="T435" i="6"/>
  <c r="F435" i="6"/>
  <c r="J435" i="6"/>
  <c r="N435" i="6"/>
  <c r="R435" i="6"/>
  <c r="V435" i="6"/>
  <c r="J435" i="4"/>
  <c r="J435" i="5"/>
  <c r="P435" i="4"/>
  <c r="P435" i="5"/>
  <c r="N435" i="4"/>
  <c r="N435" i="5"/>
  <c r="V435" i="4"/>
  <c r="V435" i="5"/>
  <c r="F435" i="4"/>
  <c r="F435" i="5"/>
  <c r="L435" i="4"/>
  <c r="L435" i="5"/>
  <c r="S380" i="6"/>
  <c r="G380" i="4"/>
  <c r="G380" i="5"/>
  <c r="D380" i="6"/>
  <c r="O380" i="6"/>
  <c r="U380" i="6"/>
  <c r="M380" i="6"/>
  <c r="E380" i="6"/>
  <c r="K380" i="4"/>
  <c r="K380" i="5"/>
  <c r="S380" i="4"/>
  <c r="S380" i="5"/>
  <c r="G380" i="6"/>
  <c r="D380" i="4"/>
  <c r="D380" i="5"/>
  <c r="O380" i="4"/>
  <c r="O380" i="5"/>
  <c r="K380" i="6"/>
  <c r="Q380" i="6"/>
  <c r="I380" i="6"/>
  <c r="U380" i="4"/>
  <c r="U380" i="5"/>
  <c r="Q380" i="4"/>
  <c r="Q380" i="5"/>
  <c r="M380" i="4"/>
  <c r="M380" i="5"/>
  <c r="I380" i="4"/>
  <c r="I380" i="5"/>
  <c r="E380" i="4"/>
  <c r="E380" i="5"/>
  <c r="P380" i="6"/>
  <c r="T380" i="4"/>
  <c r="T380" i="5"/>
  <c r="L380" i="6"/>
  <c r="R380" i="4"/>
  <c r="R380" i="5"/>
  <c r="F380" i="6"/>
  <c r="P380" i="4"/>
  <c r="P380" i="5"/>
  <c r="H380" i="6"/>
  <c r="J380" i="4"/>
  <c r="J380" i="5"/>
  <c r="V380" i="6"/>
  <c r="F380" i="4"/>
  <c r="F380" i="5"/>
  <c r="T380" i="6"/>
  <c r="H380" i="4"/>
  <c r="H380" i="5"/>
  <c r="J380" i="6"/>
  <c r="V380" i="4"/>
  <c r="V380" i="5"/>
  <c r="R380" i="6"/>
  <c r="N380" i="4"/>
  <c r="N380" i="5"/>
  <c r="N380" i="6"/>
  <c r="L380" i="4"/>
  <c r="L380" i="5"/>
  <c r="D343" i="6"/>
  <c r="F343" i="6"/>
  <c r="V343" i="6"/>
  <c r="J343" i="6"/>
  <c r="T343" i="4"/>
  <c r="T343" i="5"/>
  <c r="L343" i="4"/>
  <c r="L343" i="5"/>
  <c r="V343" i="4"/>
  <c r="V343" i="5"/>
  <c r="N343" i="4"/>
  <c r="N343" i="5"/>
  <c r="F343" i="4"/>
  <c r="F343" i="5"/>
  <c r="D343" i="4"/>
  <c r="D343" i="5"/>
  <c r="H343" i="6"/>
  <c r="N343" i="6"/>
  <c r="P343" i="6"/>
  <c r="L343" i="6"/>
  <c r="M343" i="4"/>
  <c r="M343" i="5"/>
  <c r="Q343" i="4"/>
  <c r="Q343" i="5"/>
  <c r="E343" i="6"/>
  <c r="O343" i="4"/>
  <c r="O343" i="5"/>
  <c r="S343" i="4"/>
  <c r="S343" i="5"/>
  <c r="M343" i="6"/>
  <c r="G343" i="6"/>
  <c r="R343" i="6"/>
  <c r="I343" i="6"/>
  <c r="K343" i="4"/>
  <c r="K343" i="5"/>
  <c r="S343" i="6"/>
  <c r="Q343" i="6"/>
  <c r="R343" i="4"/>
  <c r="R343" i="5"/>
  <c r="J343" i="4"/>
  <c r="J343" i="5"/>
  <c r="G343" i="4"/>
  <c r="G343" i="5"/>
  <c r="P343" i="4"/>
  <c r="P343" i="5"/>
  <c r="I343" i="4"/>
  <c r="I343" i="5"/>
  <c r="K343" i="6"/>
  <c r="U343" i="6"/>
  <c r="E343" i="4"/>
  <c r="E343" i="5"/>
  <c r="O343" i="6"/>
  <c r="T343" i="6"/>
  <c r="U343" i="4"/>
  <c r="U343" i="5"/>
  <c r="H343" i="4"/>
  <c r="H343" i="5"/>
  <c r="J321" i="4"/>
  <c r="J321" i="5"/>
  <c r="F321" i="6"/>
  <c r="V321" i="6"/>
  <c r="D321" i="6"/>
  <c r="N321" i="6"/>
  <c r="J321" i="6"/>
  <c r="V321" i="4"/>
  <c r="V321" i="5"/>
  <c r="R321" i="4"/>
  <c r="R321" i="5"/>
  <c r="N321" i="4"/>
  <c r="N321" i="5"/>
  <c r="D321" i="4"/>
  <c r="D321" i="5"/>
  <c r="H321" i="4"/>
  <c r="H321" i="5"/>
  <c r="L321" i="4"/>
  <c r="L321" i="5"/>
  <c r="P321" i="4"/>
  <c r="P321" i="5"/>
  <c r="T321" i="4"/>
  <c r="T321" i="5"/>
  <c r="H321" i="6"/>
  <c r="P321" i="6"/>
  <c r="L321" i="6"/>
  <c r="T321" i="6"/>
  <c r="K321" i="4"/>
  <c r="K321" i="5"/>
  <c r="M321" i="6"/>
  <c r="U321" i="6"/>
  <c r="Q321" i="6"/>
  <c r="E321" i="6"/>
  <c r="O321" i="6"/>
  <c r="Q321" i="4"/>
  <c r="Q321" i="5"/>
  <c r="K321" i="6"/>
  <c r="I321" i="4"/>
  <c r="I321" i="5"/>
  <c r="S321" i="4"/>
  <c r="S321" i="5"/>
  <c r="O321" i="4"/>
  <c r="O321" i="5"/>
  <c r="I321" i="6"/>
  <c r="S321" i="6"/>
  <c r="G321" i="4"/>
  <c r="G321" i="5"/>
  <c r="U321" i="4"/>
  <c r="U321" i="5"/>
  <c r="E321" i="4"/>
  <c r="E321" i="5"/>
  <c r="F321" i="4"/>
  <c r="F321" i="5"/>
  <c r="R321" i="6"/>
  <c r="G321" i="6"/>
  <c r="M321" i="4"/>
  <c r="M321" i="5"/>
  <c r="O307" i="6"/>
  <c r="D307" i="6"/>
  <c r="D307" i="4"/>
  <c r="D307" i="5"/>
  <c r="E307" i="4"/>
  <c r="E307" i="5"/>
  <c r="I307" i="4"/>
  <c r="I307" i="5"/>
  <c r="M307" i="4"/>
  <c r="M307" i="5"/>
  <c r="Q307" i="4"/>
  <c r="Q307" i="5"/>
  <c r="U307" i="4"/>
  <c r="U307" i="5"/>
  <c r="E307" i="6"/>
  <c r="M307" i="6"/>
  <c r="U307" i="6"/>
  <c r="I307" i="6"/>
  <c r="Q307" i="6"/>
  <c r="J307" i="4"/>
  <c r="J307" i="5"/>
  <c r="P307" i="6"/>
  <c r="H307" i="6"/>
  <c r="L307" i="6"/>
  <c r="V307" i="6"/>
  <c r="T307" i="4"/>
  <c r="T307" i="5"/>
  <c r="N307" i="4"/>
  <c r="N307" i="5"/>
  <c r="J307" i="6"/>
  <c r="T307" i="6"/>
  <c r="L307" i="4"/>
  <c r="L307" i="5"/>
  <c r="N307" i="6"/>
  <c r="F307" i="4"/>
  <c r="F307" i="5"/>
  <c r="R307" i="4"/>
  <c r="R307" i="5"/>
  <c r="P307" i="4"/>
  <c r="P307" i="5"/>
  <c r="H307" i="4"/>
  <c r="H307" i="5"/>
  <c r="F307" i="6"/>
  <c r="R307" i="6"/>
  <c r="V307" i="4"/>
  <c r="V307" i="5"/>
  <c r="S307" i="6"/>
  <c r="S307" i="4"/>
  <c r="S307" i="5"/>
  <c r="O307" i="4"/>
  <c r="O307" i="5"/>
  <c r="G307" i="4"/>
  <c r="G307" i="5"/>
  <c r="K307" i="4"/>
  <c r="K307" i="5"/>
  <c r="G307" i="6"/>
  <c r="K307" i="6"/>
  <c r="S268" i="6"/>
  <c r="O268" i="4"/>
  <c r="O268" i="5"/>
  <c r="G268" i="4"/>
  <c r="G268" i="5"/>
  <c r="S268" i="4"/>
  <c r="S268" i="5"/>
  <c r="O268" i="6"/>
  <c r="U268" i="6"/>
  <c r="M268" i="6"/>
  <c r="E268" i="6"/>
  <c r="Q268" i="4"/>
  <c r="Q268" i="5"/>
  <c r="I268" i="4"/>
  <c r="I268" i="5"/>
  <c r="K268" i="6"/>
  <c r="D268" i="4"/>
  <c r="D268" i="5"/>
  <c r="K268" i="4"/>
  <c r="K268" i="5"/>
  <c r="G268" i="6"/>
  <c r="D268" i="6"/>
  <c r="Q268" i="6"/>
  <c r="I268" i="6"/>
  <c r="U268" i="4"/>
  <c r="U268" i="5"/>
  <c r="M268" i="4"/>
  <c r="M268" i="5"/>
  <c r="E268" i="4"/>
  <c r="E268" i="5"/>
  <c r="R268" i="6"/>
  <c r="T268" i="4"/>
  <c r="T268" i="5"/>
  <c r="J268" i="4"/>
  <c r="J268" i="5"/>
  <c r="F268" i="4"/>
  <c r="F268" i="5"/>
  <c r="P268" i="6"/>
  <c r="L268" i="4"/>
  <c r="L268" i="5"/>
  <c r="L268" i="6"/>
  <c r="F268" i="6"/>
  <c r="P268" i="4"/>
  <c r="P268" i="5"/>
  <c r="V268" i="6"/>
  <c r="N268" i="4"/>
  <c r="N268" i="5"/>
  <c r="H268" i="4"/>
  <c r="H268" i="5"/>
  <c r="V268" i="4"/>
  <c r="V268" i="5"/>
  <c r="N268" i="6"/>
  <c r="H268" i="6"/>
  <c r="T268" i="6"/>
  <c r="J268" i="6"/>
  <c r="R268" i="4"/>
  <c r="R268" i="5"/>
  <c r="I255" i="6"/>
  <c r="D255" i="4"/>
  <c r="D255" i="5"/>
  <c r="G255" i="4"/>
  <c r="G255" i="5"/>
  <c r="Q255" i="4"/>
  <c r="Q255" i="5"/>
  <c r="H255" i="6"/>
  <c r="P255" i="4"/>
  <c r="P255" i="5"/>
  <c r="V255" i="4"/>
  <c r="V255" i="5"/>
  <c r="F255" i="6"/>
  <c r="P255" i="6"/>
  <c r="G255" i="6"/>
  <c r="I255" i="4"/>
  <c r="I255" i="5"/>
  <c r="K255" i="6"/>
  <c r="S255" i="4"/>
  <c r="S255" i="5"/>
  <c r="K255" i="4"/>
  <c r="K255" i="5"/>
  <c r="O255" i="6"/>
  <c r="U255" i="6"/>
  <c r="E255" i="6"/>
  <c r="M255" i="4"/>
  <c r="M255" i="5"/>
  <c r="O255" i="4"/>
  <c r="O255" i="5"/>
  <c r="R255" i="6"/>
  <c r="J255" i="6"/>
  <c r="Q255" i="6"/>
  <c r="D255" i="6"/>
  <c r="M255" i="6"/>
  <c r="U255" i="4"/>
  <c r="U255" i="5"/>
  <c r="E255" i="4"/>
  <c r="E255" i="5"/>
  <c r="S255" i="6"/>
  <c r="R255" i="4"/>
  <c r="R255" i="5"/>
  <c r="N255" i="4"/>
  <c r="N255" i="5"/>
  <c r="N255" i="6"/>
  <c r="J255" i="4"/>
  <c r="J255" i="5"/>
  <c r="T255" i="6"/>
  <c r="L255" i="6"/>
  <c r="V255" i="6"/>
  <c r="F255" i="4"/>
  <c r="F255" i="5"/>
  <c r="T255" i="4"/>
  <c r="T255" i="5"/>
  <c r="L255" i="4"/>
  <c r="L255" i="5"/>
  <c r="H255" i="4"/>
  <c r="H255" i="5"/>
  <c r="M244" i="6"/>
  <c r="D244" i="6"/>
  <c r="E244" i="4"/>
  <c r="E244" i="5"/>
  <c r="D244" i="4"/>
  <c r="D244" i="5"/>
  <c r="U244" i="4"/>
  <c r="U244" i="5"/>
  <c r="L244" i="6"/>
  <c r="G244" i="4"/>
  <c r="G244" i="5"/>
  <c r="K244" i="6"/>
  <c r="E244" i="6"/>
  <c r="O244" i="6"/>
  <c r="T244" i="6"/>
  <c r="S244" i="6"/>
  <c r="Q244" i="6"/>
  <c r="Q244" i="4"/>
  <c r="Q244" i="5"/>
  <c r="K244" i="4"/>
  <c r="K244" i="5"/>
  <c r="G244" i="6"/>
  <c r="R244" i="4"/>
  <c r="R244" i="5"/>
  <c r="P244" i="4"/>
  <c r="P244" i="5"/>
  <c r="J244" i="4"/>
  <c r="J244" i="5"/>
  <c r="J244" i="6"/>
  <c r="U244" i="6"/>
  <c r="M244" i="4"/>
  <c r="M244" i="5"/>
  <c r="T244" i="4"/>
  <c r="T244" i="5"/>
  <c r="H244" i="4"/>
  <c r="H244" i="5"/>
  <c r="H244" i="6"/>
  <c r="N244" i="4"/>
  <c r="N244" i="5"/>
  <c r="N244" i="6"/>
  <c r="O244" i="4"/>
  <c r="O244" i="5"/>
  <c r="I244" i="6"/>
  <c r="I244" i="4"/>
  <c r="I244" i="5"/>
  <c r="S244" i="4"/>
  <c r="S244" i="5"/>
  <c r="R244" i="6"/>
  <c r="P244" i="6"/>
  <c r="V244" i="4"/>
  <c r="V244" i="5"/>
  <c r="V244" i="6"/>
  <c r="F244" i="6"/>
  <c r="L244" i="4"/>
  <c r="L244" i="5"/>
  <c r="F244" i="4"/>
  <c r="F244" i="5"/>
  <c r="F230" i="4"/>
  <c r="F230" i="5"/>
  <c r="J230" i="6"/>
  <c r="V230" i="6"/>
  <c r="V230" i="4"/>
  <c r="V230" i="5"/>
  <c r="N230" i="4"/>
  <c r="N230" i="5"/>
  <c r="T230" i="4"/>
  <c r="T230" i="5"/>
  <c r="L230" i="4"/>
  <c r="L230" i="5"/>
  <c r="D230" i="4"/>
  <c r="D230" i="5"/>
  <c r="R230" i="4"/>
  <c r="R230" i="5"/>
  <c r="J230" i="4"/>
  <c r="J230" i="5"/>
  <c r="P230" i="4"/>
  <c r="P230" i="5"/>
  <c r="H230" i="4"/>
  <c r="H230" i="5"/>
  <c r="F230" i="6"/>
  <c r="T230" i="6"/>
  <c r="S230" i="4"/>
  <c r="S230" i="5"/>
  <c r="S230" i="6"/>
  <c r="U230" i="6"/>
  <c r="E230" i="6"/>
  <c r="I230" i="6"/>
  <c r="M230" i="4"/>
  <c r="M230" i="5"/>
  <c r="Q230" i="4"/>
  <c r="Q230" i="5"/>
  <c r="U230" i="4"/>
  <c r="U230" i="5"/>
  <c r="E230" i="4"/>
  <c r="E230" i="5"/>
  <c r="I230" i="4"/>
  <c r="I230" i="5"/>
  <c r="M230" i="6"/>
  <c r="Q230" i="6"/>
  <c r="G230" i="6"/>
  <c r="K230" i="4"/>
  <c r="K230" i="5"/>
  <c r="O230" i="4"/>
  <c r="O230" i="5"/>
  <c r="N230" i="6"/>
  <c r="R230" i="6"/>
  <c r="H230" i="6"/>
  <c r="G230" i="4"/>
  <c r="G230" i="5"/>
  <c r="K230" i="6"/>
  <c r="O230" i="6"/>
  <c r="D230" i="6"/>
  <c r="L230" i="6"/>
  <c r="P230" i="6"/>
  <c r="J223" i="4"/>
  <c r="J223" i="5"/>
  <c r="D223" i="6"/>
  <c r="D223" i="4"/>
  <c r="D223" i="5"/>
  <c r="V223" i="6"/>
  <c r="T223" i="4"/>
  <c r="T223" i="5"/>
  <c r="L223" i="4"/>
  <c r="L223" i="5"/>
  <c r="H223" i="6"/>
  <c r="J223" i="6"/>
  <c r="F223" i="6"/>
  <c r="N223" i="6"/>
  <c r="H223" i="4"/>
  <c r="H223" i="5"/>
  <c r="R223" i="4"/>
  <c r="R223" i="5"/>
  <c r="P223" i="6"/>
  <c r="R223" i="6"/>
  <c r="P223" i="4"/>
  <c r="P223" i="5"/>
  <c r="N223" i="4"/>
  <c r="N223" i="5"/>
  <c r="V223" i="4"/>
  <c r="V223" i="5"/>
  <c r="M223" i="6"/>
  <c r="Q223" i="6"/>
  <c r="K223" i="6"/>
  <c r="O223" i="6"/>
  <c r="U223" i="4"/>
  <c r="U223" i="5"/>
  <c r="F223" i="4"/>
  <c r="F223" i="5"/>
  <c r="T223" i="6"/>
  <c r="S223" i="4"/>
  <c r="S223" i="5"/>
  <c r="M223" i="4"/>
  <c r="M223" i="5"/>
  <c r="I223" i="6"/>
  <c r="L223" i="6"/>
  <c r="G223" i="4"/>
  <c r="G223" i="5"/>
  <c r="G223" i="6"/>
  <c r="S223" i="6"/>
  <c r="I223" i="4"/>
  <c r="I223" i="5"/>
  <c r="E223" i="4"/>
  <c r="E223" i="5"/>
  <c r="E223" i="6"/>
  <c r="U223" i="6"/>
  <c r="O223" i="4"/>
  <c r="O223" i="5"/>
  <c r="K223" i="4"/>
  <c r="K223" i="5"/>
  <c r="Q223" i="4"/>
  <c r="Q223" i="5"/>
  <c r="L195" i="6"/>
  <c r="J195" i="6"/>
  <c r="T195" i="6"/>
  <c r="N195" i="6"/>
  <c r="H195" i="6"/>
  <c r="V195" i="6"/>
  <c r="F195" i="6"/>
  <c r="M195" i="4"/>
  <c r="M195" i="5"/>
  <c r="H195" i="4"/>
  <c r="H195" i="5"/>
  <c r="P195" i="4"/>
  <c r="P195" i="5"/>
  <c r="F195" i="4"/>
  <c r="F195" i="5"/>
  <c r="U195" i="4"/>
  <c r="U195" i="5"/>
  <c r="I195" i="4"/>
  <c r="I195" i="5"/>
  <c r="G195" i="4"/>
  <c r="G195" i="5"/>
  <c r="M195" i="6"/>
  <c r="D195" i="4"/>
  <c r="D195" i="5"/>
  <c r="N195" i="4"/>
  <c r="N195" i="5"/>
  <c r="V195" i="4"/>
  <c r="V195" i="5"/>
  <c r="S195" i="6"/>
  <c r="K195" i="4"/>
  <c r="K195" i="5"/>
  <c r="T195" i="4"/>
  <c r="T195" i="5"/>
  <c r="S195" i="4"/>
  <c r="S195" i="5"/>
  <c r="K195" i="6"/>
  <c r="Q195" i="6"/>
  <c r="O195" i="6"/>
  <c r="E195" i="4"/>
  <c r="E195" i="5"/>
  <c r="G195" i="6"/>
  <c r="R195" i="4"/>
  <c r="R195" i="5"/>
  <c r="Q195" i="4"/>
  <c r="Q195" i="5"/>
  <c r="O195" i="4"/>
  <c r="O195" i="5"/>
  <c r="E195" i="6"/>
  <c r="U195" i="6"/>
  <c r="I195" i="6"/>
  <c r="L195" i="4"/>
  <c r="L195" i="5"/>
  <c r="J195" i="4"/>
  <c r="J195" i="5"/>
  <c r="D195" i="6"/>
  <c r="R195" i="6"/>
  <c r="P195" i="6"/>
  <c r="D177" i="6"/>
  <c r="Q177" i="6"/>
  <c r="O177" i="6"/>
  <c r="I177" i="4"/>
  <c r="I177" i="5"/>
  <c r="G177" i="6"/>
  <c r="M177" i="6"/>
  <c r="M177" i="4"/>
  <c r="M177" i="5"/>
  <c r="E177" i="6"/>
  <c r="G177" i="4"/>
  <c r="G177" i="5"/>
  <c r="K177" i="4"/>
  <c r="K177" i="5"/>
  <c r="K177" i="6"/>
  <c r="I177" i="6"/>
  <c r="F177" i="4"/>
  <c r="F177" i="5"/>
  <c r="R177" i="4"/>
  <c r="R177" i="5"/>
  <c r="S177" i="4"/>
  <c r="S177" i="5"/>
  <c r="O177" i="4"/>
  <c r="O177" i="5"/>
  <c r="U177" i="6"/>
  <c r="S177" i="6"/>
  <c r="Q177" i="4"/>
  <c r="Q177" i="5"/>
  <c r="E177" i="4"/>
  <c r="E177" i="5"/>
  <c r="D177" i="4"/>
  <c r="D177" i="5"/>
  <c r="U177" i="4"/>
  <c r="U177" i="5"/>
  <c r="H177" i="6"/>
  <c r="L177" i="6"/>
  <c r="P177" i="6"/>
  <c r="T177" i="6"/>
  <c r="F177" i="6"/>
  <c r="J177" i="6"/>
  <c r="N177" i="6"/>
  <c r="R177" i="6"/>
  <c r="V177" i="6"/>
  <c r="H177" i="4"/>
  <c r="H177" i="5"/>
  <c r="P177" i="4"/>
  <c r="P177" i="5"/>
  <c r="N177" i="4"/>
  <c r="N177" i="5"/>
  <c r="V177" i="4"/>
  <c r="V177" i="5"/>
  <c r="J177" i="4"/>
  <c r="J177" i="5"/>
  <c r="L177" i="4"/>
  <c r="L177" i="5"/>
  <c r="T177" i="4"/>
  <c r="T177" i="5"/>
  <c r="D147" i="4"/>
  <c r="D147" i="5"/>
  <c r="S147" i="6"/>
  <c r="O147" i="6"/>
  <c r="K147" i="4"/>
  <c r="K147" i="5"/>
  <c r="D147" i="6"/>
  <c r="M147" i="6"/>
  <c r="U147" i="6"/>
  <c r="O147" i="4"/>
  <c r="O147" i="5"/>
  <c r="M147" i="4"/>
  <c r="M147" i="5"/>
  <c r="I147" i="6"/>
  <c r="Q147" i="6"/>
  <c r="U147" i="4"/>
  <c r="U147" i="5"/>
  <c r="F147" i="4"/>
  <c r="F147" i="5"/>
  <c r="Q147" i="4"/>
  <c r="Q147" i="5"/>
  <c r="S147" i="4"/>
  <c r="S147" i="5"/>
  <c r="H147" i="4"/>
  <c r="H147" i="5"/>
  <c r="H147" i="6"/>
  <c r="V147" i="4"/>
  <c r="V147" i="5"/>
  <c r="N147" i="4"/>
  <c r="N147" i="5"/>
  <c r="N147" i="6"/>
  <c r="J147" i="4"/>
  <c r="J147" i="5"/>
  <c r="I147" i="4"/>
  <c r="I147" i="5"/>
  <c r="F147" i="6"/>
  <c r="T147" i="6"/>
  <c r="K147" i="6"/>
  <c r="E147" i="6"/>
  <c r="V147" i="6"/>
  <c r="J147" i="6"/>
  <c r="P147" i="4"/>
  <c r="P147" i="5"/>
  <c r="E147" i="4"/>
  <c r="E147" i="5"/>
  <c r="L147" i="6"/>
  <c r="R147" i="4"/>
  <c r="R147" i="5"/>
  <c r="T147" i="4"/>
  <c r="T147" i="5"/>
  <c r="L147" i="4"/>
  <c r="L147" i="5"/>
  <c r="G147" i="6"/>
  <c r="P147" i="6"/>
  <c r="G147" i="4"/>
  <c r="G147" i="5"/>
  <c r="R147" i="6"/>
  <c r="D136" i="4"/>
  <c r="D136" i="5"/>
  <c r="U136" i="4"/>
  <c r="U136" i="5"/>
  <c r="Q136" i="4"/>
  <c r="Q136" i="5"/>
  <c r="M136" i="4"/>
  <c r="M136" i="5"/>
  <c r="I136" i="4"/>
  <c r="I136" i="5"/>
  <c r="S136" i="4"/>
  <c r="S136" i="5"/>
  <c r="O136" i="6"/>
  <c r="G136" i="6"/>
  <c r="M136" i="6"/>
  <c r="I136" i="6"/>
  <c r="K136" i="6"/>
  <c r="D136" i="6"/>
  <c r="K136" i="4"/>
  <c r="K136" i="5"/>
  <c r="E136" i="4"/>
  <c r="E136" i="5"/>
  <c r="U136" i="6"/>
  <c r="O136" i="4"/>
  <c r="O136" i="5"/>
  <c r="G136" i="4"/>
  <c r="G136" i="5"/>
  <c r="Q136" i="6"/>
  <c r="S136" i="6"/>
  <c r="E136" i="6"/>
  <c r="P136" i="6"/>
  <c r="V136" i="4"/>
  <c r="V136" i="5"/>
  <c r="L136" i="4"/>
  <c r="L136" i="5"/>
  <c r="J136" i="4"/>
  <c r="J136" i="5"/>
  <c r="J136" i="6"/>
  <c r="T136" i="4"/>
  <c r="T136" i="5"/>
  <c r="T136" i="6"/>
  <c r="H136" i="6"/>
  <c r="P136" i="4"/>
  <c r="P136" i="5"/>
  <c r="H136" i="4"/>
  <c r="H136" i="5"/>
  <c r="F136" i="4"/>
  <c r="F136" i="5"/>
  <c r="F136" i="6"/>
  <c r="R136" i="4"/>
  <c r="R136" i="5"/>
  <c r="R136" i="6"/>
  <c r="N136" i="6"/>
  <c r="L136" i="6"/>
  <c r="N136" i="4"/>
  <c r="N136" i="5"/>
  <c r="V136" i="6"/>
  <c r="F99" i="4"/>
  <c r="F99" i="5"/>
  <c r="J99" i="4"/>
  <c r="J99" i="5"/>
  <c r="R99" i="6"/>
  <c r="P99" i="6"/>
  <c r="F99" i="6"/>
  <c r="H99" i="6"/>
  <c r="D99" i="4"/>
  <c r="D99" i="5"/>
  <c r="V99" i="6"/>
  <c r="Q99" i="6"/>
  <c r="D99" i="6"/>
  <c r="J99" i="6"/>
  <c r="S99" i="6"/>
  <c r="L99" i="6"/>
  <c r="H99" i="4"/>
  <c r="H99" i="5"/>
  <c r="N99" i="6"/>
  <c r="R99" i="4"/>
  <c r="R99" i="5"/>
  <c r="T99" i="4"/>
  <c r="T99" i="5"/>
  <c r="V99" i="4"/>
  <c r="V99" i="5"/>
  <c r="T99" i="6"/>
  <c r="N99" i="4"/>
  <c r="N99" i="5"/>
  <c r="L99" i="4"/>
  <c r="L99" i="5"/>
  <c r="K99" i="4"/>
  <c r="K99" i="5"/>
  <c r="O99" i="4"/>
  <c r="O99" i="5"/>
  <c r="O99" i="6"/>
  <c r="Q99" i="4"/>
  <c r="Q99" i="5"/>
  <c r="U99" i="6"/>
  <c r="P99" i="4"/>
  <c r="P99" i="5"/>
  <c r="E99" i="4"/>
  <c r="E99" i="5"/>
  <c r="E99" i="6"/>
  <c r="G99" i="4"/>
  <c r="G99" i="5"/>
  <c r="G99" i="6"/>
  <c r="I99" i="4"/>
  <c r="I99" i="5"/>
  <c r="M99" i="4"/>
  <c r="M99" i="5"/>
  <c r="M99" i="6"/>
  <c r="K99" i="6"/>
  <c r="I99" i="6"/>
  <c r="S99" i="4"/>
  <c r="S99" i="5"/>
  <c r="U99" i="4"/>
  <c r="U99" i="5"/>
  <c r="D13" i="6"/>
  <c r="D13" i="4"/>
  <c r="D13" i="5"/>
  <c r="U13" i="6"/>
  <c r="E13" i="4"/>
  <c r="E13" i="5"/>
  <c r="N13" i="6"/>
  <c r="O13" i="4"/>
  <c r="O13" i="5"/>
  <c r="Q13" i="4"/>
  <c r="Q13" i="5"/>
  <c r="Q13" i="6"/>
  <c r="S13" i="6"/>
  <c r="G13" i="6"/>
  <c r="H13" i="4"/>
  <c r="H13" i="5"/>
  <c r="I13" i="6"/>
  <c r="L13" i="6"/>
  <c r="R13" i="4"/>
  <c r="R13" i="5"/>
  <c r="K13" i="6"/>
  <c r="E13" i="6"/>
  <c r="N13" i="4"/>
  <c r="N13" i="5"/>
  <c r="O13" i="6"/>
  <c r="S13" i="4"/>
  <c r="S13" i="5"/>
  <c r="G13" i="4"/>
  <c r="G13" i="5"/>
  <c r="H13" i="6"/>
  <c r="I13" i="4"/>
  <c r="I13" i="5"/>
  <c r="L13" i="4"/>
  <c r="L13" i="5"/>
  <c r="V13" i="6"/>
  <c r="J13" i="4"/>
  <c r="J13" i="5"/>
  <c r="F13" i="6"/>
  <c r="M13" i="4"/>
  <c r="M13" i="5"/>
  <c r="P13" i="4"/>
  <c r="P13" i="5"/>
  <c r="T13" i="4"/>
  <c r="T13" i="5"/>
  <c r="P13" i="6"/>
  <c r="K13" i="4"/>
  <c r="K13" i="5"/>
  <c r="T13" i="6"/>
  <c r="F13" i="4"/>
  <c r="F13" i="5"/>
  <c r="R13" i="6"/>
  <c r="J13" i="6"/>
  <c r="V13" i="4"/>
  <c r="V13" i="5"/>
  <c r="M13" i="6"/>
  <c r="U13" i="4"/>
  <c r="U13" i="5"/>
  <c r="H55" i="4"/>
  <c r="H55" i="5"/>
  <c r="P55" i="4"/>
  <c r="P55" i="5"/>
  <c r="K55" i="6"/>
  <c r="L55" i="6"/>
  <c r="P55" i="6"/>
  <c r="D55" i="6"/>
  <c r="H55" i="6"/>
  <c r="T55" i="6"/>
  <c r="F55" i="6"/>
  <c r="V55" i="6"/>
  <c r="R55" i="6"/>
  <c r="J55" i="6"/>
  <c r="N55" i="6"/>
  <c r="T55" i="4"/>
  <c r="T55" i="5"/>
  <c r="L55" i="4"/>
  <c r="L55" i="5"/>
  <c r="D55" i="4"/>
  <c r="D55" i="5"/>
  <c r="G55" i="4"/>
  <c r="G55" i="5"/>
  <c r="G55" i="6"/>
  <c r="Q55" i="6"/>
  <c r="V55" i="4"/>
  <c r="V55" i="5"/>
  <c r="R55" i="4"/>
  <c r="R55" i="5"/>
  <c r="N55" i="4"/>
  <c r="N55" i="5"/>
  <c r="J55" i="4"/>
  <c r="J55" i="5"/>
  <c r="F55" i="4"/>
  <c r="F55" i="5"/>
  <c r="U55" i="4"/>
  <c r="U55" i="5"/>
  <c r="U55" i="6"/>
  <c r="E55" i="4"/>
  <c r="E55" i="5"/>
  <c r="M55" i="6"/>
  <c r="O55" i="6"/>
  <c r="S55" i="4"/>
  <c r="S55" i="5"/>
  <c r="S55" i="6"/>
  <c r="E55" i="6"/>
  <c r="I55" i="6"/>
  <c r="I55" i="4"/>
  <c r="I55" i="5"/>
  <c r="M55" i="4"/>
  <c r="M55" i="5"/>
  <c r="O55" i="4"/>
  <c r="O55" i="5"/>
  <c r="Q55" i="4"/>
  <c r="Q55" i="5"/>
  <c r="K55" i="4"/>
  <c r="K55" i="5"/>
  <c r="S69" i="4"/>
  <c r="S69" i="5"/>
  <c r="D69" i="6"/>
  <c r="E69" i="6"/>
  <c r="I69" i="6"/>
  <c r="M69" i="6"/>
  <c r="Q69" i="6"/>
  <c r="U69" i="6"/>
  <c r="F69" i="6"/>
  <c r="G69" i="6"/>
  <c r="K69" i="6"/>
  <c r="O69" i="6"/>
  <c r="S69" i="6"/>
  <c r="D69" i="4"/>
  <c r="D69" i="5"/>
  <c r="V69" i="4"/>
  <c r="V69" i="5"/>
  <c r="V69" i="6"/>
  <c r="I69" i="4"/>
  <c r="I69" i="5"/>
  <c r="T69" i="6"/>
  <c r="N69" i="6"/>
  <c r="K69" i="4"/>
  <c r="K69" i="5"/>
  <c r="T69" i="4"/>
  <c r="T69" i="5"/>
  <c r="H69" i="4"/>
  <c r="H69" i="5"/>
  <c r="H69" i="6"/>
  <c r="L69" i="6"/>
  <c r="R69" i="6"/>
  <c r="L69" i="4"/>
  <c r="L69" i="5"/>
  <c r="P69" i="4"/>
  <c r="P69" i="5"/>
  <c r="P69" i="6"/>
  <c r="J69" i="6"/>
  <c r="U69" i="4"/>
  <c r="U69" i="5"/>
  <c r="M69" i="4"/>
  <c r="M69" i="5"/>
  <c r="E69" i="4"/>
  <c r="E69" i="5"/>
  <c r="Q69" i="4"/>
  <c r="Q69" i="5"/>
  <c r="G69" i="4"/>
  <c r="G69" i="5"/>
  <c r="O69" i="4"/>
  <c r="O69" i="5"/>
  <c r="F69" i="4"/>
  <c r="F69" i="5"/>
  <c r="R69" i="4"/>
  <c r="R69" i="5"/>
  <c r="J69" i="4"/>
  <c r="J69" i="5"/>
  <c r="N69" i="4"/>
  <c r="N69" i="5"/>
  <c r="D84" i="4"/>
  <c r="D84" i="5"/>
  <c r="O84" i="4"/>
  <c r="O84" i="5"/>
  <c r="U84" i="4"/>
  <c r="U84" i="5"/>
  <c r="H84" i="6"/>
  <c r="G84" i="6"/>
  <c r="K84" i="6"/>
  <c r="O84" i="6"/>
  <c r="S84" i="6"/>
  <c r="M84" i="4"/>
  <c r="M84" i="5"/>
  <c r="S84" i="4"/>
  <c r="S84" i="5"/>
  <c r="G84" i="4"/>
  <c r="G84" i="5"/>
  <c r="Q84" i="4"/>
  <c r="Q84" i="5"/>
  <c r="K84" i="4"/>
  <c r="K84" i="5"/>
  <c r="D84" i="6"/>
  <c r="I84" i="6"/>
  <c r="M84" i="6"/>
  <c r="Q84" i="6"/>
  <c r="U84" i="6"/>
  <c r="E84" i="4"/>
  <c r="E84" i="5"/>
  <c r="I84" i="4"/>
  <c r="I84" i="5"/>
  <c r="F84" i="6"/>
  <c r="P84" i="4"/>
  <c r="P84" i="5"/>
  <c r="F84" i="4"/>
  <c r="F84" i="5"/>
  <c r="P84" i="6"/>
  <c r="L84" i="6"/>
  <c r="V84" i="4"/>
  <c r="V84" i="5"/>
  <c r="T84" i="6"/>
  <c r="J84" i="4"/>
  <c r="J84" i="5"/>
  <c r="N84" i="4"/>
  <c r="N84" i="5"/>
  <c r="R84" i="6"/>
  <c r="R84" i="4"/>
  <c r="R84" i="5"/>
  <c r="N84" i="6"/>
  <c r="E84" i="6"/>
  <c r="V84" i="6"/>
  <c r="L84" i="4"/>
  <c r="L84" i="5"/>
  <c r="T84" i="4"/>
  <c r="T84" i="5"/>
  <c r="H84" i="4"/>
  <c r="H84" i="5"/>
  <c r="J84" i="6"/>
  <c r="V438" i="6"/>
  <c r="V25" i="6"/>
  <c r="S288" i="3"/>
  <c r="H48" i="2"/>
  <c r="H75" i="2"/>
  <c r="E49" i="2"/>
  <c r="E76" i="2"/>
  <c r="T208" i="3"/>
  <c r="S314" i="4"/>
  <c r="S314" i="5"/>
  <c r="Q438" i="6"/>
  <c r="Q288" i="3"/>
  <c r="H46" i="2"/>
  <c r="P103" i="1"/>
  <c r="P469" i="1"/>
  <c r="Q469" i="3"/>
  <c r="O314" i="6"/>
  <c r="N271" i="6"/>
  <c r="N271" i="4"/>
  <c r="N271" i="5"/>
  <c r="C42" i="2"/>
  <c r="C69" i="2"/>
  <c r="M8" i="3"/>
  <c r="M8" i="6"/>
  <c r="J40" i="2"/>
  <c r="J67" i="2"/>
  <c r="K375" i="3"/>
  <c r="J271" i="6"/>
  <c r="J271" i="4"/>
  <c r="J271" i="5"/>
  <c r="H511" i="7"/>
  <c r="H508" i="7"/>
  <c r="H501" i="7"/>
  <c r="H498" i="7"/>
  <c r="H513" i="7"/>
  <c r="H502" i="7"/>
  <c r="H503" i="7"/>
  <c r="H507" i="7"/>
  <c r="H504" i="7"/>
  <c r="H500" i="7"/>
  <c r="H509" i="7"/>
  <c r="H515" i="7"/>
  <c r="H499" i="7"/>
  <c r="H512" i="7"/>
  <c r="H506" i="7"/>
  <c r="H514" i="7"/>
  <c r="H505" i="7"/>
  <c r="H510" i="7"/>
  <c r="H438" i="6"/>
  <c r="H329" i="6"/>
  <c r="H329" i="4"/>
  <c r="H329" i="5"/>
  <c r="J511" i="7"/>
  <c r="R511" i="7"/>
  <c r="M453" i="7"/>
  <c r="J500" i="7"/>
  <c r="R500" i="7"/>
  <c r="M442" i="7"/>
  <c r="J507" i="7"/>
  <c r="R507" i="7"/>
  <c r="M449" i="7"/>
  <c r="J498" i="7"/>
  <c r="J503" i="7"/>
  <c r="R503" i="7"/>
  <c r="M445" i="7"/>
  <c r="J504" i="7"/>
  <c r="R504" i="7"/>
  <c r="M446" i="7"/>
  <c r="J501" i="7"/>
  <c r="R501" i="7"/>
  <c r="M443" i="7"/>
  <c r="J509" i="7"/>
  <c r="R509" i="7"/>
  <c r="M451" i="7"/>
  <c r="J515" i="7"/>
  <c r="R515" i="7"/>
  <c r="M457" i="7"/>
  <c r="J505" i="7"/>
  <c r="R505" i="7"/>
  <c r="M447" i="7"/>
  <c r="J499" i="7"/>
  <c r="R499" i="7"/>
  <c r="M441" i="7"/>
  <c r="J502" i="7"/>
  <c r="R502" i="7"/>
  <c r="M444" i="7"/>
  <c r="J506" i="7"/>
  <c r="R506" i="7"/>
  <c r="M448" i="7"/>
  <c r="J512" i="7"/>
  <c r="J508" i="7"/>
  <c r="R508" i="7"/>
  <c r="M450" i="7"/>
  <c r="J513" i="7"/>
  <c r="R513" i="7"/>
  <c r="M455" i="7"/>
  <c r="J514" i="7"/>
  <c r="R514" i="7"/>
  <c r="M456" i="7"/>
  <c r="J510" i="7"/>
  <c r="R510" i="7"/>
  <c r="M452" i="7"/>
  <c r="G379" i="7"/>
  <c r="G191" i="4"/>
  <c r="G191" i="5"/>
  <c r="G191" i="6"/>
  <c r="J35" i="2"/>
  <c r="J62" i="2"/>
  <c r="F375" i="3"/>
  <c r="H34" i="2"/>
  <c r="H61" i="2"/>
  <c r="E288" i="3"/>
  <c r="V530" i="4"/>
  <c r="V530" i="5"/>
  <c r="V530" i="6"/>
  <c r="T539" i="1"/>
  <c r="U539" i="3"/>
  <c r="U525" i="3"/>
  <c r="Y77" i="2"/>
  <c r="Z50" i="2"/>
  <c r="V396" i="6"/>
  <c r="V396" i="4"/>
  <c r="V396" i="5"/>
  <c r="V10" i="6"/>
  <c r="U35" i="6"/>
  <c r="U35" i="4"/>
  <c r="U35" i="5"/>
  <c r="E392" i="7"/>
  <c r="T163" i="4"/>
  <c r="T163" i="5"/>
  <c r="T163" i="6"/>
  <c r="R35" i="4"/>
  <c r="R35" i="5"/>
  <c r="R35" i="6"/>
  <c r="P410" i="6"/>
  <c r="P410" i="4"/>
  <c r="P410" i="5"/>
  <c r="O377" i="4"/>
  <c r="O377" i="5"/>
  <c r="O377" i="6"/>
  <c r="E41" i="2"/>
  <c r="E68" i="2"/>
  <c r="L208" i="3"/>
  <c r="J106" i="1"/>
  <c r="D40" i="2"/>
  <c r="K189" i="3"/>
  <c r="J126" i="6"/>
  <c r="J37" i="2"/>
  <c r="J64" i="2"/>
  <c r="H375" i="3"/>
  <c r="H10" i="6"/>
  <c r="D36" i="2"/>
  <c r="G189" i="3"/>
  <c r="F106" i="1"/>
  <c r="F438" i="4"/>
  <c r="F438" i="5"/>
  <c r="H35" i="2"/>
  <c r="H62" i="2"/>
  <c r="F288" i="3"/>
  <c r="C35" i="2"/>
  <c r="C62" i="2"/>
  <c r="F8" i="3"/>
  <c r="D106" i="1"/>
  <c r="E189" i="3"/>
  <c r="D34" i="2"/>
  <c r="E146" i="6"/>
  <c r="E146" i="4"/>
  <c r="E146" i="5"/>
  <c r="K508" i="6"/>
  <c r="K508" i="4"/>
  <c r="K508" i="5"/>
  <c r="O8" i="4"/>
  <c r="O8" i="5"/>
  <c r="O8" i="6"/>
  <c r="D8" i="6"/>
  <c r="D8" i="4"/>
  <c r="D8" i="5"/>
  <c r="N8" i="6"/>
  <c r="N8" i="4"/>
  <c r="N8" i="5"/>
  <c r="E505" i="7"/>
  <c r="E513" i="7"/>
  <c r="E509" i="7"/>
  <c r="E510" i="7"/>
  <c r="E511" i="7"/>
  <c r="E514" i="7"/>
  <c r="E503" i="7"/>
  <c r="E504" i="7"/>
  <c r="E498" i="7"/>
  <c r="E512" i="7"/>
  <c r="E515" i="7"/>
  <c r="E507" i="7"/>
  <c r="E508" i="7"/>
  <c r="E506" i="7"/>
  <c r="E501" i="7"/>
  <c r="E502" i="7"/>
  <c r="E499" i="7"/>
  <c r="E500" i="7"/>
  <c r="K486" i="6"/>
  <c r="R288" i="4"/>
  <c r="R288" i="5"/>
  <c r="R288" i="6"/>
  <c r="Q208" i="4"/>
  <c r="Q208" i="5"/>
  <c r="D208" i="4"/>
  <c r="D208" i="5"/>
  <c r="R208" i="6"/>
  <c r="F208" i="6"/>
  <c r="S208" i="4"/>
  <c r="S208" i="5"/>
  <c r="Q208" i="6"/>
  <c r="U208" i="6"/>
  <c r="R208" i="4"/>
  <c r="R208" i="5"/>
  <c r="F208" i="4"/>
  <c r="F208" i="5"/>
  <c r="V208" i="4"/>
  <c r="V208" i="5"/>
  <c r="E208" i="6"/>
  <c r="O208" i="4"/>
  <c r="O208" i="5"/>
  <c r="I208" i="6"/>
  <c r="K208" i="6"/>
  <c r="D208" i="6"/>
  <c r="E208" i="4"/>
  <c r="E208" i="5"/>
  <c r="O208" i="6"/>
  <c r="U208" i="4"/>
  <c r="U208" i="5"/>
  <c r="H208" i="6"/>
  <c r="H208" i="4"/>
  <c r="H208" i="5"/>
  <c r="V208" i="6"/>
  <c r="S208" i="6"/>
  <c r="I208" i="4"/>
  <c r="I208" i="5"/>
  <c r="K208" i="4"/>
  <c r="K208" i="5"/>
  <c r="S189" i="6"/>
  <c r="S189" i="4"/>
  <c r="S189" i="5"/>
  <c r="R103" i="1"/>
  <c r="R469" i="1"/>
  <c r="S469" i="3"/>
  <c r="S106" i="3"/>
  <c r="F508" i="6"/>
  <c r="L92" i="4"/>
  <c r="L92" i="5"/>
  <c r="J92" i="6"/>
  <c r="O92" i="6"/>
  <c r="N92" i="4"/>
  <c r="N92" i="5"/>
  <c r="D92" i="6"/>
  <c r="Q92" i="6"/>
  <c r="H92" i="6"/>
  <c r="P92" i="6"/>
  <c r="M92" i="6"/>
  <c r="H92" i="4"/>
  <c r="H92" i="5"/>
  <c r="V92" i="6"/>
  <c r="P92" i="4"/>
  <c r="P92" i="5"/>
  <c r="I92" i="6"/>
  <c r="O92" i="4"/>
  <c r="O92" i="5"/>
  <c r="M92" i="4"/>
  <c r="M92" i="5"/>
  <c r="E92" i="4"/>
  <c r="E92" i="5"/>
  <c r="E92" i="6"/>
  <c r="K92" i="4"/>
  <c r="K92" i="5"/>
  <c r="I92" i="4"/>
  <c r="I92" i="5"/>
  <c r="D92" i="4"/>
  <c r="D92" i="5"/>
  <c r="K92" i="6"/>
  <c r="Q92" i="4"/>
  <c r="Q92" i="5"/>
  <c r="N92" i="6"/>
  <c r="V92" i="4"/>
  <c r="V92" i="5"/>
  <c r="S92" i="6"/>
  <c r="T92" i="6"/>
  <c r="J92" i="4"/>
  <c r="J92" i="5"/>
  <c r="S92" i="4"/>
  <c r="S92" i="5"/>
  <c r="T92" i="4"/>
  <c r="T92" i="5"/>
  <c r="L92" i="6"/>
  <c r="D539" i="6"/>
  <c r="D539" i="4"/>
  <c r="D539" i="5"/>
  <c r="Q539" i="6"/>
  <c r="M539" i="6"/>
  <c r="S539" i="4"/>
  <c r="S539" i="5"/>
  <c r="M539" i="4"/>
  <c r="M539" i="5"/>
  <c r="O539" i="4"/>
  <c r="O539" i="5"/>
  <c r="Q539" i="4"/>
  <c r="Q539" i="5"/>
  <c r="I539" i="6"/>
  <c r="G271" i="6"/>
  <c r="M271" i="4"/>
  <c r="M271" i="5"/>
  <c r="E271" i="4"/>
  <c r="E271" i="5"/>
  <c r="D271" i="6"/>
  <c r="S271" i="4"/>
  <c r="S271" i="5"/>
  <c r="H271" i="4"/>
  <c r="H271" i="5"/>
  <c r="Q271" i="6"/>
  <c r="Q271" i="4"/>
  <c r="Q271" i="5"/>
  <c r="M271" i="6"/>
  <c r="P271" i="4"/>
  <c r="P271" i="5"/>
  <c r="F271" i="4"/>
  <c r="F271" i="5"/>
  <c r="U271" i="4"/>
  <c r="U271" i="5"/>
  <c r="U271" i="6"/>
  <c r="V271" i="4"/>
  <c r="V271" i="5"/>
  <c r="V271" i="6"/>
  <c r="D271" i="4"/>
  <c r="D271" i="5"/>
  <c r="E271" i="6"/>
  <c r="G271" i="4"/>
  <c r="G271" i="5"/>
  <c r="I271" i="6"/>
  <c r="I271" i="4"/>
  <c r="I271" i="5"/>
  <c r="P271" i="6"/>
  <c r="H271" i="6"/>
  <c r="R271" i="4"/>
  <c r="R271" i="5"/>
  <c r="O271" i="6"/>
  <c r="R271" i="6"/>
  <c r="S271" i="6"/>
  <c r="F271" i="6"/>
  <c r="O271" i="4"/>
  <c r="O271" i="5"/>
  <c r="D349" i="4"/>
  <c r="D349" i="5"/>
  <c r="O349" i="6"/>
  <c r="P349" i="4"/>
  <c r="P349" i="5"/>
  <c r="U349" i="6"/>
  <c r="K349" i="6"/>
  <c r="D349" i="6"/>
  <c r="S349" i="4"/>
  <c r="S349" i="5"/>
  <c r="O349" i="4"/>
  <c r="O349" i="5"/>
  <c r="N349" i="4"/>
  <c r="N349" i="5"/>
  <c r="L349" i="6"/>
  <c r="P349" i="6"/>
  <c r="U349" i="4"/>
  <c r="U349" i="5"/>
  <c r="K349" i="4"/>
  <c r="K349" i="5"/>
  <c r="R349" i="6"/>
  <c r="I349" i="6"/>
  <c r="S349" i="6"/>
  <c r="L349" i="4"/>
  <c r="L349" i="5"/>
  <c r="N349" i="6"/>
  <c r="E349" i="6"/>
  <c r="T349" i="6"/>
  <c r="G349" i="6"/>
  <c r="M349" i="4"/>
  <c r="M349" i="5"/>
  <c r="J349" i="4"/>
  <c r="J349" i="5"/>
  <c r="R349" i="4"/>
  <c r="R349" i="5"/>
  <c r="I349" i="4"/>
  <c r="I349" i="5"/>
  <c r="E349" i="4"/>
  <c r="T349" i="4"/>
  <c r="T349" i="5"/>
  <c r="G349" i="4"/>
  <c r="G349" i="5"/>
  <c r="M349" i="6"/>
  <c r="J349" i="6"/>
  <c r="U495" i="4"/>
  <c r="U495" i="5"/>
  <c r="E495" i="6"/>
  <c r="M495" i="6"/>
  <c r="Q495" i="4"/>
  <c r="Q495" i="5"/>
  <c r="O495" i="6"/>
  <c r="N495" i="4"/>
  <c r="N495" i="5"/>
  <c r="K495" i="6"/>
  <c r="S495" i="6"/>
  <c r="Q495" i="6"/>
  <c r="O495" i="4"/>
  <c r="O495" i="5"/>
  <c r="F495" i="6"/>
  <c r="V495" i="4"/>
  <c r="V495" i="5"/>
  <c r="V495" i="6"/>
  <c r="J495" i="4"/>
  <c r="J495" i="5"/>
  <c r="J495" i="6"/>
  <c r="S495" i="4"/>
  <c r="S495" i="5"/>
  <c r="L495" i="6"/>
  <c r="F495" i="4"/>
  <c r="F495" i="5"/>
  <c r="L495" i="4"/>
  <c r="L495" i="5"/>
  <c r="H495" i="4"/>
  <c r="H495" i="5"/>
  <c r="U495" i="6"/>
  <c r="E495" i="4"/>
  <c r="E495" i="5"/>
  <c r="D495" i="4"/>
  <c r="D495" i="5"/>
  <c r="P495" i="4"/>
  <c r="P495" i="5"/>
  <c r="G495" i="4"/>
  <c r="G495" i="5"/>
  <c r="R495" i="6"/>
  <c r="I495" i="4"/>
  <c r="I495" i="5"/>
  <c r="N495" i="6"/>
  <c r="M495" i="4"/>
  <c r="M495" i="5"/>
  <c r="G495" i="6"/>
  <c r="H495" i="6"/>
  <c r="K495" i="4"/>
  <c r="K495" i="5"/>
  <c r="I495" i="6"/>
  <c r="R495" i="4"/>
  <c r="R495" i="5"/>
  <c r="P495" i="6"/>
  <c r="D495" i="6"/>
  <c r="H158" i="6"/>
  <c r="N158" i="4"/>
  <c r="N158" i="5"/>
  <c r="P158" i="4"/>
  <c r="P158" i="5"/>
  <c r="G158" i="6"/>
  <c r="F158" i="6"/>
  <c r="R158" i="4"/>
  <c r="R158" i="5"/>
  <c r="Q158" i="6"/>
  <c r="V158" i="6"/>
  <c r="T158" i="4"/>
  <c r="T158" i="5"/>
  <c r="L158" i="4"/>
  <c r="L158" i="5"/>
  <c r="E158" i="6"/>
  <c r="Q158" i="4"/>
  <c r="Q158" i="5"/>
  <c r="E158" i="4"/>
  <c r="E158" i="5"/>
  <c r="T158" i="6"/>
  <c r="J158" i="4"/>
  <c r="J158" i="5"/>
  <c r="S158" i="4"/>
  <c r="S158" i="5"/>
  <c r="N158" i="6"/>
  <c r="L158" i="6"/>
  <c r="I158" i="4"/>
  <c r="I158" i="5"/>
  <c r="M158" i="4"/>
  <c r="M158" i="5"/>
  <c r="D158" i="6"/>
  <c r="K158" i="4"/>
  <c r="K158" i="5"/>
  <c r="O158" i="6"/>
  <c r="U158" i="6"/>
  <c r="F158" i="4"/>
  <c r="F158" i="5"/>
  <c r="J158" i="6"/>
  <c r="S158" i="6"/>
  <c r="V158" i="4"/>
  <c r="V158" i="5"/>
  <c r="H158" i="4"/>
  <c r="H158" i="5"/>
  <c r="P158" i="6"/>
  <c r="K158" i="6"/>
  <c r="D158" i="4"/>
  <c r="D158" i="5"/>
  <c r="O158" i="4"/>
  <c r="O158" i="5"/>
  <c r="U158" i="4"/>
  <c r="U158" i="5"/>
  <c r="G158" i="4"/>
  <c r="G158" i="5"/>
  <c r="R158" i="6"/>
  <c r="V520" i="4"/>
  <c r="V520" i="5"/>
  <c r="T520" i="4"/>
  <c r="T520" i="5"/>
  <c r="R520" i="4"/>
  <c r="R520" i="5"/>
  <c r="P520" i="4"/>
  <c r="P520" i="5"/>
  <c r="N520" i="4"/>
  <c r="N520" i="5"/>
  <c r="L520" i="4"/>
  <c r="L520" i="5"/>
  <c r="J520" i="4"/>
  <c r="J520" i="5"/>
  <c r="H520" i="4"/>
  <c r="H520" i="5"/>
  <c r="F520" i="4"/>
  <c r="F520" i="5"/>
  <c r="D520" i="4"/>
  <c r="D520" i="5"/>
  <c r="V520" i="6"/>
  <c r="R520" i="6"/>
  <c r="N520" i="6"/>
  <c r="J520" i="6"/>
  <c r="F520" i="6"/>
  <c r="U520" i="6"/>
  <c r="T520" i="6"/>
  <c r="P520" i="6"/>
  <c r="L520" i="6"/>
  <c r="H520" i="6"/>
  <c r="D520" i="6"/>
  <c r="S520" i="6"/>
  <c r="K520" i="6"/>
  <c r="E520" i="4"/>
  <c r="E520" i="5"/>
  <c r="M520" i="4"/>
  <c r="M520" i="5"/>
  <c r="U520" i="4"/>
  <c r="U520" i="5"/>
  <c r="Q520" i="4"/>
  <c r="Q520" i="5"/>
  <c r="O520" i="6"/>
  <c r="I520" i="4"/>
  <c r="I520" i="5"/>
  <c r="G520" i="6"/>
  <c r="M520" i="6"/>
  <c r="I520" i="6"/>
  <c r="E520" i="6"/>
  <c r="Q520" i="6"/>
  <c r="K520" i="4"/>
  <c r="K520" i="5"/>
  <c r="S520" i="4"/>
  <c r="S520" i="5"/>
  <c r="G520" i="4"/>
  <c r="G520" i="5"/>
  <c r="O520" i="4"/>
  <c r="O520" i="5"/>
  <c r="D303" i="4"/>
  <c r="D303" i="5"/>
  <c r="I303" i="4"/>
  <c r="I303" i="5"/>
  <c r="Q303" i="4"/>
  <c r="Q303" i="5"/>
  <c r="E303" i="6"/>
  <c r="U303" i="6"/>
  <c r="M303" i="6"/>
  <c r="G303" i="4"/>
  <c r="G303" i="5"/>
  <c r="K303" i="4"/>
  <c r="K303" i="5"/>
  <c r="O303" i="4"/>
  <c r="O303" i="5"/>
  <c r="S303" i="4"/>
  <c r="S303" i="5"/>
  <c r="G303" i="6"/>
  <c r="O303" i="6"/>
  <c r="D303" i="6"/>
  <c r="K303" i="6"/>
  <c r="S303" i="6"/>
  <c r="M303" i="4"/>
  <c r="M303" i="5"/>
  <c r="I303" i="6"/>
  <c r="J303" i="4"/>
  <c r="J303" i="5"/>
  <c r="R303" i="4"/>
  <c r="R303" i="5"/>
  <c r="R303" i="6"/>
  <c r="F303" i="6"/>
  <c r="P303" i="6"/>
  <c r="F303" i="4"/>
  <c r="F303" i="5"/>
  <c r="N303" i="4"/>
  <c r="N303" i="5"/>
  <c r="N303" i="6"/>
  <c r="P303" i="4"/>
  <c r="P303" i="5"/>
  <c r="V303" i="4"/>
  <c r="V303" i="5"/>
  <c r="V303" i="6"/>
  <c r="H303" i="4"/>
  <c r="H303" i="5"/>
  <c r="L303" i="6"/>
  <c r="J303" i="6"/>
  <c r="E303" i="4"/>
  <c r="E303" i="5"/>
  <c r="Q303" i="6"/>
  <c r="H303" i="6"/>
  <c r="L303" i="4"/>
  <c r="L303" i="5"/>
  <c r="T303" i="4"/>
  <c r="T303" i="5"/>
  <c r="T303" i="6"/>
  <c r="U303" i="4"/>
  <c r="U303" i="5"/>
  <c r="N54" i="6"/>
  <c r="L54" i="4"/>
  <c r="L54" i="5"/>
  <c r="D54" i="4"/>
  <c r="D54" i="5"/>
  <c r="N54" i="4"/>
  <c r="N54" i="5"/>
  <c r="T54" i="6"/>
  <c r="H54" i="4"/>
  <c r="H54" i="5"/>
  <c r="P54" i="4"/>
  <c r="P54" i="5"/>
  <c r="P54" i="6"/>
  <c r="L54" i="6"/>
  <c r="V54" i="4"/>
  <c r="V54" i="5"/>
  <c r="F54" i="4"/>
  <c r="F54" i="5"/>
  <c r="J54" i="4"/>
  <c r="J54" i="5"/>
  <c r="V54" i="6"/>
  <c r="R54" i="4"/>
  <c r="R54" i="5"/>
  <c r="J54" i="6"/>
  <c r="G54" i="6"/>
  <c r="T54" i="4"/>
  <c r="T54" i="5"/>
  <c r="F54" i="6"/>
  <c r="H54" i="6"/>
  <c r="G54" i="4"/>
  <c r="G54" i="5"/>
  <c r="I54" i="4"/>
  <c r="I54" i="5"/>
  <c r="U54" i="6"/>
  <c r="M54" i="6"/>
  <c r="I54" i="6"/>
  <c r="U54" i="4"/>
  <c r="U54" i="5"/>
  <c r="Q54" i="4"/>
  <c r="Q54" i="5"/>
  <c r="Q54" i="6"/>
  <c r="M54" i="4"/>
  <c r="M54" i="5"/>
  <c r="S54" i="6"/>
  <c r="O54" i="6"/>
  <c r="K54" i="4"/>
  <c r="K54" i="5"/>
  <c r="E54" i="4"/>
  <c r="E54" i="5"/>
  <c r="S54" i="4"/>
  <c r="S54" i="5"/>
  <c r="O54" i="4"/>
  <c r="O54" i="5"/>
  <c r="K54" i="6"/>
  <c r="E54" i="6"/>
  <c r="D54" i="6"/>
  <c r="R54" i="6"/>
  <c r="D419" i="4"/>
  <c r="D419" i="5"/>
  <c r="D419" i="6"/>
  <c r="T419" i="6"/>
  <c r="H419" i="4"/>
  <c r="H419" i="5"/>
  <c r="R419" i="4"/>
  <c r="R419" i="5"/>
  <c r="H419" i="6"/>
  <c r="R419" i="6"/>
  <c r="T419" i="4"/>
  <c r="T419" i="5"/>
  <c r="N419" i="6"/>
  <c r="F419" i="6"/>
  <c r="V419" i="4"/>
  <c r="V419" i="5"/>
  <c r="P419" i="4"/>
  <c r="P419" i="5"/>
  <c r="N419" i="4"/>
  <c r="N419" i="5"/>
  <c r="L419" i="6"/>
  <c r="F419" i="4"/>
  <c r="F419" i="5"/>
  <c r="L419" i="4"/>
  <c r="L419" i="5"/>
  <c r="P419" i="6"/>
  <c r="J419" i="6"/>
  <c r="J419" i="4"/>
  <c r="J419" i="5"/>
  <c r="V419" i="6"/>
  <c r="U419" i="4"/>
  <c r="U419" i="5"/>
  <c r="S419" i="4"/>
  <c r="S419" i="5"/>
  <c r="Q419" i="4"/>
  <c r="Q419" i="5"/>
  <c r="O419" i="4"/>
  <c r="O419" i="5"/>
  <c r="M419" i="4"/>
  <c r="M419" i="5"/>
  <c r="K419" i="4"/>
  <c r="K419" i="5"/>
  <c r="I419" i="4"/>
  <c r="I419" i="5"/>
  <c r="G419" i="4"/>
  <c r="G419" i="5"/>
  <c r="E419" i="6"/>
  <c r="E419" i="4"/>
  <c r="E419" i="5"/>
  <c r="O419" i="6"/>
  <c r="M419" i="6"/>
  <c r="U419" i="6"/>
  <c r="G419" i="6"/>
  <c r="I419" i="6"/>
  <c r="K419" i="6"/>
  <c r="Q419" i="6"/>
  <c r="S419" i="6"/>
  <c r="M399" i="4"/>
  <c r="M399" i="5"/>
  <c r="I399" i="6"/>
  <c r="E399" i="4"/>
  <c r="E399" i="5"/>
  <c r="U399" i="4"/>
  <c r="U399" i="5"/>
  <c r="Q399" i="6"/>
  <c r="G399" i="4"/>
  <c r="G399" i="5"/>
  <c r="O399" i="4"/>
  <c r="O399" i="5"/>
  <c r="G399" i="6"/>
  <c r="O399" i="6"/>
  <c r="U399" i="6"/>
  <c r="E399" i="6"/>
  <c r="I399" i="4"/>
  <c r="I399" i="5"/>
  <c r="D399" i="4"/>
  <c r="D399" i="5"/>
  <c r="K399" i="4"/>
  <c r="K399" i="5"/>
  <c r="S399" i="6"/>
  <c r="K399" i="6"/>
  <c r="S399" i="4"/>
  <c r="S399" i="5"/>
  <c r="M399" i="6"/>
  <c r="Q399" i="4"/>
  <c r="Q399" i="5"/>
  <c r="D399" i="6"/>
  <c r="H399" i="4"/>
  <c r="H399" i="5"/>
  <c r="V399" i="4"/>
  <c r="V399" i="5"/>
  <c r="F399" i="4"/>
  <c r="F399" i="5"/>
  <c r="N399" i="4"/>
  <c r="N399" i="5"/>
  <c r="N399" i="6"/>
  <c r="L399" i="6"/>
  <c r="J399" i="4"/>
  <c r="J399" i="5"/>
  <c r="J399" i="6"/>
  <c r="L399" i="4"/>
  <c r="L399" i="5"/>
  <c r="P399" i="4"/>
  <c r="P399" i="5"/>
  <c r="P399" i="6"/>
  <c r="R399" i="4"/>
  <c r="R399" i="5"/>
  <c r="T399" i="6"/>
  <c r="F399" i="6"/>
  <c r="R399" i="6"/>
  <c r="T399" i="4"/>
  <c r="T399" i="5"/>
  <c r="H399" i="6"/>
  <c r="V399" i="6"/>
  <c r="S369" i="4"/>
  <c r="S369" i="5"/>
  <c r="Q369" i="6"/>
  <c r="I369" i="6"/>
  <c r="U369" i="4"/>
  <c r="U369" i="5"/>
  <c r="Q369" i="4"/>
  <c r="Q369" i="5"/>
  <c r="M369" i="4"/>
  <c r="M369" i="5"/>
  <c r="I369" i="4"/>
  <c r="I369" i="5"/>
  <c r="E369" i="4"/>
  <c r="E369" i="5"/>
  <c r="U369" i="6"/>
  <c r="M369" i="6"/>
  <c r="E369" i="6"/>
  <c r="F369" i="6"/>
  <c r="P369" i="6"/>
  <c r="T369" i="6"/>
  <c r="H369" i="6"/>
  <c r="R369" i="4"/>
  <c r="R369" i="5"/>
  <c r="K369" i="6"/>
  <c r="L369" i="4"/>
  <c r="L369" i="5"/>
  <c r="L369" i="6"/>
  <c r="J369" i="4"/>
  <c r="J369" i="5"/>
  <c r="D369" i="4"/>
  <c r="D369" i="5"/>
  <c r="G369" i="6"/>
  <c r="G369" i="4"/>
  <c r="G369" i="5"/>
  <c r="N369" i="4"/>
  <c r="N369" i="5"/>
  <c r="V369" i="4"/>
  <c r="V369" i="5"/>
  <c r="O369" i="4"/>
  <c r="O369" i="5"/>
  <c r="O369" i="6"/>
  <c r="J369" i="6"/>
  <c r="T369" i="4"/>
  <c r="T369" i="5"/>
  <c r="S369" i="6"/>
  <c r="K369" i="4"/>
  <c r="K369" i="5"/>
  <c r="D369" i="6"/>
  <c r="N369" i="6"/>
  <c r="V369" i="6"/>
  <c r="R369" i="6"/>
  <c r="H369" i="4"/>
  <c r="H369" i="5"/>
  <c r="P369" i="4"/>
  <c r="P369" i="5"/>
  <c r="F369" i="4"/>
  <c r="F369" i="5"/>
  <c r="F347" i="4"/>
  <c r="F347" i="5"/>
  <c r="N347" i="4"/>
  <c r="N347" i="5"/>
  <c r="V347" i="4"/>
  <c r="V347" i="5"/>
  <c r="L347" i="4"/>
  <c r="L347" i="5"/>
  <c r="T347" i="4"/>
  <c r="T347" i="5"/>
  <c r="F347" i="6"/>
  <c r="J347" i="6"/>
  <c r="T347" i="6"/>
  <c r="L347" i="6"/>
  <c r="P347" i="6"/>
  <c r="D347" i="4"/>
  <c r="D347" i="5"/>
  <c r="J347" i="4"/>
  <c r="J347" i="5"/>
  <c r="R347" i="4"/>
  <c r="R347" i="5"/>
  <c r="H347" i="4"/>
  <c r="H347" i="5"/>
  <c r="P347" i="4"/>
  <c r="P347" i="5"/>
  <c r="D347" i="6"/>
  <c r="H347" i="6"/>
  <c r="O347" i="6"/>
  <c r="V347" i="6"/>
  <c r="N347" i="6"/>
  <c r="R347" i="6"/>
  <c r="E347" i="4"/>
  <c r="E347" i="5"/>
  <c r="G347" i="4"/>
  <c r="G347" i="5"/>
  <c r="I347" i="4"/>
  <c r="I347" i="5"/>
  <c r="K347" i="4"/>
  <c r="K347" i="5"/>
  <c r="M347" i="4"/>
  <c r="M347" i="5"/>
  <c r="O347" i="4"/>
  <c r="O347" i="5"/>
  <c r="Q347" i="4"/>
  <c r="Q347" i="5"/>
  <c r="S347" i="4"/>
  <c r="S347" i="5"/>
  <c r="U347" i="4"/>
  <c r="U347" i="5"/>
  <c r="S347" i="6"/>
  <c r="G347" i="6"/>
  <c r="U347" i="6"/>
  <c r="I347" i="6"/>
  <c r="Q347" i="6"/>
  <c r="K347" i="6"/>
  <c r="E347" i="6"/>
  <c r="M347" i="6"/>
  <c r="R331" i="4"/>
  <c r="R331" i="5"/>
  <c r="P331" i="4"/>
  <c r="P331" i="5"/>
  <c r="P331" i="6"/>
  <c r="J331" i="6"/>
  <c r="F331" i="6"/>
  <c r="V331" i="6"/>
  <c r="D331" i="6"/>
  <c r="T331" i="4"/>
  <c r="T331" i="5"/>
  <c r="L331" i="4"/>
  <c r="L331" i="5"/>
  <c r="V331" i="4"/>
  <c r="V331" i="5"/>
  <c r="N331" i="4"/>
  <c r="N331" i="5"/>
  <c r="F331" i="4"/>
  <c r="F331" i="5"/>
  <c r="D331" i="4"/>
  <c r="D331" i="5"/>
  <c r="N331" i="6"/>
  <c r="H331" i="6"/>
  <c r="R331" i="6"/>
  <c r="L331" i="6"/>
  <c r="E331" i="4"/>
  <c r="E331" i="5"/>
  <c r="G331" i="4"/>
  <c r="G331" i="5"/>
  <c r="K331" i="4"/>
  <c r="K331" i="5"/>
  <c r="Q331" i="4"/>
  <c r="Q331" i="5"/>
  <c r="U331" i="6"/>
  <c r="S331" i="6"/>
  <c r="E331" i="6"/>
  <c r="T331" i="6"/>
  <c r="I331" i="4"/>
  <c r="I331" i="5"/>
  <c r="M331" i="6"/>
  <c r="S331" i="4"/>
  <c r="S331" i="5"/>
  <c r="J331" i="4"/>
  <c r="J331" i="5"/>
  <c r="H331" i="4"/>
  <c r="H331" i="5"/>
  <c r="I331" i="6"/>
  <c r="M331" i="4"/>
  <c r="M331" i="5"/>
  <c r="O331" i="4"/>
  <c r="O331" i="5"/>
  <c r="O331" i="6"/>
  <c r="G331" i="6"/>
  <c r="Q331" i="6"/>
  <c r="K331" i="6"/>
  <c r="U331" i="4"/>
  <c r="U331" i="5"/>
  <c r="T317" i="6"/>
  <c r="H317" i="4"/>
  <c r="H317" i="5"/>
  <c r="L317" i="6"/>
  <c r="H317" i="6"/>
  <c r="P317" i="4"/>
  <c r="P317" i="5"/>
  <c r="D317" i="4"/>
  <c r="D317" i="5"/>
  <c r="L317" i="4"/>
  <c r="L317" i="5"/>
  <c r="S317" i="4"/>
  <c r="S317" i="5"/>
  <c r="F317" i="4"/>
  <c r="F317" i="5"/>
  <c r="J317" i="4"/>
  <c r="J317" i="5"/>
  <c r="N317" i="4"/>
  <c r="N317" i="5"/>
  <c r="R317" i="4"/>
  <c r="R317" i="5"/>
  <c r="V317" i="4"/>
  <c r="V317" i="5"/>
  <c r="G317" i="6"/>
  <c r="J317" i="6"/>
  <c r="R317" i="6"/>
  <c r="D317" i="6"/>
  <c r="F317" i="6"/>
  <c r="N317" i="6"/>
  <c r="V317" i="6"/>
  <c r="G317" i="4"/>
  <c r="G317" i="5"/>
  <c r="I317" i="4"/>
  <c r="I317" i="5"/>
  <c r="O317" i="4"/>
  <c r="O317" i="5"/>
  <c r="S317" i="6"/>
  <c r="I317" i="6"/>
  <c r="K317" i="4"/>
  <c r="K317" i="5"/>
  <c r="M317" i="6"/>
  <c r="E317" i="4"/>
  <c r="E317" i="5"/>
  <c r="K317" i="6"/>
  <c r="M317" i="4"/>
  <c r="M317" i="5"/>
  <c r="E317" i="6"/>
  <c r="Q317" i="6"/>
  <c r="U317" i="4"/>
  <c r="U317" i="5"/>
  <c r="P317" i="6"/>
  <c r="Q317" i="4"/>
  <c r="Q317" i="5"/>
  <c r="U317" i="6"/>
  <c r="O317" i="6"/>
  <c r="T317" i="4"/>
  <c r="T317" i="5"/>
  <c r="Q297" i="4"/>
  <c r="Q297" i="5"/>
  <c r="M297" i="6"/>
  <c r="D297" i="4"/>
  <c r="D297" i="5"/>
  <c r="U297" i="6"/>
  <c r="E297" i="4"/>
  <c r="E297" i="5"/>
  <c r="M297" i="4"/>
  <c r="M297" i="5"/>
  <c r="U297" i="4"/>
  <c r="U297" i="5"/>
  <c r="I297" i="6"/>
  <c r="G297" i="4"/>
  <c r="G297" i="5"/>
  <c r="O297" i="4"/>
  <c r="O297" i="5"/>
  <c r="G297" i="6"/>
  <c r="O297" i="6"/>
  <c r="I297" i="4"/>
  <c r="I297" i="5"/>
  <c r="E297" i="6"/>
  <c r="Q297" i="6"/>
  <c r="D297" i="6"/>
  <c r="K297" i="4"/>
  <c r="K297" i="5"/>
  <c r="S297" i="4"/>
  <c r="S297" i="5"/>
  <c r="K297" i="6"/>
  <c r="S297" i="6"/>
  <c r="L297" i="6"/>
  <c r="T297" i="6"/>
  <c r="N297" i="4"/>
  <c r="N297" i="5"/>
  <c r="R297" i="6"/>
  <c r="V297" i="4"/>
  <c r="V297" i="5"/>
  <c r="V297" i="6"/>
  <c r="L297" i="4"/>
  <c r="L297" i="5"/>
  <c r="J297" i="6"/>
  <c r="P297" i="4"/>
  <c r="P297" i="5"/>
  <c r="H297" i="4"/>
  <c r="H297" i="5"/>
  <c r="H297" i="6"/>
  <c r="F297" i="4"/>
  <c r="F297" i="5"/>
  <c r="F297" i="6"/>
  <c r="J297" i="4"/>
  <c r="J297" i="5"/>
  <c r="P297" i="6"/>
  <c r="R297" i="4"/>
  <c r="R297" i="5"/>
  <c r="N297" i="6"/>
  <c r="T297" i="4"/>
  <c r="T297" i="5"/>
  <c r="D267" i="6"/>
  <c r="I267" i="4"/>
  <c r="I267" i="5"/>
  <c r="I267" i="6"/>
  <c r="K267" i="6"/>
  <c r="R267" i="6"/>
  <c r="T267" i="6"/>
  <c r="H267" i="4"/>
  <c r="H267" i="5"/>
  <c r="Q267" i="4"/>
  <c r="Q267" i="5"/>
  <c r="N267" i="4"/>
  <c r="N267" i="5"/>
  <c r="N267" i="6"/>
  <c r="L267" i="4"/>
  <c r="L267" i="5"/>
  <c r="M267" i="6"/>
  <c r="U267" i="4"/>
  <c r="U267" i="5"/>
  <c r="E267" i="4"/>
  <c r="E267" i="5"/>
  <c r="O267" i="4"/>
  <c r="O267" i="5"/>
  <c r="P267" i="4"/>
  <c r="P267" i="5"/>
  <c r="F267" i="6"/>
  <c r="K267" i="4"/>
  <c r="K267" i="5"/>
  <c r="Q267" i="6"/>
  <c r="D267" i="4"/>
  <c r="D267" i="5"/>
  <c r="L267" i="6"/>
  <c r="U267" i="6"/>
  <c r="E267" i="6"/>
  <c r="M267" i="4"/>
  <c r="M267" i="5"/>
  <c r="G267" i="4"/>
  <c r="G267" i="5"/>
  <c r="S267" i="6"/>
  <c r="P267" i="6"/>
  <c r="F267" i="4"/>
  <c r="F267" i="5"/>
  <c r="V267" i="4"/>
  <c r="V267" i="5"/>
  <c r="V267" i="6"/>
  <c r="J267" i="4"/>
  <c r="J267" i="5"/>
  <c r="R267" i="4"/>
  <c r="R267" i="5"/>
  <c r="S267" i="4"/>
  <c r="S267" i="5"/>
  <c r="G267" i="6"/>
  <c r="J267" i="6"/>
  <c r="T267" i="4"/>
  <c r="T267" i="5"/>
  <c r="H267" i="6"/>
  <c r="O267" i="6"/>
  <c r="P238" i="6"/>
  <c r="S238" i="6"/>
  <c r="O238" i="6"/>
  <c r="K238" i="6"/>
  <c r="G238" i="6"/>
  <c r="U238" i="4"/>
  <c r="U238" i="5"/>
  <c r="Q238" i="4"/>
  <c r="Q238" i="5"/>
  <c r="M238" i="4"/>
  <c r="M238" i="5"/>
  <c r="I238" i="4"/>
  <c r="I238" i="5"/>
  <c r="E238" i="4"/>
  <c r="E238" i="5"/>
  <c r="D238" i="4"/>
  <c r="D238" i="5"/>
  <c r="D238" i="6"/>
  <c r="U238" i="6"/>
  <c r="Q238" i="6"/>
  <c r="M238" i="6"/>
  <c r="I238" i="6"/>
  <c r="E238" i="6"/>
  <c r="S238" i="4"/>
  <c r="S238" i="5"/>
  <c r="O238" i="4"/>
  <c r="O238" i="5"/>
  <c r="K238" i="4"/>
  <c r="K238" i="5"/>
  <c r="G238" i="4"/>
  <c r="G238" i="5"/>
  <c r="V238" i="6"/>
  <c r="R238" i="6"/>
  <c r="L238" i="4"/>
  <c r="L238" i="5"/>
  <c r="H238" i="4"/>
  <c r="H238" i="5"/>
  <c r="F238" i="6"/>
  <c r="T238" i="4"/>
  <c r="T238" i="5"/>
  <c r="P238" i="4"/>
  <c r="P238" i="5"/>
  <c r="N238" i="6"/>
  <c r="J238" i="6"/>
  <c r="H238" i="6"/>
  <c r="T238" i="6"/>
  <c r="L238" i="6"/>
  <c r="F238" i="4"/>
  <c r="F238" i="5"/>
  <c r="N238" i="4"/>
  <c r="N238" i="5"/>
  <c r="V238" i="4"/>
  <c r="V238" i="5"/>
  <c r="J238" i="4"/>
  <c r="J238" i="5"/>
  <c r="R238" i="4"/>
  <c r="R238" i="5"/>
  <c r="R224" i="6"/>
  <c r="D224" i="6"/>
  <c r="N224" i="6"/>
  <c r="L224" i="6"/>
  <c r="F224" i="6"/>
  <c r="V224" i="6"/>
  <c r="T224" i="6"/>
  <c r="L224" i="4"/>
  <c r="L224" i="5"/>
  <c r="H224" i="4"/>
  <c r="H224" i="5"/>
  <c r="V224" i="4"/>
  <c r="V224" i="5"/>
  <c r="F224" i="4"/>
  <c r="F224" i="5"/>
  <c r="T224" i="4"/>
  <c r="T224" i="5"/>
  <c r="N224" i="4"/>
  <c r="N224" i="5"/>
  <c r="R224" i="4"/>
  <c r="R224" i="5"/>
  <c r="P224" i="4"/>
  <c r="P224" i="5"/>
  <c r="K224" i="6"/>
  <c r="Q224" i="6"/>
  <c r="U224" i="6"/>
  <c r="I224" i="6"/>
  <c r="O224" i="6"/>
  <c r="S224" i="6"/>
  <c r="G224" i="4"/>
  <c r="G224" i="5"/>
  <c r="E224" i="4"/>
  <c r="E224" i="5"/>
  <c r="E224" i="6"/>
  <c r="M224" i="6"/>
  <c r="G224" i="6"/>
  <c r="M224" i="4"/>
  <c r="M224" i="5"/>
  <c r="S224" i="4"/>
  <c r="S224" i="5"/>
  <c r="I224" i="4"/>
  <c r="I224" i="5"/>
  <c r="K224" i="4"/>
  <c r="K224" i="5"/>
  <c r="O224" i="4"/>
  <c r="O224" i="5"/>
  <c r="U224" i="4"/>
  <c r="U224" i="5"/>
  <c r="Q224" i="4"/>
  <c r="Q224" i="5"/>
  <c r="H224" i="6"/>
  <c r="J224" i="6"/>
  <c r="D224" i="4"/>
  <c r="D224" i="5"/>
  <c r="P224" i="6"/>
  <c r="J224" i="4"/>
  <c r="J224" i="5"/>
  <c r="F180" i="4"/>
  <c r="F180" i="5"/>
  <c r="J180" i="6"/>
  <c r="L180" i="6"/>
  <c r="F180" i="6"/>
  <c r="T180" i="6"/>
  <c r="D180" i="4"/>
  <c r="D180" i="5"/>
  <c r="D180" i="6"/>
  <c r="R180" i="6"/>
  <c r="H180" i="6"/>
  <c r="V180" i="6"/>
  <c r="N180" i="6"/>
  <c r="P180" i="6"/>
  <c r="J180" i="4"/>
  <c r="J180" i="5"/>
  <c r="H180" i="4"/>
  <c r="H180" i="5"/>
  <c r="L180" i="4"/>
  <c r="L180" i="5"/>
  <c r="T180" i="4"/>
  <c r="T180" i="5"/>
  <c r="P180" i="4"/>
  <c r="P180" i="5"/>
  <c r="R180" i="4"/>
  <c r="R180" i="5"/>
  <c r="V180" i="4"/>
  <c r="V180" i="5"/>
  <c r="S180" i="4"/>
  <c r="S180" i="5"/>
  <c r="E180" i="4"/>
  <c r="E180" i="5"/>
  <c r="K180" i="4"/>
  <c r="K180" i="5"/>
  <c r="G180" i="4"/>
  <c r="G180" i="5"/>
  <c r="M180" i="4"/>
  <c r="M180" i="5"/>
  <c r="O180" i="6"/>
  <c r="K180" i="6"/>
  <c r="Q180" i="4"/>
  <c r="Q180" i="5"/>
  <c r="M180" i="6"/>
  <c r="E180" i="6"/>
  <c r="U180" i="4"/>
  <c r="U180" i="5"/>
  <c r="Q180" i="6"/>
  <c r="S180" i="6"/>
  <c r="G180" i="6"/>
  <c r="U180" i="6"/>
  <c r="I180" i="4"/>
  <c r="I180" i="5"/>
  <c r="I180" i="6"/>
  <c r="O180" i="4"/>
  <c r="O180" i="5"/>
  <c r="N180" i="4"/>
  <c r="N180" i="5"/>
  <c r="F165" i="6"/>
  <c r="R165" i="6"/>
  <c r="D165" i="6"/>
  <c r="H165" i="6"/>
  <c r="P165" i="6"/>
  <c r="J165" i="6"/>
  <c r="L165" i="6"/>
  <c r="L165" i="4"/>
  <c r="L165" i="5"/>
  <c r="P165" i="4"/>
  <c r="P165" i="5"/>
  <c r="R165" i="4"/>
  <c r="R165" i="5"/>
  <c r="V165" i="6"/>
  <c r="T165" i="6"/>
  <c r="N165" i="6"/>
  <c r="D165" i="4"/>
  <c r="D165" i="5"/>
  <c r="H165" i="4"/>
  <c r="H165" i="5"/>
  <c r="J165" i="4"/>
  <c r="J165" i="5"/>
  <c r="T165" i="4"/>
  <c r="T165" i="5"/>
  <c r="N165" i="4"/>
  <c r="N165" i="5"/>
  <c r="V165" i="4"/>
  <c r="V165" i="5"/>
  <c r="F165" i="4"/>
  <c r="F165" i="5"/>
  <c r="I165" i="6"/>
  <c r="O165" i="4"/>
  <c r="O165" i="5"/>
  <c r="S165" i="6"/>
  <c r="K165" i="4"/>
  <c r="K165" i="5"/>
  <c r="K165" i="6"/>
  <c r="G165" i="6"/>
  <c r="M165" i="6"/>
  <c r="Q165" i="6"/>
  <c r="Q165" i="4"/>
  <c r="Q165" i="5"/>
  <c r="G165" i="4"/>
  <c r="G165" i="5"/>
  <c r="E165" i="4"/>
  <c r="E165" i="5"/>
  <c r="E165" i="6"/>
  <c r="U165" i="6"/>
  <c r="U165" i="4"/>
  <c r="U165" i="5"/>
  <c r="S165" i="4"/>
  <c r="S165" i="5"/>
  <c r="O165" i="6"/>
  <c r="I165" i="4"/>
  <c r="I165" i="5"/>
  <c r="M165" i="4"/>
  <c r="M165" i="5"/>
  <c r="S143" i="4"/>
  <c r="S143" i="5"/>
  <c r="I143" i="4"/>
  <c r="I143" i="5"/>
  <c r="O143" i="4"/>
  <c r="O143" i="5"/>
  <c r="M143" i="6"/>
  <c r="S143" i="6"/>
  <c r="K143" i="4"/>
  <c r="K143" i="5"/>
  <c r="D143" i="6"/>
  <c r="M143" i="4"/>
  <c r="M143" i="5"/>
  <c r="U143" i="6"/>
  <c r="D143" i="4"/>
  <c r="D143" i="5"/>
  <c r="G143" i="4"/>
  <c r="G143" i="5"/>
  <c r="Q143" i="4"/>
  <c r="Q143" i="5"/>
  <c r="I143" i="6"/>
  <c r="U143" i="4"/>
  <c r="U143" i="5"/>
  <c r="E143" i="4"/>
  <c r="E143" i="5"/>
  <c r="O143" i="6"/>
  <c r="E143" i="6"/>
  <c r="K143" i="6"/>
  <c r="Q143" i="6"/>
  <c r="J143" i="6"/>
  <c r="V143" i="6"/>
  <c r="H143" i="4"/>
  <c r="H143" i="5"/>
  <c r="P143" i="4"/>
  <c r="P143" i="5"/>
  <c r="T143" i="4"/>
  <c r="T143" i="5"/>
  <c r="T143" i="6"/>
  <c r="N143" i="4"/>
  <c r="N143" i="5"/>
  <c r="P143" i="6"/>
  <c r="N143" i="6"/>
  <c r="R143" i="4"/>
  <c r="R143" i="5"/>
  <c r="L143" i="4"/>
  <c r="L143" i="5"/>
  <c r="L143" i="6"/>
  <c r="F143" i="6"/>
  <c r="J143" i="4"/>
  <c r="J143" i="5"/>
  <c r="R143" i="6"/>
  <c r="F143" i="4"/>
  <c r="F143" i="5"/>
  <c r="H143" i="6"/>
  <c r="V143" i="4"/>
  <c r="V143" i="5"/>
  <c r="G143" i="6"/>
  <c r="D131" i="4"/>
  <c r="D131" i="5"/>
  <c r="U131" i="4"/>
  <c r="U131" i="5"/>
  <c r="M131" i="4"/>
  <c r="M131" i="5"/>
  <c r="E131" i="4"/>
  <c r="E131" i="5"/>
  <c r="O131" i="4"/>
  <c r="O131" i="5"/>
  <c r="K131" i="4"/>
  <c r="K131" i="5"/>
  <c r="I131" i="4"/>
  <c r="I131" i="5"/>
  <c r="G131" i="4"/>
  <c r="G131" i="5"/>
  <c r="Q131" i="4"/>
  <c r="Q131" i="5"/>
  <c r="S131" i="4"/>
  <c r="S131" i="5"/>
  <c r="E131" i="6"/>
  <c r="M131" i="6"/>
  <c r="U131" i="6"/>
  <c r="K131" i="6"/>
  <c r="S131" i="6"/>
  <c r="D131" i="6"/>
  <c r="I131" i="6"/>
  <c r="Q131" i="6"/>
  <c r="G131" i="6"/>
  <c r="O131" i="6"/>
  <c r="V131" i="4"/>
  <c r="V131" i="5"/>
  <c r="R131" i="4"/>
  <c r="R131" i="5"/>
  <c r="N131" i="4"/>
  <c r="N131" i="5"/>
  <c r="H131" i="6"/>
  <c r="F131" i="4"/>
  <c r="F131" i="5"/>
  <c r="T131" i="4"/>
  <c r="T131" i="5"/>
  <c r="J131" i="6"/>
  <c r="L131" i="6"/>
  <c r="H131" i="4"/>
  <c r="H131" i="5"/>
  <c r="R131" i="6"/>
  <c r="T131" i="6"/>
  <c r="J131" i="4"/>
  <c r="J131" i="5"/>
  <c r="L131" i="4"/>
  <c r="L131" i="5"/>
  <c r="P131" i="4"/>
  <c r="P131" i="5"/>
  <c r="N131" i="6"/>
  <c r="P131" i="6"/>
  <c r="V131" i="6"/>
  <c r="F131" i="6"/>
  <c r="N93" i="6"/>
  <c r="R93" i="6"/>
  <c r="R93" i="4"/>
  <c r="R93" i="5"/>
  <c r="H93" i="6"/>
  <c r="T93" i="4"/>
  <c r="T93" i="5"/>
  <c r="F93" i="6"/>
  <c r="P93" i="4"/>
  <c r="P93" i="5"/>
  <c r="T93" i="6"/>
  <c r="I93" i="6"/>
  <c r="D93" i="4"/>
  <c r="D93" i="5"/>
  <c r="N93" i="4"/>
  <c r="N93" i="5"/>
  <c r="P93" i="6"/>
  <c r="J93" i="6"/>
  <c r="D93" i="6"/>
  <c r="Q93" i="6"/>
  <c r="O93" i="4"/>
  <c r="O93" i="5"/>
  <c r="U93" i="4"/>
  <c r="U93" i="5"/>
  <c r="O93" i="6"/>
  <c r="U93" i="6"/>
  <c r="G93" i="6"/>
  <c r="M93" i="6"/>
  <c r="S93" i="4"/>
  <c r="S93" i="5"/>
  <c r="E93" i="6"/>
  <c r="Q93" i="4"/>
  <c r="Q93" i="5"/>
  <c r="I93" i="4"/>
  <c r="I93" i="5"/>
  <c r="G93" i="4"/>
  <c r="G93" i="5"/>
  <c r="K93" i="4"/>
  <c r="K93" i="5"/>
  <c r="K93" i="6"/>
  <c r="M93" i="4"/>
  <c r="M93" i="5"/>
  <c r="S93" i="6"/>
  <c r="E93" i="4"/>
  <c r="E93" i="5"/>
  <c r="L93" i="4"/>
  <c r="L93" i="5"/>
  <c r="H93" i="4"/>
  <c r="H93" i="5"/>
  <c r="L93" i="6"/>
  <c r="V93" i="4"/>
  <c r="V93" i="5"/>
  <c r="J93" i="4"/>
  <c r="J93" i="5"/>
  <c r="V93" i="6"/>
  <c r="F93" i="4"/>
  <c r="F93" i="5"/>
  <c r="I56" i="6"/>
  <c r="L56" i="6"/>
  <c r="J56" i="6"/>
  <c r="F56" i="4"/>
  <c r="F56" i="5"/>
  <c r="V56" i="6"/>
  <c r="H56" i="6"/>
  <c r="N56" i="6"/>
  <c r="F56" i="6"/>
  <c r="R56" i="6"/>
  <c r="M56" i="4"/>
  <c r="M56" i="5"/>
  <c r="O56" i="6"/>
  <c r="U56" i="6"/>
  <c r="J56" i="4"/>
  <c r="J56" i="5"/>
  <c r="R56" i="4"/>
  <c r="R56" i="5"/>
  <c r="V56" i="4"/>
  <c r="V56" i="5"/>
  <c r="P56" i="6"/>
  <c r="K56" i="6"/>
  <c r="T56" i="6"/>
  <c r="M56" i="6"/>
  <c r="E56" i="6"/>
  <c r="D56" i="4"/>
  <c r="D56" i="5"/>
  <c r="L56" i="4"/>
  <c r="L56" i="5"/>
  <c r="D56" i="6"/>
  <c r="N56" i="4"/>
  <c r="N56" i="5"/>
  <c r="T56" i="4"/>
  <c r="T56" i="5"/>
  <c r="H56" i="4"/>
  <c r="H56" i="5"/>
  <c r="K56" i="4"/>
  <c r="K56" i="5"/>
  <c r="S56" i="6"/>
  <c r="I56" i="4"/>
  <c r="I56" i="5"/>
  <c r="G56" i="4"/>
  <c r="G56" i="5"/>
  <c r="Q56" i="6"/>
  <c r="U56" i="4"/>
  <c r="U56" i="5"/>
  <c r="O56" i="4"/>
  <c r="O56" i="5"/>
  <c r="P56" i="4"/>
  <c r="P56" i="5"/>
  <c r="Q56" i="4"/>
  <c r="Q56" i="5"/>
  <c r="G56" i="6"/>
  <c r="S56" i="4"/>
  <c r="S56" i="5"/>
  <c r="E56" i="4"/>
  <c r="E56" i="5"/>
  <c r="T511" i="4"/>
  <c r="T511" i="5"/>
  <c r="R511" i="6"/>
  <c r="V511" i="4"/>
  <c r="V511" i="5"/>
  <c r="D511" i="4"/>
  <c r="D511" i="5"/>
  <c r="L511" i="4"/>
  <c r="L511" i="5"/>
  <c r="G511" i="6"/>
  <c r="P511" i="6"/>
  <c r="N511" i="6"/>
  <c r="T511" i="6"/>
  <c r="N511" i="4"/>
  <c r="N511" i="5"/>
  <c r="O511" i="4"/>
  <c r="O511" i="5"/>
  <c r="G511" i="4"/>
  <c r="G511" i="5"/>
  <c r="F511" i="6"/>
  <c r="R511" i="4"/>
  <c r="R511" i="5"/>
  <c r="J511" i="6"/>
  <c r="D511" i="6"/>
  <c r="H511" i="6"/>
  <c r="S511" i="4"/>
  <c r="S511" i="5"/>
  <c r="K511" i="4"/>
  <c r="K511" i="5"/>
  <c r="F511" i="4"/>
  <c r="F511" i="5"/>
  <c r="J511" i="4"/>
  <c r="J511" i="5"/>
  <c r="H511" i="4"/>
  <c r="H511" i="5"/>
  <c r="P511" i="4"/>
  <c r="P511" i="5"/>
  <c r="V511" i="6"/>
  <c r="O511" i="6"/>
  <c r="Q511" i="6"/>
  <c r="M511" i="6"/>
  <c r="E511" i="4"/>
  <c r="E511" i="5"/>
  <c r="L511" i="6"/>
  <c r="Q511" i="4"/>
  <c r="Q511" i="5"/>
  <c r="M511" i="4"/>
  <c r="M511" i="5"/>
  <c r="E511" i="6"/>
  <c r="U511" i="4"/>
  <c r="U511" i="5"/>
  <c r="I511" i="4"/>
  <c r="I511" i="5"/>
  <c r="S511" i="6"/>
  <c r="U511" i="6"/>
  <c r="I511" i="6"/>
  <c r="K511" i="6"/>
  <c r="H278" i="4"/>
  <c r="H278" i="5"/>
  <c r="F278" i="6"/>
  <c r="T278" i="6"/>
  <c r="D278" i="6"/>
  <c r="P278" i="4"/>
  <c r="P278" i="5"/>
  <c r="N278" i="4"/>
  <c r="N278" i="5"/>
  <c r="J278" i="6"/>
  <c r="J278" i="4"/>
  <c r="J278" i="5"/>
  <c r="H278" i="6"/>
  <c r="R278" i="4"/>
  <c r="R278" i="5"/>
  <c r="D278" i="4"/>
  <c r="D278" i="5"/>
  <c r="L278" i="4"/>
  <c r="L278" i="5"/>
  <c r="T278" i="4"/>
  <c r="T278" i="5"/>
  <c r="L278" i="6"/>
  <c r="R278" i="6"/>
  <c r="V278" i="6"/>
  <c r="P278" i="6"/>
  <c r="N278" i="6"/>
  <c r="V278" i="4"/>
  <c r="V278" i="5"/>
  <c r="M278" i="6"/>
  <c r="S278" i="4"/>
  <c r="S278" i="5"/>
  <c r="E278" i="4"/>
  <c r="E278" i="5"/>
  <c r="K278" i="4"/>
  <c r="K278" i="5"/>
  <c r="K278" i="6"/>
  <c r="U278" i="4"/>
  <c r="U278" i="5"/>
  <c r="F278" i="4"/>
  <c r="F278" i="5"/>
  <c r="M278" i="4"/>
  <c r="M278" i="5"/>
  <c r="S278" i="6"/>
  <c r="E278" i="6"/>
  <c r="U278" i="6"/>
  <c r="G278" i="4"/>
  <c r="G278" i="5"/>
  <c r="I278" i="4"/>
  <c r="I278" i="5"/>
  <c r="O278" i="4"/>
  <c r="O278" i="5"/>
  <c r="O278" i="6"/>
  <c r="Q278" i="4"/>
  <c r="Q278" i="5"/>
  <c r="G278" i="6"/>
  <c r="I278" i="6"/>
  <c r="Q278" i="6"/>
  <c r="N96" i="6"/>
  <c r="L96" i="6"/>
  <c r="M96" i="6"/>
  <c r="D96" i="6"/>
  <c r="J96" i="4"/>
  <c r="J96" i="5"/>
  <c r="N96" i="4"/>
  <c r="N96" i="5"/>
  <c r="R96" i="4"/>
  <c r="R96" i="5"/>
  <c r="R96" i="6"/>
  <c r="G96" i="4"/>
  <c r="G96" i="5"/>
  <c r="M96" i="4"/>
  <c r="M96" i="5"/>
  <c r="K96" i="4"/>
  <c r="K96" i="5"/>
  <c r="Q96" i="4"/>
  <c r="Q96" i="5"/>
  <c r="E96" i="4"/>
  <c r="E96" i="5"/>
  <c r="K96" i="6"/>
  <c r="I96" i="6"/>
  <c r="P96" i="4"/>
  <c r="P96" i="5"/>
  <c r="O96" i="6"/>
  <c r="F96" i="4"/>
  <c r="F96" i="5"/>
  <c r="J96" i="6"/>
  <c r="V96" i="4"/>
  <c r="V96" i="5"/>
  <c r="D96" i="4"/>
  <c r="D96" i="5"/>
  <c r="O96" i="4"/>
  <c r="O96" i="5"/>
  <c r="U96" i="4"/>
  <c r="U96" i="5"/>
  <c r="I96" i="4"/>
  <c r="I96" i="5"/>
  <c r="S96" i="4"/>
  <c r="S96" i="5"/>
  <c r="E96" i="6"/>
  <c r="S96" i="6"/>
  <c r="Q96" i="6"/>
  <c r="H96" i="4"/>
  <c r="H96" i="5"/>
  <c r="L96" i="4"/>
  <c r="L96" i="5"/>
  <c r="P96" i="6"/>
  <c r="U96" i="6"/>
  <c r="F96" i="6"/>
  <c r="H96" i="6"/>
  <c r="T96" i="4"/>
  <c r="T96" i="5"/>
  <c r="T96" i="6"/>
  <c r="V96" i="6"/>
  <c r="G96" i="6"/>
  <c r="U458" i="6"/>
  <c r="E458" i="6"/>
  <c r="G458" i="6"/>
  <c r="S458" i="6"/>
  <c r="Q458" i="6"/>
  <c r="O458" i="6"/>
  <c r="I458" i="4"/>
  <c r="I458" i="5"/>
  <c r="E458" i="4"/>
  <c r="E458" i="5"/>
  <c r="K458" i="4"/>
  <c r="K458" i="5"/>
  <c r="U458" i="4"/>
  <c r="U458" i="5"/>
  <c r="M458" i="4"/>
  <c r="M458" i="5"/>
  <c r="Q458" i="4"/>
  <c r="Q458" i="5"/>
  <c r="D458" i="4"/>
  <c r="D458" i="5"/>
  <c r="K458" i="6"/>
  <c r="I458" i="6"/>
  <c r="D458" i="6"/>
  <c r="M458" i="6"/>
  <c r="S458" i="4"/>
  <c r="S458" i="5"/>
  <c r="O458" i="4"/>
  <c r="O458" i="5"/>
  <c r="G458" i="4"/>
  <c r="G458" i="5"/>
  <c r="N458" i="4"/>
  <c r="N458" i="5"/>
  <c r="J458" i="4"/>
  <c r="J458" i="5"/>
  <c r="L458" i="6"/>
  <c r="H458" i="6"/>
  <c r="T458" i="6"/>
  <c r="J458" i="6"/>
  <c r="L458" i="4"/>
  <c r="L458" i="5"/>
  <c r="P458" i="4"/>
  <c r="P458" i="5"/>
  <c r="P458" i="6"/>
  <c r="H458" i="4"/>
  <c r="H458" i="5"/>
  <c r="T458" i="4"/>
  <c r="T458" i="5"/>
  <c r="R458" i="4"/>
  <c r="R458" i="5"/>
  <c r="V458" i="4"/>
  <c r="V458" i="5"/>
  <c r="V458" i="6"/>
  <c r="F458" i="4"/>
  <c r="F458" i="5"/>
  <c r="F458" i="6"/>
  <c r="R458" i="6"/>
  <c r="N458" i="6"/>
  <c r="K440" i="6"/>
  <c r="Q440" i="4"/>
  <c r="Q440" i="5"/>
  <c r="I440" i="6"/>
  <c r="U440" i="6"/>
  <c r="G440" i="6"/>
  <c r="E440" i="4"/>
  <c r="E440" i="5"/>
  <c r="U440" i="4"/>
  <c r="U440" i="5"/>
  <c r="D440" i="4"/>
  <c r="D440" i="5"/>
  <c r="E440" i="6"/>
  <c r="M440" i="4"/>
  <c r="M440" i="5"/>
  <c r="Q440" i="6"/>
  <c r="G440" i="4"/>
  <c r="G440" i="5"/>
  <c r="K440" i="4"/>
  <c r="K440" i="5"/>
  <c r="O440" i="4"/>
  <c r="O440" i="5"/>
  <c r="S440" i="4"/>
  <c r="S440" i="5"/>
  <c r="D440" i="6"/>
  <c r="O440" i="6"/>
  <c r="M440" i="6"/>
  <c r="J440" i="4"/>
  <c r="J440" i="5"/>
  <c r="P440" i="6"/>
  <c r="L440" i="6"/>
  <c r="T440" i="4"/>
  <c r="T440" i="5"/>
  <c r="J440" i="6"/>
  <c r="H440" i="4"/>
  <c r="H440" i="5"/>
  <c r="L440" i="4"/>
  <c r="L440" i="5"/>
  <c r="T440" i="6"/>
  <c r="H440" i="6"/>
  <c r="F440" i="4"/>
  <c r="F440" i="5"/>
  <c r="N440" i="6"/>
  <c r="R440" i="4"/>
  <c r="R440" i="5"/>
  <c r="V440" i="6"/>
  <c r="F440" i="6"/>
  <c r="N440" i="4"/>
  <c r="N440" i="5"/>
  <c r="R440" i="6"/>
  <c r="V440" i="4"/>
  <c r="V440" i="5"/>
  <c r="P440" i="4"/>
  <c r="P440" i="5"/>
  <c r="S440" i="6"/>
  <c r="I440" i="4"/>
  <c r="I440" i="5"/>
  <c r="H418" i="6"/>
  <c r="N418" i="6"/>
  <c r="P418" i="6"/>
  <c r="T418" i="6"/>
  <c r="V418" i="4"/>
  <c r="V418" i="5"/>
  <c r="R418" i="4"/>
  <c r="R418" i="5"/>
  <c r="N418" i="4"/>
  <c r="N418" i="5"/>
  <c r="J418" i="4"/>
  <c r="J418" i="5"/>
  <c r="F418" i="4"/>
  <c r="F418" i="5"/>
  <c r="V418" i="6"/>
  <c r="F418" i="6"/>
  <c r="H418" i="4"/>
  <c r="H418" i="5"/>
  <c r="T418" i="4"/>
  <c r="T418" i="5"/>
  <c r="L418" i="4"/>
  <c r="L418" i="5"/>
  <c r="D418" i="4"/>
  <c r="D418" i="5"/>
  <c r="R418" i="6"/>
  <c r="D418" i="6"/>
  <c r="L418" i="6"/>
  <c r="P418" i="4"/>
  <c r="P418" i="5"/>
  <c r="I418" i="4"/>
  <c r="I418" i="5"/>
  <c r="E418" i="6"/>
  <c r="G418" i="6"/>
  <c r="O418" i="6"/>
  <c r="M418" i="6"/>
  <c r="Q418" i="4"/>
  <c r="Q418" i="5"/>
  <c r="O418" i="4"/>
  <c r="O418" i="5"/>
  <c r="M418" i="4"/>
  <c r="M418" i="5"/>
  <c r="U418" i="4"/>
  <c r="U418" i="5"/>
  <c r="U418" i="6"/>
  <c r="Q418" i="6"/>
  <c r="K418" i="6"/>
  <c r="E418" i="4"/>
  <c r="E418" i="5"/>
  <c r="I418" i="6"/>
  <c r="S418" i="4"/>
  <c r="S418" i="5"/>
  <c r="S418" i="6"/>
  <c r="K418" i="4"/>
  <c r="K418" i="5"/>
  <c r="G418" i="4"/>
  <c r="G418" i="5"/>
  <c r="J418" i="6"/>
  <c r="I408" i="6"/>
  <c r="K408" i="6"/>
  <c r="O408" i="4"/>
  <c r="O408" i="5"/>
  <c r="G408" i="4"/>
  <c r="G408" i="5"/>
  <c r="Q408" i="6"/>
  <c r="S408" i="6"/>
  <c r="S408" i="4"/>
  <c r="S408" i="5"/>
  <c r="K408" i="4"/>
  <c r="K408" i="5"/>
  <c r="F408" i="6"/>
  <c r="N408" i="6"/>
  <c r="V408" i="6"/>
  <c r="H408" i="6"/>
  <c r="T408" i="6"/>
  <c r="J408" i="4"/>
  <c r="J408" i="5"/>
  <c r="O408" i="6"/>
  <c r="R408" i="6"/>
  <c r="U408" i="4"/>
  <c r="U408" i="5"/>
  <c r="M408" i="6"/>
  <c r="D408" i="6"/>
  <c r="U408" i="6"/>
  <c r="J408" i="6"/>
  <c r="E408" i="6"/>
  <c r="E408" i="4"/>
  <c r="E408" i="5"/>
  <c r="R408" i="4"/>
  <c r="R408" i="5"/>
  <c r="T408" i="4"/>
  <c r="T408" i="5"/>
  <c r="D408" i="4"/>
  <c r="D408" i="5"/>
  <c r="I408" i="4"/>
  <c r="I408" i="5"/>
  <c r="G408" i="6"/>
  <c r="L408" i="6"/>
  <c r="P408" i="4"/>
  <c r="P408" i="5"/>
  <c r="F408" i="4"/>
  <c r="F408" i="5"/>
  <c r="V408" i="4"/>
  <c r="V408" i="5"/>
  <c r="H408" i="4"/>
  <c r="H408" i="5"/>
  <c r="L408" i="4"/>
  <c r="L408" i="5"/>
  <c r="P408" i="6"/>
  <c r="N408" i="4"/>
  <c r="N408" i="5"/>
  <c r="M408" i="4"/>
  <c r="M408" i="5"/>
  <c r="Q408" i="4"/>
  <c r="Q408" i="5"/>
  <c r="D384" i="6"/>
  <c r="D384" i="4"/>
  <c r="D384" i="5"/>
  <c r="M384" i="4"/>
  <c r="M384" i="5"/>
  <c r="Q384" i="6"/>
  <c r="K384" i="6"/>
  <c r="E384" i="4"/>
  <c r="E384" i="5"/>
  <c r="U384" i="4"/>
  <c r="U384" i="5"/>
  <c r="U384" i="6"/>
  <c r="S384" i="6"/>
  <c r="F384" i="4"/>
  <c r="F384" i="5"/>
  <c r="N384" i="4"/>
  <c r="N384" i="5"/>
  <c r="T384" i="4"/>
  <c r="T384" i="5"/>
  <c r="V384" i="4"/>
  <c r="V384" i="5"/>
  <c r="T384" i="6"/>
  <c r="I384" i="4"/>
  <c r="I384" i="5"/>
  <c r="O384" i="6"/>
  <c r="S384" i="4"/>
  <c r="S384" i="5"/>
  <c r="O384" i="4"/>
  <c r="O384" i="5"/>
  <c r="K384" i="4"/>
  <c r="K384" i="5"/>
  <c r="G384" i="4"/>
  <c r="G384" i="5"/>
  <c r="H384" i="4"/>
  <c r="H384" i="5"/>
  <c r="R384" i="6"/>
  <c r="N384" i="6"/>
  <c r="I384" i="6"/>
  <c r="E384" i="6"/>
  <c r="G384" i="6"/>
  <c r="H384" i="6"/>
  <c r="R384" i="4"/>
  <c r="R384" i="5"/>
  <c r="J384" i="4"/>
  <c r="J384" i="5"/>
  <c r="L384" i="4"/>
  <c r="L384" i="5"/>
  <c r="P384" i="6"/>
  <c r="V384" i="6"/>
  <c r="Q384" i="4"/>
  <c r="Q384" i="5"/>
  <c r="J384" i="6"/>
  <c r="L384" i="6"/>
  <c r="P384" i="4"/>
  <c r="P384" i="5"/>
  <c r="F384" i="6"/>
  <c r="M384" i="6"/>
  <c r="L346" i="4"/>
  <c r="L346" i="5"/>
  <c r="F346" i="4"/>
  <c r="F346" i="5"/>
  <c r="T346" i="4"/>
  <c r="T346" i="5"/>
  <c r="V346" i="4"/>
  <c r="V346" i="5"/>
  <c r="N346" i="4"/>
  <c r="N346" i="5"/>
  <c r="D346" i="4"/>
  <c r="D346" i="5"/>
  <c r="H346" i="4"/>
  <c r="H346" i="5"/>
  <c r="P346" i="4"/>
  <c r="P346" i="5"/>
  <c r="J346" i="4"/>
  <c r="J346" i="5"/>
  <c r="R346" i="4"/>
  <c r="R346" i="5"/>
  <c r="H346" i="6"/>
  <c r="L346" i="6"/>
  <c r="S346" i="6"/>
  <c r="F346" i="6"/>
  <c r="R346" i="6"/>
  <c r="V346" i="6"/>
  <c r="J346" i="6"/>
  <c r="N346" i="6"/>
  <c r="D346" i="6"/>
  <c r="P346" i="6"/>
  <c r="T346" i="6"/>
  <c r="E346" i="4"/>
  <c r="E346" i="5"/>
  <c r="G346" i="4"/>
  <c r="G346" i="5"/>
  <c r="K346" i="4"/>
  <c r="K346" i="5"/>
  <c r="O346" i="4"/>
  <c r="O346" i="5"/>
  <c r="S346" i="4"/>
  <c r="S346" i="5"/>
  <c r="K346" i="6"/>
  <c r="Q346" i="6"/>
  <c r="Q346" i="4"/>
  <c r="Q346" i="5"/>
  <c r="U346" i="4"/>
  <c r="U346" i="5"/>
  <c r="U346" i="6"/>
  <c r="M346" i="4"/>
  <c r="M346" i="5"/>
  <c r="G346" i="6"/>
  <c r="E346" i="6"/>
  <c r="I346" i="4"/>
  <c r="I346" i="5"/>
  <c r="I346" i="6"/>
  <c r="M346" i="6"/>
  <c r="O346" i="6"/>
  <c r="K308" i="4"/>
  <c r="K308" i="5"/>
  <c r="G308" i="6"/>
  <c r="K308" i="6"/>
  <c r="S308" i="4"/>
  <c r="S308" i="5"/>
  <c r="D308" i="4"/>
  <c r="D308" i="5"/>
  <c r="E308" i="4"/>
  <c r="E308" i="5"/>
  <c r="I308" i="4"/>
  <c r="I308" i="5"/>
  <c r="M308" i="4"/>
  <c r="M308" i="5"/>
  <c r="Q308" i="4"/>
  <c r="Q308" i="5"/>
  <c r="U308" i="4"/>
  <c r="U308" i="5"/>
  <c r="E308" i="6"/>
  <c r="M308" i="6"/>
  <c r="U308" i="6"/>
  <c r="I308" i="6"/>
  <c r="Q308" i="6"/>
  <c r="L308" i="4"/>
  <c r="L308" i="5"/>
  <c r="N308" i="4"/>
  <c r="N308" i="5"/>
  <c r="P308" i="6"/>
  <c r="V308" i="6"/>
  <c r="T308" i="4"/>
  <c r="T308" i="5"/>
  <c r="V308" i="4"/>
  <c r="V308" i="5"/>
  <c r="S308" i="6"/>
  <c r="H308" i="6"/>
  <c r="T308" i="6"/>
  <c r="F308" i="6"/>
  <c r="R308" i="4"/>
  <c r="R308" i="5"/>
  <c r="G308" i="4"/>
  <c r="G308" i="5"/>
  <c r="H308" i="4"/>
  <c r="H308" i="5"/>
  <c r="P308" i="4"/>
  <c r="P308" i="5"/>
  <c r="F308" i="4"/>
  <c r="F308" i="5"/>
  <c r="R308" i="6"/>
  <c r="J308" i="4"/>
  <c r="J308" i="5"/>
  <c r="J308" i="6"/>
  <c r="L308" i="6"/>
  <c r="N308" i="6"/>
  <c r="D308" i="6"/>
  <c r="O308" i="4"/>
  <c r="O308" i="5"/>
  <c r="O308" i="6"/>
  <c r="O296" i="6"/>
  <c r="I296" i="6"/>
  <c r="Q296" i="6"/>
  <c r="N296" i="6"/>
  <c r="F296" i="4"/>
  <c r="F296" i="5"/>
  <c r="H296" i="4"/>
  <c r="H296" i="5"/>
  <c r="J296" i="6"/>
  <c r="P296" i="4"/>
  <c r="P296" i="5"/>
  <c r="R296" i="6"/>
  <c r="J296" i="4"/>
  <c r="J296" i="5"/>
  <c r="H296" i="6"/>
  <c r="D296" i="6"/>
  <c r="G296" i="6"/>
  <c r="M296" i="6"/>
  <c r="V296" i="6"/>
  <c r="F296" i="6"/>
  <c r="O296" i="4"/>
  <c r="O296" i="5"/>
  <c r="K296" i="6"/>
  <c r="K296" i="4"/>
  <c r="K296" i="5"/>
  <c r="D296" i="4"/>
  <c r="D296" i="5"/>
  <c r="E296" i="4"/>
  <c r="E296" i="5"/>
  <c r="I296" i="4"/>
  <c r="I296" i="5"/>
  <c r="M296" i="4"/>
  <c r="M296" i="5"/>
  <c r="Q296" i="4"/>
  <c r="Q296" i="5"/>
  <c r="U296" i="4"/>
  <c r="U296" i="5"/>
  <c r="E296" i="6"/>
  <c r="U296" i="6"/>
  <c r="V296" i="4"/>
  <c r="V296" i="5"/>
  <c r="L296" i="4"/>
  <c r="L296" i="5"/>
  <c r="L296" i="6"/>
  <c r="T296" i="6"/>
  <c r="R296" i="4"/>
  <c r="R296" i="5"/>
  <c r="T296" i="4"/>
  <c r="T296" i="5"/>
  <c r="P296" i="6"/>
  <c r="N296" i="4"/>
  <c r="N296" i="5"/>
  <c r="G296" i="4"/>
  <c r="G296" i="5"/>
  <c r="S296" i="4"/>
  <c r="S296" i="5"/>
  <c r="S296" i="6"/>
  <c r="U266" i="4"/>
  <c r="U266" i="5"/>
  <c r="M266" i="4"/>
  <c r="M266" i="5"/>
  <c r="E266" i="4"/>
  <c r="E266" i="5"/>
  <c r="Q266" i="6"/>
  <c r="U266" i="6"/>
  <c r="I266" i="6"/>
  <c r="D266" i="4"/>
  <c r="D266" i="5"/>
  <c r="O266" i="6"/>
  <c r="G266" i="6"/>
  <c r="O266" i="4"/>
  <c r="O266" i="5"/>
  <c r="G266" i="4"/>
  <c r="G266" i="5"/>
  <c r="S266" i="6"/>
  <c r="K266" i="6"/>
  <c r="S266" i="4"/>
  <c r="S266" i="5"/>
  <c r="K266" i="4"/>
  <c r="K266" i="5"/>
  <c r="N266" i="4"/>
  <c r="N266" i="5"/>
  <c r="N266" i="6"/>
  <c r="V266" i="4"/>
  <c r="V266" i="5"/>
  <c r="F266" i="4"/>
  <c r="F266" i="5"/>
  <c r="P266" i="6"/>
  <c r="H266" i="4"/>
  <c r="H266" i="5"/>
  <c r="T266" i="4"/>
  <c r="T266" i="5"/>
  <c r="T266" i="6"/>
  <c r="P266" i="4"/>
  <c r="P266" i="5"/>
  <c r="L266" i="4"/>
  <c r="L266" i="5"/>
  <c r="L266" i="6"/>
  <c r="H266" i="6"/>
  <c r="R266" i="6"/>
  <c r="J266" i="6"/>
  <c r="V266" i="6"/>
  <c r="E266" i="6"/>
  <c r="I266" i="4"/>
  <c r="I266" i="5"/>
  <c r="M266" i="6"/>
  <c r="R266" i="4"/>
  <c r="R266" i="5"/>
  <c r="J266" i="4"/>
  <c r="J266" i="5"/>
  <c r="F266" i="6"/>
  <c r="D266" i="6"/>
  <c r="Q266" i="4"/>
  <c r="Q266" i="5"/>
  <c r="S253" i="4"/>
  <c r="S253" i="5"/>
  <c r="G253" i="4"/>
  <c r="G253" i="5"/>
  <c r="K253" i="6"/>
  <c r="U253" i="6"/>
  <c r="M253" i="6"/>
  <c r="E253" i="6"/>
  <c r="Q253" i="4"/>
  <c r="Q253" i="5"/>
  <c r="I253" i="4"/>
  <c r="I253" i="5"/>
  <c r="Q253" i="6"/>
  <c r="U253" i="4"/>
  <c r="U253" i="5"/>
  <c r="E253" i="4"/>
  <c r="E253" i="5"/>
  <c r="D253" i="6"/>
  <c r="I253" i="6"/>
  <c r="M253" i="4"/>
  <c r="M253" i="5"/>
  <c r="K253" i="4"/>
  <c r="K253" i="5"/>
  <c r="D253" i="4"/>
  <c r="D253" i="5"/>
  <c r="H253" i="6"/>
  <c r="O253" i="6"/>
  <c r="P253" i="6"/>
  <c r="V253" i="4"/>
  <c r="V253" i="5"/>
  <c r="H253" i="4"/>
  <c r="H253" i="5"/>
  <c r="R253" i="4"/>
  <c r="R253" i="5"/>
  <c r="N253" i="6"/>
  <c r="V253" i="6"/>
  <c r="R253" i="6"/>
  <c r="N253" i="4"/>
  <c r="N253" i="5"/>
  <c r="T253" i="4"/>
  <c r="T253" i="5"/>
  <c r="L253" i="4"/>
  <c r="L253" i="5"/>
  <c r="J253" i="6"/>
  <c r="F253" i="6"/>
  <c r="P253" i="4"/>
  <c r="P253" i="5"/>
  <c r="G253" i="6"/>
  <c r="O253" i="4"/>
  <c r="O253" i="5"/>
  <c r="T253" i="6"/>
  <c r="L253" i="6"/>
  <c r="J253" i="4"/>
  <c r="J253" i="5"/>
  <c r="F253" i="4"/>
  <c r="F253" i="5"/>
  <c r="S253" i="6"/>
  <c r="D245" i="4"/>
  <c r="D245" i="5"/>
  <c r="K245" i="6"/>
  <c r="O245" i="4"/>
  <c r="O245" i="5"/>
  <c r="S245" i="6"/>
  <c r="K245" i="4"/>
  <c r="K245" i="5"/>
  <c r="S245" i="4"/>
  <c r="S245" i="5"/>
  <c r="H245" i="4"/>
  <c r="H245" i="5"/>
  <c r="R245" i="6"/>
  <c r="L245" i="6"/>
  <c r="J245" i="4"/>
  <c r="J245" i="5"/>
  <c r="F245" i="6"/>
  <c r="V245" i="4"/>
  <c r="V245" i="5"/>
  <c r="V245" i="6"/>
  <c r="R245" i="4"/>
  <c r="R245" i="5"/>
  <c r="N245" i="4"/>
  <c r="N245" i="5"/>
  <c r="N245" i="6"/>
  <c r="L245" i="4"/>
  <c r="L245" i="5"/>
  <c r="J245" i="6"/>
  <c r="F245" i="4"/>
  <c r="F245" i="5"/>
  <c r="P245" i="4"/>
  <c r="P245" i="5"/>
  <c r="H245" i="6"/>
  <c r="U245" i="4"/>
  <c r="U245" i="5"/>
  <c r="Q245" i="4"/>
  <c r="Q245" i="5"/>
  <c r="I245" i="4"/>
  <c r="I245" i="5"/>
  <c r="E245" i="4"/>
  <c r="E245" i="5"/>
  <c r="D245" i="6"/>
  <c r="G245" i="4"/>
  <c r="G245" i="5"/>
  <c r="T245" i="4"/>
  <c r="T245" i="5"/>
  <c r="T245" i="6"/>
  <c r="P245" i="6"/>
  <c r="M245" i="6"/>
  <c r="I245" i="6"/>
  <c r="E245" i="6"/>
  <c r="G245" i="6"/>
  <c r="Q245" i="6"/>
  <c r="M245" i="4"/>
  <c r="M245" i="5"/>
  <c r="U245" i="6"/>
  <c r="O245" i="6"/>
  <c r="Q187" i="4"/>
  <c r="Q187" i="5"/>
  <c r="D187" i="6"/>
  <c r="K187" i="6"/>
  <c r="S187" i="6"/>
  <c r="M187" i="4"/>
  <c r="M187" i="5"/>
  <c r="Q187" i="6"/>
  <c r="M187" i="6"/>
  <c r="U187" i="4"/>
  <c r="U187" i="5"/>
  <c r="S187" i="4"/>
  <c r="S187" i="5"/>
  <c r="D187" i="4"/>
  <c r="D187" i="5"/>
  <c r="O187" i="4"/>
  <c r="O187" i="5"/>
  <c r="G187" i="6"/>
  <c r="O187" i="6"/>
  <c r="E187" i="6"/>
  <c r="U187" i="6"/>
  <c r="I187" i="6"/>
  <c r="I187" i="4"/>
  <c r="I187" i="5"/>
  <c r="E187" i="4"/>
  <c r="E187" i="5"/>
  <c r="K187" i="4"/>
  <c r="K187" i="5"/>
  <c r="G187" i="4"/>
  <c r="G187" i="5"/>
  <c r="L187" i="4"/>
  <c r="L187" i="5"/>
  <c r="T187" i="4"/>
  <c r="T187" i="5"/>
  <c r="T187" i="6"/>
  <c r="N187" i="6"/>
  <c r="H187" i="6"/>
  <c r="P187" i="4"/>
  <c r="P187" i="5"/>
  <c r="N187" i="4"/>
  <c r="N187" i="5"/>
  <c r="H187" i="4"/>
  <c r="H187" i="5"/>
  <c r="P187" i="6"/>
  <c r="F187" i="4"/>
  <c r="F187" i="5"/>
  <c r="J187" i="6"/>
  <c r="R187" i="6"/>
  <c r="V187" i="4"/>
  <c r="V187" i="5"/>
  <c r="L187" i="6"/>
  <c r="F187" i="6"/>
  <c r="J187" i="4"/>
  <c r="J187" i="5"/>
  <c r="R187" i="4"/>
  <c r="R187" i="5"/>
  <c r="V187" i="6"/>
  <c r="O151" i="4"/>
  <c r="O151" i="5"/>
  <c r="K151" i="4"/>
  <c r="K151" i="5"/>
  <c r="D151" i="4"/>
  <c r="D151" i="5"/>
  <c r="E151" i="6"/>
  <c r="M151" i="6"/>
  <c r="U151" i="6"/>
  <c r="E151" i="4"/>
  <c r="E151" i="5"/>
  <c r="K151" i="6"/>
  <c r="S151" i="6"/>
  <c r="U151" i="4"/>
  <c r="U151" i="5"/>
  <c r="F151" i="6"/>
  <c r="I151" i="6"/>
  <c r="Q151" i="6"/>
  <c r="S151" i="4"/>
  <c r="S151" i="5"/>
  <c r="G151" i="6"/>
  <c r="O151" i="6"/>
  <c r="Q151" i="4"/>
  <c r="Q151" i="5"/>
  <c r="M151" i="4"/>
  <c r="M151" i="5"/>
  <c r="T151" i="6"/>
  <c r="N151" i="6"/>
  <c r="H151" i="6"/>
  <c r="V151" i="4"/>
  <c r="V151" i="5"/>
  <c r="P151" i="6"/>
  <c r="L151" i="6"/>
  <c r="F151" i="4"/>
  <c r="F151" i="5"/>
  <c r="R151" i="4"/>
  <c r="R151" i="5"/>
  <c r="J151" i="4"/>
  <c r="J151" i="5"/>
  <c r="N151" i="4"/>
  <c r="N151" i="5"/>
  <c r="T151" i="4"/>
  <c r="T151" i="5"/>
  <c r="V151" i="6"/>
  <c r="I151" i="4"/>
  <c r="I151" i="5"/>
  <c r="G151" i="4"/>
  <c r="G151" i="5"/>
  <c r="D151" i="6"/>
  <c r="R151" i="6"/>
  <c r="J151" i="6"/>
  <c r="L151" i="4"/>
  <c r="L151" i="5"/>
  <c r="H151" i="4"/>
  <c r="H151" i="5"/>
  <c r="P151" i="4"/>
  <c r="P151" i="5"/>
  <c r="V113" i="4"/>
  <c r="V113" i="5"/>
  <c r="T113" i="4"/>
  <c r="T113" i="5"/>
  <c r="R113" i="4"/>
  <c r="R113" i="5"/>
  <c r="P113" i="6"/>
  <c r="L113" i="6"/>
  <c r="H113" i="6"/>
  <c r="N113" i="6"/>
  <c r="J113" i="6"/>
  <c r="F113" i="6"/>
  <c r="N113" i="4"/>
  <c r="N113" i="5"/>
  <c r="H113" i="4"/>
  <c r="H113" i="5"/>
  <c r="L113" i="4"/>
  <c r="L113" i="5"/>
  <c r="J113" i="4"/>
  <c r="J113" i="5"/>
  <c r="F113" i="4"/>
  <c r="F113" i="5"/>
  <c r="P113" i="4"/>
  <c r="P113" i="5"/>
  <c r="R113" i="6"/>
  <c r="D113" i="4"/>
  <c r="D113" i="5"/>
  <c r="M113" i="4"/>
  <c r="M113" i="5"/>
  <c r="I113" i="4"/>
  <c r="I113" i="5"/>
  <c r="K113" i="4"/>
  <c r="K113" i="5"/>
  <c r="G113" i="4"/>
  <c r="G113" i="5"/>
  <c r="O113" i="4"/>
  <c r="O113" i="5"/>
  <c r="T113" i="6"/>
  <c r="O113" i="6"/>
  <c r="Q113" i="6"/>
  <c r="E113" i="6"/>
  <c r="K113" i="6"/>
  <c r="I113" i="6"/>
  <c r="S113" i="4"/>
  <c r="S113" i="5"/>
  <c r="U113" i="4"/>
  <c r="U113" i="5"/>
  <c r="D113" i="6"/>
  <c r="G113" i="6"/>
  <c r="M113" i="6"/>
  <c r="S113" i="6"/>
  <c r="V113" i="6"/>
  <c r="U113" i="6"/>
  <c r="E113" i="4"/>
  <c r="E113" i="5"/>
  <c r="Q113" i="4"/>
  <c r="Q113" i="5"/>
  <c r="K43" i="4"/>
  <c r="K43" i="5"/>
  <c r="G43" i="6"/>
  <c r="D43" i="6"/>
  <c r="Q43" i="6"/>
  <c r="U43" i="6"/>
  <c r="S43" i="6"/>
  <c r="O43" i="6"/>
  <c r="M43" i="6"/>
  <c r="J43" i="6"/>
  <c r="I43" i="6"/>
  <c r="S43" i="4"/>
  <c r="S43" i="5"/>
  <c r="N43" i="4"/>
  <c r="N43" i="5"/>
  <c r="H43" i="6"/>
  <c r="F43" i="4"/>
  <c r="F43" i="5"/>
  <c r="P43" i="4"/>
  <c r="P43" i="5"/>
  <c r="O43" i="4"/>
  <c r="O43" i="5"/>
  <c r="N43" i="6"/>
  <c r="H43" i="4"/>
  <c r="H43" i="5"/>
  <c r="F43" i="6"/>
  <c r="P43" i="6"/>
  <c r="V43" i="6"/>
  <c r="T43" i="4"/>
  <c r="T43" i="5"/>
  <c r="L43" i="6"/>
  <c r="R43" i="4"/>
  <c r="R43" i="5"/>
  <c r="V43" i="4"/>
  <c r="V43" i="5"/>
  <c r="T43" i="6"/>
  <c r="L43" i="4"/>
  <c r="L43" i="5"/>
  <c r="U43" i="4"/>
  <c r="U43" i="5"/>
  <c r="M43" i="4"/>
  <c r="M43" i="5"/>
  <c r="D43" i="4"/>
  <c r="D43" i="5"/>
  <c r="E43" i="6"/>
  <c r="J43" i="4"/>
  <c r="J43" i="5"/>
  <c r="G43" i="4"/>
  <c r="G43" i="5"/>
  <c r="Q43" i="4"/>
  <c r="Q43" i="5"/>
  <c r="I43" i="4"/>
  <c r="I43" i="5"/>
  <c r="K43" i="6"/>
  <c r="E43" i="4"/>
  <c r="E43" i="5"/>
  <c r="R43" i="6"/>
  <c r="D74" i="4"/>
  <c r="D74" i="5"/>
  <c r="O74" i="6"/>
  <c r="K74" i="6"/>
  <c r="Q74" i="6"/>
  <c r="M74" i="6"/>
  <c r="D74" i="6"/>
  <c r="F74" i="4"/>
  <c r="F74" i="5"/>
  <c r="S74" i="6"/>
  <c r="E74" i="6"/>
  <c r="I74" i="6"/>
  <c r="G74" i="6"/>
  <c r="I74" i="4"/>
  <c r="I74" i="5"/>
  <c r="M74" i="4"/>
  <c r="M74" i="5"/>
  <c r="O74" i="4"/>
  <c r="O74" i="5"/>
  <c r="S74" i="4"/>
  <c r="S74" i="5"/>
  <c r="H74" i="4"/>
  <c r="H74" i="5"/>
  <c r="L74" i="4"/>
  <c r="L74" i="5"/>
  <c r="J74" i="4"/>
  <c r="J74" i="5"/>
  <c r="K74" i="4"/>
  <c r="K74" i="5"/>
  <c r="Q74" i="4"/>
  <c r="Q74" i="5"/>
  <c r="T74" i="4"/>
  <c r="T74" i="5"/>
  <c r="N74" i="6"/>
  <c r="R74" i="4"/>
  <c r="R74" i="5"/>
  <c r="V74" i="4"/>
  <c r="V74" i="5"/>
  <c r="V74" i="6"/>
  <c r="U74" i="4"/>
  <c r="U74" i="5"/>
  <c r="T74" i="6"/>
  <c r="H74" i="6"/>
  <c r="N74" i="4"/>
  <c r="N74" i="5"/>
  <c r="P74" i="4"/>
  <c r="P74" i="5"/>
  <c r="P74" i="6"/>
  <c r="R74" i="6"/>
  <c r="L74" i="6"/>
  <c r="J74" i="6"/>
  <c r="U74" i="6"/>
  <c r="F74" i="6"/>
  <c r="G74" i="4"/>
  <c r="G74" i="5"/>
  <c r="E74" i="4"/>
  <c r="E74" i="5"/>
  <c r="D82" i="6"/>
  <c r="I82" i="6"/>
  <c r="M82" i="6"/>
  <c r="Q82" i="6"/>
  <c r="U82" i="6"/>
  <c r="G82" i="6"/>
  <c r="K82" i="6"/>
  <c r="O82" i="6"/>
  <c r="S82" i="6"/>
  <c r="K82" i="4"/>
  <c r="K82" i="5"/>
  <c r="P82" i="4"/>
  <c r="P82" i="5"/>
  <c r="P82" i="6"/>
  <c r="H82" i="6"/>
  <c r="G82" i="4"/>
  <c r="G82" i="5"/>
  <c r="U82" i="4"/>
  <c r="U82" i="5"/>
  <c r="O82" i="4"/>
  <c r="O82" i="5"/>
  <c r="I82" i="4"/>
  <c r="I82" i="5"/>
  <c r="Q82" i="4"/>
  <c r="Q82" i="5"/>
  <c r="E82" i="4"/>
  <c r="E82" i="5"/>
  <c r="S82" i="4"/>
  <c r="S82" i="5"/>
  <c r="M82" i="4"/>
  <c r="M82" i="5"/>
  <c r="R82" i="4"/>
  <c r="R82" i="5"/>
  <c r="V82" i="4"/>
  <c r="V82" i="5"/>
  <c r="V82" i="6"/>
  <c r="F82" i="4"/>
  <c r="F82" i="5"/>
  <c r="F82" i="6"/>
  <c r="D82" i="4"/>
  <c r="D82" i="5"/>
  <c r="E82" i="6"/>
  <c r="J82" i="4"/>
  <c r="J82" i="5"/>
  <c r="J82" i="6"/>
  <c r="R82" i="6"/>
  <c r="T82" i="6"/>
  <c r="N82" i="4"/>
  <c r="N82" i="5"/>
  <c r="N82" i="6"/>
  <c r="L82" i="6"/>
  <c r="H82" i="4"/>
  <c r="H82" i="5"/>
  <c r="L82" i="4"/>
  <c r="L82" i="5"/>
  <c r="T82" i="4"/>
  <c r="T82" i="5"/>
  <c r="N501" i="6"/>
  <c r="F501" i="4"/>
  <c r="F501" i="5"/>
  <c r="P501" i="4"/>
  <c r="P501" i="5"/>
  <c r="H501" i="6"/>
  <c r="V501" i="4"/>
  <c r="V501" i="5"/>
  <c r="D501" i="6"/>
  <c r="J501" i="6"/>
  <c r="T501" i="6"/>
  <c r="R501" i="6"/>
  <c r="P501" i="6"/>
  <c r="J501" i="4"/>
  <c r="J501" i="5"/>
  <c r="R501" i="4"/>
  <c r="R501" i="5"/>
  <c r="D501" i="4"/>
  <c r="D501" i="5"/>
  <c r="L501" i="4"/>
  <c r="L501" i="5"/>
  <c r="T501" i="4"/>
  <c r="T501" i="5"/>
  <c r="S501" i="4"/>
  <c r="S501" i="5"/>
  <c r="M501" i="4"/>
  <c r="M501" i="5"/>
  <c r="E501" i="4"/>
  <c r="E501" i="5"/>
  <c r="U501" i="6"/>
  <c r="H501" i="4"/>
  <c r="H501" i="5"/>
  <c r="N501" i="4"/>
  <c r="N501" i="5"/>
  <c r="L501" i="6"/>
  <c r="V501" i="6"/>
  <c r="E501" i="6"/>
  <c r="Q501" i="4"/>
  <c r="Q501" i="5"/>
  <c r="I501" i="4"/>
  <c r="I501" i="5"/>
  <c r="I501" i="6"/>
  <c r="G501" i="6"/>
  <c r="U501" i="4"/>
  <c r="U501" i="5"/>
  <c r="K501" i="4"/>
  <c r="K501" i="5"/>
  <c r="F501" i="6"/>
  <c r="S501" i="6"/>
  <c r="Q501" i="6"/>
  <c r="G501" i="4"/>
  <c r="G501" i="5"/>
  <c r="O501" i="4"/>
  <c r="O501" i="5"/>
  <c r="K501" i="6"/>
  <c r="O501" i="6"/>
  <c r="M501" i="6"/>
  <c r="T535" i="4"/>
  <c r="T535" i="5"/>
  <c r="L535" i="4"/>
  <c r="L535" i="5"/>
  <c r="D535" i="4"/>
  <c r="D535" i="5"/>
  <c r="T535" i="6"/>
  <c r="D535" i="6"/>
  <c r="L535" i="6"/>
  <c r="M535" i="4"/>
  <c r="M535" i="5"/>
  <c r="I535" i="6"/>
  <c r="E535" i="6"/>
  <c r="V535" i="4"/>
  <c r="V535" i="5"/>
  <c r="N535" i="4"/>
  <c r="N535" i="5"/>
  <c r="F535" i="4"/>
  <c r="F535" i="5"/>
  <c r="R535" i="6"/>
  <c r="J535" i="6"/>
  <c r="S535" i="6"/>
  <c r="E535" i="4"/>
  <c r="E535" i="5"/>
  <c r="R535" i="4"/>
  <c r="R535" i="5"/>
  <c r="J535" i="4"/>
  <c r="J535" i="5"/>
  <c r="V535" i="6"/>
  <c r="N535" i="6"/>
  <c r="F535" i="6"/>
  <c r="O535" i="6"/>
  <c r="G535" i="6"/>
  <c r="P535" i="6"/>
  <c r="U535" i="6"/>
  <c r="U535" i="4"/>
  <c r="U535" i="5"/>
  <c r="Q535" i="6"/>
  <c r="O535" i="4"/>
  <c r="O535" i="5"/>
  <c r="K535" i="6"/>
  <c r="H535" i="6"/>
  <c r="G535" i="4"/>
  <c r="G535" i="5"/>
  <c r="H535" i="4"/>
  <c r="H535" i="5"/>
  <c r="P535" i="4"/>
  <c r="P535" i="5"/>
  <c r="K535" i="4"/>
  <c r="K535" i="5"/>
  <c r="S535" i="4"/>
  <c r="S535" i="5"/>
  <c r="M535" i="6"/>
  <c r="I535" i="4"/>
  <c r="I535" i="5"/>
  <c r="Q535" i="4"/>
  <c r="Q535" i="5"/>
  <c r="D447" i="4"/>
  <c r="D447" i="5"/>
  <c r="D447" i="6"/>
  <c r="K447" i="6"/>
  <c r="S447" i="6"/>
  <c r="I447" i="4"/>
  <c r="I447" i="5"/>
  <c r="Q447" i="4"/>
  <c r="Q447" i="5"/>
  <c r="I447" i="6"/>
  <c r="G447" i="4"/>
  <c r="G447" i="5"/>
  <c r="S447" i="4"/>
  <c r="S447" i="5"/>
  <c r="U447" i="6"/>
  <c r="M447" i="6"/>
  <c r="K447" i="4"/>
  <c r="K447" i="5"/>
  <c r="G447" i="6"/>
  <c r="O447" i="6"/>
  <c r="E447" i="4"/>
  <c r="E447" i="5"/>
  <c r="M447" i="4"/>
  <c r="M447" i="5"/>
  <c r="U447" i="4"/>
  <c r="U447" i="5"/>
  <c r="Q447" i="6"/>
  <c r="O447" i="4"/>
  <c r="O447" i="5"/>
  <c r="E447" i="6"/>
  <c r="J447" i="6"/>
  <c r="N447" i="6"/>
  <c r="F447" i="6"/>
  <c r="L447" i="4"/>
  <c r="L447" i="5"/>
  <c r="R447" i="4"/>
  <c r="R447" i="5"/>
  <c r="V447" i="6"/>
  <c r="H447" i="6"/>
  <c r="F447" i="4"/>
  <c r="F447" i="5"/>
  <c r="R447" i="6"/>
  <c r="V447" i="4"/>
  <c r="V447" i="5"/>
  <c r="H447" i="4"/>
  <c r="H447" i="5"/>
  <c r="P447" i="4"/>
  <c r="P447" i="5"/>
  <c r="T447" i="6"/>
  <c r="N447" i="4"/>
  <c r="N447" i="5"/>
  <c r="P447" i="6"/>
  <c r="T447" i="4"/>
  <c r="T447" i="5"/>
  <c r="J447" i="4"/>
  <c r="J447" i="5"/>
  <c r="L447" i="6"/>
  <c r="I433" i="4"/>
  <c r="I433" i="5"/>
  <c r="Q433" i="6"/>
  <c r="D433" i="6"/>
  <c r="M433" i="6"/>
  <c r="I433" i="6"/>
  <c r="K433" i="6"/>
  <c r="S433" i="6"/>
  <c r="M433" i="4"/>
  <c r="M433" i="5"/>
  <c r="G433" i="6"/>
  <c r="U433" i="6"/>
  <c r="O433" i="6"/>
  <c r="E433" i="6"/>
  <c r="D433" i="4"/>
  <c r="D433" i="5"/>
  <c r="H433" i="4"/>
  <c r="H433" i="5"/>
  <c r="L433" i="4"/>
  <c r="L433" i="5"/>
  <c r="V433" i="4"/>
  <c r="V433" i="5"/>
  <c r="J433" i="4"/>
  <c r="J433" i="5"/>
  <c r="J433" i="6"/>
  <c r="T433" i="6"/>
  <c r="V433" i="6"/>
  <c r="F433" i="6"/>
  <c r="N433" i="4"/>
  <c r="N433" i="5"/>
  <c r="R433" i="4"/>
  <c r="R433" i="5"/>
  <c r="K433" i="4"/>
  <c r="K433" i="5"/>
  <c r="Q433" i="4"/>
  <c r="Q433" i="5"/>
  <c r="S433" i="4"/>
  <c r="S433" i="5"/>
  <c r="O433" i="4"/>
  <c r="O433" i="5"/>
  <c r="G433" i="4"/>
  <c r="G433" i="5"/>
  <c r="E433" i="4"/>
  <c r="E433" i="5"/>
  <c r="U433" i="4"/>
  <c r="U433" i="5"/>
  <c r="T433" i="4"/>
  <c r="T433" i="5"/>
  <c r="F433" i="4"/>
  <c r="F433" i="5"/>
  <c r="N433" i="6"/>
  <c r="R433" i="6"/>
  <c r="P433" i="4"/>
  <c r="P433" i="5"/>
  <c r="H433" i="6"/>
  <c r="P433" i="6"/>
  <c r="L433" i="6"/>
  <c r="K370" i="4"/>
  <c r="K370" i="5"/>
  <c r="G370" i="6"/>
  <c r="I370" i="6"/>
  <c r="Q370" i="6"/>
  <c r="E370" i="4"/>
  <c r="E370" i="5"/>
  <c r="M370" i="4"/>
  <c r="M370" i="5"/>
  <c r="U370" i="4"/>
  <c r="U370" i="5"/>
  <c r="K370" i="6"/>
  <c r="G370" i="4"/>
  <c r="G370" i="5"/>
  <c r="O370" i="4"/>
  <c r="O370" i="5"/>
  <c r="O370" i="6"/>
  <c r="S370" i="4"/>
  <c r="S370" i="5"/>
  <c r="D370" i="4"/>
  <c r="D370" i="5"/>
  <c r="E370" i="6"/>
  <c r="M370" i="6"/>
  <c r="U370" i="6"/>
  <c r="I370" i="4"/>
  <c r="I370" i="5"/>
  <c r="Q370" i="4"/>
  <c r="Q370" i="5"/>
  <c r="D370" i="6"/>
  <c r="S370" i="6"/>
  <c r="R370" i="4"/>
  <c r="R370" i="5"/>
  <c r="J370" i="4"/>
  <c r="J370" i="5"/>
  <c r="P370" i="6"/>
  <c r="T370" i="6"/>
  <c r="J370" i="6"/>
  <c r="F370" i="6"/>
  <c r="H370" i="4"/>
  <c r="H370" i="5"/>
  <c r="H370" i="6"/>
  <c r="L370" i="4"/>
  <c r="L370" i="5"/>
  <c r="T370" i="4"/>
  <c r="T370" i="5"/>
  <c r="N370" i="6"/>
  <c r="V370" i="6"/>
  <c r="F370" i="4"/>
  <c r="F370" i="5"/>
  <c r="L370" i="6"/>
  <c r="R370" i="6"/>
  <c r="N370" i="4"/>
  <c r="N370" i="5"/>
  <c r="V370" i="4"/>
  <c r="V370" i="5"/>
  <c r="P370" i="4"/>
  <c r="P370" i="5"/>
  <c r="D341" i="4"/>
  <c r="D341" i="5"/>
  <c r="F341" i="4"/>
  <c r="F341" i="5"/>
  <c r="N341" i="4"/>
  <c r="N341" i="5"/>
  <c r="V341" i="4"/>
  <c r="V341" i="5"/>
  <c r="H341" i="4"/>
  <c r="H341" i="5"/>
  <c r="P341" i="4"/>
  <c r="P341" i="5"/>
  <c r="D341" i="6"/>
  <c r="H341" i="6"/>
  <c r="Q341" i="6"/>
  <c r="V341" i="6"/>
  <c r="N341" i="6"/>
  <c r="R341" i="6"/>
  <c r="M341" i="4"/>
  <c r="M341" i="5"/>
  <c r="J341" i="4"/>
  <c r="J341" i="5"/>
  <c r="R341" i="4"/>
  <c r="R341" i="5"/>
  <c r="O341" i="4"/>
  <c r="O341" i="5"/>
  <c r="L341" i="4"/>
  <c r="L341" i="5"/>
  <c r="T341" i="4"/>
  <c r="T341" i="5"/>
  <c r="F341" i="6"/>
  <c r="J341" i="6"/>
  <c r="T341" i="6"/>
  <c r="L341" i="6"/>
  <c r="P341" i="6"/>
  <c r="G341" i="6"/>
  <c r="O341" i="6"/>
  <c r="U341" i="6"/>
  <c r="E341" i="6"/>
  <c r="I341" i="4"/>
  <c r="I341" i="5"/>
  <c r="K341" i="4"/>
  <c r="K341" i="5"/>
  <c r="M341" i="6"/>
  <c r="Q341" i="4"/>
  <c r="Q341" i="5"/>
  <c r="S341" i="6"/>
  <c r="I341" i="6"/>
  <c r="U341" i="4"/>
  <c r="U341" i="5"/>
  <c r="G341" i="4"/>
  <c r="G341" i="5"/>
  <c r="E341" i="4"/>
  <c r="E341" i="5"/>
  <c r="K341" i="6"/>
  <c r="S341" i="4"/>
  <c r="S341" i="5"/>
  <c r="F318" i="6"/>
  <c r="N318" i="4"/>
  <c r="N318" i="5"/>
  <c r="P318" i="6"/>
  <c r="P318" i="4"/>
  <c r="P318" i="5"/>
  <c r="V318" i="6"/>
  <c r="M318" i="4"/>
  <c r="M318" i="5"/>
  <c r="D318" i="6"/>
  <c r="F318" i="4"/>
  <c r="F318" i="5"/>
  <c r="T318" i="6"/>
  <c r="I318" i="4"/>
  <c r="I318" i="5"/>
  <c r="O318" i="6"/>
  <c r="L318" i="4"/>
  <c r="L318" i="5"/>
  <c r="T318" i="4"/>
  <c r="T318" i="5"/>
  <c r="J318" i="6"/>
  <c r="J318" i="4"/>
  <c r="J318" i="5"/>
  <c r="R318" i="4"/>
  <c r="R318" i="5"/>
  <c r="L318" i="6"/>
  <c r="D318" i="4"/>
  <c r="D318" i="5"/>
  <c r="E318" i="6"/>
  <c r="Q318" i="6"/>
  <c r="H318" i="6"/>
  <c r="N318" i="6"/>
  <c r="V318" i="4"/>
  <c r="V318" i="5"/>
  <c r="I318" i="6"/>
  <c r="O318" i="4"/>
  <c r="O318" i="5"/>
  <c r="R318" i="6"/>
  <c r="H318" i="4"/>
  <c r="H318" i="5"/>
  <c r="E318" i="4"/>
  <c r="E318" i="5"/>
  <c r="G318" i="4"/>
  <c r="G318" i="5"/>
  <c r="G318" i="6"/>
  <c r="Q318" i="4"/>
  <c r="Q318" i="5"/>
  <c r="K318" i="6"/>
  <c r="U318" i="4"/>
  <c r="U318" i="5"/>
  <c r="M318" i="6"/>
  <c r="K318" i="4"/>
  <c r="K318" i="5"/>
  <c r="S318" i="4"/>
  <c r="S318" i="5"/>
  <c r="S318" i="6"/>
  <c r="U318" i="6"/>
  <c r="O304" i="6"/>
  <c r="S304" i="6"/>
  <c r="E304" i="4"/>
  <c r="E304" i="5"/>
  <c r="M304" i="4"/>
  <c r="M304" i="5"/>
  <c r="U304" i="4"/>
  <c r="U304" i="5"/>
  <c r="I304" i="6"/>
  <c r="Q304" i="6"/>
  <c r="D304" i="4"/>
  <c r="D304" i="5"/>
  <c r="I304" i="4"/>
  <c r="I304" i="5"/>
  <c r="Q304" i="4"/>
  <c r="Q304" i="5"/>
  <c r="E304" i="6"/>
  <c r="M304" i="6"/>
  <c r="U304" i="6"/>
  <c r="H304" i="4"/>
  <c r="H304" i="5"/>
  <c r="P304" i="4"/>
  <c r="P304" i="5"/>
  <c r="N304" i="6"/>
  <c r="H304" i="6"/>
  <c r="J304" i="6"/>
  <c r="L304" i="4"/>
  <c r="L304" i="5"/>
  <c r="V304" i="6"/>
  <c r="K304" i="4"/>
  <c r="K304" i="5"/>
  <c r="G304" i="6"/>
  <c r="J304" i="4"/>
  <c r="J304" i="5"/>
  <c r="L304" i="6"/>
  <c r="V304" i="4"/>
  <c r="V304" i="5"/>
  <c r="F304" i="6"/>
  <c r="R304" i="4"/>
  <c r="R304" i="5"/>
  <c r="T304" i="6"/>
  <c r="N304" i="4"/>
  <c r="N304" i="5"/>
  <c r="F304" i="4"/>
  <c r="F304" i="5"/>
  <c r="R304" i="6"/>
  <c r="T304" i="4"/>
  <c r="T304" i="5"/>
  <c r="P304" i="6"/>
  <c r="G304" i="4"/>
  <c r="G304" i="5"/>
  <c r="K304" i="6"/>
  <c r="D304" i="6"/>
  <c r="O304" i="4"/>
  <c r="O304" i="5"/>
  <c r="S304" i="4"/>
  <c r="S304" i="5"/>
  <c r="D265" i="4"/>
  <c r="D265" i="5"/>
  <c r="E265" i="6"/>
  <c r="E265" i="4"/>
  <c r="E265" i="5"/>
  <c r="Q265" i="6"/>
  <c r="S265" i="6"/>
  <c r="K265" i="6"/>
  <c r="S265" i="4"/>
  <c r="S265" i="5"/>
  <c r="K265" i="4"/>
  <c r="K265" i="5"/>
  <c r="U265" i="4"/>
  <c r="U265" i="5"/>
  <c r="D265" i="6"/>
  <c r="O265" i="6"/>
  <c r="G265" i="6"/>
  <c r="O265" i="4"/>
  <c r="O265" i="5"/>
  <c r="G265" i="4"/>
  <c r="G265" i="5"/>
  <c r="F265" i="4"/>
  <c r="F265" i="5"/>
  <c r="F265" i="6"/>
  <c r="N265" i="4"/>
  <c r="N265" i="5"/>
  <c r="H265" i="6"/>
  <c r="M265" i="4"/>
  <c r="M265" i="5"/>
  <c r="M265" i="6"/>
  <c r="V265" i="4"/>
  <c r="V265" i="5"/>
  <c r="V265" i="6"/>
  <c r="T265" i="4"/>
  <c r="T265" i="5"/>
  <c r="T265" i="6"/>
  <c r="P265" i="6"/>
  <c r="I265" i="6"/>
  <c r="Q265" i="4"/>
  <c r="Q265" i="5"/>
  <c r="P265" i="4"/>
  <c r="P265" i="5"/>
  <c r="L265" i="4"/>
  <c r="L265" i="5"/>
  <c r="L265" i="6"/>
  <c r="R265" i="4"/>
  <c r="R265" i="5"/>
  <c r="J265" i="4"/>
  <c r="J265" i="5"/>
  <c r="N265" i="6"/>
  <c r="H265" i="4"/>
  <c r="H265" i="5"/>
  <c r="R265" i="6"/>
  <c r="J265" i="6"/>
  <c r="I265" i="4"/>
  <c r="I265" i="5"/>
  <c r="U265" i="6"/>
  <c r="T252" i="6"/>
  <c r="S252" i="6"/>
  <c r="O252" i="6"/>
  <c r="K252" i="6"/>
  <c r="G252" i="6"/>
  <c r="U252" i="4"/>
  <c r="U252" i="5"/>
  <c r="Q252" i="4"/>
  <c r="Q252" i="5"/>
  <c r="M252" i="4"/>
  <c r="M252" i="5"/>
  <c r="I252" i="4"/>
  <c r="I252" i="5"/>
  <c r="E252" i="4"/>
  <c r="E252" i="5"/>
  <c r="D252" i="4"/>
  <c r="D252" i="5"/>
  <c r="D252" i="6"/>
  <c r="U252" i="6"/>
  <c r="Q252" i="6"/>
  <c r="M252" i="6"/>
  <c r="I252" i="6"/>
  <c r="E252" i="6"/>
  <c r="S252" i="4"/>
  <c r="S252" i="5"/>
  <c r="O252" i="4"/>
  <c r="O252" i="5"/>
  <c r="K252" i="4"/>
  <c r="K252" i="5"/>
  <c r="G252" i="4"/>
  <c r="G252" i="5"/>
  <c r="T252" i="4"/>
  <c r="T252" i="5"/>
  <c r="R252" i="6"/>
  <c r="N252" i="6"/>
  <c r="H252" i="4"/>
  <c r="H252" i="5"/>
  <c r="V252" i="6"/>
  <c r="P252" i="4"/>
  <c r="P252" i="5"/>
  <c r="L252" i="4"/>
  <c r="L252" i="5"/>
  <c r="J252" i="6"/>
  <c r="F252" i="6"/>
  <c r="P252" i="6"/>
  <c r="L252" i="6"/>
  <c r="H252" i="6"/>
  <c r="F252" i="4"/>
  <c r="F252" i="5"/>
  <c r="N252" i="4"/>
  <c r="N252" i="5"/>
  <c r="V252" i="4"/>
  <c r="V252" i="5"/>
  <c r="J252" i="4"/>
  <c r="J252" i="5"/>
  <c r="R252" i="4"/>
  <c r="R252" i="5"/>
  <c r="O239" i="4"/>
  <c r="O239" i="5"/>
  <c r="D239" i="4"/>
  <c r="D239" i="5"/>
  <c r="K239" i="4"/>
  <c r="K239" i="5"/>
  <c r="S239" i="4"/>
  <c r="S239" i="5"/>
  <c r="O239" i="6"/>
  <c r="S239" i="6"/>
  <c r="K239" i="6"/>
  <c r="G239" i="6"/>
  <c r="G239" i="4"/>
  <c r="G239" i="5"/>
  <c r="D239" i="6"/>
  <c r="Q239" i="6"/>
  <c r="I239" i="6"/>
  <c r="U239" i="4"/>
  <c r="U239" i="5"/>
  <c r="Q239" i="4"/>
  <c r="Q239" i="5"/>
  <c r="M239" i="4"/>
  <c r="M239" i="5"/>
  <c r="I239" i="4"/>
  <c r="I239" i="5"/>
  <c r="E239" i="4"/>
  <c r="E239" i="5"/>
  <c r="U239" i="6"/>
  <c r="M239" i="6"/>
  <c r="E239" i="6"/>
  <c r="T239" i="6"/>
  <c r="L239" i="6"/>
  <c r="P239" i="4"/>
  <c r="P239" i="5"/>
  <c r="V239" i="6"/>
  <c r="R239" i="6"/>
  <c r="F239" i="6"/>
  <c r="P239" i="6"/>
  <c r="H239" i="4"/>
  <c r="H239" i="5"/>
  <c r="F239" i="4"/>
  <c r="F239" i="5"/>
  <c r="H239" i="6"/>
  <c r="N239" i="4"/>
  <c r="N239" i="5"/>
  <c r="J239" i="4"/>
  <c r="J239" i="5"/>
  <c r="J239" i="6"/>
  <c r="L239" i="4"/>
  <c r="L239" i="5"/>
  <c r="T239" i="4"/>
  <c r="T239" i="5"/>
  <c r="V239" i="4"/>
  <c r="V239" i="5"/>
  <c r="N239" i="6"/>
  <c r="R239" i="4"/>
  <c r="R239" i="5"/>
  <c r="D228" i="4"/>
  <c r="D228" i="5"/>
  <c r="N228" i="4"/>
  <c r="N228" i="5"/>
  <c r="H228" i="6"/>
  <c r="P228" i="6"/>
  <c r="P228" i="4"/>
  <c r="P228" i="5"/>
  <c r="L228" i="4"/>
  <c r="L228" i="5"/>
  <c r="J228" i="4"/>
  <c r="J228" i="5"/>
  <c r="H228" i="4"/>
  <c r="H228" i="5"/>
  <c r="J228" i="6"/>
  <c r="V228" i="4"/>
  <c r="V228" i="5"/>
  <c r="R228" i="4"/>
  <c r="R228" i="5"/>
  <c r="R228" i="6"/>
  <c r="F228" i="4"/>
  <c r="F228" i="5"/>
  <c r="T228" i="4"/>
  <c r="T228" i="5"/>
  <c r="D228" i="6"/>
  <c r="N228" i="6"/>
  <c r="L228" i="6"/>
  <c r="F228" i="6"/>
  <c r="V228" i="6"/>
  <c r="T228" i="6"/>
  <c r="Q228" i="4"/>
  <c r="Q228" i="5"/>
  <c r="K228" i="6"/>
  <c r="K228" i="4"/>
  <c r="K228" i="5"/>
  <c r="G228" i="4"/>
  <c r="G228" i="5"/>
  <c r="G228" i="6"/>
  <c r="E228" i="4"/>
  <c r="E228" i="5"/>
  <c r="E228" i="6"/>
  <c r="I228" i="6"/>
  <c r="M228" i="4"/>
  <c r="M228" i="5"/>
  <c r="O228" i="6"/>
  <c r="U228" i="4"/>
  <c r="U228" i="5"/>
  <c r="Q228" i="6"/>
  <c r="I228" i="4"/>
  <c r="I228" i="5"/>
  <c r="M228" i="6"/>
  <c r="O228" i="4"/>
  <c r="O228" i="5"/>
  <c r="S228" i="4"/>
  <c r="S228" i="5"/>
  <c r="S228" i="6"/>
  <c r="U228" i="6"/>
  <c r="V219" i="6"/>
  <c r="L219" i="4"/>
  <c r="L219" i="5"/>
  <c r="F219" i="6"/>
  <c r="U219" i="4"/>
  <c r="U219" i="5"/>
  <c r="K219" i="6"/>
  <c r="Q219" i="4"/>
  <c r="Q219" i="5"/>
  <c r="Q219" i="6"/>
  <c r="D219" i="4"/>
  <c r="D219" i="5"/>
  <c r="H219" i="4"/>
  <c r="H219" i="5"/>
  <c r="L219" i="6"/>
  <c r="R219" i="4"/>
  <c r="R219" i="5"/>
  <c r="J219" i="4"/>
  <c r="J219" i="5"/>
  <c r="R219" i="6"/>
  <c r="T219" i="6"/>
  <c r="H219" i="6"/>
  <c r="E219" i="4"/>
  <c r="E219" i="5"/>
  <c r="I219" i="6"/>
  <c r="M219" i="4"/>
  <c r="M219" i="5"/>
  <c r="S219" i="4"/>
  <c r="S219" i="5"/>
  <c r="S219" i="6"/>
  <c r="K219" i="4"/>
  <c r="K219" i="5"/>
  <c r="P219" i="4"/>
  <c r="P219" i="5"/>
  <c r="P219" i="6"/>
  <c r="V219" i="4"/>
  <c r="V219" i="5"/>
  <c r="N219" i="4"/>
  <c r="N219" i="5"/>
  <c r="F219" i="4"/>
  <c r="F219" i="5"/>
  <c r="J219" i="6"/>
  <c r="D219" i="6"/>
  <c r="T219" i="4"/>
  <c r="T219" i="5"/>
  <c r="N219" i="6"/>
  <c r="E219" i="6"/>
  <c r="I219" i="4"/>
  <c r="I219" i="5"/>
  <c r="M219" i="6"/>
  <c r="O219" i="4"/>
  <c r="O219" i="5"/>
  <c r="U219" i="6"/>
  <c r="G219" i="4"/>
  <c r="G219" i="5"/>
  <c r="G219" i="6"/>
  <c r="O219" i="6"/>
  <c r="V186" i="4"/>
  <c r="V186" i="5"/>
  <c r="T186" i="4"/>
  <c r="T186" i="5"/>
  <c r="D186" i="6"/>
  <c r="J186" i="6"/>
  <c r="R186" i="6"/>
  <c r="I186" i="6"/>
  <c r="L186" i="6"/>
  <c r="T186" i="6"/>
  <c r="R186" i="4"/>
  <c r="R186" i="5"/>
  <c r="F186" i="6"/>
  <c r="N186" i="6"/>
  <c r="V186" i="6"/>
  <c r="H186" i="6"/>
  <c r="P186" i="6"/>
  <c r="U186" i="6"/>
  <c r="D186" i="4"/>
  <c r="D186" i="5"/>
  <c r="N186" i="4"/>
  <c r="N186" i="5"/>
  <c r="J186" i="4"/>
  <c r="J186" i="5"/>
  <c r="F186" i="4"/>
  <c r="F186" i="5"/>
  <c r="P186" i="4"/>
  <c r="P186" i="5"/>
  <c r="L186" i="4"/>
  <c r="L186" i="5"/>
  <c r="H186" i="4"/>
  <c r="H186" i="5"/>
  <c r="G186" i="4"/>
  <c r="G186" i="5"/>
  <c r="K186" i="4"/>
  <c r="K186" i="5"/>
  <c r="O186" i="4"/>
  <c r="O186" i="5"/>
  <c r="S186" i="4"/>
  <c r="S186" i="5"/>
  <c r="I186" i="4"/>
  <c r="I186" i="5"/>
  <c r="M186" i="4"/>
  <c r="M186" i="5"/>
  <c r="Q186" i="4"/>
  <c r="Q186" i="5"/>
  <c r="U186" i="4"/>
  <c r="U186" i="5"/>
  <c r="E186" i="6"/>
  <c r="K186" i="6"/>
  <c r="S186" i="6"/>
  <c r="Q186" i="6"/>
  <c r="O186" i="6"/>
  <c r="E186" i="4"/>
  <c r="E186" i="5"/>
  <c r="M186" i="6"/>
  <c r="G186" i="6"/>
  <c r="F166" i="6"/>
  <c r="N166" i="6"/>
  <c r="E166" i="6"/>
  <c r="L166" i="6"/>
  <c r="T166" i="6"/>
  <c r="J166" i="4"/>
  <c r="J166" i="5"/>
  <c r="T166" i="4"/>
  <c r="T166" i="5"/>
  <c r="L166" i="4"/>
  <c r="L166" i="5"/>
  <c r="F166" i="4"/>
  <c r="F166" i="5"/>
  <c r="V166" i="6"/>
  <c r="R166" i="4"/>
  <c r="R166" i="5"/>
  <c r="D166" i="4"/>
  <c r="D166" i="5"/>
  <c r="P166" i="4"/>
  <c r="P166" i="5"/>
  <c r="D166" i="6"/>
  <c r="J166" i="6"/>
  <c r="R166" i="6"/>
  <c r="H166" i="6"/>
  <c r="P166" i="6"/>
  <c r="M166" i="6"/>
  <c r="V166" i="4"/>
  <c r="V166" i="5"/>
  <c r="I166" i="4"/>
  <c r="I166" i="5"/>
  <c r="N166" i="4"/>
  <c r="N166" i="5"/>
  <c r="H166" i="4"/>
  <c r="H166" i="5"/>
  <c r="G166" i="4"/>
  <c r="G166" i="5"/>
  <c r="K166" i="6"/>
  <c r="O166" i="4"/>
  <c r="O166" i="5"/>
  <c r="S166" i="6"/>
  <c r="E166" i="4"/>
  <c r="E166" i="5"/>
  <c r="I166" i="6"/>
  <c r="M166" i="4"/>
  <c r="M166" i="5"/>
  <c r="Q166" i="4"/>
  <c r="Q166" i="5"/>
  <c r="U166" i="4"/>
  <c r="U166" i="5"/>
  <c r="K166" i="4"/>
  <c r="K166" i="5"/>
  <c r="O166" i="6"/>
  <c r="S166" i="4"/>
  <c r="S166" i="5"/>
  <c r="U166" i="6"/>
  <c r="G166" i="6"/>
  <c r="Q166" i="6"/>
  <c r="D142" i="4"/>
  <c r="D142" i="5"/>
  <c r="S142" i="4"/>
  <c r="S142" i="5"/>
  <c r="O142" i="4"/>
  <c r="O142" i="5"/>
  <c r="K142" i="4"/>
  <c r="K142" i="5"/>
  <c r="I142" i="4"/>
  <c r="I142" i="5"/>
  <c r="E142" i="4"/>
  <c r="E142" i="5"/>
  <c r="H142" i="6"/>
  <c r="Q142" i="4"/>
  <c r="Q142" i="5"/>
  <c r="G142" i="4"/>
  <c r="G142" i="5"/>
  <c r="I142" i="6"/>
  <c r="G142" i="6"/>
  <c r="K142" i="6"/>
  <c r="T142" i="6"/>
  <c r="U142" i="6"/>
  <c r="R142" i="6"/>
  <c r="U142" i="4"/>
  <c r="U142" i="5"/>
  <c r="M142" i="4"/>
  <c r="M142" i="5"/>
  <c r="O142" i="6"/>
  <c r="Q142" i="6"/>
  <c r="S142" i="6"/>
  <c r="E142" i="6"/>
  <c r="D142" i="6"/>
  <c r="M142" i="6"/>
  <c r="V142" i="4"/>
  <c r="V142" i="5"/>
  <c r="R142" i="4"/>
  <c r="R142" i="5"/>
  <c r="N142" i="4"/>
  <c r="N142" i="5"/>
  <c r="J142" i="4"/>
  <c r="J142" i="5"/>
  <c r="F142" i="4"/>
  <c r="F142" i="5"/>
  <c r="T142" i="4"/>
  <c r="T142" i="5"/>
  <c r="P142" i="4"/>
  <c r="P142" i="5"/>
  <c r="L142" i="4"/>
  <c r="L142" i="5"/>
  <c r="H142" i="4"/>
  <c r="H142" i="5"/>
  <c r="V142" i="6"/>
  <c r="F142" i="6"/>
  <c r="N142" i="6"/>
  <c r="P142" i="6"/>
  <c r="J142" i="6"/>
  <c r="L142" i="6"/>
  <c r="U120" i="6"/>
  <c r="M120" i="6"/>
  <c r="E120" i="6"/>
  <c r="K120" i="6"/>
  <c r="O120" i="6"/>
  <c r="G120" i="4"/>
  <c r="G120" i="5"/>
  <c r="O120" i="4"/>
  <c r="O120" i="5"/>
  <c r="E120" i="4"/>
  <c r="E120" i="5"/>
  <c r="M120" i="4"/>
  <c r="M120" i="5"/>
  <c r="U120" i="4"/>
  <c r="U120" i="5"/>
  <c r="D120" i="6"/>
  <c r="Q120" i="6"/>
  <c r="I120" i="6"/>
  <c r="S120" i="6"/>
  <c r="G120" i="6"/>
  <c r="D120" i="4"/>
  <c r="D120" i="5"/>
  <c r="K120" i="4"/>
  <c r="K120" i="5"/>
  <c r="S120" i="4"/>
  <c r="S120" i="5"/>
  <c r="I120" i="4"/>
  <c r="I120" i="5"/>
  <c r="Q120" i="4"/>
  <c r="Q120" i="5"/>
  <c r="T120" i="6"/>
  <c r="L120" i="6"/>
  <c r="V120" i="4"/>
  <c r="V120" i="5"/>
  <c r="P120" i="4"/>
  <c r="P120" i="5"/>
  <c r="N120" i="6"/>
  <c r="J120" i="4"/>
  <c r="J120" i="5"/>
  <c r="F120" i="6"/>
  <c r="H120" i="4"/>
  <c r="H120" i="5"/>
  <c r="P120" i="6"/>
  <c r="F120" i="4"/>
  <c r="F120" i="5"/>
  <c r="R120" i="4"/>
  <c r="R120" i="5"/>
  <c r="R120" i="6"/>
  <c r="H120" i="6"/>
  <c r="V120" i="6"/>
  <c r="L120" i="4"/>
  <c r="L120" i="5"/>
  <c r="T120" i="4"/>
  <c r="T120" i="5"/>
  <c r="N120" i="4"/>
  <c r="N120" i="5"/>
  <c r="J120" i="6"/>
  <c r="N23" i="4"/>
  <c r="N23" i="5"/>
  <c r="G23" i="6"/>
  <c r="O23" i="6"/>
  <c r="O23" i="4"/>
  <c r="O23" i="5"/>
  <c r="F23" i="4"/>
  <c r="F23" i="5"/>
  <c r="K23" i="6"/>
  <c r="H23" i="6"/>
  <c r="I23" i="4"/>
  <c r="I23" i="5"/>
  <c r="J23" i="4"/>
  <c r="J23" i="5"/>
  <c r="S23" i="4"/>
  <c r="S23" i="5"/>
  <c r="U23" i="4"/>
  <c r="U23" i="5"/>
  <c r="E23" i="6"/>
  <c r="M23" i="4"/>
  <c r="M23" i="5"/>
  <c r="P23" i="4"/>
  <c r="P23" i="5"/>
  <c r="P23" i="6"/>
  <c r="Q23" i="4"/>
  <c r="Q23" i="5"/>
  <c r="T23" i="4"/>
  <c r="T23" i="5"/>
  <c r="V23" i="4"/>
  <c r="V23" i="5"/>
  <c r="F23" i="6"/>
  <c r="D23" i="4"/>
  <c r="D23" i="5"/>
  <c r="D23" i="6"/>
  <c r="H23" i="4"/>
  <c r="H23" i="5"/>
  <c r="I23" i="6"/>
  <c r="J23" i="6"/>
  <c r="S23" i="6"/>
  <c r="U23" i="6"/>
  <c r="E23" i="4"/>
  <c r="E23" i="5"/>
  <c r="M23" i="6"/>
  <c r="Q23" i="6"/>
  <c r="T23" i="6"/>
  <c r="V23" i="6"/>
  <c r="G23" i="4"/>
  <c r="G23" i="5"/>
  <c r="R23" i="6"/>
  <c r="L23" i="6"/>
  <c r="N23" i="6"/>
  <c r="L23" i="4"/>
  <c r="L23" i="5"/>
  <c r="K23" i="4"/>
  <c r="K23" i="5"/>
  <c r="R23" i="4"/>
  <c r="R23" i="5"/>
  <c r="E41" i="6"/>
  <c r="U41" i="6"/>
  <c r="M41" i="6"/>
  <c r="Q41" i="6"/>
  <c r="K41" i="6"/>
  <c r="I41" i="6"/>
  <c r="S41" i="6"/>
  <c r="G41" i="6"/>
  <c r="M41" i="4"/>
  <c r="M41" i="5"/>
  <c r="F41" i="4"/>
  <c r="F41" i="5"/>
  <c r="G41" i="4"/>
  <c r="G41" i="5"/>
  <c r="I41" i="4"/>
  <c r="I41" i="5"/>
  <c r="R41" i="6"/>
  <c r="S41" i="4"/>
  <c r="S41" i="5"/>
  <c r="R41" i="4"/>
  <c r="R41" i="5"/>
  <c r="U41" i="4"/>
  <c r="U41" i="5"/>
  <c r="E41" i="4"/>
  <c r="E41" i="5"/>
  <c r="D41" i="4"/>
  <c r="D41" i="5"/>
  <c r="Q41" i="4"/>
  <c r="Q41" i="5"/>
  <c r="D41" i="6"/>
  <c r="P41" i="4"/>
  <c r="P41" i="5"/>
  <c r="O41" i="6"/>
  <c r="O41" i="4"/>
  <c r="O41" i="5"/>
  <c r="K41" i="4"/>
  <c r="K41" i="5"/>
  <c r="V41" i="4"/>
  <c r="V41" i="5"/>
  <c r="L41" i="4"/>
  <c r="L41" i="5"/>
  <c r="H41" i="4"/>
  <c r="H41" i="5"/>
  <c r="J41" i="4"/>
  <c r="J41" i="5"/>
  <c r="N41" i="4"/>
  <c r="N41" i="5"/>
  <c r="T41" i="6"/>
  <c r="N41" i="6"/>
  <c r="P41" i="6"/>
  <c r="T41" i="4"/>
  <c r="T41" i="5"/>
  <c r="V41" i="6"/>
  <c r="F41" i="6"/>
  <c r="J41" i="6"/>
  <c r="H41" i="6"/>
  <c r="L41" i="6"/>
  <c r="N52" i="4"/>
  <c r="N52" i="5"/>
  <c r="T52" i="4"/>
  <c r="T52" i="5"/>
  <c r="P52" i="4"/>
  <c r="P52" i="5"/>
  <c r="J52" i="4"/>
  <c r="J52" i="5"/>
  <c r="H52" i="4"/>
  <c r="H52" i="5"/>
  <c r="V52" i="4"/>
  <c r="V52" i="5"/>
  <c r="D52" i="4"/>
  <c r="D52" i="5"/>
  <c r="R52" i="4"/>
  <c r="R52" i="5"/>
  <c r="L52" i="4"/>
  <c r="L52" i="5"/>
  <c r="D52" i="6"/>
  <c r="H52" i="6"/>
  <c r="L52" i="6"/>
  <c r="P52" i="6"/>
  <c r="T52" i="6"/>
  <c r="F52" i="4"/>
  <c r="F52" i="5"/>
  <c r="F52" i="6"/>
  <c r="J52" i="6"/>
  <c r="N52" i="6"/>
  <c r="R52" i="6"/>
  <c r="V52" i="6"/>
  <c r="S52" i="4"/>
  <c r="S52" i="5"/>
  <c r="Q52" i="4"/>
  <c r="Q52" i="5"/>
  <c r="O52" i="4"/>
  <c r="O52" i="5"/>
  <c r="M52" i="4"/>
  <c r="M52" i="5"/>
  <c r="K52" i="6"/>
  <c r="G52" i="4"/>
  <c r="G52" i="5"/>
  <c r="I52" i="4"/>
  <c r="I52" i="5"/>
  <c r="U52" i="4"/>
  <c r="U52" i="5"/>
  <c r="U52" i="6"/>
  <c r="E52" i="4"/>
  <c r="E52" i="5"/>
  <c r="E52" i="6"/>
  <c r="I52" i="6"/>
  <c r="K52" i="4"/>
  <c r="K52" i="5"/>
  <c r="M52" i="6"/>
  <c r="Q52" i="6"/>
  <c r="S52" i="6"/>
  <c r="G52" i="6"/>
  <c r="O52" i="6"/>
  <c r="Q66" i="4"/>
  <c r="Q66" i="5"/>
  <c r="U66" i="6"/>
  <c r="O66" i="4"/>
  <c r="O66" i="5"/>
  <c r="O66" i="6"/>
  <c r="S66" i="4"/>
  <c r="S66" i="5"/>
  <c r="D66" i="6"/>
  <c r="M66" i="6"/>
  <c r="I66" i="4"/>
  <c r="I66" i="5"/>
  <c r="E66" i="4"/>
  <c r="E66" i="5"/>
  <c r="U66" i="4"/>
  <c r="U66" i="5"/>
  <c r="Q66" i="6"/>
  <c r="K66" i="4"/>
  <c r="K66" i="5"/>
  <c r="K66" i="6"/>
  <c r="E66" i="6"/>
  <c r="G66" i="6"/>
  <c r="G66" i="4"/>
  <c r="G66" i="5"/>
  <c r="P66" i="4"/>
  <c r="P66" i="5"/>
  <c r="F66" i="6"/>
  <c r="I66" i="6"/>
  <c r="T66" i="4"/>
  <c r="T66" i="5"/>
  <c r="J66" i="4"/>
  <c r="J66" i="5"/>
  <c r="R66" i="4"/>
  <c r="R66" i="5"/>
  <c r="R66" i="6"/>
  <c r="V66" i="6"/>
  <c r="M66" i="4"/>
  <c r="M66" i="5"/>
  <c r="S66" i="6"/>
  <c r="D66" i="4"/>
  <c r="D66" i="5"/>
  <c r="T66" i="6"/>
  <c r="J66" i="6"/>
  <c r="V66" i="4"/>
  <c r="V66" i="5"/>
  <c r="H66" i="4"/>
  <c r="H66" i="5"/>
  <c r="L66" i="4"/>
  <c r="L66" i="5"/>
  <c r="L66" i="6"/>
  <c r="N66" i="4"/>
  <c r="N66" i="5"/>
  <c r="H66" i="6"/>
  <c r="N66" i="6"/>
  <c r="P66" i="6"/>
  <c r="F66" i="4"/>
  <c r="F66" i="5"/>
  <c r="F505" i="4"/>
  <c r="F505" i="5"/>
  <c r="L505" i="6"/>
  <c r="R505" i="4"/>
  <c r="R505" i="5"/>
  <c r="R505" i="6"/>
  <c r="J505" i="4"/>
  <c r="J505" i="5"/>
  <c r="V505" i="4"/>
  <c r="V505" i="5"/>
  <c r="N505" i="4"/>
  <c r="N505" i="5"/>
  <c r="V505" i="6"/>
  <c r="T505" i="6"/>
  <c r="P505" i="6"/>
  <c r="D505" i="4"/>
  <c r="D505" i="5"/>
  <c r="Q505" i="4"/>
  <c r="Q505" i="5"/>
  <c r="E505" i="6"/>
  <c r="N505" i="6"/>
  <c r="F505" i="6"/>
  <c r="P505" i="4"/>
  <c r="P505" i="5"/>
  <c r="L505" i="4"/>
  <c r="L505" i="5"/>
  <c r="K505" i="4"/>
  <c r="K505" i="5"/>
  <c r="S505" i="4"/>
  <c r="S505" i="5"/>
  <c r="G505" i="6"/>
  <c r="H505" i="4"/>
  <c r="H505" i="5"/>
  <c r="J505" i="6"/>
  <c r="U505" i="4"/>
  <c r="U505" i="5"/>
  <c r="M505" i="4"/>
  <c r="M505" i="5"/>
  <c r="M505" i="6"/>
  <c r="I505" i="6"/>
  <c r="G505" i="4"/>
  <c r="G505" i="5"/>
  <c r="T505" i="4"/>
  <c r="T505" i="5"/>
  <c r="H505" i="6"/>
  <c r="D505" i="6"/>
  <c r="I505" i="4"/>
  <c r="I505" i="5"/>
  <c r="S505" i="6"/>
  <c r="U505" i="6"/>
  <c r="O505" i="6"/>
  <c r="K505" i="6"/>
  <c r="O505" i="4"/>
  <c r="O505" i="5"/>
  <c r="E505" i="4"/>
  <c r="E505" i="5"/>
  <c r="Q505" i="6"/>
  <c r="T427" i="4"/>
  <c r="T427" i="5"/>
  <c r="J427" i="6"/>
  <c r="F427" i="6"/>
  <c r="M427" i="6"/>
  <c r="F427" i="4"/>
  <c r="F427" i="5"/>
  <c r="M427" i="4"/>
  <c r="M427" i="5"/>
  <c r="O427" i="4"/>
  <c r="O427" i="5"/>
  <c r="D427" i="4"/>
  <c r="D427" i="5"/>
  <c r="H427" i="6"/>
  <c r="O427" i="6"/>
  <c r="T427" i="6"/>
  <c r="I427" i="6"/>
  <c r="S427" i="6"/>
  <c r="N427" i="6"/>
  <c r="K427" i="6"/>
  <c r="E427" i="6"/>
  <c r="U427" i="4"/>
  <c r="U427" i="5"/>
  <c r="H427" i="4"/>
  <c r="H427" i="5"/>
  <c r="I427" i="4"/>
  <c r="I427" i="5"/>
  <c r="G427" i="4"/>
  <c r="G427" i="5"/>
  <c r="N427" i="4"/>
  <c r="N427" i="5"/>
  <c r="Q427" i="6"/>
  <c r="G427" i="6"/>
  <c r="V427" i="4"/>
  <c r="V427" i="5"/>
  <c r="V427" i="6"/>
  <c r="Q427" i="4"/>
  <c r="Q427" i="5"/>
  <c r="L427" i="6"/>
  <c r="E427" i="4"/>
  <c r="E427" i="5"/>
  <c r="S427" i="4"/>
  <c r="S427" i="5"/>
  <c r="K427" i="4"/>
  <c r="K427" i="5"/>
  <c r="L427" i="4"/>
  <c r="L427" i="5"/>
  <c r="D427" i="6"/>
  <c r="U427" i="6"/>
  <c r="J427" i="4"/>
  <c r="J427" i="5"/>
  <c r="K108" i="6"/>
  <c r="Q108" i="4"/>
  <c r="Q108" i="5"/>
  <c r="D108" i="4"/>
  <c r="D108" i="5"/>
  <c r="D108" i="6"/>
  <c r="V108" i="4"/>
  <c r="V108" i="5"/>
  <c r="J108" i="4"/>
  <c r="J108" i="5"/>
  <c r="S108" i="6"/>
  <c r="Q108" i="6"/>
  <c r="N108" i="6"/>
  <c r="H108" i="6"/>
  <c r="M108" i="4"/>
  <c r="M108" i="5"/>
  <c r="N108" i="4"/>
  <c r="N108" i="5"/>
  <c r="M108" i="6"/>
  <c r="E108" i="6"/>
  <c r="H108" i="4"/>
  <c r="H108" i="5"/>
  <c r="P108" i="4"/>
  <c r="P108" i="5"/>
  <c r="O108" i="4"/>
  <c r="O108" i="5"/>
  <c r="I108" i="4"/>
  <c r="I108" i="5"/>
  <c r="I108" i="6"/>
  <c r="P108" i="6"/>
  <c r="E108" i="4"/>
  <c r="E108" i="5"/>
  <c r="K108" i="4"/>
  <c r="K108" i="5"/>
  <c r="O108" i="6"/>
  <c r="J108" i="6"/>
  <c r="L108" i="4"/>
  <c r="L108" i="5"/>
  <c r="L108" i="6"/>
  <c r="V108" i="6"/>
  <c r="S108" i="4"/>
  <c r="S108" i="5"/>
  <c r="T146" i="6"/>
  <c r="G146" i="6"/>
  <c r="L146" i="6"/>
  <c r="R146" i="6"/>
  <c r="U146" i="6"/>
  <c r="F146" i="4"/>
  <c r="F146" i="5"/>
  <c r="R146" i="4"/>
  <c r="R146" i="5"/>
  <c r="P146" i="6"/>
  <c r="Q146" i="6"/>
  <c r="Q146" i="4"/>
  <c r="Q146" i="5"/>
  <c r="N146" i="6"/>
  <c r="D146" i="4"/>
  <c r="D146" i="5"/>
  <c r="G146" i="4"/>
  <c r="G146" i="5"/>
  <c r="D146" i="6"/>
  <c r="U146" i="4"/>
  <c r="U146" i="5"/>
  <c r="P146" i="4"/>
  <c r="P146" i="5"/>
  <c r="N146" i="4"/>
  <c r="N146" i="5"/>
  <c r="F146" i="6"/>
  <c r="H146" i="4"/>
  <c r="H146" i="5"/>
  <c r="T146" i="4"/>
  <c r="T146" i="5"/>
  <c r="S146" i="4"/>
  <c r="S146" i="5"/>
  <c r="S146" i="6"/>
  <c r="L146" i="4"/>
  <c r="L146" i="5"/>
  <c r="H146" i="6"/>
  <c r="V146" i="4"/>
  <c r="V146" i="5"/>
  <c r="V146" i="6"/>
  <c r="S110" i="6"/>
  <c r="Q110" i="6"/>
  <c r="G110" i="6"/>
  <c r="U110" i="6"/>
  <c r="H110" i="6"/>
  <c r="M110" i="6"/>
  <c r="L110" i="4"/>
  <c r="L110" i="5"/>
  <c r="L110" i="6"/>
  <c r="R110" i="6"/>
  <c r="V110" i="6"/>
  <c r="R110" i="4"/>
  <c r="R110" i="5"/>
  <c r="F110" i="6"/>
  <c r="D110" i="6"/>
  <c r="K110" i="6"/>
  <c r="E110" i="6"/>
  <c r="I110" i="6"/>
  <c r="G110" i="4"/>
  <c r="G110" i="5"/>
  <c r="Q110" i="4"/>
  <c r="Q110" i="5"/>
  <c r="K110" i="4"/>
  <c r="K110" i="5"/>
  <c r="E110" i="4"/>
  <c r="E110" i="5"/>
  <c r="D110" i="4"/>
  <c r="D110" i="5"/>
  <c r="O110" i="6"/>
  <c r="F110" i="4"/>
  <c r="F110" i="5"/>
  <c r="J110" i="4"/>
  <c r="J110" i="5"/>
  <c r="N110" i="4"/>
  <c r="N110" i="5"/>
  <c r="M110" i="4"/>
  <c r="M110" i="5"/>
  <c r="T110" i="4"/>
  <c r="T110" i="5"/>
  <c r="N110" i="6"/>
  <c r="O110" i="4"/>
  <c r="O110" i="5"/>
  <c r="I110" i="4"/>
  <c r="I110" i="5"/>
  <c r="S110" i="4"/>
  <c r="S110" i="5"/>
  <c r="U110" i="4"/>
  <c r="U110" i="5"/>
  <c r="H110" i="4"/>
  <c r="H110" i="5"/>
  <c r="V110" i="4"/>
  <c r="V110" i="5"/>
  <c r="T110" i="6"/>
  <c r="P110" i="4"/>
  <c r="P110" i="5"/>
  <c r="J110" i="6"/>
  <c r="P110" i="6"/>
  <c r="S194" i="6"/>
  <c r="O194" i="6"/>
  <c r="O194" i="4"/>
  <c r="O194" i="5"/>
  <c r="E194" i="6"/>
  <c r="K194" i="4"/>
  <c r="K194" i="5"/>
  <c r="L194" i="4"/>
  <c r="L194" i="5"/>
  <c r="P194" i="6"/>
  <c r="J194" i="6"/>
  <c r="N194" i="6"/>
  <c r="P194" i="4"/>
  <c r="P194" i="5"/>
  <c r="R194" i="4"/>
  <c r="R194" i="5"/>
  <c r="T194" i="4"/>
  <c r="T194" i="5"/>
  <c r="F194" i="4"/>
  <c r="F194" i="5"/>
  <c r="U194" i="4"/>
  <c r="U194" i="5"/>
  <c r="R194" i="6"/>
  <c r="G194" i="6"/>
  <c r="L194" i="6"/>
  <c r="U194" i="6"/>
  <c r="Q194" i="4"/>
  <c r="Q194" i="5"/>
  <c r="D194" i="6"/>
  <c r="H194" i="6"/>
  <c r="F194" i="6"/>
  <c r="D194" i="4"/>
  <c r="D194" i="5"/>
  <c r="H194" i="4"/>
  <c r="H194" i="5"/>
  <c r="J194" i="4"/>
  <c r="J194" i="5"/>
  <c r="V194" i="4"/>
  <c r="V194" i="5"/>
  <c r="N194" i="4"/>
  <c r="N194" i="5"/>
  <c r="T194" i="6"/>
  <c r="V194" i="6"/>
  <c r="M194" i="6"/>
  <c r="Q194" i="6"/>
  <c r="K194" i="6"/>
  <c r="S194" i="4"/>
  <c r="S194" i="5"/>
  <c r="I194" i="4"/>
  <c r="I194" i="5"/>
  <c r="G194" i="4"/>
  <c r="G194" i="5"/>
  <c r="I194" i="6"/>
  <c r="E194" i="4"/>
  <c r="E194" i="5"/>
  <c r="M194" i="4"/>
  <c r="M194" i="5"/>
  <c r="R272" i="6"/>
  <c r="L272" i="4"/>
  <c r="L272" i="5"/>
  <c r="H272" i="4"/>
  <c r="H272" i="5"/>
  <c r="J272" i="6"/>
  <c r="J272" i="4"/>
  <c r="J272" i="5"/>
  <c r="P272" i="6"/>
  <c r="D272" i="4"/>
  <c r="D272" i="5"/>
  <c r="R272" i="4"/>
  <c r="R272" i="5"/>
  <c r="U272" i="6"/>
  <c r="M272" i="6"/>
  <c r="L272" i="6"/>
  <c r="Q272" i="4"/>
  <c r="Q272" i="5"/>
  <c r="S272" i="6"/>
  <c r="K272" i="4"/>
  <c r="K272" i="5"/>
  <c r="E272" i="6"/>
  <c r="M272" i="4"/>
  <c r="M272" i="5"/>
  <c r="S272" i="4"/>
  <c r="S272" i="5"/>
  <c r="N272" i="6"/>
  <c r="T272" i="4"/>
  <c r="T272" i="5"/>
  <c r="P272" i="4"/>
  <c r="P272" i="5"/>
  <c r="F272" i="6"/>
  <c r="T272" i="6"/>
  <c r="N272" i="4"/>
  <c r="N272" i="5"/>
  <c r="H272" i="6"/>
  <c r="F272" i="4"/>
  <c r="F272" i="5"/>
  <c r="V272" i="6"/>
  <c r="V272" i="4"/>
  <c r="V272" i="5"/>
  <c r="D272" i="6"/>
  <c r="Q272" i="6"/>
  <c r="G272" i="4"/>
  <c r="G272" i="5"/>
  <c r="O272" i="6"/>
  <c r="I272" i="6"/>
  <c r="G272" i="6"/>
  <c r="O272" i="4"/>
  <c r="O272" i="5"/>
  <c r="I272" i="4"/>
  <c r="I272" i="5"/>
  <c r="E272" i="4"/>
  <c r="E272" i="5"/>
  <c r="U272" i="4"/>
  <c r="U272" i="5"/>
  <c r="K272" i="6"/>
  <c r="S330" i="6"/>
  <c r="O330" i="6"/>
  <c r="I330" i="6"/>
  <c r="J330" i="6"/>
  <c r="O330" i="4"/>
  <c r="O330" i="5"/>
  <c r="M330" i="6"/>
  <c r="R330" i="6"/>
  <c r="Q330" i="4"/>
  <c r="Q330" i="5"/>
  <c r="U330" i="4"/>
  <c r="U330" i="5"/>
  <c r="H330" i="4"/>
  <c r="H330" i="5"/>
  <c r="L330" i="4"/>
  <c r="L330" i="5"/>
  <c r="P330" i="4"/>
  <c r="P330" i="5"/>
  <c r="G330" i="6"/>
  <c r="I330" i="4"/>
  <c r="I330" i="5"/>
  <c r="G330" i="4"/>
  <c r="G330" i="5"/>
  <c r="T330" i="4"/>
  <c r="T330" i="5"/>
  <c r="D330" i="4"/>
  <c r="D330" i="5"/>
  <c r="H330" i="6"/>
  <c r="J330" i="4"/>
  <c r="J330" i="5"/>
  <c r="R330" i="4"/>
  <c r="R330" i="5"/>
  <c r="S330" i="4"/>
  <c r="S330" i="5"/>
  <c r="F330" i="4"/>
  <c r="F330" i="5"/>
  <c r="N330" i="6"/>
  <c r="E330" i="6"/>
  <c r="K330" i="6"/>
  <c r="Q330" i="6"/>
  <c r="F330" i="6"/>
  <c r="K330" i="4"/>
  <c r="K330" i="5"/>
  <c r="V330" i="6"/>
  <c r="M330" i="4"/>
  <c r="M330" i="5"/>
  <c r="L330" i="6"/>
  <c r="U330" i="6"/>
  <c r="P330" i="6"/>
  <c r="E330" i="4"/>
  <c r="E330" i="5"/>
  <c r="N330" i="4"/>
  <c r="N330" i="5"/>
  <c r="T330" i="6"/>
  <c r="D330" i="6"/>
  <c r="V330" i="4"/>
  <c r="V330" i="5"/>
  <c r="G428" i="4"/>
  <c r="G428" i="5"/>
  <c r="O428" i="6"/>
  <c r="O428" i="4"/>
  <c r="O428" i="5"/>
  <c r="E428" i="6"/>
  <c r="Q428" i="6"/>
  <c r="K428" i="4"/>
  <c r="K428" i="5"/>
  <c r="K428" i="6"/>
  <c r="M428" i="4"/>
  <c r="M428" i="5"/>
  <c r="F428" i="6"/>
  <c r="J428" i="6"/>
  <c r="H428" i="6"/>
  <c r="V428" i="6"/>
  <c r="H428" i="4"/>
  <c r="H428" i="5"/>
  <c r="R428" i="4"/>
  <c r="R428" i="5"/>
  <c r="F428" i="4"/>
  <c r="F428" i="5"/>
  <c r="T428" i="6"/>
  <c r="R428" i="6"/>
  <c r="S428" i="6"/>
  <c r="U428" i="6"/>
  <c r="E428" i="4"/>
  <c r="E428" i="5"/>
  <c r="Q428" i="4"/>
  <c r="Q428" i="5"/>
  <c r="G428" i="6"/>
  <c r="S428" i="4"/>
  <c r="S428" i="5"/>
  <c r="M428" i="6"/>
  <c r="I428" i="6"/>
  <c r="I428" i="4"/>
  <c r="I428" i="5"/>
  <c r="D428" i="6"/>
  <c r="U428" i="4"/>
  <c r="U428" i="5"/>
  <c r="D428" i="4"/>
  <c r="D428" i="5"/>
  <c r="J428" i="4"/>
  <c r="J428" i="5"/>
  <c r="T428" i="4"/>
  <c r="T428" i="5"/>
  <c r="N428" i="4"/>
  <c r="N428" i="5"/>
  <c r="P428" i="6"/>
  <c r="L428" i="4"/>
  <c r="L428" i="5"/>
  <c r="N428" i="6"/>
  <c r="V428" i="4"/>
  <c r="V428" i="5"/>
  <c r="P428" i="4"/>
  <c r="P428" i="5"/>
  <c r="L428" i="6"/>
  <c r="E512" i="4"/>
  <c r="E512" i="5"/>
  <c r="M512" i="4"/>
  <c r="M512" i="5"/>
  <c r="V512" i="6"/>
  <c r="L512" i="6"/>
  <c r="J512" i="4"/>
  <c r="J512" i="5"/>
  <c r="V512" i="4"/>
  <c r="V512" i="5"/>
  <c r="N512" i="6"/>
  <c r="J512" i="6"/>
  <c r="P512" i="4"/>
  <c r="P512" i="5"/>
  <c r="K512" i="6"/>
  <c r="M512" i="6"/>
  <c r="K512" i="4"/>
  <c r="K512" i="5"/>
  <c r="O512" i="4"/>
  <c r="O512" i="5"/>
  <c r="U512" i="6"/>
  <c r="R512" i="6"/>
  <c r="H512" i="6"/>
  <c r="L512" i="4"/>
  <c r="L512" i="5"/>
  <c r="H512" i="4"/>
  <c r="H512" i="5"/>
  <c r="D512" i="4"/>
  <c r="D512" i="5"/>
  <c r="F512" i="6"/>
  <c r="R512" i="4"/>
  <c r="R512" i="5"/>
  <c r="P512" i="6"/>
  <c r="I512" i="4"/>
  <c r="I512" i="5"/>
  <c r="T512" i="4"/>
  <c r="T512" i="5"/>
  <c r="E512" i="6"/>
  <c r="Q512" i="4"/>
  <c r="Q512" i="5"/>
  <c r="Q512" i="6"/>
  <c r="G512" i="6"/>
  <c r="I512" i="6"/>
  <c r="G512" i="4"/>
  <c r="G512" i="5"/>
  <c r="O512" i="6"/>
  <c r="N512" i="4"/>
  <c r="N512" i="5"/>
  <c r="D512" i="6"/>
  <c r="F512" i="4"/>
  <c r="F512" i="5"/>
  <c r="T512" i="6"/>
  <c r="S512" i="6"/>
  <c r="U512" i="4"/>
  <c r="U512" i="5"/>
  <c r="S512" i="4"/>
  <c r="S512" i="5"/>
  <c r="I210" i="6"/>
  <c r="P210" i="6"/>
  <c r="R210" i="4"/>
  <c r="R210" i="5"/>
  <c r="G210" i="6"/>
  <c r="E210" i="6"/>
  <c r="F210" i="6"/>
  <c r="V210" i="6"/>
  <c r="D210" i="4"/>
  <c r="D210" i="5"/>
  <c r="M210" i="4"/>
  <c r="M210" i="5"/>
  <c r="M210" i="6"/>
  <c r="H210" i="4"/>
  <c r="H210" i="5"/>
  <c r="H210" i="6"/>
  <c r="G210" i="4"/>
  <c r="G210" i="5"/>
  <c r="D210" i="6"/>
  <c r="R210" i="6"/>
  <c r="Q210" i="6"/>
  <c r="Q210" i="4"/>
  <c r="Q210" i="5"/>
  <c r="V210" i="4"/>
  <c r="V210" i="5"/>
  <c r="E210" i="4"/>
  <c r="E210" i="5"/>
  <c r="S210" i="4"/>
  <c r="S210" i="5"/>
  <c r="F210" i="4"/>
  <c r="F210" i="5"/>
  <c r="K210" i="6"/>
  <c r="U210" i="4"/>
  <c r="U210" i="5"/>
  <c r="U210" i="6"/>
  <c r="P210" i="4"/>
  <c r="P210" i="5"/>
  <c r="O210" i="4"/>
  <c r="O210" i="5"/>
  <c r="S210" i="6"/>
  <c r="O210" i="6"/>
  <c r="K210" i="4"/>
  <c r="K210" i="5"/>
  <c r="I210" i="4"/>
  <c r="I210" i="5"/>
  <c r="Q12" i="6"/>
  <c r="P12" i="6"/>
  <c r="J12" i="6"/>
  <c r="K12" i="6"/>
  <c r="G12" i="6"/>
  <c r="T12" i="6"/>
  <c r="N12" i="6"/>
  <c r="N12" i="4"/>
  <c r="N12" i="5"/>
  <c r="M12" i="6"/>
  <c r="D12" i="6"/>
  <c r="F12" i="4"/>
  <c r="F12" i="5"/>
  <c r="L12" i="6"/>
  <c r="G12" i="4"/>
  <c r="G12" i="5"/>
  <c r="U12" i="4"/>
  <c r="U12" i="5"/>
  <c r="Q12" i="4"/>
  <c r="Q12" i="5"/>
  <c r="P12" i="4"/>
  <c r="P12" i="5"/>
  <c r="H12" i="4"/>
  <c r="H12" i="5"/>
  <c r="V12" i="4"/>
  <c r="V12" i="5"/>
  <c r="R12" i="4"/>
  <c r="R12" i="5"/>
  <c r="F12" i="6"/>
  <c r="R12" i="6"/>
  <c r="S12" i="6"/>
  <c r="U12" i="6"/>
  <c r="K12" i="4"/>
  <c r="K12" i="5"/>
  <c r="I12" i="6"/>
  <c r="O12" i="6"/>
  <c r="O12" i="4"/>
  <c r="O12" i="5"/>
  <c r="S12" i="4"/>
  <c r="S12" i="5"/>
  <c r="H12" i="6"/>
  <c r="E12" i="6"/>
  <c r="T12" i="4"/>
  <c r="T12" i="5"/>
  <c r="J12" i="4"/>
  <c r="J12" i="5"/>
  <c r="V12" i="6"/>
  <c r="L12" i="4"/>
  <c r="L12" i="5"/>
  <c r="I12" i="4"/>
  <c r="I12" i="5"/>
  <c r="D12" i="4"/>
  <c r="D12" i="5"/>
  <c r="M12" i="4"/>
  <c r="M12" i="5"/>
  <c r="E12" i="4"/>
  <c r="E12" i="5"/>
  <c r="K214" i="4"/>
  <c r="K214" i="5"/>
  <c r="I214" i="6"/>
  <c r="M214" i="4"/>
  <c r="M214" i="5"/>
  <c r="G214" i="6"/>
  <c r="U214" i="6"/>
  <c r="L214" i="6"/>
  <c r="P214" i="4"/>
  <c r="P214" i="5"/>
  <c r="L214" i="4"/>
  <c r="L214" i="5"/>
  <c r="T214" i="4"/>
  <c r="T214" i="5"/>
  <c r="T214" i="6"/>
  <c r="F214" i="6"/>
  <c r="V214" i="6"/>
  <c r="R214" i="6"/>
  <c r="R214" i="4"/>
  <c r="R214" i="5"/>
  <c r="G214" i="4"/>
  <c r="G214" i="5"/>
  <c r="F214" i="4"/>
  <c r="F214" i="5"/>
  <c r="V214" i="4"/>
  <c r="V214" i="5"/>
  <c r="U214" i="4"/>
  <c r="U214" i="5"/>
  <c r="K214" i="6"/>
  <c r="N214" i="4"/>
  <c r="N214" i="5"/>
  <c r="S214" i="4"/>
  <c r="S214" i="5"/>
  <c r="O214" i="6"/>
  <c r="E214" i="6"/>
  <c r="Q214" i="6"/>
  <c r="H214" i="4"/>
  <c r="H214" i="5"/>
  <c r="D214" i="4"/>
  <c r="D214" i="5"/>
  <c r="H214" i="6"/>
  <c r="P214" i="6"/>
  <c r="N214" i="6"/>
  <c r="D214" i="6"/>
  <c r="J214" i="4"/>
  <c r="J214" i="5"/>
  <c r="J214" i="6"/>
  <c r="O214" i="4"/>
  <c r="O214" i="5"/>
  <c r="I214" i="4"/>
  <c r="I214" i="5"/>
  <c r="Q214" i="4"/>
  <c r="Q214" i="5"/>
  <c r="M214" i="6"/>
  <c r="S214" i="6"/>
  <c r="E214" i="4"/>
  <c r="E214" i="5"/>
  <c r="U379" i="6"/>
  <c r="S379" i="6"/>
  <c r="I379" i="4"/>
  <c r="I379" i="5"/>
  <c r="O379" i="6"/>
  <c r="N379" i="6"/>
  <c r="G379" i="6"/>
  <c r="T379" i="4"/>
  <c r="T379" i="5"/>
  <c r="R379" i="6"/>
  <c r="J379" i="4"/>
  <c r="J379" i="5"/>
  <c r="H379" i="4"/>
  <c r="H379" i="5"/>
  <c r="P379" i="6"/>
  <c r="J379" i="6"/>
  <c r="E379" i="6"/>
  <c r="Q379" i="4"/>
  <c r="Q379" i="5"/>
  <c r="D379" i="4"/>
  <c r="D379" i="5"/>
  <c r="G379" i="4"/>
  <c r="G379" i="5"/>
  <c r="K379" i="4"/>
  <c r="K379" i="5"/>
  <c r="O379" i="4"/>
  <c r="O379" i="5"/>
  <c r="S379" i="4"/>
  <c r="S379" i="5"/>
  <c r="K379" i="6"/>
  <c r="Q379" i="6"/>
  <c r="D379" i="6"/>
  <c r="M379" i="4"/>
  <c r="M379" i="5"/>
  <c r="E379" i="4"/>
  <c r="E379" i="5"/>
  <c r="U379" i="4"/>
  <c r="U379" i="5"/>
  <c r="M379" i="6"/>
  <c r="L379" i="4"/>
  <c r="L379" i="5"/>
  <c r="I379" i="6"/>
  <c r="N379" i="4"/>
  <c r="N379" i="5"/>
  <c r="F379" i="4"/>
  <c r="F379" i="5"/>
  <c r="P379" i="4"/>
  <c r="P379" i="5"/>
  <c r="L379" i="6"/>
  <c r="V379" i="6"/>
  <c r="R379" i="4"/>
  <c r="R379" i="5"/>
  <c r="F379" i="6"/>
  <c r="T379" i="6"/>
  <c r="V379" i="4"/>
  <c r="V379" i="5"/>
  <c r="H379" i="6"/>
  <c r="M531" i="4"/>
  <c r="M531" i="5"/>
  <c r="I531" i="4"/>
  <c r="I531" i="5"/>
  <c r="O531" i="4"/>
  <c r="O531" i="5"/>
  <c r="R531" i="4"/>
  <c r="R531" i="5"/>
  <c r="D531" i="4"/>
  <c r="D531" i="5"/>
  <c r="K531" i="6"/>
  <c r="E531" i="4"/>
  <c r="E531" i="5"/>
  <c r="J531" i="6"/>
  <c r="J531" i="4"/>
  <c r="J531" i="5"/>
  <c r="F531" i="4"/>
  <c r="F531" i="5"/>
  <c r="E531" i="6"/>
  <c r="L531" i="6"/>
  <c r="Q531" i="6"/>
  <c r="U531" i="4"/>
  <c r="U531" i="5"/>
  <c r="K531" i="4"/>
  <c r="K531" i="5"/>
  <c r="G531" i="6"/>
  <c r="M531" i="6"/>
  <c r="H531" i="6"/>
  <c r="V531" i="6"/>
  <c r="I531" i="6"/>
  <c r="P531" i="4"/>
  <c r="P531" i="5"/>
  <c r="S531" i="6"/>
  <c r="R531" i="6"/>
  <c r="U531" i="6"/>
  <c r="H531" i="4"/>
  <c r="H531" i="5"/>
  <c r="P531" i="6"/>
  <c r="S531" i="4"/>
  <c r="S531" i="5"/>
  <c r="T531" i="4"/>
  <c r="T531" i="5"/>
  <c r="N531" i="4"/>
  <c r="N531" i="5"/>
  <c r="N531" i="6"/>
  <c r="T531" i="6"/>
  <c r="L531" i="4"/>
  <c r="L531" i="5"/>
  <c r="V531" i="4"/>
  <c r="V531" i="5"/>
  <c r="O531" i="6"/>
  <c r="D531" i="6"/>
  <c r="Q531" i="4"/>
  <c r="Q531" i="5"/>
  <c r="G531" i="4"/>
  <c r="G531" i="5"/>
  <c r="F531" i="6"/>
  <c r="O78" i="4"/>
  <c r="O78" i="5"/>
  <c r="Q78" i="4"/>
  <c r="Q78" i="5"/>
  <c r="S78" i="6"/>
  <c r="H78" i="6"/>
  <c r="P78" i="6"/>
  <c r="V78" i="4"/>
  <c r="V78" i="5"/>
  <c r="H78" i="4"/>
  <c r="H78" i="5"/>
  <c r="E78" i="4"/>
  <c r="E78" i="5"/>
  <c r="J78" i="6"/>
  <c r="T78" i="4"/>
  <c r="T78" i="5"/>
  <c r="L78" i="4"/>
  <c r="L78" i="5"/>
  <c r="E78" i="6"/>
  <c r="N78" i="6"/>
  <c r="G78" i="4"/>
  <c r="G78" i="5"/>
  <c r="I78" i="6"/>
  <c r="Q78" i="6"/>
  <c r="S78" i="4"/>
  <c r="S78" i="5"/>
  <c r="I78" i="4"/>
  <c r="I78" i="5"/>
  <c r="K78" i="6"/>
  <c r="U78" i="6"/>
  <c r="U78" i="4"/>
  <c r="U78" i="5"/>
  <c r="M78" i="4"/>
  <c r="M78" i="5"/>
  <c r="R78" i="4"/>
  <c r="R78" i="5"/>
  <c r="J78" i="4"/>
  <c r="J78" i="5"/>
  <c r="D78" i="6"/>
  <c r="L78" i="6"/>
  <c r="T78" i="6"/>
  <c r="P78" i="4"/>
  <c r="P78" i="5"/>
  <c r="D78" i="4"/>
  <c r="D78" i="5"/>
  <c r="F78" i="4"/>
  <c r="F78" i="5"/>
  <c r="R78" i="6"/>
  <c r="F78" i="6"/>
  <c r="N78" i="4"/>
  <c r="N78" i="5"/>
  <c r="V78" i="6"/>
  <c r="K78" i="4"/>
  <c r="K78" i="5"/>
  <c r="G78" i="6"/>
  <c r="M78" i="6"/>
  <c r="O78" i="6"/>
  <c r="J528" i="4"/>
  <c r="J528" i="5"/>
  <c r="F528" i="4"/>
  <c r="F528" i="5"/>
  <c r="H528" i="6"/>
  <c r="P528" i="4"/>
  <c r="P528" i="5"/>
  <c r="V528" i="4"/>
  <c r="V528" i="5"/>
  <c r="V528" i="6"/>
  <c r="F528" i="6"/>
  <c r="T528" i="6"/>
  <c r="E528" i="6"/>
  <c r="Q528" i="6"/>
  <c r="K528" i="6"/>
  <c r="H528" i="4"/>
  <c r="H528" i="5"/>
  <c r="L528" i="4"/>
  <c r="L528" i="5"/>
  <c r="L528" i="6"/>
  <c r="P528" i="6"/>
  <c r="N528" i="6"/>
  <c r="R528" i="4"/>
  <c r="R528" i="5"/>
  <c r="D528" i="4"/>
  <c r="D528" i="5"/>
  <c r="E528" i="4"/>
  <c r="E528" i="5"/>
  <c r="G528" i="4"/>
  <c r="G528" i="5"/>
  <c r="I528" i="4"/>
  <c r="I528" i="5"/>
  <c r="K528" i="4"/>
  <c r="K528" i="5"/>
  <c r="M528" i="4"/>
  <c r="M528" i="5"/>
  <c r="O528" i="4"/>
  <c r="O528" i="5"/>
  <c r="Q528" i="4"/>
  <c r="Q528" i="5"/>
  <c r="S528" i="4"/>
  <c r="S528" i="5"/>
  <c r="U528" i="4"/>
  <c r="U528" i="5"/>
  <c r="D528" i="6"/>
  <c r="O528" i="6"/>
  <c r="M528" i="6"/>
  <c r="S528" i="6"/>
  <c r="R528" i="6"/>
  <c r="J528" i="6"/>
  <c r="T528" i="4"/>
  <c r="T528" i="5"/>
  <c r="G528" i="6"/>
  <c r="U528" i="6"/>
  <c r="I528" i="6"/>
  <c r="N528" i="4"/>
  <c r="N528" i="5"/>
  <c r="H497" i="4"/>
  <c r="H497" i="5"/>
  <c r="V497" i="4"/>
  <c r="V497" i="5"/>
  <c r="N497" i="4"/>
  <c r="N497" i="5"/>
  <c r="F497" i="4"/>
  <c r="F497" i="5"/>
  <c r="V497" i="6"/>
  <c r="F497" i="6"/>
  <c r="P497" i="6"/>
  <c r="O497" i="6"/>
  <c r="J497" i="6"/>
  <c r="H497" i="6"/>
  <c r="S497" i="4"/>
  <c r="S497" i="5"/>
  <c r="G497" i="6"/>
  <c r="S497" i="6"/>
  <c r="U497" i="6"/>
  <c r="O497" i="4"/>
  <c r="O497" i="5"/>
  <c r="G497" i="4"/>
  <c r="G497" i="5"/>
  <c r="E497" i="4"/>
  <c r="E497" i="5"/>
  <c r="M497" i="4"/>
  <c r="M497" i="5"/>
  <c r="U497" i="4"/>
  <c r="U497" i="5"/>
  <c r="P497" i="4"/>
  <c r="P497" i="5"/>
  <c r="R497" i="4"/>
  <c r="R497" i="5"/>
  <c r="J497" i="4"/>
  <c r="J497" i="5"/>
  <c r="T497" i="4"/>
  <c r="T497" i="5"/>
  <c r="N497" i="6"/>
  <c r="L497" i="6"/>
  <c r="R497" i="6"/>
  <c r="D497" i="4"/>
  <c r="D497" i="5"/>
  <c r="K497" i="4"/>
  <c r="K497" i="5"/>
  <c r="L497" i="4"/>
  <c r="L497" i="5"/>
  <c r="D497" i="6"/>
  <c r="T497" i="6"/>
  <c r="I497" i="4"/>
  <c r="I497" i="5"/>
  <c r="M497" i="6"/>
  <c r="K497" i="6"/>
  <c r="Q497" i="4"/>
  <c r="Q497" i="5"/>
  <c r="I497" i="6"/>
  <c r="E497" i="6"/>
  <c r="Q497" i="6"/>
  <c r="F63" i="6"/>
  <c r="R63" i="6"/>
  <c r="Q63" i="6"/>
  <c r="O63" i="6"/>
  <c r="U63" i="6"/>
  <c r="K63" i="6"/>
  <c r="M63" i="4"/>
  <c r="M63" i="5"/>
  <c r="D63" i="4"/>
  <c r="D63" i="5"/>
  <c r="T63" i="6"/>
  <c r="N63" i="6"/>
  <c r="T63" i="4"/>
  <c r="T63" i="5"/>
  <c r="N63" i="4"/>
  <c r="N63" i="5"/>
  <c r="H63" i="6"/>
  <c r="F63" i="4"/>
  <c r="F63" i="5"/>
  <c r="J63" i="4"/>
  <c r="J63" i="5"/>
  <c r="V63" i="6"/>
  <c r="H63" i="4"/>
  <c r="H63" i="5"/>
  <c r="P63" i="4"/>
  <c r="P63" i="5"/>
  <c r="I63" i="6"/>
  <c r="Q63" i="4"/>
  <c r="Q63" i="5"/>
  <c r="I63" i="4"/>
  <c r="I63" i="5"/>
  <c r="O63" i="4"/>
  <c r="O63" i="5"/>
  <c r="G63" i="4"/>
  <c r="G63" i="5"/>
  <c r="G63" i="6"/>
  <c r="U63" i="4"/>
  <c r="U63" i="5"/>
  <c r="E63" i="4"/>
  <c r="E63" i="5"/>
  <c r="S63" i="4"/>
  <c r="S63" i="5"/>
  <c r="K63" i="4"/>
  <c r="K63" i="5"/>
  <c r="E63" i="6"/>
  <c r="D63" i="6"/>
  <c r="J63" i="6"/>
  <c r="M63" i="6"/>
  <c r="S63" i="6"/>
  <c r="L63" i="6"/>
  <c r="R63" i="4"/>
  <c r="R63" i="5"/>
  <c r="L63" i="4"/>
  <c r="L63" i="5"/>
  <c r="V63" i="4"/>
  <c r="V63" i="5"/>
  <c r="P63" i="6"/>
  <c r="J37" i="6"/>
  <c r="J37" i="4"/>
  <c r="J37" i="5"/>
  <c r="T37" i="4"/>
  <c r="T37" i="5"/>
  <c r="T37" i="6"/>
  <c r="M37" i="6"/>
  <c r="D37" i="4"/>
  <c r="D37" i="5"/>
  <c r="K37" i="6"/>
  <c r="I37" i="4"/>
  <c r="I37" i="5"/>
  <c r="G37" i="6"/>
  <c r="K37" i="4"/>
  <c r="K37" i="5"/>
  <c r="G37" i="4"/>
  <c r="G37" i="5"/>
  <c r="U37" i="6"/>
  <c r="S37" i="4"/>
  <c r="S37" i="5"/>
  <c r="L37" i="6"/>
  <c r="O37" i="6"/>
  <c r="H37" i="6"/>
  <c r="F37" i="4"/>
  <c r="F37" i="5"/>
  <c r="N37" i="4"/>
  <c r="N37" i="5"/>
  <c r="P37" i="6"/>
  <c r="N37" i="6"/>
  <c r="F37" i="6"/>
  <c r="H37" i="4"/>
  <c r="H37" i="5"/>
  <c r="S37" i="6"/>
  <c r="Q37" i="6"/>
  <c r="E37" i="4"/>
  <c r="E37" i="5"/>
  <c r="M37" i="4"/>
  <c r="M37" i="5"/>
  <c r="D37" i="6"/>
  <c r="O37" i="4"/>
  <c r="O37" i="5"/>
  <c r="E37" i="6"/>
  <c r="U37" i="4"/>
  <c r="U37" i="5"/>
  <c r="Q37" i="4"/>
  <c r="Q37" i="5"/>
  <c r="I37" i="6"/>
  <c r="P37" i="4"/>
  <c r="P37" i="5"/>
  <c r="R37" i="6"/>
  <c r="V37" i="4"/>
  <c r="V37" i="5"/>
  <c r="L37" i="4"/>
  <c r="L37" i="5"/>
  <c r="V37" i="6"/>
  <c r="R37" i="4"/>
  <c r="R37" i="5"/>
  <c r="L351" i="6"/>
  <c r="N351" i="4"/>
  <c r="N351" i="5"/>
  <c r="L351" i="4"/>
  <c r="L351" i="5"/>
  <c r="R351" i="4"/>
  <c r="R351" i="5"/>
  <c r="R351" i="6"/>
  <c r="F351" i="6"/>
  <c r="I351" i="4"/>
  <c r="I351" i="5"/>
  <c r="O351" i="6"/>
  <c r="E351" i="6"/>
  <c r="K351" i="4"/>
  <c r="K351" i="5"/>
  <c r="U351" i="4"/>
  <c r="U351" i="5"/>
  <c r="E351" i="4"/>
  <c r="E351" i="5"/>
  <c r="G351" i="4"/>
  <c r="G351" i="5"/>
  <c r="Q351" i="6"/>
  <c r="M351" i="4"/>
  <c r="M351" i="5"/>
  <c r="G351" i="6"/>
  <c r="D351" i="4"/>
  <c r="D351" i="5"/>
  <c r="S351" i="6"/>
  <c r="J351" i="4"/>
  <c r="J351" i="5"/>
  <c r="F351" i="4"/>
  <c r="F351" i="5"/>
  <c r="V351" i="6"/>
  <c r="J351" i="6"/>
  <c r="P351" i="4"/>
  <c r="P351" i="5"/>
  <c r="T351" i="4"/>
  <c r="T351" i="5"/>
  <c r="H351" i="4"/>
  <c r="H351" i="5"/>
  <c r="H351" i="6"/>
  <c r="V351" i="4"/>
  <c r="V351" i="5"/>
  <c r="T351" i="6"/>
  <c r="U351" i="6"/>
  <c r="M351" i="6"/>
  <c r="K351" i="6"/>
  <c r="S351" i="4"/>
  <c r="S351" i="5"/>
  <c r="O351" i="4"/>
  <c r="O351" i="5"/>
  <c r="Q351" i="4"/>
  <c r="Q351" i="5"/>
  <c r="I351" i="6"/>
  <c r="D351" i="6"/>
  <c r="N351" i="6"/>
  <c r="P351" i="6"/>
  <c r="T439" i="6"/>
  <c r="P439" i="6"/>
  <c r="H439" i="4"/>
  <c r="H439" i="5"/>
  <c r="N439" i="6"/>
  <c r="V439" i="6"/>
  <c r="R439" i="4"/>
  <c r="R439" i="5"/>
  <c r="L439" i="4"/>
  <c r="L439" i="5"/>
  <c r="J439" i="6"/>
  <c r="F439" i="4"/>
  <c r="F439" i="5"/>
  <c r="N439" i="4"/>
  <c r="N439" i="5"/>
  <c r="F439" i="6"/>
  <c r="P439" i="4"/>
  <c r="P439" i="5"/>
  <c r="L439" i="6"/>
  <c r="K439" i="4"/>
  <c r="K439" i="5"/>
  <c r="I439" i="6"/>
  <c r="V439" i="4"/>
  <c r="V439" i="5"/>
  <c r="I439" i="4"/>
  <c r="I439" i="5"/>
  <c r="S439" i="4"/>
  <c r="S439" i="5"/>
  <c r="U439" i="4"/>
  <c r="U439" i="5"/>
  <c r="D439" i="6"/>
  <c r="T439" i="4"/>
  <c r="T439" i="5"/>
  <c r="O439" i="6"/>
  <c r="G439" i="4"/>
  <c r="G439" i="5"/>
  <c r="R439" i="6"/>
  <c r="M439" i="4"/>
  <c r="M439" i="5"/>
  <c r="O439" i="4"/>
  <c r="O439" i="5"/>
  <c r="D439" i="4"/>
  <c r="D439" i="5"/>
  <c r="S439" i="6"/>
  <c r="H439" i="6"/>
  <c r="J439" i="4"/>
  <c r="J439" i="5"/>
  <c r="G439" i="6"/>
  <c r="Q439" i="4"/>
  <c r="Q439" i="5"/>
  <c r="U439" i="6"/>
  <c r="Q439" i="6"/>
  <c r="E439" i="4"/>
  <c r="E439" i="5"/>
  <c r="K439" i="6"/>
  <c r="M439" i="6"/>
  <c r="E439" i="6"/>
  <c r="T534" i="4"/>
  <c r="T534" i="5"/>
  <c r="P534" i="4"/>
  <c r="P534" i="5"/>
  <c r="L534" i="4"/>
  <c r="L534" i="5"/>
  <c r="H534" i="4"/>
  <c r="H534" i="5"/>
  <c r="D534" i="4"/>
  <c r="D534" i="5"/>
  <c r="T534" i="6"/>
  <c r="L534" i="6"/>
  <c r="D534" i="6"/>
  <c r="R534" i="6"/>
  <c r="J534" i="6"/>
  <c r="V534" i="4"/>
  <c r="V534" i="5"/>
  <c r="R534" i="4"/>
  <c r="R534" i="5"/>
  <c r="N534" i="4"/>
  <c r="N534" i="5"/>
  <c r="J534" i="4"/>
  <c r="J534" i="5"/>
  <c r="F534" i="4"/>
  <c r="F534" i="5"/>
  <c r="Q534" i="6"/>
  <c r="P534" i="6"/>
  <c r="H534" i="6"/>
  <c r="V534" i="6"/>
  <c r="N534" i="6"/>
  <c r="F534" i="6"/>
  <c r="U534" i="6"/>
  <c r="Q534" i="4"/>
  <c r="Q534" i="5"/>
  <c r="O534" i="6"/>
  <c r="K534" i="6"/>
  <c r="E534" i="6"/>
  <c r="I534" i="4"/>
  <c r="I534" i="5"/>
  <c r="S534" i="6"/>
  <c r="M534" i="6"/>
  <c r="G534" i="6"/>
  <c r="I534" i="6"/>
  <c r="M534" i="4"/>
  <c r="M534" i="5"/>
  <c r="E534" i="4"/>
  <c r="E534" i="5"/>
  <c r="U534" i="4"/>
  <c r="U534" i="5"/>
  <c r="G534" i="4"/>
  <c r="G534" i="5"/>
  <c r="K534" i="4"/>
  <c r="K534" i="5"/>
  <c r="O534" i="4"/>
  <c r="O534" i="5"/>
  <c r="S534" i="4"/>
  <c r="S534" i="5"/>
  <c r="D502" i="6"/>
  <c r="V502" i="6"/>
  <c r="N502" i="6"/>
  <c r="F502" i="6"/>
  <c r="T502" i="6"/>
  <c r="P502" i="6"/>
  <c r="T502" i="4"/>
  <c r="T502" i="5"/>
  <c r="L502" i="4"/>
  <c r="L502" i="5"/>
  <c r="D502" i="4"/>
  <c r="D502" i="5"/>
  <c r="R502" i="4"/>
  <c r="R502" i="5"/>
  <c r="J502" i="4"/>
  <c r="J502" i="5"/>
  <c r="K502" i="6"/>
  <c r="R502" i="6"/>
  <c r="J502" i="6"/>
  <c r="M502" i="6"/>
  <c r="L502" i="6"/>
  <c r="H502" i="6"/>
  <c r="P502" i="4"/>
  <c r="P502" i="5"/>
  <c r="H502" i="4"/>
  <c r="H502" i="5"/>
  <c r="V502" i="4"/>
  <c r="V502" i="5"/>
  <c r="N502" i="4"/>
  <c r="N502" i="5"/>
  <c r="F502" i="4"/>
  <c r="F502" i="5"/>
  <c r="U502" i="6"/>
  <c r="Q502" i="6"/>
  <c r="M502" i="4"/>
  <c r="M502" i="5"/>
  <c r="K502" i="4"/>
  <c r="K502" i="5"/>
  <c r="I502" i="6"/>
  <c r="E502" i="6"/>
  <c r="S502" i="6"/>
  <c r="O502" i="6"/>
  <c r="G502" i="6"/>
  <c r="G502" i="4"/>
  <c r="G502" i="5"/>
  <c r="U502" i="4"/>
  <c r="U502" i="5"/>
  <c r="O502" i="4"/>
  <c r="O502" i="5"/>
  <c r="E502" i="4"/>
  <c r="E502" i="5"/>
  <c r="S502" i="4"/>
  <c r="S502" i="5"/>
  <c r="Q502" i="4"/>
  <c r="Q502" i="5"/>
  <c r="I502" i="4"/>
  <c r="I502" i="5"/>
  <c r="K518" i="4"/>
  <c r="K518" i="5"/>
  <c r="V518" i="4"/>
  <c r="V518" i="5"/>
  <c r="T518" i="4"/>
  <c r="T518" i="5"/>
  <c r="R518" i="4"/>
  <c r="R518" i="5"/>
  <c r="P518" i="4"/>
  <c r="P518" i="5"/>
  <c r="N518" i="4"/>
  <c r="N518" i="5"/>
  <c r="L518" i="4"/>
  <c r="L518" i="5"/>
  <c r="J518" i="4"/>
  <c r="J518" i="5"/>
  <c r="H518" i="4"/>
  <c r="H518" i="5"/>
  <c r="F518" i="4"/>
  <c r="F518" i="5"/>
  <c r="D518" i="4"/>
  <c r="D518" i="5"/>
  <c r="V518" i="6"/>
  <c r="R518" i="6"/>
  <c r="N518" i="6"/>
  <c r="J518" i="6"/>
  <c r="F518" i="6"/>
  <c r="T518" i="6"/>
  <c r="P518" i="6"/>
  <c r="L518" i="6"/>
  <c r="H518" i="6"/>
  <c r="D518" i="6"/>
  <c r="S518" i="6"/>
  <c r="O518" i="6"/>
  <c r="I518" i="6"/>
  <c r="E518" i="6"/>
  <c r="U518" i="6"/>
  <c r="Q518" i="6"/>
  <c r="K518" i="6"/>
  <c r="G518" i="6"/>
  <c r="M518" i="6"/>
  <c r="U518" i="4"/>
  <c r="U518" i="5"/>
  <c r="M518" i="4"/>
  <c r="M518" i="5"/>
  <c r="E518" i="4"/>
  <c r="E518" i="5"/>
  <c r="S518" i="4"/>
  <c r="S518" i="5"/>
  <c r="I518" i="4"/>
  <c r="I518" i="5"/>
  <c r="G518" i="4"/>
  <c r="G518" i="5"/>
  <c r="Q518" i="4"/>
  <c r="Q518" i="5"/>
  <c r="O518" i="4"/>
  <c r="O518" i="5"/>
  <c r="P22" i="4"/>
  <c r="P22" i="5"/>
  <c r="N22" i="4"/>
  <c r="N22" i="5"/>
  <c r="Q22" i="4"/>
  <c r="Q22" i="5"/>
  <c r="H22" i="4"/>
  <c r="H22" i="5"/>
  <c r="V22" i="6"/>
  <c r="U22" i="4"/>
  <c r="U22" i="5"/>
  <c r="O22" i="4"/>
  <c r="O22" i="5"/>
  <c r="I22" i="4"/>
  <c r="I22" i="5"/>
  <c r="S22" i="6"/>
  <c r="F22" i="4"/>
  <c r="F22" i="5"/>
  <c r="L22" i="6"/>
  <c r="M22" i="6"/>
  <c r="L22" i="4"/>
  <c r="L22" i="5"/>
  <c r="T22" i="4"/>
  <c r="T22" i="5"/>
  <c r="G22" i="6"/>
  <c r="Q22" i="6"/>
  <c r="K22" i="4"/>
  <c r="K22" i="5"/>
  <c r="J22" i="4"/>
  <c r="J22" i="5"/>
  <c r="O22" i="6"/>
  <c r="J22" i="6"/>
  <c r="G22" i="4"/>
  <c r="G22" i="5"/>
  <c r="M22" i="4"/>
  <c r="M22" i="5"/>
  <c r="D22" i="6"/>
  <c r="H22" i="6"/>
  <c r="F22" i="6"/>
  <c r="R22" i="6"/>
  <c r="E22" i="4"/>
  <c r="E22" i="5"/>
  <c r="K22" i="6"/>
  <c r="T22" i="6"/>
  <c r="U22" i="6"/>
  <c r="P22" i="6"/>
  <c r="R22" i="4"/>
  <c r="R22" i="5"/>
  <c r="D22" i="4"/>
  <c r="D22" i="5"/>
  <c r="V22" i="4"/>
  <c r="V22" i="5"/>
  <c r="N22" i="6"/>
  <c r="I22" i="6"/>
  <c r="S22" i="4"/>
  <c r="S22" i="5"/>
  <c r="E22" i="6"/>
  <c r="F206" i="4"/>
  <c r="F206" i="5"/>
  <c r="D206" i="6"/>
  <c r="R206" i="6"/>
  <c r="J206" i="6"/>
  <c r="P206" i="6"/>
  <c r="L206" i="6"/>
  <c r="L206" i="4"/>
  <c r="L206" i="5"/>
  <c r="P206" i="4"/>
  <c r="P206" i="5"/>
  <c r="V206" i="4"/>
  <c r="V206" i="5"/>
  <c r="H206" i="4"/>
  <c r="H206" i="5"/>
  <c r="V206" i="6"/>
  <c r="N206" i="6"/>
  <c r="F206" i="6"/>
  <c r="H206" i="6"/>
  <c r="T206" i="6"/>
  <c r="T206" i="4"/>
  <c r="T206" i="5"/>
  <c r="J206" i="4"/>
  <c r="J206" i="5"/>
  <c r="R206" i="4"/>
  <c r="R206" i="5"/>
  <c r="S206" i="4"/>
  <c r="S206" i="5"/>
  <c r="I206" i="4"/>
  <c r="I206" i="5"/>
  <c r="G206" i="4"/>
  <c r="G206" i="5"/>
  <c r="E206" i="4"/>
  <c r="E206" i="5"/>
  <c r="U206" i="4"/>
  <c r="U206" i="5"/>
  <c r="M206" i="6"/>
  <c r="M206" i="4"/>
  <c r="M206" i="5"/>
  <c r="Q206" i="6"/>
  <c r="K206" i="6"/>
  <c r="I206" i="6"/>
  <c r="E206" i="6"/>
  <c r="Q206" i="4"/>
  <c r="Q206" i="5"/>
  <c r="O206" i="4"/>
  <c r="O206" i="5"/>
  <c r="O206" i="6"/>
  <c r="K206" i="4"/>
  <c r="K206" i="5"/>
  <c r="U206" i="6"/>
  <c r="G206" i="6"/>
  <c r="S206" i="6"/>
  <c r="D206" i="4"/>
  <c r="D206" i="5"/>
  <c r="N206" i="4"/>
  <c r="N206" i="5"/>
  <c r="H344" i="4"/>
  <c r="H344" i="5"/>
  <c r="R344" i="4"/>
  <c r="R344" i="5"/>
  <c r="P344" i="4"/>
  <c r="P344" i="5"/>
  <c r="J344" i="4"/>
  <c r="J344" i="5"/>
  <c r="D344" i="4"/>
  <c r="D344" i="5"/>
  <c r="L344" i="4"/>
  <c r="L344" i="5"/>
  <c r="T344" i="4"/>
  <c r="T344" i="5"/>
  <c r="F344" i="4"/>
  <c r="F344" i="5"/>
  <c r="N344" i="4"/>
  <c r="N344" i="5"/>
  <c r="V344" i="4"/>
  <c r="V344" i="5"/>
  <c r="N344" i="6"/>
  <c r="R344" i="6"/>
  <c r="D344" i="6"/>
  <c r="H344" i="6"/>
  <c r="T344" i="6"/>
  <c r="L344" i="6"/>
  <c r="P344" i="6"/>
  <c r="S344" i="6"/>
  <c r="F344" i="6"/>
  <c r="J344" i="6"/>
  <c r="V344" i="6"/>
  <c r="E344" i="4"/>
  <c r="E344" i="5"/>
  <c r="I344" i="4"/>
  <c r="I344" i="5"/>
  <c r="M344" i="4"/>
  <c r="M344" i="5"/>
  <c r="Q344" i="4"/>
  <c r="Q344" i="5"/>
  <c r="U344" i="4"/>
  <c r="U344" i="5"/>
  <c r="G344" i="4"/>
  <c r="G344" i="5"/>
  <c r="K344" i="4"/>
  <c r="K344" i="5"/>
  <c r="O344" i="4"/>
  <c r="O344" i="5"/>
  <c r="S344" i="4"/>
  <c r="S344" i="5"/>
  <c r="E344" i="6"/>
  <c r="I344" i="6"/>
  <c r="K344" i="6"/>
  <c r="O344" i="6"/>
  <c r="M344" i="6"/>
  <c r="G344" i="6"/>
  <c r="Q344" i="6"/>
  <c r="U344" i="6"/>
  <c r="P323" i="6"/>
  <c r="D323" i="6"/>
  <c r="J323" i="6"/>
  <c r="R323" i="6"/>
  <c r="D323" i="4"/>
  <c r="D323" i="5"/>
  <c r="P323" i="4"/>
  <c r="P323" i="5"/>
  <c r="T323" i="6"/>
  <c r="T323" i="4"/>
  <c r="T323" i="5"/>
  <c r="L323" i="4"/>
  <c r="L323" i="5"/>
  <c r="F323" i="4"/>
  <c r="F323" i="5"/>
  <c r="N323" i="4"/>
  <c r="N323" i="5"/>
  <c r="V323" i="4"/>
  <c r="V323" i="5"/>
  <c r="N323" i="6"/>
  <c r="H323" i="4"/>
  <c r="H323" i="5"/>
  <c r="H323" i="6"/>
  <c r="J323" i="4"/>
  <c r="J323" i="5"/>
  <c r="R323" i="4"/>
  <c r="R323" i="5"/>
  <c r="F323" i="6"/>
  <c r="V323" i="6"/>
  <c r="L323" i="6"/>
  <c r="U323" i="4"/>
  <c r="U323" i="5"/>
  <c r="E323" i="4"/>
  <c r="E323" i="5"/>
  <c r="S323" i="4"/>
  <c r="S323" i="5"/>
  <c r="S323" i="6"/>
  <c r="G323" i="4"/>
  <c r="G323" i="5"/>
  <c r="K323" i="4"/>
  <c r="K323" i="5"/>
  <c r="K323" i="6"/>
  <c r="O323" i="6"/>
  <c r="E323" i="6"/>
  <c r="G323" i="6"/>
  <c r="O323" i="4"/>
  <c r="O323" i="5"/>
  <c r="I323" i="6"/>
  <c r="M323" i="4"/>
  <c r="M323" i="5"/>
  <c r="Q323" i="6"/>
  <c r="I323" i="4"/>
  <c r="I323" i="5"/>
  <c r="M323" i="6"/>
  <c r="Q323" i="4"/>
  <c r="Q323" i="5"/>
  <c r="U323" i="6"/>
  <c r="K115" i="4"/>
  <c r="K115" i="5"/>
  <c r="D115" i="4"/>
  <c r="D115" i="5"/>
  <c r="D115" i="6"/>
  <c r="O115" i="6"/>
  <c r="G115" i="6"/>
  <c r="M115" i="6"/>
  <c r="I115" i="6"/>
  <c r="S115" i="4"/>
  <c r="S115" i="5"/>
  <c r="I115" i="4"/>
  <c r="I115" i="5"/>
  <c r="U115" i="4"/>
  <c r="U115" i="5"/>
  <c r="M115" i="4"/>
  <c r="M115" i="5"/>
  <c r="S115" i="6"/>
  <c r="K115" i="6"/>
  <c r="U115" i="6"/>
  <c r="E115" i="6"/>
  <c r="Q115" i="6"/>
  <c r="O115" i="4"/>
  <c r="O115" i="5"/>
  <c r="E115" i="4"/>
  <c r="E115" i="5"/>
  <c r="Q115" i="4"/>
  <c r="Q115" i="5"/>
  <c r="G115" i="4"/>
  <c r="G115" i="5"/>
  <c r="T115" i="4"/>
  <c r="T115" i="5"/>
  <c r="P115" i="6"/>
  <c r="L115" i="4"/>
  <c r="L115" i="5"/>
  <c r="H115" i="4"/>
  <c r="H115" i="5"/>
  <c r="V115" i="4"/>
  <c r="V115" i="5"/>
  <c r="R115" i="4"/>
  <c r="R115" i="5"/>
  <c r="N115" i="6"/>
  <c r="J115" i="4"/>
  <c r="J115" i="5"/>
  <c r="F115" i="6"/>
  <c r="T115" i="6"/>
  <c r="J115" i="6"/>
  <c r="L115" i="6"/>
  <c r="H115" i="6"/>
  <c r="R115" i="6"/>
  <c r="N115" i="4"/>
  <c r="N115" i="5"/>
  <c r="V115" i="6"/>
  <c r="P115" i="4"/>
  <c r="P115" i="5"/>
  <c r="F115" i="4"/>
  <c r="F115" i="5"/>
  <c r="M62" i="4"/>
  <c r="M62" i="5"/>
  <c r="V62" i="4"/>
  <c r="V62" i="5"/>
  <c r="I62" i="4"/>
  <c r="I62" i="5"/>
  <c r="O62" i="6"/>
  <c r="K62" i="4"/>
  <c r="K62" i="5"/>
  <c r="U62" i="6"/>
  <c r="S62" i="4"/>
  <c r="S62" i="5"/>
  <c r="S62" i="6"/>
  <c r="P62" i="4"/>
  <c r="P62" i="5"/>
  <c r="L62" i="6"/>
  <c r="V62" i="6"/>
  <c r="H62" i="4"/>
  <c r="H62" i="5"/>
  <c r="Q62" i="6"/>
  <c r="G62" i="4"/>
  <c r="G62" i="5"/>
  <c r="D62" i="4"/>
  <c r="D62" i="5"/>
  <c r="G62" i="6"/>
  <c r="D62" i="6"/>
  <c r="Q62" i="4"/>
  <c r="Q62" i="5"/>
  <c r="L62" i="4"/>
  <c r="L62" i="5"/>
  <c r="F62" i="4"/>
  <c r="F62" i="5"/>
  <c r="F62" i="6"/>
  <c r="R62" i="4"/>
  <c r="R62" i="5"/>
  <c r="U62" i="4"/>
  <c r="U62" i="5"/>
  <c r="O62" i="4"/>
  <c r="O62" i="5"/>
  <c r="M62" i="6"/>
  <c r="T62" i="6"/>
  <c r="P62" i="6"/>
  <c r="J62" i="4"/>
  <c r="J62" i="5"/>
  <c r="N62" i="4"/>
  <c r="N62" i="5"/>
  <c r="K62" i="6"/>
  <c r="I62" i="6"/>
  <c r="E62" i="6"/>
  <c r="T62" i="4"/>
  <c r="T62" i="5"/>
  <c r="R62" i="6"/>
  <c r="E62" i="4"/>
  <c r="E62" i="5"/>
  <c r="J62" i="6"/>
  <c r="N62" i="6"/>
  <c r="H62" i="6"/>
  <c r="U109" i="4"/>
  <c r="U109" i="5"/>
  <c r="Q109" i="6"/>
  <c r="U109" i="6"/>
  <c r="F109" i="4"/>
  <c r="F109" i="5"/>
  <c r="S109" i="4"/>
  <c r="S109" i="5"/>
  <c r="S109" i="6"/>
  <c r="D109" i="6"/>
  <c r="L109" i="6"/>
  <c r="H109" i="6"/>
  <c r="N109" i="6"/>
  <c r="H109" i="4"/>
  <c r="H109" i="5"/>
  <c r="L109" i="4"/>
  <c r="L109" i="5"/>
  <c r="J109" i="4"/>
  <c r="J109" i="5"/>
  <c r="N109" i="4"/>
  <c r="N109" i="5"/>
  <c r="P109" i="6"/>
  <c r="D109" i="4"/>
  <c r="D109" i="5"/>
  <c r="F109" i="6"/>
  <c r="Q109" i="4"/>
  <c r="Q109" i="5"/>
  <c r="P109" i="4"/>
  <c r="P109" i="5"/>
  <c r="J109" i="6"/>
  <c r="M109" i="6"/>
  <c r="G109" i="4"/>
  <c r="G109" i="5"/>
  <c r="E109" i="6"/>
  <c r="O109" i="6"/>
  <c r="I109" i="6"/>
  <c r="R109" i="4"/>
  <c r="R109" i="5"/>
  <c r="T109" i="6"/>
  <c r="K109" i="4"/>
  <c r="K109" i="5"/>
  <c r="I109" i="4"/>
  <c r="I109" i="5"/>
  <c r="E109" i="4"/>
  <c r="E109" i="5"/>
  <c r="V109" i="4"/>
  <c r="V109" i="5"/>
  <c r="T109" i="4"/>
  <c r="T109" i="5"/>
  <c r="K109" i="6"/>
  <c r="V109" i="6"/>
  <c r="O109" i="4"/>
  <c r="O109" i="5"/>
  <c r="M109" i="4"/>
  <c r="M109" i="5"/>
  <c r="R109" i="6"/>
  <c r="G109" i="6"/>
  <c r="P44" i="4"/>
  <c r="P44" i="5"/>
  <c r="D44" i="4"/>
  <c r="D44" i="5"/>
  <c r="L44" i="4"/>
  <c r="L44" i="5"/>
  <c r="R44" i="4"/>
  <c r="R44" i="5"/>
  <c r="J44" i="4"/>
  <c r="J44" i="5"/>
  <c r="N44" i="6"/>
  <c r="V44" i="6"/>
  <c r="H44" i="6"/>
  <c r="L44" i="6"/>
  <c r="T44" i="6"/>
  <c r="E44" i="6"/>
  <c r="M44" i="6"/>
  <c r="I44" i="4"/>
  <c r="I44" i="5"/>
  <c r="S44" i="6"/>
  <c r="V44" i="4"/>
  <c r="V44" i="5"/>
  <c r="F44" i="6"/>
  <c r="R44" i="6"/>
  <c r="N44" i="4"/>
  <c r="N44" i="5"/>
  <c r="D44" i="6"/>
  <c r="J44" i="6"/>
  <c r="P44" i="6"/>
  <c r="F44" i="4"/>
  <c r="F44" i="5"/>
  <c r="Q44" i="6"/>
  <c r="K44" i="6"/>
  <c r="S44" i="4"/>
  <c r="S44" i="5"/>
  <c r="G44" i="4"/>
  <c r="G44" i="5"/>
  <c r="G44" i="6"/>
  <c r="I44" i="6"/>
  <c r="U44" i="4"/>
  <c r="U44" i="5"/>
  <c r="U44" i="6"/>
  <c r="T44" i="4"/>
  <c r="T44" i="5"/>
  <c r="H44" i="4"/>
  <c r="H44" i="5"/>
  <c r="O44" i="4"/>
  <c r="O44" i="5"/>
  <c r="O44" i="6"/>
  <c r="Q44" i="4"/>
  <c r="Q44" i="5"/>
  <c r="K44" i="4"/>
  <c r="K44" i="5"/>
  <c r="E44" i="4"/>
  <c r="E44" i="5"/>
  <c r="M44" i="4"/>
  <c r="M44" i="5"/>
  <c r="H491" i="6"/>
  <c r="V491" i="4"/>
  <c r="V491" i="5"/>
  <c r="R491" i="4"/>
  <c r="R491" i="5"/>
  <c r="N491" i="4"/>
  <c r="N491" i="5"/>
  <c r="J491" i="4"/>
  <c r="J491" i="5"/>
  <c r="F491" i="4"/>
  <c r="F491" i="5"/>
  <c r="P491" i="6"/>
  <c r="U491" i="4"/>
  <c r="U491" i="5"/>
  <c r="O491" i="6"/>
  <c r="K491" i="6"/>
  <c r="G491" i="6"/>
  <c r="Q491" i="6"/>
  <c r="M491" i="4"/>
  <c r="M491" i="5"/>
  <c r="I491" i="6"/>
  <c r="E491" i="4"/>
  <c r="E491" i="5"/>
  <c r="S491" i="4"/>
  <c r="S491" i="5"/>
  <c r="S491" i="6"/>
  <c r="E491" i="6"/>
  <c r="T491" i="4"/>
  <c r="T491" i="5"/>
  <c r="L491" i="4"/>
  <c r="L491" i="5"/>
  <c r="D491" i="4"/>
  <c r="D491" i="5"/>
  <c r="L491" i="6"/>
  <c r="G491" i="4"/>
  <c r="G491" i="5"/>
  <c r="O491" i="4"/>
  <c r="O491" i="5"/>
  <c r="K491" i="4"/>
  <c r="K491" i="5"/>
  <c r="P491" i="4"/>
  <c r="P491" i="5"/>
  <c r="H491" i="4"/>
  <c r="H491" i="5"/>
  <c r="T491" i="6"/>
  <c r="D491" i="6"/>
  <c r="U491" i="6"/>
  <c r="M491" i="6"/>
  <c r="V491" i="6"/>
  <c r="N491" i="6"/>
  <c r="F491" i="6"/>
  <c r="I491" i="4"/>
  <c r="I491" i="5"/>
  <c r="Q491" i="4"/>
  <c r="Q491" i="5"/>
  <c r="R491" i="6"/>
  <c r="J491" i="6"/>
  <c r="D514" i="6"/>
  <c r="P514" i="6"/>
  <c r="P514" i="4"/>
  <c r="P514" i="5"/>
  <c r="M514" i="6"/>
  <c r="J514" i="6"/>
  <c r="Q514" i="4"/>
  <c r="Q514" i="5"/>
  <c r="V514" i="6"/>
  <c r="D514" i="4"/>
  <c r="D514" i="5"/>
  <c r="H514" i="6"/>
  <c r="V514" i="4"/>
  <c r="V514" i="5"/>
  <c r="R514" i="4"/>
  <c r="R514" i="5"/>
  <c r="N514" i="4"/>
  <c r="N514" i="5"/>
  <c r="J514" i="4"/>
  <c r="J514" i="5"/>
  <c r="F514" i="4"/>
  <c r="F514" i="5"/>
  <c r="T514" i="6"/>
  <c r="H514" i="4"/>
  <c r="H514" i="5"/>
  <c r="R514" i="6"/>
  <c r="T514" i="4"/>
  <c r="T514" i="5"/>
  <c r="L514" i="4"/>
  <c r="L514" i="5"/>
  <c r="L514" i="6"/>
  <c r="N514" i="6"/>
  <c r="F514" i="6"/>
  <c r="U514" i="6"/>
  <c r="Q514" i="6"/>
  <c r="M514" i="4"/>
  <c r="M514" i="5"/>
  <c r="K514" i="6"/>
  <c r="E514" i="6"/>
  <c r="S514" i="6"/>
  <c r="O514" i="6"/>
  <c r="G514" i="6"/>
  <c r="I514" i="4"/>
  <c r="I514" i="5"/>
  <c r="E514" i="4"/>
  <c r="E514" i="5"/>
  <c r="I514" i="6"/>
  <c r="U514" i="4"/>
  <c r="U514" i="5"/>
  <c r="G514" i="4"/>
  <c r="G514" i="5"/>
  <c r="O514" i="4"/>
  <c r="O514" i="5"/>
  <c r="K514" i="4"/>
  <c r="K514" i="5"/>
  <c r="S514" i="4"/>
  <c r="S514" i="5"/>
  <c r="R58" i="4"/>
  <c r="R58" i="5"/>
  <c r="D58" i="6"/>
  <c r="R58" i="6"/>
  <c r="T58" i="4"/>
  <c r="T58" i="5"/>
  <c r="D58" i="4"/>
  <c r="D58" i="5"/>
  <c r="P58" i="4"/>
  <c r="P58" i="5"/>
  <c r="H58" i="4"/>
  <c r="H58" i="5"/>
  <c r="H58" i="6"/>
  <c r="N58" i="6"/>
  <c r="L58" i="6"/>
  <c r="J58" i="6"/>
  <c r="P58" i="6"/>
  <c r="V58" i="6"/>
  <c r="J58" i="4"/>
  <c r="J58" i="5"/>
  <c r="V58" i="4"/>
  <c r="V58" i="5"/>
  <c r="F58" i="6"/>
  <c r="U58" i="4"/>
  <c r="U58" i="5"/>
  <c r="S58" i="6"/>
  <c r="E58" i="4"/>
  <c r="E58" i="5"/>
  <c r="T58" i="6"/>
  <c r="F58" i="4"/>
  <c r="F58" i="5"/>
  <c r="L58" i="4"/>
  <c r="L58" i="5"/>
  <c r="N58" i="4"/>
  <c r="N58" i="5"/>
  <c r="K58" i="6"/>
  <c r="U58" i="6"/>
  <c r="E58" i="6"/>
  <c r="O58" i="4"/>
  <c r="O58" i="5"/>
  <c r="M58" i="6"/>
  <c r="I58" i="6"/>
  <c r="S58" i="4"/>
  <c r="S58" i="5"/>
  <c r="O58" i="6"/>
  <c r="M58" i="4"/>
  <c r="M58" i="5"/>
  <c r="I58" i="4"/>
  <c r="I58" i="5"/>
  <c r="G58" i="6"/>
  <c r="K58" i="4"/>
  <c r="K58" i="5"/>
  <c r="Q58" i="4"/>
  <c r="Q58" i="5"/>
  <c r="Q58" i="6"/>
  <c r="G58" i="4"/>
  <c r="G58" i="5"/>
  <c r="O154" i="4"/>
  <c r="O154" i="5"/>
  <c r="E154" i="6"/>
  <c r="M154" i="6"/>
  <c r="U154" i="6"/>
  <c r="I154" i="4"/>
  <c r="I154" i="5"/>
  <c r="S154" i="4"/>
  <c r="S154" i="5"/>
  <c r="I154" i="6"/>
  <c r="Q154" i="6"/>
  <c r="E154" i="4"/>
  <c r="E154" i="5"/>
  <c r="M154" i="4"/>
  <c r="M154" i="5"/>
  <c r="T154" i="4"/>
  <c r="T154" i="5"/>
  <c r="J154" i="6"/>
  <c r="L154" i="4"/>
  <c r="L154" i="5"/>
  <c r="P154" i="4"/>
  <c r="P154" i="5"/>
  <c r="H154" i="4"/>
  <c r="H154" i="5"/>
  <c r="F154" i="6"/>
  <c r="L154" i="6"/>
  <c r="H154" i="6"/>
  <c r="V154" i="4"/>
  <c r="V154" i="5"/>
  <c r="V154" i="6"/>
  <c r="P154" i="6"/>
  <c r="N154" i="4"/>
  <c r="N154" i="5"/>
  <c r="N154" i="6"/>
  <c r="R154" i="4"/>
  <c r="R154" i="5"/>
  <c r="R154" i="6"/>
  <c r="F154" i="4"/>
  <c r="F154" i="5"/>
  <c r="J154" i="4"/>
  <c r="J154" i="5"/>
  <c r="G154" i="6"/>
  <c r="O154" i="6"/>
  <c r="D154" i="4"/>
  <c r="D154" i="5"/>
  <c r="G154" i="4"/>
  <c r="G154" i="5"/>
  <c r="K154" i="4"/>
  <c r="K154" i="5"/>
  <c r="Q154" i="4"/>
  <c r="Q154" i="5"/>
  <c r="U154" i="4"/>
  <c r="U154" i="5"/>
  <c r="T154" i="6"/>
  <c r="D154" i="6"/>
  <c r="K154" i="6"/>
  <c r="S154" i="6"/>
  <c r="O243" i="4"/>
  <c r="O243" i="5"/>
  <c r="D243" i="6"/>
  <c r="I243" i="6"/>
  <c r="Q243" i="4"/>
  <c r="Q243" i="5"/>
  <c r="I243" i="4"/>
  <c r="I243" i="5"/>
  <c r="Q243" i="6"/>
  <c r="U243" i="4"/>
  <c r="U243" i="5"/>
  <c r="M243" i="4"/>
  <c r="M243" i="5"/>
  <c r="E243" i="4"/>
  <c r="E243" i="5"/>
  <c r="L243" i="6"/>
  <c r="R243" i="6"/>
  <c r="T243" i="6"/>
  <c r="H243" i="6"/>
  <c r="R243" i="4"/>
  <c r="R243" i="5"/>
  <c r="H243" i="4"/>
  <c r="H243" i="5"/>
  <c r="V243" i="4"/>
  <c r="V243" i="5"/>
  <c r="P243" i="6"/>
  <c r="N243" i="4"/>
  <c r="N243" i="5"/>
  <c r="J243" i="6"/>
  <c r="F243" i="4"/>
  <c r="F243" i="5"/>
  <c r="V243" i="6"/>
  <c r="P243" i="4"/>
  <c r="P243" i="5"/>
  <c r="N243" i="6"/>
  <c r="J243" i="4"/>
  <c r="J243" i="5"/>
  <c r="F243" i="6"/>
  <c r="L243" i="4"/>
  <c r="L243" i="5"/>
  <c r="T243" i="4"/>
  <c r="T243" i="5"/>
  <c r="S243" i="4"/>
  <c r="S243" i="5"/>
  <c r="K243" i="6"/>
  <c r="O243" i="6"/>
  <c r="M243" i="6"/>
  <c r="K243" i="4"/>
  <c r="K243" i="5"/>
  <c r="G243" i="6"/>
  <c r="G243" i="4"/>
  <c r="G243" i="5"/>
  <c r="U243" i="6"/>
  <c r="E243" i="6"/>
  <c r="D243" i="4"/>
  <c r="D243" i="5"/>
  <c r="S243" i="6"/>
  <c r="Q360" i="6"/>
  <c r="I360" i="6"/>
  <c r="U360" i="4"/>
  <c r="U360" i="5"/>
  <c r="D360" i="6"/>
  <c r="K360" i="6"/>
  <c r="S360" i="6"/>
  <c r="G360" i="4"/>
  <c r="G360" i="5"/>
  <c r="K360" i="4"/>
  <c r="K360" i="5"/>
  <c r="O360" i="4"/>
  <c r="O360" i="5"/>
  <c r="S360" i="4"/>
  <c r="S360" i="5"/>
  <c r="E360" i="6"/>
  <c r="U360" i="6"/>
  <c r="Q360" i="4"/>
  <c r="Q360" i="5"/>
  <c r="E360" i="4"/>
  <c r="E360" i="5"/>
  <c r="G360" i="6"/>
  <c r="O360" i="6"/>
  <c r="V360" i="6"/>
  <c r="M360" i="6"/>
  <c r="I360" i="4"/>
  <c r="I360" i="5"/>
  <c r="H360" i="4"/>
  <c r="H360" i="5"/>
  <c r="H360" i="6"/>
  <c r="N360" i="4"/>
  <c r="N360" i="5"/>
  <c r="T360" i="6"/>
  <c r="L360" i="6"/>
  <c r="V360" i="4"/>
  <c r="V360" i="5"/>
  <c r="F360" i="6"/>
  <c r="P360" i="4"/>
  <c r="P360" i="5"/>
  <c r="R360" i="4"/>
  <c r="R360" i="5"/>
  <c r="R360" i="6"/>
  <c r="F360" i="4"/>
  <c r="F360" i="5"/>
  <c r="P360" i="6"/>
  <c r="T360" i="4"/>
  <c r="T360" i="5"/>
  <c r="N360" i="6"/>
  <c r="J360" i="4"/>
  <c r="J360" i="5"/>
  <c r="J360" i="6"/>
  <c r="L360" i="4"/>
  <c r="L360" i="5"/>
  <c r="M360" i="4"/>
  <c r="M360" i="5"/>
  <c r="D360" i="4"/>
  <c r="D360" i="5"/>
  <c r="D467" i="4"/>
  <c r="D467" i="5"/>
  <c r="E467" i="6"/>
  <c r="S467" i="6"/>
  <c r="J467" i="4"/>
  <c r="J467" i="5"/>
  <c r="I467" i="4"/>
  <c r="I467" i="5"/>
  <c r="E467" i="4"/>
  <c r="E467" i="5"/>
  <c r="U467" i="4"/>
  <c r="U467" i="5"/>
  <c r="G467" i="4"/>
  <c r="G467" i="5"/>
  <c r="U467" i="6"/>
  <c r="O467" i="6"/>
  <c r="I467" i="6"/>
  <c r="J467" i="6"/>
  <c r="N467" i="6"/>
  <c r="R467" i="6"/>
  <c r="F467" i="6"/>
  <c r="L467" i="6"/>
  <c r="P467" i="6"/>
  <c r="L467" i="4"/>
  <c r="L467" i="5"/>
  <c r="N467" i="4"/>
  <c r="N467" i="5"/>
  <c r="Q467" i="4"/>
  <c r="Q467" i="5"/>
  <c r="D467" i="6"/>
  <c r="K467" i="6"/>
  <c r="P467" i="4"/>
  <c r="P467" i="5"/>
  <c r="R467" i="4"/>
  <c r="R467" i="5"/>
  <c r="M467" i="6"/>
  <c r="Q467" i="6"/>
  <c r="F467" i="4"/>
  <c r="F467" i="5"/>
  <c r="M467" i="4"/>
  <c r="M467" i="5"/>
  <c r="S467" i="4"/>
  <c r="S467" i="5"/>
  <c r="O467" i="4"/>
  <c r="O467" i="5"/>
  <c r="K467" i="4"/>
  <c r="K467" i="5"/>
  <c r="G467" i="6"/>
  <c r="H467" i="4"/>
  <c r="H467" i="5"/>
  <c r="T467" i="4"/>
  <c r="T467" i="5"/>
  <c r="T467" i="6"/>
  <c r="V467" i="6"/>
  <c r="H467" i="6"/>
  <c r="V467" i="4"/>
  <c r="V467" i="5"/>
  <c r="D111" i="4"/>
  <c r="D111" i="5"/>
  <c r="M111" i="4"/>
  <c r="M111" i="5"/>
  <c r="K111" i="4"/>
  <c r="K111" i="5"/>
  <c r="S111" i="6"/>
  <c r="K111" i="6"/>
  <c r="R111" i="6"/>
  <c r="M111" i="6"/>
  <c r="Q111" i="6"/>
  <c r="E111" i="4"/>
  <c r="E111" i="5"/>
  <c r="S111" i="4"/>
  <c r="S111" i="5"/>
  <c r="U111" i="4"/>
  <c r="U111" i="5"/>
  <c r="Q111" i="4"/>
  <c r="Q111" i="5"/>
  <c r="D111" i="6"/>
  <c r="O111" i="6"/>
  <c r="G111" i="6"/>
  <c r="U111" i="6"/>
  <c r="E111" i="6"/>
  <c r="I111" i="6"/>
  <c r="V111" i="4"/>
  <c r="V111" i="5"/>
  <c r="T111" i="4"/>
  <c r="T111" i="5"/>
  <c r="R111" i="4"/>
  <c r="R111" i="5"/>
  <c r="P111" i="6"/>
  <c r="L111" i="4"/>
  <c r="L111" i="5"/>
  <c r="J111" i="4"/>
  <c r="J111" i="5"/>
  <c r="H111" i="4"/>
  <c r="H111" i="5"/>
  <c r="F111" i="6"/>
  <c r="N111" i="6"/>
  <c r="I111" i="4"/>
  <c r="I111" i="5"/>
  <c r="G111" i="4"/>
  <c r="G111" i="5"/>
  <c r="T111" i="6"/>
  <c r="H111" i="6"/>
  <c r="O111" i="4"/>
  <c r="O111" i="5"/>
  <c r="L111" i="6"/>
  <c r="J111" i="6"/>
  <c r="F111" i="4"/>
  <c r="F111" i="5"/>
  <c r="N111" i="4"/>
  <c r="N111" i="5"/>
  <c r="P111" i="4"/>
  <c r="P111" i="5"/>
  <c r="V111" i="6"/>
  <c r="D68" i="4"/>
  <c r="D68" i="5"/>
  <c r="G68" i="6"/>
  <c r="S68" i="4"/>
  <c r="S68" i="5"/>
  <c r="D68" i="6"/>
  <c r="K68" i="6"/>
  <c r="I68" i="6"/>
  <c r="E68" i="6"/>
  <c r="U68" i="4"/>
  <c r="U68" i="5"/>
  <c r="M68" i="4"/>
  <c r="M68" i="5"/>
  <c r="E68" i="4"/>
  <c r="E68" i="5"/>
  <c r="M68" i="6"/>
  <c r="Q68" i="4"/>
  <c r="Q68" i="5"/>
  <c r="K68" i="4"/>
  <c r="K68" i="5"/>
  <c r="O68" i="6"/>
  <c r="G68" i="4"/>
  <c r="G68" i="5"/>
  <c r="O68" i="4"/>
  <c r="O68" i="5"/>
  <c r="S68" i="6"/>
  <c r="Q68" i="6"/>
  <c r="U68" i="6"/>
  <c r="I68" i="4"/>
  <c r="I68" i="5"/>
  <c r="H68" i="4"/>
  <c r="H68" i="5"/>
  <c r="P68" i="6"/>
  <c r="F68" i="6"/>
  <c r="R68" i="4"/>
  <c r="R68" i="5"/>
  <c r="J68" i="4"/>
  <c r="J68" i="5"/>
  <c r="J68" i="6"/>
  <c r="T68" i="6"/>
  <c r="N68" i="4"/>
  <c r="N68" i="5"/>
  <c r="V68" i="4"/>
  <c r="V68" i="5"/>
  <c r="V68" i="6"/>
  <c r="P68" i="4"/>
  <c r="P68" i="5"/>
  <c r="T68" i="4"/>
  <c r="T68" i="5"/>
  <c r="H68" i="6"/>
  <c r="L68" i="4"/>
  <c r="L68" i="5"/>
  <c r="L68" i="6"/>
  <c r="N68" i="6"/>
  <c r="R68" i="6"/>
  <c r="F68" i="4"/>
  <c r="F68" i="5"/>
  <c r="T421" i="6"/>
  <c r="L421" i="4"/>
  <c r="L421" i="5"/>
  <c r="H421" i="6"/>
  <c r="P421" i="4"/>
  <c r="P421" i="5"/>
  <c r="H421" i="4"/>
  <c r="H421" i="5"/>
  <c r="R421" i="4"/>
  <c r="R421" i="5"/>
  <c r="J421" i="4"/>
  <c r="J421" i="5"/>
  <c r="V421" i="6"/>
  <c r="F421" i="6"/>
  <c r="D421" i="4"/>
  <c r="D421" i="5"/>
  <c r="F421" i="4"/>
  <c r="F421" i="5"/>
  <c r="N421" i="4"/>
  <c r="N421" i="5"/>
  <c r="L421" i="6"/>
  <c r="P421" i="6"/>
  <c r="D421" i="6"/>
  <c r="N421" i="6"/>
  <c r="T421" i="4"/>
  <c r="T421" i="5"/>
  <c r="V421" i="4"/>
  <c r="V421" i="5"/>
  <c r="R421" i="6"/>
  <c r="J421" i="6"/>
  <c r="O421" i="6"/>
  <c r="G421" i="6"/>
  <c r="U421" i="4"/>
  <c r="U421" i="5"/>
  <c r="Q421" i="6"/>
  <c r="I421" i="6"/>
  <c r="E421" i="6"/>
  <c r="S421" i="4"/>
  <c r="S421" i="5"/>
  <c r="K421" i="4"/>
  <c r="K421" i="5"/>
  <c r="O421" i="4"/>
  <c r="O421" i="5"/>
  <c r="E421" i="4"/>
  <c r="E421" i="5"/>
  <c r="S421" i="6"/>
  <c r="I421" i="4"/>
  <c r="I421" i="5"/>
  <c r="K421" i="6"/>
  <c r="M421" i="4"/>
  <c r="M421" i="5"/>
  <c r="U421" i="6"/>
  <c r="M421" i="6"/>
  <c r="Q421" i="4"/>
  <c r="Q421" i="5"/>
  <c r="G421" i="4"/>
  <c r="G421" i="5"/>
  <c r="E211" i="6"/>
  <c r="O211" i="6"/>
  <c r="S211" i="6"/>
  <c r="G211" i="6"/>
  <c r="K211" i="4"/>
  <c r="K211" i="5"/>
  <c r="S211" i="4"/>
  <c r="S211" i="5"/>
  <c r="M211" i="6"/>
  <c r="D211" i="6"/>
  <c r="G211" i="4"/>
  <c r="G211" i="5"/>
  <c r="O211" i="4"/>
  <c r="O211" i="5"/>
  <c r="E211" i="4"/>
  <c r="E211" i="5"/>
  <c r="D211" i="4"/>
  <c r="D211" i="5"/>
  <c r="Q211" i="6"/>
  <c r="I211" i="6"/>
  <c r="K211" i="6"/>
  <c r="F211" i="4"/>
  <c r="F211" i="5"/>
  <c r="V211" i="4"/>
  <c r="V211" i="5"/>
  <c r="V211" i="6"/>
  <c r="N211" i="4"/>
  <c r="N211" i="5"/>
  <c r="P211" i="6"/>
  <c r="L211" i="4"/>
  <c r="L211" i="5"/>
  <c r="H211" i="4"/>
  <c r="H211" i="5"/>
  <c r="H211" i="6"/>
  <c r="P211" i="4"/>
  <c r="P211" i="5"/>
  <c r="L211" i="6"/>
  <c r="R211" i="4"/>
  <c r="R211" i="5"/>
  <c r="T211" i="4"/>
  <c r="T211" i="5"/>
  <c r="J211" i="4"/>
  <c r="J211" i="5"/>
  <c r="J211" i="6"/>
  <c r="N211" i="6"/>
  <c r="T211" i="6"/>
  <c r="Q211" i="4"/>
  <c r="Q211" i="5"/>
  <c r="F211" i="6"/>
  <c r="M211" i="4"/>
  <c r="M211" i="5"/>
  <c r="U211" i="6"/>
  <c r="U211" i="4"/>
  <c r="U211" i="5"/>
  <c r="I211" i="4"/>
  <c r="I211" i="5"/>
  <c r="R211" i="6"/>
  <c r="F420" i="6"/>
  <c r="V420" i="6"/>
  <c r="T420" i="6"/>
  <c r="L420" i="6"/>
  <c r="D420" i="6"/>
  <c r="J420" i="4"/>
  <c r="J420" i="5"/>
  <c r="H420" i="4"/>
  <c r="H420" i="5"/>
  <c r="J420" i="6"/>
  <c r="F420" i="4"/>
  <c r="F420" i="5"/>
  <c r="P420" i="6"/>
  <c r="H420" i="6"/>
  <c r="R420" i="6"/>
  <c r="P420" i="4"/>
  <c r="P420" i="5"/>
  <c r="R420" i="4"/>
  <c r="R420" i="5"/>
  <c r="N420" i="4"/>
  <c r="N420" i="5"/>
  <c r="T420" i="4"/>
  <c r="T420" i="5"/>
  <c r="D420" i="4"/>
  <c r="D420" i="5"/>
  <c r="L420" i="4"/>
  <c r="L420" i="5"/>
  <c r="V420" i="4"/>
  <c r="V420" i="5"/>
  <c r="N420" i="6"/>
  <c r="I420" i="4"/>
  <c r="I420" i="5"/>
  <c r="E420" i="4"/>
  <c r="E420" i="5"/>
  <c r="S420" i="4"/>
  <c r="S420" i="5"/>
  <c r="U420" i="6"/>
  <c r="O420" i="6"/>
  <c r="G420" i="6"/>
  <c r="E420" i="6"/>
  <c r="S420" i="6"/>
  <c r="U420" i="4"/>
  <c r="U420" i="5"/>
  <c r="Q420" i="4"/>
  <c r="Q420" i="5"/>
  <c r="Q420" i="6"/>
  <c r="O420" i="4"/>
  <c r="O420" i="5"/>
  <c r="G420" i="4"/>
  <c r="G420" i="5"/>
  <c r="M420" i="4"/>
  <c r="M420" i="5"/>
  <c r="M420" i="6"/>
  <c r="K420" i="6"/>
  <c r="I420" i="6"/>
  <c r="K420" i="4"/>
  <c r="K420" i="5"/>
  <c r="R320" i="6"/>
  <c r="N320" i="6"/>
  <c r="D320" i="6"/>
  <c r="L320" i="6"/>
  <c r="T320" i="6"/>
  <c r="L320" i="4"/>
  <c r="L320" i="5"/>
  <c r="T320" i="4"/>
  <c r="T320" i="5"/>
  <c r="H320" i="6"/>
  <c r="P320" i="6"/>
  <c r="H320" i="4"/>
  <c r="H320" i="5"/>
  <c r="P320" i="4"/>
  <c r="P320" i="5"/>
  <c r="G320" i="6"/>
  <c r="U320" i="4"/>
  <c r="U320" i="5"/>
  <c r="K320" i="4"/>
  <c r="K320" i="5"/>
  <c r="M320" i="4"/>
  <c r="M320" i="5"/>
  <c r="S320" i="6"/>
  <c r="Q320" i="4"/>
  <c r="Q320" i="5"/>
  <c r="G320" i="4"/>
  <c r="G320" i="5"/>
  <c r="E320" i="4"/>
  <c r="E320" i="5"/>
  <c r="I320" i="6"/>
  <c r="Q320" i="6"/>
  <c r="E320" i="6"/>
  <c r="I320" i="4"/>
  <c r="I320" i="5"/>
  <c r="U320" i="6"/>
  <c r="O320" i="6"/>
  <c r="O320" i="4"/>
  <c r="O320" i="5"/>
  <c r="M320" i="6"/>
  <c r="S320" i="4"/>
  <c r="S320" i="5"/>
  <c r="K320" i="6"/>
  <c r="N320" i="4"/>
  <c r="N320" i="5"/>
  <c r="J320" i="4"/>
  <c r="J320" i="5"/>
  <c r="F320" i="6"/>
  <c r="V320" i="4"/>
  <c r="V320" i="5"/>
  <c r="J320" i="6"/>
  <c r="D320" i="4"/>
  <c r="D320" i="5"/>
  <c r="R320" i="4"/>
  <c r="R320" i="5"/>
  <c r="V320" i="6"/>
  <c r="F320" i="4"/>
  <c r="F320" i="5"/>
  <c r="D173" i="6"/>
  <c r="S173" i="6"/>
  <c r="K173" i="4"/>
  <c r="K173" i="5"/>
  <c r="Q173" i="6"/>
  <c r="U173" i="6"/>
  <c r="G173" i="6"/>
  <c r="K173" i="6"/>
  <c r="O173" i="6"/>
  <c r="I173" i="4"/>
  <c r="I173" i="5"/>
  <c r="O173" i="4"/>
  <c r="O173" i="5"/>
  <c r="I173" i="6"/>
  <c r="E173" i="6"/>
  <c r="T173" i="4"/>
  <c r="T173" i="5"/>
  <c r="L173" i="4"/>
  <c r="L173" i="5"/>
  <c r="S173" i="4"/>
  <c r="S173" i="5"/>
  <c r="G173" i="4"/>
  <c r="G173" i="5"/>
  <c r="M173" i="6"/>
  <c r="M173" i="4"/>
  <c r="M173" i="5"/>
  <c r="Q173" i="4"/>
  <c r="Q173" i="5"/>
  <c r="E173" i="4"/>
  <c r="E173" i="5"/>
  <c r="D173" i="4"/>
  <c r="D173" i="5"/>
  <c r="U173" i="4"/>
  <c r="U173" i="5"/>
  <c r="H173" i="6"/>
  <c r="L173" i="6"/>
  <c r="P173" i="6"/>
  <c r="V173" i="6"/>
  <c r="F173" i="6"/>
  <c r="J173" i="6"/>
  <c r="N173" i="6"/>
  <c r="T173" i="6"/>
  <c r="R173" i="4"/>
  <c r="R173" i="5"/>
  <c r="H173" i="4"/>
  <c r="H173" i="5"/>
  <c r="N173" i="4"/>
  <c r="N173" i="5"/>
  <c r="V173" i="4"/>
  <c r="V173" i="5"/>
  <c r="J173" i="4"/>
  <c r="J173" i="5"/>
  <c r="P173" i="4"/>
  <c r="P173" i="5"/>
  <c r="F173" i="4"/>
  <c r="F173" i="5"/>
  <c r="R173" i="6"/>
  <c r="Q171" i="4"/>
  <c r="Q171" i="5"/>
  <c r="D171" i="6"/>
  <c r="K171" i="6"/>
  <c r="Q171" i="6"/>
  <c r="E171" i="6"/>
  <c r="S171" i="6"/>
  <c r="O171" i="6"/>
  <c r="G171" i="6"/>
  <c r="M171" i="6"/>
  <c r="U171" i="6"/>
  <c r="M171" i="4"/>
  <c r="M171" i="5"/>
  <c r="I171" i="6"/>
  <c r="D171" i="4"/>
  <c r="D171" i="5"/>
  <c r="U171" i="4"/>
  <c r="U171" i="5"/>
  <c r="G171" i="4"/>
  <c r="G171" i="5"/>
  <c r="S171" i="4"/>
  <c r="S171" i="5"/>
  <c r="K171" i="4"/>
  <c r="K171" i="5"/>
  <c r="I171" i="4"/>
  <c r="I171" i="5"/>
  <c r="E171" i="4"/>
  <c r="E171" i="5"/>
  <c r="H171" i="6"/>
  <c r="N171" i="6"/>
  <c r="V171" i="6"/>
  <c r="L171" i="6"/>
  <c r="P171" i="6"/>
  <c r="F171" i="6"/>
  <c r="P171" i="4"/>
  <c r="P171" i="5"/>
  <c r="R171" i="6"/>
  <c r="T171" i="4"/>
  <c r="T171" i="5"/>
  <c r="F171" i="4"/>
  <c r="F171" i="5"/>
  <c r="N171" i="4"/>
  <c r="N171" i="5"/>
  <c r="R171" i="4"/>
  <c r="R171" i="5"/>
  <c r="T171" i="6"/>
  <c r="J171" i="4"/>
  <c r="J171" i="5"/>
  <c r="H171" i="4"/>
  <c r="H171" i="5"/>
  <c r="V171" i="4"/>
  <c r="V171" i="5"/>
  <c r="L171" i="4"/>
  <c r="L171" i="5"/>
  <c r="J171" i="6"/>
  <c r="O171" i="4"/>
  <c r="O171" i="5"/>
  <c r="D169" i="6"/>
  <c r="P169" i="6"/>
  <c r="R169" i="6"/>
  <c r="J169" i="6"/>
  <c r="H169" i="6"/>
  <c r="N169" i="6"/>
  <c r="T169" i="6"/>
  <c r="F169" i="6"/>
  <c r="L169" i="6"/>
  <c r="F169" i="4"/>
  <c r="F169" i="5"/>
  <c r="J169" i="4"/>
  <c r="J169" i="5"/>
  <c r="N169" i="4"/>
  <c r="N169" i="5"/>
  <c r="R169" i="4"/>
  <c r="R169" i="5"/>
  <c r="T169" i="4"/>
  <c r="T169" i="5"/>
  <c r="V169" i="4"/>
  <c r="V169" i="5"/>
  <c r="D169" i="4"/>
  <c r="D169" i="5"/>
  <c r="H169" i="4"/>
  <c r="H169" i="5"/>
  <c r="L169" i="4"/>
  <c r="L169" i="5"/>
  <c r="P169" i="4"/>
  <c r="P169" i="5"/>
  <c r="V169" i="6"/>
  <c r="G169" i="6"/>
  <c r="K169" i="6"/>
  <c r="O169" i="6"/>
  <c r="S169" i="6"/>
  <c r="E169" i="6"/>
  <c r="I169" i="6"/>
  <c r="M169" i="4"/>
  <c r="M169" i="5"/>
  <c r="Q169" i="6"/>
  <c r="U169" i="6"/>
  <c r="U169" i="4"/>
  <c r="U169" i="5"/>
  <c r="G169" i="4"/>
  <c r="G169" i="5"/>
  <c r="Q169" i="4"/>
  <c r="Q169" i="5"/>
  <c r="I169" i="4"/>
  <c r="I169" i="5"/>
  <c r="S169" i="4"/>
  <c r="S169" i="5"/>
  <c r="K169" i="4"/>
  <c r="K169" i="5"/>
  <c r="E169" i="4"/>
  <c r="E169" i="5"/>
  <c r="O169" i="4"/>
  <c r="O169" i="5"/>
  <c r="M169" i="6"/>
  <c r="D129" i="4"/>
  <c r="D129" i="5"/>
  <c r="G129" i="6"/>
  <c r="K129" i="6"/>
  <c r="O129" i="6"/>
  <c r="S129" i="6"/>
  <c r="D129" i="6"/>
  <c r="E129" i="6"/>
  <c r="I129" i="6"/>
  <c r="M129" i="6"/>
  <c r="Q129" i="6"/>
  <c r="U129" i="6"/>
  <c r="T129" i="4"/>
  <c r="T129" i="5"/>
  <c r="L129" i="4"/>
  <c r="L129" i="5"/>
  <c r="H129" i="6"/>
  <c r="P129" i="6"/>
  <c r="H129" i="4"/>
  <c r="H129" i="5"/>
  <c r="F129" i="6"/>
  <c r="R129" i="6"/>
  <c r="G129" i="4"/>
  <c r="G129" i="5"/>
  <c r="O129" i="4"/>
  <c r="O129" i="5"/>
  <c r="J129" i="4"/>
  <c r="J129" i="5"/>
  <c r="J129" i="6"/>
  <c r="F129" i="4"/>
  <c r="F129" i="5"/>
  <c r="R129" i="4"/>
  <c r="R129" i="5"/>
  <c r="L129" i="6"/>
  <c r="V129" i="4"/>
  <c r="V129" i="5"/>
  <c r="V129" i="6"/>
  <c r="N129" i="6"/>
  <c r="P129" i="4"/>
  <c r="P129" i="5"/>
  <c r="N129" i="4"/>
  <c r="N129" i="5"/>
  <c r="T129" i="6"/>
  <c r="M129" i="4"/>
  <c r="M129" i="5"/>
  <c r="K129" i="4"/>
  <c r="K129" i="5"/>
  <c r="U129" i="4"/>
  <c r="U129" i="5"/>
  <c r="Q129" i="4"/>
  <c r="Q129" i="5"/>
  <c r="S129" i="4"/>
  <c r="S129" i="5"/>
  <c r="I129" i="4"/>
  <c r="I129" i="5"/>
  <c r="E129" i="4"/>
  <c r="E129" i="5"/>
  <c r="T57" i="4"/>
  <c r="T57" i="5"/>
  <c r="D57" i="6"/>
  <c r="J57" i="6"/>
  <c r="H57" i="6"/>
  <c r="P57" i="4"/>
  <c r="P57" i="5"/>
  <c r="P57" i="6"/>
  <c r="L57" i="6"/>
  <c r="J57" i="4"/>
  <c r="J57" i="5"/>
  <c r="R57" i="6"/>
  <c r="F57" i="4"/>
  <c r="F57" i="5"/>
  <c r="V57" i="4"/>
  <c r="V57" i="5"/>
  <c r="H57" i="4"/>
  <c r="H57" i="5"/>
  <c r="N57" i="6"/>
  <c r="R57" i="4"/>
  <c r="R57" i="5"/>
  <c r="V57" i="6"/>
  <c r="S57" i="4"/>
  <c r="S57" i="5"/>
  <c r="Q57" i="6"/>
  <c r="O57" i="4"/>
  <c r="O57" i="5"/>
  <c r="N57" i="4"/>
  <c r="N57" i="5"/>
  <c r="L57" i="4"/>
  <c r="L57" i="5"/>
  <c r="M57" i="4"/>
  <c r="M57" i="5"/>
  <c r="I57" i="6"/>
  <c r="U57" i="4"/>
  <c r="U57" i="5"/>
  <c r="U57" i="6"/>
  <c r="Q57" i="4"/>
  <c r="Q57" i="5"/>
  <c r="O57" i="6"/>
  <c r="K57" i="4"/>
  <c r="K57" i="5"/>
  <c r="E57" i="4"/>
  <c r="E57" i="5"/>
  <c r="G57" i="6"/>
  <c r="S57" i="6"/>
  <c r="D57" i="4"/>
  <c r="D57" i="5"/>
  <c r="F57" i="6"/>
  <c r="E57" i="6"/>
  <c r="I57" i="4"/>
  <c r="I57" i="5"/>
  <c r="K57" i="6"/>
  <c r="T57" i="6"/>
  <c r="G57" i="4"/>
  <c r="G57" i="5"/>
  <c r="M57" i="6"/>
  <c r="V134" i="6"/>
  <c r="E134" i="4"/>
  <c r="E134" i="5"/>
  <c r="N134" i="4"/>
  <c r="N134" i="5"/>
  <c r="J134" i="6"/>
  <c r="F134" i="4"/>
  <c r="F134" i="5"/>
  <c r="D134" i="4"/>
  <c r="D134" i="5"/>
  <c r="S134" i="4"/>
  <c r="S134" i="5"/>
  <c r="G134" i="4"/>
  <c r="G134" i="5"/>
  <c r="K134" i="6"/>
  <c r="Q134" i="6"/>
  <c r="O134" i="4"/>
  <c r="O134" i="5"/>
  <c r="I134" i="6"/>
  <c r="G134" i="6"/>
  <c r="V134" i="4"/>
  <c r="V134" i="5"/>
  <c r="R134" i="4"/>
  <c r="R134" i="5"/>
  <c r="R134" i="6"/>
  <c r="N134" i="6"/>
  <c r="J134" i="4"/>
  <c r="J134" i="5"/>
  <c r="U134" i="6"/>
  <c r="M134" i="4"/>
  <c r="M134" i="5"/>
  <c r="Q134" i="4"/>
  <c r="Q134" i="5"/>
  <c r="D134" i="6"/>
  <c r="S134" i="6"/>
  <c r="U134" i="4"/>
  <c r="U134" i="5"/>
  <c r="O134" i="6"/>
  <c r="P134" i="4"/>
  <c r="P134" i="5"/>
  <c r="L134" i="6"/>
  <c r="H134" i="4"/>
  <c r="H134" i="5"/>
  <c r="H134" i="6"/>
  <c r="F134" i="6"/>
  <c r="T134" i="4"/>
  <c r="T134" i="5"/>
  <c r="T134" i="6"/>
  <c r="P134" i="6"/>
  <c r="L134" i="4"/>
  <c r="L134" i="5"/>
  <c r="I134" i="4"/>
  <c r="I134" i="5"/>
  <c r="E134" i="6"/>
  <c r="M134" i="6"/>
  <c r="K134" i="4"/>
  <c r="K134" i="5"/>
  <c r="D40" i="4"/>
  <c r="D40" i="5"/>
  <c r="L40" i="6"/>
  <c r="P40" i="4"/>
  <c r="P40" i="5"/>
  <c r="J40" i="6"/>
  <c r="H40" i="6"/>
  <c r="N40" i="6"/>
  <c r="P40" i="6"/>
  <c r="T40" i="4"/>
  <c r="T40" i="5"/>
  <c r="R40" i="6"/>
  <c r="V40" i="4"/>
  <c r="V40" i="5"/>
  <c r="N40" i="4"/>
  <c r="N40" i="5"/>
  <c r="J40" i="4"/>
  <c r="J40" i="5"/>
  <c r="F40" i="4"/>
  <c r="F40" i="5"/>
  <c r="H40" i="4"/>
  <c r="H40" i="5"/>
  <c r="F40" i="6"/>
  <c r="T40" i="6"/>
  <c r="L40" i="4"/>
  <c r="L40" i="5"/>
  <c r="D40" i="6"/>
  <c r="V40" i="6"/>
  <c r="R40" i="4"/>
  <c r="R40" i="5"/>
  <c r="K40" i="6"/>
  <c r="E40" i="6"/>
  <c r="M40" i="6"/>
  <c r="U40" i="6"/>
  <c r="O40" i="6"/>
  <c r="I40" i="6"/>
  <c r="Q40" i="4"/>
  <c r="Q40" i="5"/>
  <c r="S40" i="4"/>
  <c r="S40" i="5"/>
  <c r="G40" i="6"/>
  <c r="G40" i="4"/>
  <c r="G40" i="5"/>
  <c r="M40" i="4"/>
  <c r="M40" i="5"/>
  <c r="E40" i="4"/>
  <c r="E40" i="5"/>
  <c r="U40" i="4"/>
  <c r="U40" i="5"/>
  <c r="Q40" i="6"/>
  <c r="I40" i="4"/>
  <c r="I40" i="5"/>
  <c r="S40" i="6"/>
  <c r="K40" i="4"/>
  <c r="K40" i="5"/>
  <c r="O40" i="4"/>
  <c r="O40" i="5"/>
  <c r="N279" i="4"/>
  <c r="N279" i="5"/>
  <c r="J279" i="6"/>
  <c r="D279" i="4"/>
  <c r="D279" i="5"/>
  <c r="T279" i="6"/>
  <c r="F279" i="4"/>
  <c r="F279" i="5"/>
  <c r="R279" i="6"/>
  <c r="T279" i="4"/>
  <c r="T279" i="5"/>
  <c r="V279" i="4"/>
  <c r="V279" i="5"/>
  <c r="P279" i="4"/>
  <c r="P279" i="5"/>
  <c r="L279" i="4"/>
  <c r="L279" i="5"/>
  <c r="D279" i="6"/>
  <c r="N279" i="6"/>
  <c r="H279" i="4"/>
  <c r="H279" i="5"/>
  <c r="H279" i="6"/>
  <c r="S279" i="4"/>
  <c r="S279" i="5"/>
  <c r="G279" i="4"/>
  <c r="G279" i="5"/>
  <c r="G279" i="6"/>
  <c r="E279" i="4"/>
  <c r="E279" i="5"/>
  <c r="E279" i="6"/>
  <c r="I279" i="6"/>
  <c r="P279" i="6"/>
  <c r="J279" i="4"/>
  <c r="J279" i="5"/>
  <c r="R279" i="4"/>
  <c r="R279" i="5"/>
  <c r="F279" i="6"/>
  <c r="V279" i="6"/>
  <c r="L279" i="6"/>
  <c r="S279" i="6"/>
  <c r="I279" i="4"/>
  <c r="I279" i="5"/>
  <c r="O279" i="4"/>
  <c r="O279" i="5"/>
  <c r="O279" i="6"/>
  <c r="K279" i="6"/>
  <c r="M279" i="6"/>
  <c r="U279" i="4"/>
  <c r="U279" i="5"/>
  <c r="K279" i="4"/>
  <c r="K279" i="5"/>
  <c r="M279" i="4"/>
  <c r="M279" i="5"/>
  <c r="Q279" i="4"/>
  <c r="Q279" i="5"/>
  <c r="Q279" i="6"/>
  <c r="U279" i="6"/>
  <c r="F500" i="4"/>
  <c r="F500" i="5"/>
  <c r="N500" i="4"/>
  <c r="N500" i="5"/>
  <c r="T500" i="6"/>
  <c r="L500" i="6"/>
  <c r="V500" i="6"/>
  <c r="R500" i="6"/>
  <c r="H500" i="6"/>
  <c r="D500" i="6"/>
  <c r="P500" i="6"/>
  <c r="F500" i="6"/>
  <c r="N500" i="6"/>
  <c r="J500" i="6"/>
  <c r="D500" i="4"/>
  <c r="D500" i="5"/>
  <c r="L500" i="4"/>
  <c r="L500" i="5"/>
  <c r="T500" i="4"/>
  <c r="T500" i="5"/>
  <c r="H500" i="4"/>
  <c r="H500" i="5"/>
  <c r="P500" i="4"/>
  <c r="P500" i="5"/>
  <c r="Q500" i="6"/>
  <c r="K500" i="4"/>
  <c r="K500" i="5"/>
  <c r="I500" i="6"/>
  <c r="E500" i="6"/>
  <c r="S500" i="6"/>
  <c r="M500" i="6"/>
  <c r="G500" i="6"/>
  <c r="U500" i="4"/>
  <c r="U500" i="5"/>
  <c r="U500" i="6"/>
  <c r="O500" i="4"/>
  <c r="O500" i="5"/>
  <c r="M500" i="4"/>
  <c r="M500" i="5"/>
  <c r="G500" i="4"/>
  <c r="G500" i="5"/>
  <c r="E500" i="4"/>
  <c r="E500" i="5"/>
  <c r="K500" i="6"/>
  <c r="O500" i="6"/>
  <c r="I500" i="4"/>
  <c r="I500" i="5"/>
  <c r="S500" i="4"/>
  <c r="S500" i="5"/>
  <c r="Q500" i="4"/>
  <c r="Q500" i="5"/>
  <c r="R500" i="4"/>
  <c r="R500" i="5"/>
  <c r="J500" i="4"/>
  <c r="J500" i="5"/>
  <c r="V500" i="4"/>
  <c r="V500" i="5"/>
  <c r="T510" i="6"/>
  <c r="P510" i="6"/>
  <c r="L510" i="6"/>
  <c r="H510" i="6"/>
  <c r="D510" i="6"/>
  <c r="V510" i="4"/>
  <c r="V510" i="5"/>
  <c r="R510" i="4"/>
  <c r="R510" i="5"/>
  <c r="N510" i="4"/>
  <c r="N510" i="5"/>
  <c r="J510" i="4"/>
  <c r="J510" i="5"/>
  <c r="F510" i="4"/>
  <c r="F510" i="5"/>
  <c r="V510" i="6"/>
  <c r="R510" i="6"/>
  <c r="N510" i="6"/>
  <c r="J510" i="6"/>
  <c r="F510" i="6"/>
  <c r="O510" i="6"/>
  <c r="T510" i="4"/>
  <c r="T510" i="5"/>
  <c r="P510" i="4"/>
  <c r="P510" i="5"/>
  <c r="L510" i="4"/>
  <c r="L510" i="5"/>
  <c r="H510" i="4"/>
  <c r="H510" i="5"/>
  <c r="D510" i="4"/>
  <c r="D510" i="5"/>
  <c r="O510" i="4"/>
  <c r="O510" i="5"/>
  <c r="I510" i="6"/>
  <c r="U510" i="4"/>
  <c r="U510" i="5"/>
  <c r="K510" i="6"/>
  <c r="G510" i="6"/>
  <c r="S510" i="6"/>
  <c r="Q510" i="6"/>
  <c r="K510" i="4"/>
  <c r="K510" i="5"/>
  <c r="E510" i="4"/>
  <c r="E510" i="5"/>
  <c r="S510" i="4"/>
  <c r="S510" i="5"/>
  <c r="Q510" i="4"/>
  <c r="Q510" i="5"/>
  <c r="U510" i="6"/>
  <c r="E510" i="6"/>
  <c r="M510" i="6"/>
  <c r="G510" i="4"/>
  <c r="G510" i="5"/>
  <c r="M510" i="4"/>
  <c r="M510" i="5"/>
  <c r="I510" i="4"/>
  <c r="I510" i="5"/>
  <c r="T50" i="4"/>
  <c r="T50" i="5"/>
  <c r="H50" i="6"/>
  <c r="P50" i="6"/>
  <c r="F50" i="6"/>
  <c r="N50" i="6"/>
  <c r="V50" i="6"/>
  <c r="D50" i="6"/>
  <c r="L50" i="6"/>
  <c r="T50" i="6"/>
  <c r="J50" i="6"/>
  <c r="R50" i="6"/>
  <c r="J50" i="4"/>
  <c r="J50" i="5"/>
  <c r="N50" i="4"/>
  <c r="N50" i="5"/>
  <c r="O50" i="6"/>
  <c r="G50" i="6"/>
  <c r="D50" i="4"/>
  <c r="D50" i="5"/>
  <c r="H50" i="4"/>
  <c r="H50" i="5"/>
  <c r="U50" i="6"/>
  <c r="M50" i="6"/>
  <c r="E50" i="6"/>
  <c r="S50" i="4"/>
  <c r="S50" i="5"/>
  <c r="K50" i="6"/>
  <c r="M50" i="4"/>
  <c r="M50" i="5"/>
  <c r="Q50" i="4"/>
  <c r="Q50" i="5"/>
  <c r="Q50" i="6"/>
  <c r="E50" i="4"/>
  <c r="E50" i="5"/>
  <c r="S50" i="6"/>
  <c r="K50" i="4"/>
  <c r="K50" i="5"/>
  <c r="I50" i="6"/>
  <c r="G50" i="4"/>
  <c r="G50" i="5"/>
  <c r="I50" i="4"/>
  <c r="I50" i="5"/>
  <c r="O50" i="4"/>
  <c r="O50" i="5"/>
  <c r="U50" i="4"/>
  <c r="U50" i="5"/>
  <c r="V50" i="4"/>
  <c r="V50" i="5"/>
  <c r="P50" i="4"/>
  <c r="P50" i="5"/>
  <c r="R50" i="4"/>
  <c r="R50" i="5"/>
  <c r="F50" i="4"/>
  <c r="F50" i="5"/>
  <c r="L50" i="4"/>
  <c r="L50" i="5"/>
  <c r="L18" i="6"/>
  <c r="R18" i="6"/>
  <c r="V18" i="4"/>
  <c r="V18" i="5"/>
  <c r="K18" i="4"/>
  <c r="K18" i="5"/>
  <c r="S18" i="4"/>
  <c r="S18" i="5"/>
  <c r="R18" i="4"/>
  <c r="R18" i="5"/>
  <c r="D18" i="4"/>
  <c r="D18" i="5"/>
  <c r="S18" i="6"/>
  <c r="Q18" i="6"/>
  <c r="P18" i="4"/>
  <c r="P18" i="5"/>
  <c r="G18" i="4"/>
  <c r="G18" i="5"/>
  <c r="H18" i="4"/>
  <c r="H18" i="5"/>
  <c r="O18" i="4"/>
  <c r="O18" i="5"/>
  <c r="M18" i="6"/>
  <c r="N18" i="6"/>
  <c r="O18" i="6"/>
  <c r="U18" i="4"/>
  <c r="U18" i="5"/>
  <c r="J18" i="4"/>
  <c r="J18" i="5"/>
  <c r="T18" i="4"/>
  <c r="T18" i="5"/>
  <c r="I18" i="6"/>
  <c r="N18" i="4"/>
  <c r="N18" i="5"/>
  <c r="F18" i="4"/>
  <c r="F18" i="5"/>
  <c r="D18" i="6"/>
  <c r="V18" i="6"/>
  <c r="E18" i="6"/>
  <c r="M18" i="4"/>
  <c r="M18" i="5"/>
  <c r="L18" i="4"/>
  <c r="L18" i="5"/>
  <c r="F18" i="6"/>
  <c r="H18" i="6"/>
  <c r="E18" i="4"/>
  <c r="E18" i="5"/>
  <c r="Q18" i="4"/>
  <c r="Q18" i="5"/>
  <c r="U18" i="6"/>
  <c r="K18" i="6"/>
  <c r="P18" i="6"/>
  <c r="I18" i="4"/>
  <c r="I18" i="5"/>
  <c r="T18" i="6"/>
  <c r="J18" i="6"/>
  <c r="G18" i="6"/>
  <c r="G183" i="4"/>
  <c r="G183" i="5"/>
  <c r="D183" i="6"/>
  <c r="K183" i="6"/>
  <c r="U183" i="6"/>
  <c r="O183" i="6"/>
  <c r="I183" i="6"/>
  <c r="U183" i="4"/>
  <c r="U183" i="5"/>
  <c r="S183" i="4"/>
  <c r="S183" i="5"/>
  <c r="N183" i="4"/>
  <c r="N183" i="5"/>
  <c r="Q183" i="4"/>
  <c r="Q183" i="5"/>
  <c r="G183" i="6"/>
  <c r="Q183" i="6"/>
  <c r="E183" i="6"/>
  <c r="M183" i="4"/>
  <c r="M183" i="5"/>
  <c r="S183" i="6"/>
  <c r="M183" i="6"/>
  <c r="O183" i="4"/>
  <c r="O183" i="5"/>
  <c r="I183" i="4"/>
  <c r="I183" i="5"/>
  <c r="D183" i="4"/>
  <c r="D183" i="5"/>
  <c r="K183" i="4"/>
  <c r="K183" i="5"/>
  <c r="H183" i="6"/>
  <c r="L183" i="6"/>
  <c r="P183" i="6"/>
  <c r="T183" i="6"/>
  <c r="F183" i="4"/>
  <c r="F183" i="5"/>
  <c r="J183" i="6"/>
  <c r="N183" i="6"/>
  <c r="R183" i="6"/>
  <c r="V183" i="6"/>
  <c r="J183" i="4"/>
  <c r="J183" i="5"/>
  <c r="F183" i="6"/>
  <c r="L183" i="4"/>
  <c r="L183" i="5"/>
  <c r="T183" i="4"/>
  <c r="T183" i="5"/>
  <c r="P183" i="4"/>
  <c r="P183" i="5"/>
  <c r="R183" i="4"/>
  <c r="R183" i="5"/>
  <c r="H183" i="4"/>
  <c r="H183" i="5"/>
  <c r="V183" i="4"/>
  <c r="V183" i="5"/>
  <c r="E183" i="4"/>
  <c r="E183" i="5"/>
  <c r="E368" i="6"/>
  <c r="K368" i="6"/>
  <c r="U368" i="6"/>
  <c r="G368" i="4"/>
  <c r="G368" i="5"/>
  <c r="N368" i="4"/>
  <c r="N368" i="5"/>
  <c r="F368" i="4"/>
  <c r="F368" i="5"/>
  <c r="T368" i="6"/>
  <c r="V368" i="4"/>
  <c r="V368" i="5"/>
  <c r="K368" i="4"/>
  <c r="K368" i="5"/>
  <c r="O368" i="6"/>
  <c r="I368" i="6"/>
  <c r="E368" i="4"/>
  <c r="E368" i="5"/>
  <c r="M368" i="4"/>
  <c r="M368" i="5"/>
  <c r="U368" i="4"/>
  <c r="U368" i="5"/>
  <c r="S368" i="6"/>
  <c r="N368" i="6"/>
  <c r="V368" i="6"/>
  <c r="S368" i="4"/>
  <c r="S368" i="5"/>
  <c r="Q368" i="6"/>
  <c r="I368" i="4"/>
  <c r="I368" i="5"/>
  <c r="Q368" i="4"/>
  <c r="Q368" i="5"/>
  <c r="D368" i="6"/>
  <c r="J368" i="4"/>
  <c r="J368" i="5"/>
  <c r="T368" i="4"/>
  <c r="T368" i="5"/>
  <c r="F368" i="6"/>
  <c r="H368" i="4"/>
  <c r="H368" i="5"/>
  <c r="L368" i="4"/>
  <c r="L368" i="5"/>
  <c r="P368" i="6"/>
  <c r="R368" i="4"/>
  <c r="R368" i="5"/>
  <c r="O368" i="4"/>
  <c r="O368" i="5"/>
  <c r="L368" i="6"/>
  <c r="D368" i="4"/>
  <c r="D368" i="5"/>
  <c r="H368" i="6"/>
  <c r="P368" i="4"/>
  <c r="P368" i="5"/>
  <c r="R368" i="6"/>
  <c r="J368" i="6"/>
  <c r="M368" i="6"/>
  <c r="G368" i="6"/>
  <c r="G393" i="4"/>
  <c r="G393" i="5"/>
  <c r="U393" i="6"/>
  <c r="O393" i="4"/>
  <c r="O393" i="5"/>
  <c r="I393" i="4"/>
  <c r="I393" i="5"/>
  <c r="Q393" i="4"/>
  <c r="Q393" i="5"/>
  <c r="E393" i="6"/>
  <c r="L393" i="4"/>
  <c r="L393" i="5"/>
  <c r="P393" i="4"/>
  <c r="P393" i="5"/>
  <c r="R393" i="6"/>
  <c r="T393" i="4"/>
  <c r="T393" i="5"/>
  <c r="H393" i="6"/>
  <c r="F393" i="4"/>
  <c r="F393" i="5"/>
  <c r="J393" i="4"/>
  <c r="J393" i="5"/>
  <c r="J393" i="6"/>
  <c r="N393" i="4"/>
  <c r="N393" i="5"/>
  <c r="T393" i="6"/>
  <c r="K393" i="6"/>
  <c r="D393" i="6"/>
  <c r="Q393" i="6"/>
  <c r="H393" i="4"/>
  <c r="H393" i="5"/>
  <c r="F393" i="6"/>
  <c r="N393" i="6"/>
  <c r="D393" i="4"/>
  <c r="D393" i="5"/>
  <c r="S393" i="6"/>
  <c r="I393" i="6"/>
  <c r="K393" i="4"/>
  <c r="K393" i="5"/>
  <c r="S393" i="4"/>
  <c r="S393" i="5"/>
  <c r="G393" i="6"/>
  <c r="L393" i="6"/>
  <c r="O393" i="6"/>
  <c r="P393" i="6"/>
  <c r="R393" i="4"/>
  <c r="R393" i="5"/>
  <c r="V393" i="4"/>
  <c r="V393" i="5"/>
  <c r="M393" i="6"/>
  <c r="U393" i="4"/>
  <c r="U393" i="5"/>
  <c r="M393" i="4"/>
  <c r="M393" i="5"/>
  <c r="E393" i="4"/>
  <c r="E393" i="5"/>
  <c r="V393" i="6"/>
  <c r="L489" i="4"/>
  <c r="L489" i="5"/>
  <c r="F489" i="4"/>
  <c r="F489" i="5"/>
  <c r="D489" i="4"/>
  <c r="D489" i="5"/>
  <c r="G489" i="6"/>
  <c r="K489" i="6"/>
  <c r="O489" i="6"/>
  <c r="S489" i="6"/>
  <c r="U489" i="4"/>
  <c r="U489" i="5"/>
  <c r="Q489" i="4"/>
  <c r="Q489" i="5"/>
  <c r="M489" i="4"/>
  <c r="M489" i="5"/>
  <c r="I489" i="4"/>
  <c r="I489" i="5"/>
  <c r="E489" i="4"/>
  <c r="E489" i="5"/>
  <c r="D489" i="6"/>
  <c r="H489" i="6"/>
  <c r="L489" i="6"/>
  <c r="P489" i="6"/>
  <c r="T489" i="6"/>
  <c r="S489" i="4"/>
  <c r="S489" i="5"/>
  <c r="O489" i="4"/>
  <c r="O489" i="5"/>
  <c r="K489" i="4"/>
  <c r="K489" i="5"/>
  <c r="G489" i="4"/>
  <c r="G489" i="5"/>
  <c r="P489" i="4"/>
  <c r="P489" i="5"/>
  <c r="T489" i="4"/>
  <c r="T489" i="5"/>
  <c r="E489" i="6"/>
  <c r="I489" i="6"/>
  <c r="M489" i="6"/>
  <c r="Q489" i="6"/>
  <c r="U489" i="6"/>
  <c r="F489" i="6"/>
  <c r="J489" i="6"/>
  <c r="N489" i="6"/>
  <c r="R489" i="6"/>
  <c r="V489" i="6"/>
  <c r="V489" i="4"/>
  <c r="V489" i="5"/>
  <c r="R489" i="4"/>
  <c r="R489" i="5"/>
  <c r="N489" i="4"/>
  <c r="N489" i="5"/>
  <c r="H489" i="4"/>
  <c r="H489" i="5"/>
  <c r="J489" i="4"/>
  <c r="J489" i="5"/>
  <c r="V473" i="6"/>
  <c r="N473" i="6"/>
  <c r="F473" i="6"/>
  <c r="P473" i="6"/>
  <c r="H473" i="6"/>
  <c r="T473" i="4"/>
  <c r="T473" i="5"/>
  <c r="L473" i="4"/>
  <c r="L473" i="5"/>
  <c r="E473" i="4"/>
  <c r="E473" i="5"/>
  <c r="R473" i="6"/>
  <c r="J473" i="6"/>
  <c r="D473" i="4"/>
  <c r="D473" i="5"/>
  <c r="V473" i="4"/>
  <c r="V473" i="5"/>
  <c r="R473" i="4"/>
  <c r="R473" i="5"/>
  <c r="N473" i="4"/>
  <c r="N473" i="5"/>
  <c r="J473" i="4"/>
  <c r="J473" i="5"/>
  <c r="F473" i="4"/>
  <c r="F473" i="5"/>
  <c r="T473" i="6"/>
  <c r="L473" i="6"/>
  <c r="D473" i="6"/>
  <c r="P473" i="4"/>
  <c r="P473" i="5"/>
  <c r="H473" i="4"/>
  <c r="H473" i="5"/>
  <c r="G473" i="4"/>
  <c r="G473" i="5"/>
  <c r="K473" i="6"/>
  <c r="O473" i="4"/>
  <c r="O473" i="5"/>
  <c r="Q473" i="6"/>
  <c r="U473" i="6"/>
  <c r="E473" i="6"/>
  <c r="I473" i="6"/>
  <c r="M473" i="6"/>
  <c r="S473" i="6"/>
  <c r="M473" i="4"/>
  <c r="M473" i="5"/>
  <c r="I473" i="4"/>
  <c r="I473" i="5"/>
  <c r="Q473" i="4"/>
  <c r="Q473" i="5"/>
  <c r="O473" i="6"/>
  <c r="G473" i="6"/>
  <c r="U473" i="4"/>
  <c r="U473" i="5"/>
  <c r="S473" i="4"/>
  <c r="S473" i="5"/>
  <c r="K473" i="4"/>
  <c r="K473" i="5"/>
  <c r="G64" i="4"/>
  <c r="G64" i="5"/>
  <c r="K64" i="4"/>
  <c r="K64" i="5"/>
  <c r="I64" i="4"/>
  <c r="I64" i="5"/>
  <c r="D64" i="6"/>
  <c r="S64" i="4"/>
  <c r="S64" i="5"/>
  <c r="Q64" i="4"/>
  <c r="Q64" i="5"/>
  <c r="D64" i="4"/>
  <c r="D64" i="5"/>
  <c r="M64" i="6"/>
  <c r="I64" i="6"/>
  <c r="U64" i="6"/>
  <c r="G64" i="6"/>
  <c r="Q64" i="6"/>
  <c r="S64" i="6"/>
  <c r="U64" i="4"/>
  <c r="U64" i="5"/>
  <c r="E64" i="4"/>
  <c r="E64" i="5"/>
  <c r="E64" i="6"/>
  <c r="M64" i="4"/>
  <c r="M64" i="5"/>
  <c r="K64" i="6"/>
  <c r="P64" i="6"/>
  <c r="T64" i="4"/>
  <c r="T64" i="5"/>
  <c r="H64" i="6"/>
  <c r="T64" i="6"/>
  <c r="H64" i="4"/>
  <c r="H64" i="5"/>
  <c r="V64" i="6"/>
  <c r="J64" i="6"/>
  <c r="N64" i="4"/>
  <c r="N64" i="5"/>
  <c r="L64" i="6"/>
  <c r="F64" i="4"/>
  <c r="F64" i="5"/>
  <c r="F64" i="6"/>
  <c r="V64" i="4"/>
  <c r="V64" i="5"/>
  <c r="J64" i="4"/>
  <c r="J64" i="5"/>
  <c r="N64" i="6"/>
  <c r="L64" i="4"/>
  <c r="L64" i="5"/>
  <c r="R64" i="4"/>
  <c r="R64" i="5"/>
  <c r="R64" i="6"/>
  <c r="P64" i="4"/>
  <c r="P64" i="5"/>
  <c r="O64" i="4"/>
  <c r="O64" i="5"/>
  <c r="O64" i="6"/>
  <c r="J97" i="4"/>
  <c r="J97" i="5"/>
  <c r="H97" i="6"/>
  <c r="D97" i="4"/>
  <c r="D97" i="5"/>
  <c r="F97" i="4"/>
  <c r="F97" i="5"/>
  <c r="N97" i="4"/>
  <c r="N97" i="5"/>
  <c r="V97" i="4"/>
  <c r="V97" i="5"/>
  <c r="L97" i="4"/>
  <c r="L97" i="5"/>
  <c r="T97" i="4"/>
  <c r="T97" i="5"/>
  <c r="T97" i="6"/>
  <c r="G97" i="4"/>
  <c r="G97" i="5"/>
  <c r="M97" i="6"/>
  <c r="U97" i="6"/>
  <c r="L97" i="6"/>
  <c r="P97" i="6"/>
  <c r="I97" i="4"/>
  <c r="I97" i="5"/>
  <c r="S97" i="6"/>
  <c r="K97" i="4"/>
  <c r="K97" i="5"/>
  <c r="I97" i="6"/>
  <c r="O97" i="6"/>
  <c r="Q97" i="4"/>
  <c r="Q97" i="5"/>
  <c r="M97" i="4"/>
  <c r="M97" i="5"/>
  <c r="K97" i="6"/>
  <c r="G97" i="6"/>
  <c r="O97" i="4"/>
  <c r="O97" i="5"/>
  <c r="Q97" i="6"/>
  <c r="E97" i="4"/>
  <c r="E97" i="5"/>
  <c r="S97" i="4"/>
  <c r="S97" i="5"/>
  <c r="E97" i="6"/>
  <c r="U97" i="4"/>
  <c r="U97" i="5"/>
  <c r="R97" i="6"/>
  <c r="R97" i="4"/>
  <c r="R97" i="5"/>
  <c r="D97" i="6"/>
  <c r="P97" i="4"/>
  <c r="P97" i="5"/>
  <c r="J97" i="6"/>
  <c r="V97" i="6"/>
  <c r="N97" i="6"/>
  <c r="H97" i="4"/>
  <c r="H97" i="5"/>
  <c r="F97" i="6"/>
  <c r="Q456" i="4"/>
  <c r="Q456" i="5"/>
  <c r="O456" i="4"/>
  <c r="O456" i="5"/>
  <c r="Q456" i="6"/>
  <c r="K456" i="6"/>
  <c r="S456" i="4"/>
  <c r="S456" i="5"/>
  <c r="G456" i="4"/>
  <c r="G456" i="5"/>
  <c r="U456" i="4"/>
  <c r="U456" i="5"/>
  <c r="G456" i="6"/>
  <c r="E456" i="6"/>
  <c r="U456" i="6"/>
  <c r="E456" i="4"/>
  <c r="E456" i="5"/>
  <c r="K456" i="4"/>
  <c r="K456" i="5"/>
  <c r="D456" i="4"/>
  <c r="D456" i="5"/>
  <c r="O456" i="6"/>
  <c r="S456" i="6"/>
  <c r="I456" i="6"/>
  <c r="I456" i="4"/>
  <c r="I456" i="5"/>
  <c r="M456" i="4"/>
  <c r="M456" i="5"/>
  <c r="D456" i="6"/>
  <c r="M456" i="6"/>
  <c r="T456" i="6"/>
  <c r="H456" i="4"/>
  <c r="H456" i="5"/>
  <c r="L456" i="6"/>
  <c r="J456" i="4"/>
  <c r="J456" i="5"/>
  <c r="N456" i="6"/>
  <c r="V456" i="4"/>
  <c r="V456" i="5"/>
  <c r="L456" i="4"/>
  <c r="L456" i="5"/>
  <c r="J456" i="6"/>
  <c r="N456" i="4"/>
  <c r="N456" i="5"/>
  <c r="V456" i="6"/>
  <c r="F456" i="4"/>
  <c r="F456" i="5"/>
  <c r="F456" i="6"/>
  <c r="P456" i="6"/>
  <c r="R456" i="4"/>
  <c r="R456" i="5"/>
  <c r="P456" i="4"/>
  <c r="P456" i="5"/>
  <c r="R456" i="6"/>
  <c r="H456" i="6"/>
  <c r="T456" i="4"/>
  <c r="T456" i="5"/>
  <c r="H496" i="4"/>
  <c r="H496" i="5"/>
  <c r="F496" i="4"/>
  <c r="F496" i="5"/>
  <c r="T496" i="4"/>
  <c r="T496" i="5"/>
  <c r="R496" i="4"/>
  <c r="R496" i="5"/>
  <c r="J496" i="4"/>
  <c r="J496" i="5"/>
  <c r="U496" i="6"/>
  <c r="K496" i="4"/>
  <c r="K496" i="5"/>
  <c r="M496" i="4"/>
  <c r="M496" i="5"/>
  <c r="V496" i="6"/>
  <c r="R496" i="6"/>
  <c r="I496" i="4"/>
  <c r="I496" i="5"/>
  <c r="Q496" i="6"/>
  <c r="L496" i="6"/>
  <c r="F496" i="6"/>
  <c r="K496" i="6"/>
  <c r="G496" i="6"/>
  <c r="N496" i="6"/>
  <c r="G496" i="4"/>
  <c r="G496" i="5"/>
  <c r="S496" i="4"/>
  <c r="S496" i="5"/>
  <c r="D496" i="6"/>
  <c r="O496" i="6"/>
  <c r="J496" i="6"/>
  <c r="Q496" i="4"/>
  <c r="Q496" i="5"/>
  <c r="I496" i="6"/>
  <c r="P496" i="6"/>
  <c r="S496" i="6"/>
  <c r="H496" i="6"/>
  <c r="T496" i="6"/>
  <c r="O496" i="4"/>
  <c r="O496" i="5"/>
  <c r="P496" i="4"/>
  <c r="P496" i="5"/>
  <c r="V496" i="4"/>
  <c r="V496" i="5"/>
  <c r="L496" i="4"/>
  <c r="L496" i="5"/>
  <c r="N496" i="4"/>
  <c r="N496" i="5"/>
  <c r="D496" i="4"/>
  <c r="D496" i="5"/>
  <c r="E496" i="4"/>
  <c r="E496" i="5"/>
  <c r="M496" i="6"/>
  <c r="U496" i="4"/>
  <c r="U496" i="5"/>
  <c r="E496" i="6"/>
  <c r="G466" i="6"/>
  <c r="E466" i="4"/>
  <c r="E466" i="5"/>
  <c r="Q466" i="4"/>
  <c r="Q466" i="5"/>
  <c r="I466" i="4"/>
  <c r="I466" i="5"/>
  <c r="M466" i="4"/>
  <c r="M466" i="5"/>
  <c r="U466" i="4"/>
  <c r="U466" i="5"/>
  <c r="D466" i="4"/>
  <c r="D466" i="5"/>
  <c r="K466" i="6"/>
  <c r="I466" i="6"/>
  <c r="D466" i="6"/>
  <c r="M466" i="6"/>
  <c r="S466" i="6"/>
  <c r="Q466" i="6"/>
  <c r="O466" i="6"/>
  <c r="O466" i="4"/>
  <c r="O466" i="5"/>
  <c r="H466" i="4"/>
  <c r="H466" i="5"/>
  <c r="L466" i="4"/>
  <c r="L466" i="5"/>
  <c r="J466" i="6"/>
  <c r="N466" i="4"/>
  <c r="N466" i="5"/>
  <c r="P466" i="4"/>
  <c r="P466" i="5"/>
  <c r="T466" i="6"/>
  <c r="J466" i="4"/>
  <c r="J466" i="5"/>
  <c r="N466" i="6"/>
  <c r="P466" i="6"/>
  <c r="T466" i="4"/>
  <c r="T466" i="5"/>
  <c r="F466" i="4"/>
  <c r="F466" i="5"/>
  <c r="F466" i="6"/>
  <c r="R466" i="6"/>
  <c r="L466" i="6"/>
  <c r="H466" i="6"/>
  <c r="R466" i="4"/>
  <c r="R466" i="5"/>
  <c r="V466" i="4"/>
  <c r="V466" i="5"/>
  <c r="V466" i="6"/>
  <c r="U466" i="6"/>
  <c r="K466" i="4"/>
  <c r="K466" i="5"/>
  <c r="S466" i="4"/>
  <c r="S466" i="5"/>
  <c r="E466" i="6"/>
  <c r="G466" i="4"/>
  <c r="G466" i="5"/>
  <c r="I464" i="6"/>
  <c r="G464" i="6"/>
  <c r="U464" i="4"/>
  <c r="U464" i="5"/>
  <c r="S464" i="4"/>
  <c r="S464" i="5"/>
  <c r="K464" i="4"/>
  <c r="K464" i="5"/>
  <c r="O464" i="4"/>
  <c r="O464" i="5"/>
  <c r="I464" i="4"/>
  <c r="I464" i="5"/>
  <c r="Q464" i="6"/>
  <c r="G464" i="4"/>
  <c r="G464" i="5"/>
  <c r="D464" i="4"/>
  <c r="D464" i="5"/>
  <c r="M464" i="6"/>
  <c r="F464" i="6"/>
  <c r="J464" i="4"/>
  <c r="J464" i="5"/>
  <c r="T464" i="6"/>
  <c r="K464" i="6"/>
  <c r="M464" i="4"/>
  <c r="M464" i="5"/>
  <c r="Q464" i="4"/>
  <c r="Q464" i="5"/>
  <c r="O464" i="6"/>
  <c r="H464" i="6"/>
  <c r="L464" i="4"/>
  <c r="L464" i="5"/>
  <c r="J464" i="6"/>
  <c r="N464" i="4"/>
  <c r="N464" i="5"/>
  <c r="T464" i="4"/>
  <c r="T464" i="5"/>
  <c r="N464" i="6"/>
  <c r="P464" i="4"/>
  <c r="P464" i="5"/>
  <c r="P464" i="6"/>
  <c r="R464" i="6"/>
  <c r="V464" i="4"/>
  <c r="V464" i="5"/>
  <c r="F464" i="4"/>
  <c r="F464" i="5"/>
  <c r="L464" i="6"/>
  <c r="R464" i="4"/>
  <c r="R464" i="5"/>
  <c r="V464" i="6"/>
  <c r="H464" i="4"/>
  <c r="H464" i="5"/>
  <c r="S464" i="6"/>
  <c r="E464" i="6"/>
  <c r="U464" i="6"/>
  <c r="E464" i="4"/>
  <c r="E464" i="5"/>
  <c r="D464" i="6"/>
  <c r="U462" i="6"/>
  <c r="M462" i="4"/>
  <c r="M462" i="5"/>
  <c r="Q462" i="4"/>
  <c r="Q462" i="5"/>
  <c r="U462" i="4"/>
  <c r="U462" i="5"/>
  <c r="I462" i="4"/>
  <c r="I462" i="5"/>
  <c r="G462" i="6"/>
  <c r="D462" i="4"/>
  <c r="D462" i="5"/>
  <c r="S462" i="6"/>
  <c r="Q462" i="6"/>
  <c r="O462" i="6"/>
  <c r="S462" i="4"/>
  <c r="S462" i="5"/>
  <c r="O462" i="4"/>
  <c r="O462" i="5"/>
  <c r="K462" i="4"/>
  <c r="K462" i="5"/>
  <c r="G462" i="4"/>
  <c r="G462" i="5"/>
  <c r="K462" i="6"/>
  <c r="I462" i="6"/>
  <c r="D462" i="6"/>
  <c r="M462" i="6"/>
  <c r="N462" i="4"/>
  <c r="N462" i="5"/>
  <c r="P462" i="4"/>
  <c r="P462" i="5"/>
  <c r="J462" i="4"/>
  <c r="J462" i="5"/>
  <c r="L462" i="4"/>
  <c r="L462" i="5"/>
  <c r="L462" i="6"/>
  <c r="H462" i="6"/>
  <c r="T462" i="6"/>
  <c r="J462" i="6"/>
  <c r="H462" i="4"/>
  <c r="H462" i="5"/>
  <c r="T462" i="4"/>
  <c r="T462" i="5"/>
  <c r="F462" i="4"/>
  <c r="F462" i="5"/>
  <c r="F462" i="6"/>
  <c r="R462" i="6"/>
  <c r="N462" i="6"/>
  <c r="R462" i="4"/>
  <c r="R462" i="5"/>
  <c r="V462" i="4"/>
  <c r="V462" i="5"/>
  <c r="V462" i="6"/>
  <c r="P462" i="6"/>
  <c r="E462" i="6"/>
  <c r="E462" i="4"/>
  <c r="E462" i="5"/>
  <c r="I455" i="6"/>
  <c r="D455" i="6"/>
  <c r="M455" i="6"/>
  <c r="K455" i="6"/>
  <c r="Q455" i="6"/>
  <c r="G455" i="6"/>
  <c r="H455" i="4"/>
  <c r="H455" i="5"/>
  <c r="F455" i="4"/>
  <c r="F455" i="5"/>
  <c r="V455" i="4"/>
  <c r="V455" i="5"/>
  <c r="E455" i="6"/>
  <c r="U455" i="6"/>
  <c r="S455" i="6"/>
  <c r="O455" i="6"/>
  <c r="D455" i="4"/>
  <c r="D455" i="5"/>
  <c r="F455" i="6"/>
  <c r="J455" i="6"/>
  <c r="N455" i="6"/>
  <c r="R455" i="6"/>
  <c r="V455" i="6"/>
  <c r="H455" i="6"/>
  <c r="L455" i="6"/>
  <c r="P455" i="6"/>
  <c r="T455" i="6"/>
  <c r="N455" i="4"/>
  <c r="N455" i="5"/>
  <c r="P455" i="4"/>
  <c r="P455" i="5"/>
  <c r="J455" i="4"/>
  <c r="J455" i="5"/>
  <c r="L455" i="4"/>
  <c r="L455" i="5"/>
  <c r="Q455" i="4"/>
  <c r="Q455" i="5"/>
  <c r="I455" i="4"/>
  <c r="I455" i="5"/>
  <c r="S455" i="4"/>
  <c r="S455" i="5"/>
  <c r="O455" i="4"/>
  <c r="O455" i="5"/>
  <c r="K455" i="4"/>
  <c r="K455" i="5"/>
  <c r="G455" i="4"/>
  <c r="G455" i="5"/>
  <c r="M455" i="4"/>
  <c r="M455" i="5"/>
  <c r="R455" i="4"/>
  <c r="R455" i="5"/>
  <c r="T455" i="4"/>
  <c r="T455" i="5"/>
  <c r="E455" i="4"/>
  <c r="E455" i="5"/>
  <c r="U455" i="4"/>
  <c r="U455" i="5"/>
  <c r="E453" i="6"/>
  <c r="K453" i="4"/>
  <c r="K453" i="5"/>
  <c r="I453" i="4"/>
  <c r="I453" i="5"/>
  <c r="S453" i="6"/>
  <c r="Q453" i="6"/>
  <c r="O453" i="6"/>
  <c r="M453" i="6"/>
  <c r="U453" i="6"/>
  <c r="D453" i="4"/>
  <c r="D453" i="5"/>
  <c r="I453" i="6"/>
  <c r="G453" i="6"/>
  <c r="D453" i="6"/>
  <c r="K453" i="6"/>
  <c r="N453" i="4"/>
  <c r="N453" i="5"/>
  <c r="R453" i="4"/>
  <c r="R453" i="5"/>
  <c r="L453" i="4"/>
  <c r="L453" i="5"/>
  <c r="P453" i="4"/>
  <c r="P453" i="5"/>
  <c r="E453" i="4"/>
  <c r="E453" i="5"/>
  <c r="G453" i="4"/>
  <c r="G453" i="5"/>
  <c r="F453" i="4"/>
  <c r="F453" i="5"/>
  <c r="J453" i="6"/>
  <c r="P453" i="6"/>
  <c r="M453" i="4"/>
  <c r="M453" i="5"/>
  <c r="O453" i="4"/>
  <c r="O453" i="5"/>
  <c r="Q453" i="4"/>
  <c r="Q453" i="5"/>
  <c r="F453" i="6"/>
  <c r="J453" i="4"/>
  <c r="J453" i="5"/>
  <c r="H453" i="6"/>
  <c r="T453" i="6"/>
  <c r="V453" i="4"/>
  <c r="V453" i="5"/>
  <c r="N453" i="6"/>
  <c r="L453" i="6"/>
  <c r="H453" i="4"/>
  <c r="H453" i="5"/>
  <c r="T453" i="4"/>
  <c r="T453" i="5"/>
  <c r="V453" i="6"/>
  <c r="R453" i="6"/>
  <c r="S453" i="4"/>
  <c r="S453" i="5"/>
  <c r="U453" i="4"/>
  <c r="U453" i="5"/>
  <c r="D406" i="6"/>
  <c r="I406" i="6"/>
  <c r="M406" i="6"/>
  <c r="O406" i="6"/>
  <c r="U406" i="4"/>
  <c r="U406" i="5"/>
  <c r="Q406" i="4"/>
  <c r="Q406" i="5"/>
  <c r="M406" i="4"/>
  <c r="M406" i="5"/>
  <c r="I406" i="4"/>
  <c r="I406" i="5"/>
  <c r="E406" i="4"/>
  <c r="E406" i="5"/>
  <c r="K406" i="4"/>
  <c r="K406" i="5"/>
  <c r="S406" i="4"/>
  <c r="S406" i="5"/>
  <c r="K406" i="6"/>
  <c r="D406" i="4"/>
  <c r="D406" i="5"/>
  <c r="O406" i="4"/>
  <c r="O406" i="5"/>
  <c r="S406" i="6"/>
  <c r="U406" i="6"/>
  <c r="E406" i="6"/>
  <c r="G406" i="6"/>
  <c r="R406" i="4"/>
  <c r="R406" i="5"/>
  <c r="L406" i="6"/>
  <c r="H406" i="6"/>
  <c r="P406" i="4"/>
  <c r="P406" i="5"/>
  <c r="T406" i="4"/>
  <c r="T406" i="5"/>
  <c r="T406" i="6"/>
  <c r="F406" i="6"/>
  <c r="J406" i="4"/>
  <c r="J406" i="5"/>
  <c r="V406" i="6"/>
  <c r="H406" i="4"/>
  <c r="H406" i="5"/>
  <c r="P406" i="6"/>
  <c r="F406" i="4"/>
  <c r="F406" i="5"/>
  <c r="J406" i="6"/>
  <c r="V406" i="4"/>
  <c r="V406" i="5"/>
  <c r="N406" i="4"/>
  <c r="N406" i="5"/>
  <c r="N406" i="6"/>
  <c r="L406" i="4"/>
  <c r="L406" i="5"/>
  <c r="R406" i="6"/>
  <c r="G406" i="4"/>
  <c r="G406" i="5"/>
  <c r="Q406" i="6"/>
  <c r="O404" i="6"/>
  <c r="G404" i="6"/>
  <c r="O404" i="4"/>
  <c r="O404" i="5"/>
  <c r="G404" i="4"/>
  <c r="G404" i="5"/>
  <c r="S404" i="6"/>
  <c r="K404" i="6"/>
  <c r="S404" i="4"/>
  <c r="S404" i="5"/>
  <c r="K404" i="4"/>
  <c r="K404" i="5"/>
  <c r="V404" i="4"/>
  <c r="V404" i="5"/>
  <c r="F404" i="4"/>
  <c r="F404" i="5"/>
  <c r="L404" i="4"/>
  <c r="L404" i="5"/>
  <c r="N404" i="4"/>
  <c r="N404" i="5"/>
  <c r="P404" i="6"/>
  <c r="N404" i="6"/>
  <c r="M404" i="6"/>
  <c r="D404" i="4"/>
  <c r="D404" i="5"/>
  <c r="I404" i="6"/>
  <c r="R404" i="4"/>
  <c r="R404" i="5"/>
  <c r="T404" i="4"/>
  <c r="T404" i="5"/>
  <c r="E404" i="4"/>
  <c r="E404" i="5"/>
  <c r="Q404" i="6"/>
  <c r="E404" i="6"/>
  <c r="M404" i="4"/>
  <c r="M404" i="5"/>
  <c r="D404" i="6"/>
  <c r="R404" i="6"/>
  <c r="T404" i="6"/>
  <c r="J404" i="6"/>
  <c r="V404" i="6"/>
  <c r="L404" i="6"/>
  <c r="H404" i="4"/>
  <c r="H404" i="5"/>
  <c r="H404" i="6"/>
  <c r="J404" i="4"/>
  <c r="J404" i="5"/>
  <c r="F404" i="6"/>
  <c r="P404" i="4"/>
  <c r="P404" i="5"/>
  <c r="U404" i="4"/>
  <c r="U404" i="5"/>
  <c r="U404" i="6"/>
  <c r="I404" i="4"/>
  <c r="I404" i="5"/>
  <c r="Q404" i="4"/>
  <c r="Q404" i="5"/>
  <c r="Q402" i="4"/>
  <c r="Q402" i="5"/>
  <c r="E402" i="4"/>
  <c r="E402" i="5"/>
  <c r="U402" i="4"/>
  <c r="U402" i="5"/>
  <c r="Q402" i="6"/>
  <c r="E402" i="6"/>
  <c r="O402" i="6"/>
  <c r="G402" i="6"/>
  <c r="O402" i="4"/>
  <c r="O402" i="5"/>
  <c r="G402" i="4"/>
  <c r="G402" i="5"/>
  <c r="D402" i="4"/>
  <c r="D402" i="5"/>
  <c r="M402" i="4"/>
  <c r="M402" i="5"/>
  <c r="I402" i="6"/>
  <c r="I402" i="4"/>
  <c r="I402" i="5"/>
  <c r="U402" i="6"/>
  <c r="S402" i="6"/>
  <c r="K402" i="6"/>
  <c r="S402" i="4"/>
  <c r="S402" i="5"/>
  <c r="K402" i="4"/>
  <c r="K402" i="5"/>
  <c r="F402" i="4"/>
  <c r="F402" i="5"/>
  <c r="V402" i="4"/>
  <c r="V402" i="5"/>
  <c r="N402" i="4"/>
  <c r="N402" i="5"/>
  <c r="T402" i="4"/>
  <c r="T402" i="5"/>
  <c r="D402" i="6"/>
  <c r="R402" i="6"/>
  <c r="T402" i="6"/>
  <c r="N402" i="6"/>
  <c r="M402" i="6"/>
  <c r="H402" i="4"/>
  <c r="H402" i="5"/>
  <c r="H402" i="6"/>
  <c r="R402" i="4"/>
  <c r="R402" i="5"/>
  <c r="J402" i="4"/>
  <c r="J402" i="5"/>
  <c r="L402" i="6"/>
  <c r="P402" i="6"/>
  <c r="V402" i="6"/>
  <c r="J402" i="6"/>
  <c r="L402" i="4"/>
  <c r="L402" i="5"/>
  <c r="P402" i="4"/>
  <c r="P402" i="5"/>
  <c r="F402" i="6"/>
  <c r="O400" i="6"/>
  <c r="G400" i="6"/>
  <c r="O400" i="4"/>
  <c r="O400" i="5"/>
  <c r="G400" i="4"/>
  <c r="G400" i="5"/>
  <c r="S400" i="6"/>
  <c r="K400" i="6"/>
  <c r="S400" i="4"/>
  <c r="S400" i="5"/>
  <c r="K400" i="4"/>
  <c r="K400" i="5"/>
  <c r="L400" i="6"/>
  <c r="J400" i="6"/>
  <c r="N400" i="6"/>
  <c r="R400" i="4"/>
  <c r="R400" i="5"/>
  <c r="R400" i="6"/>
  <c r="E400" i="6"/>
  <c r="F400" i="6"/>
  <c r="V400" i="6"/>
  <c r="I400" i="4"/>
  <c r="I400" i="5"/>
  <c r="E400" i="4"/>
  <c r="E400" i="5"/>
  <c r="I400" i="6"/>
  <c r="D400" i="6"/>
  <c r="U400" i="4"/>
  <c r="U400" i="5"/>
  <c r="M400" i="4"/>
  <c r="M400" i="5"/>
  <c r="F400" i="4"/>
  <c r="F400" i="5"/>
  <c r="H400" i="4"/>
  <c r="H400" i="5"/>
  <c r="H400" i="6"/>
  <c r="V400" i="4"/>
  <c r="V400" i="5"/>
  <c r="T400" i="4"/>
  <c r="T400" i="5"/>
  <c r="T400" i="6"/>
  <c r="N400" i="4"/>
  <c r="N400" i="5"/>
  <c r="M400" i="6"/>
  <c r="P400" i="6"/>
  <c r="P400" i="4"/>
  <c r="P400" i="5"/>
  <c r="J400" i="4"/>
  <c r="J400" i="5"/>
  <c r="L400" i="4"/>
  <c r="L400" i="5"/>
  <c r="Q400" i="4"/>
  <c r="Q400" i="5"/>
  <c r="Q400" i="6"/>
  <c r="D400" i="4"/>
  <c r="D400" i="5"/>
  <c r="U400" i="6"/>
  <c r="I391" i="4"/>
  <c r="I391" i="5"/>
  <c r="E391" i="6"/>
  <c r="D391" i="6"/>
  <c r="M391" i="6"/>
  <c r="U391" i="6"/>
  <c r="Q391" i="4"/>
  <c r="Q391" i="5"/>
  <c r="D391" i="4"/>
  <c r="D391" i="5"/>
  <c r="K391" i="4"/>
  <c r="K391" i="5"/>
  <c r="S391" i="4"/>
  <c r="S391" i="5"/>
  <c r="K391" i="6"/>
  <c r="S391" i="6"/>
  <c r="Q391" i="6"/>
  <c r="U391" i="4"/>
  <c r="U391" i="5"/>
  <c r="M391" i="4"/>
  <c r="M391" i="5"/>
  <c r="E391" i="4"/>
  <c r="E391" i="5"/>
  <c r="G391" i="4"/>
  <c r="G391" i="5"/>
  <c r="O391" i="4"/>
  <c r="O391" i="5"/>
  <c r="G391" i="6"/>
  <c r="O391" i="6"/>
  <c r="I391" i="6"/>
  <c r="H391" i="4"/>
  <c r="H391" i="5"/>
  <c r="N391" i="4"/>
  <c r="N391" i="5"/>
  <c r="V391" i="4"/>
  <c r="V391" i="5"/>
  <c r="L391" i="6"/>
  <c r="R391" i="4"/>
  <c r="R391" i="5"/>
  <c r="P391" i="4"/>
  <c r="P391" i="5"/>
  <c r="F391" i="4"/>
  <c r="F391" i="5"/>
  <c r="J391" i="6"/>
  <c r="T391" i="4"/>
  <c r="T391" i="5"/>
  <c r="H391" i="6"/>
  <c r="R391" i="6"/>
  <c r="P391" i="6"/>
  <c r="F391" i="6"/>
  <c r="J391" i="4"/>
  <c r="J391" i="5"/>
  <c r="T391" i="6"/>
  <c r="V391" i="6"/>
  <c r="L391" i="4"/>
  <c r="L391" i="5"/>
  <c r="N391" i="6"/>
  <c r="U389" i="6"/>
  <c r="I389" i="4"/>
  <c r="I389" i="5"/>
  <c r="E389" i="6"/>
  <c r="M389" i="6"/>
  <c r="K389" i="6"/>
  <c r="S389" i="6"/>
  <c r="Q389" i="6"/>
  <c r="D389" i="6"/>
  <c r="Q389" i="4"/>
  <c r="Q389" i="5"/>
  <c r="D389" i="4"/>
  <c r="D389" i="5"/>
  <c r="G389" i="4"/>
  <c r="G389" i="5"/>
  <c r="K389" i="4"/>
  <c r="K389" i="5"/>
  <c r="O389" i="4"/>
  <c r="O389" i="5"/>
  <c r="S389" i="4"/>
  <c r="S389" i="5"/>
  <c r="G389" i="6"/>
  <c r="O389" i="6"/>
  <c r="E389" i="4"/>
  <c r="E389" i="5"/>
  <c r="M389" i="4"/>
  <c r="M389" i="5"/>
  <c r="U389" i="4"/>
  <c r="U389" i="5"/>
  <c r="I389" i="6"/>
  <c r="H389" i="4"/>
  <c r="H389" i="5"/>
  <c r="L389" i="6"/>
  <c r="P389" i="4"/>
  <c r="P389" i="5"/>
  <c r="R389" i="6"/>
  <c r="J389" i="6"/>
  <c r="N389" i="6"/>
  <c r="T389" i="4"/>
  <c r="T389" i="5"/>
  <c r="F389" i="4"/>
  <c r="F389" i="5"/>
  <c r="V389" i="4"/>
  <c r="V389" i="5"/>
  <c r="T389" i="6"/>
  <c r="N389" i="4"/>
  <c r="N389" i="5"/>
  <c r="F389" i="6"/>
  <c r="V389" i="6"/>
  <c r="P389" i="6"/>
  <c r="L389" i="4"/>
  <c r="L389" i="5"/>
  <c r="R389" i="4"/>
  <c r="R389" i="5"/>
  <c r="J389" i="4"/>
  <c r="J389" i="5"/>
  <c r="H389" i="6"/>
  <c r="D382" i="4"/>
  <c r="D382" i="5"/>
  <c r="Q382" i="6"/>
  <c r="Q382" i="4"/>
  <c r="Q382" i="5"/>
  <c r="S382" i="6"/>
  <c r="K382" i="6"/>
  <c r="S382" i="4"/>
  <c r="S382" i="5"/>
  <c r="K382" i="4"/>
  <c r="K382" i="5"/>
  <c r="O382" i="6"/>
  <c r="G382" i="6"/>
  <c r="O382" i="4"/>
  <c r="O382" i="5"/>
  <c r="G382" i="4"/>
  <c r="G382" i="5"/>
  <c r="J382" i="6"/>
  <c r="T382" i="6"/>
  <c r="F382" i="6"/>
  <c r="L382" i="4"/>
  <c r="L382" i="5"/>
  <c r="V382" i="6"/>
  <c r="M382" i="4"/>
  <c r="M382" i="5"/>
  <c r="M382" i="6"/>
  <c r="N382" i="6"/>
  <c r="F382" i="4"/>
  <c r="F382" i="5"/>
  <c r="I382" i="4"/>
  <c r="I382" i="5"/>
  <c r="U382" i="6"/>
  <c r="H382" i="4"/>
  <c r="H382" i="5"/>
  <c r="V382" i="4"/>
  <c r="V382" i="5"/>
  <c r="D382" i="6"/>
  <c r="U382" i="4"/>
  <c r="U382" i="5"/>
  <c r="N382" i="4"/>
  <c r="N382" i="5"/>
  <c r="R382" i="4"/>
  <c r="R382" i="5"/>
  <c r="R382" i="6"/>
  <c r="I382" i="6"/>
  <c r="E382" i="6"/>
  <c r="H382" i="6"/>
  <c r="P382" i="6"/>
  <c r="P382" i="4"/>
  <c r="P382" i="5"/>
  <c r="J382" i="4"/>
  <c r="J382" i="5"/>
  <c r="L382" i="6"/>
  <c r="T382" i="4"/>
  <c r="T382" i="5"/>
  <c r="E382" i="4"/>
  <c r="E382" i="5"/>
  <c r="D359" i="6"/>
  <c r="S359" i="6"/>
  <c r="S359" i="4"/>
  <c r="S359" i="5"/>
  <c r="Q359" i="4"/>
  <c r="Q359" i="5"/>
  <c r="I359" i="4"/>
  <c r="I359" i="5"/>
  <c r="U359" i="6"/>
  <c r="M359" i="6"/>
  <c r="E359" i="6"/>
  <c r="D359" i="4"/>
  <c r="D359" i="5"/>
  <c r="K359" i="6"/>
  <c r="G359" i="4"/>
  <c r="G359" i="5"/>
  <c r="O359" i="4"/>
  <c r="O359" i="5"/>
  <c r="G359" i="6"/>
  <c r="U359" i="4"/>
  <c r="U359" i="5"/>
  <c r="M359" i="4"/>
  <c r="M359" i="5"/>
  <c r="E359" i="4"/>
  <c r="E359" i="5"/>
  <c r="Q359" i="6"/>
  <c r="I359" i="6"/>
  <c r="N359" i="4"/>
  <c r="N359" i="5"/>
  <c r="P359" i="4"/>
  <c r="P359" i="5"/>
  <c r="F359" i="6"/>
  <c r="R359" i="4"/>
  <c r="R359" i="5"/>
  <c r="F359" i="4"/>
  <c r="F359" i="5"/>
  <c r="R359" i="6"/>
  <c r="H359" i="4"/>
  <c r="H359" i="5"/>
  <c r="H359" i="6"/>
  <c r="L359" i="4"/>
  <c r="L359" i="5"/>
  <c r="L359" i="6"/>
  <c r="J359" i="4"/>
  <c r="J359" i="5"/>
  <c r="T359" i="4"/>
  <c r="T359" i="5"/>
  <c r="T359" i="6"/>
  <c r="V359" i="6"/>
  <c r="N359" i="6"/>
  <c r="J359" i="6"/>
  <c r="V359" i="4"/>
  <c r="V359" i="5"/>
  <c r="P359" i="6"/>
  <c r="O359" i="6"/>
  <c r="K359" i="4"/>
  <c r="K359" i="5"/>
  <c r="U357" i="4"/>
  <c r="U357" i="5"/>
  <c r="Q357" i="4"/>
  <c r="Q357" i="5"/>
  <c r="M357" i="4"/>
  <c r="M357" i="5"/>
  <c r="I357" i="4"/>
  <c r="I357" i="5"/>
  <c r="E357" i="4"/>
  <c r="E357" i="5"/>
  <c r="U357" i="6"/>
  <c r="M357" i="6"/>
  <c r="E357" i="6"/>
  <c r="Q357" i="6"/>
  <c r="I357" i="6"/>
  <c r="H357" i="4"/>
  <c r="H357" i="5"/>
  <c r="F357" i="4"/>
  <c r="F357" i="5"/>
  <c r="R357" i="6"/>
  <c r="K357" i="6"/>
  <c r="P357" i="4"/>
  <c r="P357" i="5"/>
  <c r="P357" i="6"/>
  <c r="O357" i="6"/>
  <c r="S357" i="6"/>
  <c r="J357" i="4"/>
  <c r="J357" i="5"/>
  <c r="N357" i="6"/>
  <c r="O357" i="4"/>
  <c r="O357" i="5"/>
  <c r="S357" i="4"/>
  <c r="S357" i="5"/>
  <c r="D357" i="6"/>
  <c r="G357" i="6"/>
  <c r="J357" i="6"/>
  <c r="N357" i="4"/>
  <c r="N357" i="5"/>
  <c r="V357" i="4"/>
  <c r="V357" i="5"/>
  <c r="V357" i="6"/>
  <c r="L357" i="4"/>
  <c r="L357" i="5"/>
  <c r="T357" i="4"/>
  <c r="T357" i="5"/>
  <c r="T357" i="6"/>
  <c r="R357" i="4"/>
  <c r="R357" i="5"/>
  <c r="L357" i="6"/>
  <c r="H357" i="6"/>
  <c r="F357" i="6"/>
  <c r="D357" i="4"/>
  <c r="D357" i="5"/>
  <c r="K357" i="4"/>
  <c r="K357" i="5"/>
  <c r="G357" i="4"/>
  <c r="G357" i="5"/>
  <c r="H334" i="4"/>
  <c r="H334" i="5"/>
  <c r="P334" i="4"/>
  <c r="P334" i="5"/>
  <c r="R334" i="4"/>
  <c r="R334" i="5"/>
  <c r="J334" i="4"/>
  <c r="J334" i="5"/>
  <c r="D334" i="4"/>
  <c r="D334" i="5"/>
  <c r="L334" i="4"/>
  <c r="L334" i="5"/>
  <c r="T334" i="4"/>
  <c r="T334" i="5"/>
  <c r="F334" i="4"/>
  <c r="F334" i="5"/>
  <c r="N334" i="4"/>
  <c r="N334" i="5"/>
  <c r="V334" i="4"/>
  <c r="V334" i="5"/>
  <c r="D334" i="6"/>
  <c r="L334" i="6"/>
  <c r="T334" i="6"/>
  <c r="J334" i="6"/>
  <c r="R334" i="6"/>
  <c r="H334" i="6"/>
  <c r="P334" i="6"/>
  <c r="F334" i="6"/>
  <c r="N334" i="6"/>
  <c r="V334" i="6"/>
  <c r="I334" i="4"/>
  <c r="I334" i="5"/>
  <c r="M334" i="4"/>
  <c r="M334" i="5"/>
  <c r="M334" i="6"/>
  <c r="Q334" i="4"/>
  <c r="Q334" i="5"/>
  <c r="U334" i="6"/>
  <c r="I334" i="6"/>
  <c r="Q334" i="6"/>
  <c r="U334" i="4"/>
  <c r="U334" i="5"/>
  <c r="E334" i="6"/>
  <c r="K334" i="6"/>
  <c r="O334" i="4"/>
  <c r="O334" i="5"/>
  <c r="S334" i="4"/>
  <c r="S334" i="5"/>
  <c r="E334" i="4"/>
  <c r="E334" i="5"/>
  <c r="G334" i="4"/>
  <c r="G334" i="5"/>
  <c r="G334" i="6"/>
  <c r="K334" i="4"/>
  <c r="K334" i="5"/>
  <c r="O334" i="6"/>
  <c r="S334" i="6"/>
  <c r="H332" i="4"/>
  <c r="H332" i="5"/>
  <c r="R332" i="4"/>
  <c r="R332" i="5"/>
  <c r="P332" i="4"/>
  <c r="P332" i="5"/>
  <c r="J332" i="4"/>
  <c r="J332" i="5"/>
  <c r="D332" i="4"/>
  <c r="D332" i="5"/>
  <c r="L332" i="4"/>
  <c r="L332" i="5"/>
  <c r="T332" i="4"/>
  <c r="T332" i="5"/>
  <c r="F332" i="4"/>
  <c r="F332" i="5"/>
  <c r="N332" i="4"/>
  <c r="N332" i="5"/>
  <c r="V332" i="4"/>
  <c r="V332" i="5"/>
  <c r="R332" i="6"/>
  <c r="J332" i="6"/>
  <c r="T332" i="6"/>
  <c r="D332" i="6"/>
  <c r="H332" i="6"/>
  <c r="V332" i="6"/>
  <c r="N332" i="6"/>
  <c r="F332" i="6"/>
  <c r="L332" i="6"/>
  <c r="P332" i="6"/>
  <c r="E332" i="4"/>
  <c r="E332" i="5"/>
  <c r="I332" i="4"/>
  <c r="I332" i="5"/>
  <c r="O332" i="6"/>
  <c r="G332" i="4"/>
  <c r="G332" i="5"/>
  <c r="M332" i="4"/>
  <c r="M332" i="5"/>
  <c r="Q332" i="4"/>
  <c r="Q332" i="5"/>
  <c r="U332" i="4"/>
  <c r="U332" i="5"/>
  <c r="S332" i="4"/>
  <c r="S332" i="5"/>
  <c r="S332" i="6"/>
  <c r="Q332" i="6"/>
  <c r="K332" i="6"/>
  <c r="U332" i="6"/>
  <c r="E332" i="6"/>
  <c r="K332" i="4"/>
  <c r="K332" i="5"/>
  <c r="I332" i="6"/>
  <c r="G332" i="6"/>
  <c r="M332" i="6"/>
  <c r="O332" i="4"/>
  <c r="O332" i="5"/>
  <c r="S291" i="6"/>
  <c r="M291" i="4"/>
  <c r="M291" i="5"/>
  <c r="E291" i="4"/>
  <c r="E291" i="5"/>
  <c r="U291" i="6"/>
  <c r="H291" i="4"/>
  <c r="H291" i="5"/>
  <c r="J291" i="4"/>
  <c r="J291" i="5"/>
  <c r="G291" i="6"/>
  <c r="F291" i="6"/>
  <c r="D291" i="4"/>
  <c r="D291" i="5"/>
  <c r="O291" i="6"/>
  <c r="E291" i="6"/>
  <c r="L291" i="4"/>
  <c r="L291" i="5"/>
  <c r="P291" i="4"/>
  <c r="P291" i="5"/>
  <c r="R291" i="6"/>
  <c r="O291" i="4"/>
  <c r="O291" i="5"/>
  <c r="S291" i="4"/>
  <c r="S291" i="5"/>
  <c r="Q291" i="4"/>
  <c r="Q291" i="5"/>
  <c r="D291" i="6"/>
  <c r="U291" i="4"/>
  <c r="U291" i="5"/>
  <c r="I291" i="6"/>
  <c r="N291" i="6"/>
  <c r="V291" i="6"/>
  <c r="T291" i="4"/>
  <c r="T291" i="5"/>
  <c r="T291" i="6"/>
  <c r="V291" i="4"/>
  <c r="V291" i="5"/>
  <c r="M291" i="6"/>
  <c r="P291" i="6"/>
  <c r="R291" i="4"/>
  <c r="R291" i="5"/>
  <c r="N291" i="4"/>
  <c r="N291" i="5"/>
  <c r="L291" i="6"/>
  <c r="Q291" i="6"/>
  <c r="I291" i="4"/>
  <c r="I291" i="5"/>
  <c r="F291" i="4"/>
  <c r="F291" i="5"/>
  <c r="G291" i="4"/>
  <c r="G291" i="5"/>
  <c r="K291" i="4"/>
  <c r="K291" i="5"/>
  <c r="H291" i="6"/>
  <c r="K291" i="6"/>
  <c r="J291" i="6"/>
  <c r="Q262" i="4"/>
  <c r="Q262" i="5"/>
  <c r="U262" i="6"/>
  <c r="M262" i="6"/>
  <c r="U262" i="4"/>
  <c r="U262" i="5"/>
  <c r="M262" i="4"/>
  <c r="M262" i="5"/>
  <c r="E262" i="4"/>
  <c r="E262" i="5"/>
  <c r="Q262" i="6"/>
  <c r="I262" i="6"/>
  <c r="S262" i="6"/>
  <c r="K262" i="6"/>
  <c r="S262" i="4"/>
  <c r="S262" i="5"/>
  <c r="K262" i="4"/>
  <c r="K262" i="5"/>
  <c r="D262" i="4"/>
  <c r="D262" i="5"/>
  <c r="O262" i="6"/>
  <c r="G262" i="6"/>
  <c r="O262" i="4"/>
  <c r="O262" i="5"/>
  <c r="G262" i="4"/>
  <c r="G262" i="5"/>
  <c r="V262" i="6"/>
  <c r="L262" i="4"/>
  <c r="L262" i="5"/>
  <c r="J262" i="4"/>
  <c r="J262" i="5"/>
  <c r="N262" i="6"/>
  <c r="F262" i="6"/>
  <c r="J262" i="6"/>
  <c r="R262" i="4"/>
  <c r="R262" i="5"/>
  <c r="P262" i="6"/>
  <c r="H262" i="4"/>
  <c r="H262" i="5"/>
  <c r="R262" i="6"/>
  <c r="P262" i="4"/>
  <c r="P262" i="5"/>
  <c r="H262" i="6"/>
  <c r="T262" i="6"/>
  <c r="N262" i="4"/>
  <c r="N262" i="5"/>
  <c r="E262" i="6"/>
  <c r="T262" i="4"/>
  <c r="T262" i="5"/>
  <c r="F262" i="4"/>
  <c r="F262" i="5"/>
  <c r="V262" i="4"/>
  <c r="V262" i="5"/>
  <c r="L262" i="6"/>
  <c r="D262" i="6"/>
  <c r="I262" i="4"/>
  <c r="I262" i="5"/>
  <c r="N202" i="6"/>
  <c r="T202" i="6"/>
  <c r="D202" i="4"/>
  <c r="D202" i="5"/>
  <c r="V202" i="6"/>
  <c r="G202" i="6"/>
  <c r="H202" i="6"/>
  <c r="E202" i="6"/>
  <c r="D202" i="6"/>
  <c r="P202" i="6"/>
  <c r="J202" i="6"/>
  <c r="F202" i="6"/>
  <c r="R202" i="4"/>
  <c r="R202" i="5"/>
  <c r="F202" i="4"/>
  <c r="F202" i="5"/>
  <c r="H202" i="4"/>
  <c r="H202" i="5"/>
  <c r="V202" i="4"/>
  <c r="V202" i="5"/>
  <c r="J202" i="4"/>
  <c r="J202" i="5"/>
  <c r="T202" i="4"/>
  <c r="T202" i="5"/>
  <c r="M202" i="4"/>
  <c r="M202" i="5"/>
  <c r="G202" i="4"/>
  <c r="G202" i="5"/>
  <c r="E202" i="4"/>
  <c r="E202" i="5"/>
  <c r="L202" i="4"/>
  <c r="L202" i="5"/>
  <c r="P202" i="4"/>
  <c r="P202" i="5"/>
  <c r="U202" i="4"/>
  <c r="U202" i="5"/>
  <c r="S202" i="6"/>
  <c r="Q202" i="6"/>
  <c r="O202" i="4"/>
  <c r="O202" i="5"/>
  <c r="K202" i="6"/>
  <c r="R202" i="6"/>
  <c r="U202" i="6"/>
  <c r="S202" i="4"/>
  <c r="S202" i="5"/>
  <c r="Q202" i="4"/>
  <c r="Q202" i="5"/>
  <c r="O202" i="6"/>
  <c r="K202" i="4"/>
  <c r="K202" i="5"/>
  <c r="I202" i="4"/>
  <c r="I202" i="5"/>
  <c r="I202" i="6"/>
  <c r="M202" i="6"/>
  <c r="N202" i="4"/>
  <c r="N202" i="5"/>
  <c r="L202" i="6"/>
  <c r="R199" i="6"/>
  <c r="T199" i="6"/>
  <c r="H199" i="6"/>
  <c r="F199" i="6"/>
  <c r="D199" i="4"/>
  <c r="D199" i="5"/>
  <c r="L199" i="4"/>
  <c r="L199" i="5"/>
  <c r="T199" i="4"/>
  <c r="T199" i="5"/>
  <c r="J199" i="4"/>
  <c r="J199" i="5"/>
  <c r="D199" i="6"/>
  <c r="J199" i="6"/>
  <c r="P199" i="6"/>
  <c r="V199" i="6"/>
  <c r="L199" i="6"/>
  <c r="N199" i="6"/>
  <c r="N199" i="4"/>
  <c r="N199" i="5"/>
  <c r="F199" i="4"/>
  <c r="F199" i="5"/>
  <c r="P199" i="4"/>
  <c r="P199" i="5"/>
  <c r="V199" i="4"/>
  <c r="V199" i="5"/>
  <c r="H199" i="4"/>
  <c r="H199" i="5"/>
  <c r="U199" i="4"/>
  <c r="U199" i="5"/>
  <c r="Q199" i="6"/>
  <c r="M199" i="4"/>
  <c r="M199" i="5"/>
  <c r="K199" i="6"/>
  <c r="G199" i="6"/>
  <c r="S199" i="6"/>
  <c r="O199" i="6"/>
  <c r="I199" i="4"/>
  <c r="I199" i="5"/>
  <c r="E199" i="6"/>
  <c r="I199" i="6"/>
  <c r="U199" i="6"/>
  <c r="K199" i="4"/>
  <c r="K199" i="5"/>
  <c r="M199" i="6"/>
  <c r="G199" i="4"/>
  <c r="G199" i="5"/>
  <c r="S199" i="4"/>
  <c r="S199" i="5"/>
  <c r="Q199" i="4"/>
  <c r="Q199" i="5"/>
  <c r="E199" i="4"/>
  <c r="E199" i="5"/>
  <c r="O199" i="4"/>
  <c r="O199" i="5"/>
  <c r="R199" i="4"/>
  <c r="R199" i="5"/>
  <c r="H197" i="4"/>
  <c r="H197" i="5"/>
  <c r="D197" i="4"/>
  <c r="D197" i="5"/>
  <c r="J197" i="4"/>
  <c r="J197" i="5"/>
  <c r="R197" i="4"/>
  <c r="R197" i="5"/>
  <c r="D197" i="6"/>
  <c r="P197" i="6"/>
  <c r="H197" i="6"/>
  <c r="N197" i="6"/>
  <c r="R197" i="6"/>
  <c r="V197" i="4"/>
  <c r="V197" i="5"/>
  <c r="T197" i="4"/>
  <c r="T197" i="5"/>
  <c r="T197" i="6"/>
  <c r="L197" i="6"/>
  <c r="V197" i="6"/>
  <c r="F197" i="6"/>
  <c r="J197" i="6"/>
  <c r="Q197" i="4"/>
  <c r="Q197" i="5"/>
  <c r="E197" i="6"/>
  <c r="G197" i="4"/>
  <c r="G197" i="5"/>
  <c r="E197" i="4"/>
  <c r="E197" i="5"/>
  <c r="N197" i="4"/>
  <c r="N197" i="5"/>
  <c r="P197" i="4"/>
  <c r="P197" i="5"/>
  <c r="I197" i="6"/>
  <c r="M197" i="4"/>
  <c r="M197" i="5"/>
  <c r="M197" i="6"/>
  <c r="L197" i="4"/>
  <c r="L197" i="5"/>
  <c r="F197" i="4"/>
  <c r="F197" i="5"/>
  <c r="Q197" i="6"/>
  <c r="I197" i="4"/>
  <c r="I197" i="5"/>
  <c r="U197" i="6"/>
  <c r="S197" i="4"/>
  <c r="S197" i="5"/>
  <c r="O197" i="4"/>
  <c r="O197" i="5"/>
  <c r="K197" i="6"/>
  <c r="G197" i="6"/>
  <c r="U197" i="4"/>
  <c r="U197" i="5"/>
  <c r="S197" i="6"/>
  <c r="O197" i="6"/>
  <c r="K197" i="4"/>
  <c r="K197" i="5"/>
  <c r="D114" i="6"/>
  <c r="O114" i="6"/>
  <c r="G114" i="6"/>
  <c r="I114" i="6"/>
  <c r="E114" i="6"/>
  <c r="D114" i="4"/>
  <c r="D114" i="5"/>
  <c r="G114" i="4"/>
  <c r="G114" i="5"/>
  <c r="K114" i="4"/>
  <c r="K114" i="5"/>
  <c r="O114" i="4"/>
  <c r="O114" i="5"/>
  <c r="S114" i="4"/>
  <c r="S114" i="5"/>
  <c r="E114" i="4"/>
  <c r="E114" i="5"/>
  <c r="I114" i="4"/>
  <c r="I114" i="5"/>
  <c r="M114" i="4"/>
  <c r="M114" i="5"/>
  <c r="Q114" i="4"/>
  <c r="Q114" i="5"/>
  <c r="U114" i="4"/>
  <c r="U114" i="5"/>
  <c r="S114" i="6"/>
  <c r="K114" i="6"/>
  <c r="Q114" i="6"/>
  <c r="U114" i="6"/>
  <c r="M114" i="6"/>
  <c r="R114" i="4"/>
  <c r="R114" i="5"/>
  <c r="L114" i="4"/>
  <c r="L114" i="5"/>
  <c r="J114" i="4"/>
  <c r="J114" i="5"/>
  <c r="P114" i="6"/>
  <c r="N114" i="4"/>
  <c r="N114" i="5"/>
  <c r="F114" i="4"/>
  <c r="F114" i="5"/>
  <c r="F114" i="6"/>
  <c r="P114" i="4"/>
  <c r="P114" i="5"/>
  <c r="R114" i="6"/>
  <c r="V114" i="4"/>
  <c r="V114" i="5"/>
  <c r="V114" i="6"/>
  <c r="N114" i="6"/>
  <c r="T114" i="4"/>
  <c r="T114" i="5"/>
  <c r="H114" i="6"/>
  <c r="L114" i="6"/>
  <c r="T114" i="6"/>
  <c r="H114" i="4"/>
  <c r="H114" i="5"/>
  <c r="J114" i="6"/>
  <c r="D90" i="6"/>
  <c r="I90" i="6"/>
  <c r="M90" i="6"/>
  <c r="Q90" i="6"/>
  <c r="U90" i="6"/>
  <c r="G90" i="6"/>
  <c r="K90" i="6"/>
  <c r="O90" i="6"/>
  <c r="S90" i="6"/>
  <c r="D90" i="4"/>
  <c r="D90" i="5"/>
  <c r="U90" i="4"/>
  <c r="U90" i="5"/>
  <c r="E90" i="4"/>
  <c r="E90" i="5"/>
  <c r="S90" i="4"/>
  <c r="S90" i="5"/>
  <c r="G90" i="4"/>
  <c r="G90" i="5"/>
  <c r="J90" i="4"/>
  <c r="J90" i="5"/>
  <c r="J90" i="6"/>
  <c r="N90" i="6"/>
  <c r="V90" i="4"/>
  <c r="V90" i="5"/>
  <c r="L90" i="6"/>
  <c r="I90" i="4"/>
  <c r="I90" i="5"/>
  <c r="O90" i="4"/>
  <c r="O90" i="5"/>
  <c r="T90" i="6"/>
  <c r="E90" i="6"/>
  <c r="M90" i="4"/>
  <c r="M90" i="5"/>
  <c r="K90" i="4"/>
  <c r="K90" i="5"/>
  <c r="Q90" i="4"/>
  <c r="Q90" i="5"/>
  <c r="N90" i="4"/>
  <c r="N90" i="5"/>
  <c r="R90" i="4"/>
  <c r="R90" i="5"/>
  <c r="R90" i="6"/>
  <c r="V90" i="6"/>
  <c r="F90" i="4"/>
  <c r="F90" i="5"/>
  <c r="F90" i="6"/>
  <c r="P90" i="6"/>
  <c r="H90" i="6"/>
  <c r="H90" i="4"/>
  <c r="H90" i="5"/>
  <c r="L90" i="4"/>
  <c r="L90" i="5"/>
  <c r="T90" i="4"/>
  <c r="T90" i="5"/>
  <c r="P90" i="4"/>
  <c r="P90" i="5"/>
  <c r="N499" i="6"/>
  <c r="L499" i="6"/>
  <c r="H499" i="6"/>
  <c r="V499" i="6"/>
  <c r="F499" i="6"/>
  <c r="E499" i="6"/>
  <c r="H499" i="4"/>
  <c r="H499" i="5"/>
  <c r="D499" i="4"/>
  <c r="D499" i="5"/>
  <c r="P499" i="4"/>
  <c r="P499" i="5"/>
  <c r="S499" i="4"/>
  <c r="S499" i="5"/>
  <c r="K499" i="4"/>
  <c r="K499" i="5"/>
  <c r="R499" i="4"/>
  <c r="R499" i="5"/>
  <c r="L499" i="4"/>
  <c r="L499" i="5"/>
  <c r="N499" i="4"/>
  <c r="N499" i="5"/>
  <c r="T499" i="4"/>
  <c r="T499" i="5"/>
  <c r="V499" i="4"/>
  <c r="V499" i="5"/>
  <c r="J499" i="4"/>
  <c r="J499" i="5"/>
  <c r="O499" i="4"/>
  <c r="O499" i="5"/>
  <c r="G499" i="4"/>
  <c r="G499" i="5"/>
  <c r="Q499" i="4"/>
  <c r="Q499" i="5"/>
  <c r="I499" i="4"/>
  <c r="I499" i="5"/>
  <c r="G499" i="6"/>
  <c r="U499" i="6"/>
  <c r="J499" i="6"/>
  <c r="D499" i="6"/>
  <c r="O499" i="6"/>
  <c r="U499" i="4"/>
  <c r="U499" i="5"/>
  <c r="M499" i="4"/>
  <c r="M499" i="5"/>
  <c r="E499" i="4"/>
  <c r="E499" i="5"/>
  <c r="P499" i="6"/>
  <c r="T499" i="6"/>
  <c r="R499" i="6"/>
  <c r="F499" i="4"/>
  <c r="F499" i="5"/>
  <c r="M499" i="6"/>
  <c r="K499" i="6"/>
  <c r="I499" i="6"/>
  <c r="S499" i="6"/>
  <c r="Q499" i="6"/>
  <c r="S27" i="4"/>
  <c r="S27" i="5"/>
  <c r="I27" i="6"/>
  <c r="N27" i="4"/>
  <c r="N27" i="5"/>
  <c r="R27" i="4"/>
  <c r="R27" i="5"/>
  <c r="G27" i="6"/>
  <c r="L27" i="4"/>
  <c r="L27" i="5"/>
  <c r="J27" i="6"/>
  <c r="V27" i="6"/>
  <c r="Q27" i="4"/>
  <c r="Q27" i="5"/>
  <c r="E27" i="6"/>
  <c r="Q27" i="6"/>
  <c r="O27" i="4"/>
  <c r="O27" i="5"/>
  <c r="F27" i="4"/>
  <c r="F27" i="5"/>
  <c r="N27" i="6"/>
  <c r="V27" i="4"/>
  <c r="V27" i="5"/>
  <c r="K27" i="4"/>
  <c r="K27" i="5"/>
  <c r="U27" i="4"/>
  <c r="U27" i="5"/>
  <c r="M27" i="4"/>
  <c r="M27" i="5"/>
  <c r="D27" i="4"/>
  <c r="D27" i="5"/>
  <c r="D27" i="6"/>
  <c r="O27" i="6"/>
  <c r="U27" i="6"/>
  <c r="K27" i="6"/>
  <c r="F27" i="6"/>
  <c r="R27" i="6"/>
  <c r="G27" i="4"/>
  <c r="G27" i="5"/>
  <c r="P27" i="6"/>
  <c r="H27" i="4"/>
  <c r="H27" i="5"/>
  <c r="E27" i="4"/>
  <c r="E27" i="5"/>
  <c r="J27" i="4"/>
  <c r="J27" i="5"/>
  <c r="I27" i="4"/>
  <c r="I27" i="5"/>
  <c r="M27" i="6"/>
  <c r="T27" i="4"/>
  <c r="T27" i="5"/>
  <c r="T27" i="6"/>
  <c r="L27" i="6"/>
  <c r="H27" i="6"/>
  <c r="S27" i="6"/>
  <c r="P27" i="4"/>
  <c r="P27" i="5"/>
  <c r="V354" i="4"/>
  <c r="V354" i="5"/>
  <c r="C51" i="2"/>
  <c r="C78" i="2"/>
  <c r="V8" i="3"/>
  <c r="S375" i="3"/>
  <c r="J48" i="2"/>
  <c r="J75" i="2"/>
  <c r="G393" i="7"/>
  <c r="U191" i="6"/>
  <c r="U191" i="4"/>
  <c r="U191" i="5"/>
  <c r="T271" i="4"/>
  <c r="T271" i="5"/>
  <c r="T271" i="6"/>
  <c r="D49" i="2"/>
  <c r="T189" i="3"/>
  <c r="S106" i="1"/>
  <c r="S10" i="4"/>
  <c r="S10" i="5"/>
  <c r="R92" i="4"/>
  <c r="R92" i="5"/>
  <c r="Q354" i="4"/>
  <c r="Q354" i="5"/>
  <c r="K45" i="2"/>
  <c r="K72" i="2"/>
  <c r="P425" i="3"/>
  <c r="D44" i="2"/>
  <c r="O189" i="3"/>
  <c r="N106" i="1"/>
  <c r="N208" i="3"/>
  <c r="E43" i="2"/>
  <c r="M103" i="1"/>
  <c r="L106" i="1"/>
  <c r="D42" i="2"/>
  <c r="M189" i="3"/>
  <c r="H40" i="2"/>
  <c r="H67" i="2"/>
  <c r="K288" i="3"/>
  <c r="J221" i="6"/>
  <c r="I61" i="6"/>
  <c r="H354" i="4"/>
  <c r="H354" i="5"/>
  <c r="H25" i="6"/>
  <c r="H25" i="4"/>
  <c r="H25" i="5"/>
  <c r="G92" i="6"/>
  <c r="F349" i="4"/>
  <c r="F349" i="5"/>
  <c r="E377" i="6"/>
  <c r="E377" i="4"/>
  <c r="E377" i="5"/>
  <c r="V488" i="6"/>
  <c r="V488" i="4"/>
  <c r="V488" i="5"/>
  <c r="I525" i="1"/>
  <c r="J486" i="3"/>
  <c r="I540" i="1"/>
  <c r="J540" i="3"/>
  <c r="R66" i="2"/>
  <c r="T39" i="2"/>
  <c r="H488" i="6"/>
  <c r="H488" i="4"/>
  <c r="H488" i="5"/>
  <c r="F530" i="6"/>
  <c r="F530" i="4"/>
  <c r="F530" i="5"/>
  <c r="V288" i="3"/>
  <c r="H51" i="2"/>
  <c r="U103" i="1"/>
  <c r="U471" i="4"/>
  <c r="U471" i="5"/>
  <c r="U471" i="6"/>
  <c r="U108" i="6"/>
  <c r="T221" i="4"/>
  <c r="T221" i="5"/>
  <c r="T47" i="4"/>
  <c r="T47" i="5"/>
  <c r="T47" i="6"/>
  <c r="C390" i="7"/>
  <c r="R108" i="4"/>
  <c r="R108" i="5"/>
  <c r="R108" i="6"/>
  <c r="Q396" i="6"/>
  <c r="Q396" i="4"/>
  <c r="Q396" i="5"/>
  <c r="Q77" i="6"/>
  <c r="Q77" i="4"/>
  <c r="Q77" i="5"/>
  <c r="P471" i="4"/>
  <c r="P471" i="5"/>
  <c r="P471" i="6"/>
  <c r="C45" i="2"/>
  <c r="P8" i="3"/>
  <c r="H44" i="2"/>
  <c r="H71" i="2"/>
  <c r="O288" i="3"/>
  <c r="L271" i="4"/>
  <c r="L271" i="5"/>
  <c r="L271" i="6"/>
  <c r="K106" i="1"/>
  <c r="L189" i="3"/>
  <c r="D41" i="2"/>
  <c r="K314" i="6"/>
  <c r="J208" i="3"/>
  <c r="E39" i="2"/>
  <c r="D381" i="7"/>
  <c r="F381" i="7"/>
  <c r="H381" i="7"/>
  <c r="D385" i="7"/>
  <c r="F385" i="7"/>
  <c r="H385" i="7"/>
  <c r="D377" i="7"/>
  <c r="F377" i="7"/>
  <c r="H377" i="7"/>
  <c r="D386" i="7"/>
  <c r="F386" i="7"/>
  <c r="H386" i="7"/>
  <c r="D388" i="7"/>
  <c r="F388" i="7"/>
  <c r="D384" i="7"/>
  <c r="F384" i="7"/>
  <c r="H384" i="7"/>
  <c r="D389" i="7"/>
  <c r="F389" i="7"/>
  <c r="H389" i="7"/>
  <c r="D392" i="7"/>
  <c r="D387" i="7"/>
  <c r="F387" i="7"/>
  <c r="H387" i="7"/>
  <c r="D378" i="7"/>
  <c r="D394" i="7"/>
  <c r="F394" i="7"/>
  <c r="H394" i="7"/>
  <c r="D379" i="7"/>
  <c r="D391" i="7"/>
  <c r="F391" i="7"/>
  <c r="H391" i="7"/>
  <c r="D390" i="7"/>
  <c r="D380" i="7"/>
  <c r="F380" i="7"/>
  <c r="H380" i="7"/>
  <c r="D382" i="7"/>
  <c r="F382" i="7"/>
  <c r="H382" i="7"/>
  <c r="D383" i="7"/>
  <c r="F383" i="7"/>
  <c r="H383" i="7"/>
  <c r="D393" i="7"/>
  <c r="F393" i="7"/>
  <c r="H349" i="4"/>
  <c r="H349" i="5"/>
  <c r="C36" i="2"/>
  <c r="C63" i="2"/>
  <c r="G8" i="3"/>
  <c r="F354" i="4"/>
  <c r="F354" i="5"/>
  <c r="C378" i="7"/>
  <c r="F108" i="4"/>
  <c r="F108" i="5"/>
  <c r="F108" i="6"/>
  <c r="T488" i="4"/>
  <c r="T488" i="5"/>
  <c r="T488" i="6"/>
  <c r="E508" i="4"/>
  <c r="E508" i="5"/>
  <c r="E508" i="6"/>
  <c r="G539" i="4"/>
  <c r="G539" i="5"/>
  <c r="G539" i="6"/>
  <c r="E457" i="4"/>
  <c r="E457" i="5"/>
  <c r="K457" i="4"/>
  <c r="K457" i="5"/>
  <c r="I457" i="6"/>
  <c r="D189" i="6"/>
  <c r="N189" i="4"/>
  <c r="N189" i="5"/>
  <c r="H189" i="4"/>
  <c r="H189" i="5"/>
  <c r="Q189" i="6"/>
  <c r="V189" i="6"/>
  <c r="N189" i="6"/>
  <c r="D189" i="4"/>
  <c r="D189" i="5"/>
  <c r="P189" i="6"/>
  <c r="H189" i="6"/>
  <c r="Q189" i="4"/>
  <c r="Q189" i="5"/>
  <c r="V189" i="4"/>
  <c r="V189" i="5"/>
  <c r="N106" i="6"/>
  <c r="F540" i="4"/>
  <c r="F540" i="5"/>
  <c r="F540" i="6"/>
  <c r="T288" i="4"/>
  <c r="T288" i="5"/>
  <c r="T288" i="6"/>
  <c r="L8" i="3"/>
  <c r="C41" i="2"/>
  <c r="C68" i="2"/>
  <c r="O103" i="1"/>
  <c r="O475" i="1"/>
  <c r="P106" i="3"/>
  <c r="J314" i="6"/>
  <c r="V314" i="4"/>
  <c r="V314" i="5"/>
  <c r="U314" i="6"/>
  <c r="H314" i="6"/>
  <c r="F314" i="6"/>
  <c r="D314" i="6"/>
  <c r="M314" i="4"/>
  <c r="M314" i="5"/>
  <c r="R314" i="4"/>
  <c r="R314" i="5"/>
  <c r="D314" i="4"/>
  <c r="D314" i="5"/>
  <c r="Q314" i="6"/>
  <c r="L314" i="6"/>
  <c r="T314" i="4"/>
  <c r="T314" i="5"/>
  <c r="V314" i="6"/>
  <c r="F314" i="4"/>
  <c r="F314" i="5"/>
  <c r="M314" i="6"/>
  <c r="P314" i="4"/>
  <c r="P314" i="5"/>
  <c r="H314" i="4"/>
  <c r="H314" i="5"/>
  <c r="G314" i="6"/>
  <c r="I314" i="6"/>
  <c r="N314" i="4"/>
  <c r="N314" i="5"/>
  <c r="I314" i="4"/>
  <c r="I314" i="5"/>
  <c r="P314" i="6"/>
  <c r="U314" i="4"/>
  <c r="U314" i="5"/>
  <c r="N314" i="6"/>
  <c r="L314" i="4"/>
  <c r="L314" i="5"/>
  <c r="Q314" i="4"/>
  <c r="Q314" i="5"/>
  <c r="R314" i="6"/>
  <c r="G314" i="4"/>
  <c r="G314" i="5"/>
  <c r="T314" i="6"/>
  <c r="J314" i="4"/>
  <c r="J314" i="5"/>
  <c r="M540" i="6"/>
  <c r="E540" i="4"/>
  <c r="E540" i="5"/>
  <c r="I540" i="4"/>
  <c r="I540" i="5"/>
  <c r="K540" i="6"/>
  <c r="G540" i="6"/>
  <c r="D540" i="4"/>
  <c r="D540" i="5"/>
  <c r="E540" i="6"/>
  <c r="S540" i="4"/>
  <c r="S540" i="5"/>
  <c r="U540" i="4"/>
  <c r="U540" i="5"/>
  <c r="R540" i="6"/>
  <c r="K540" i="4"/>
  <c r="K540" i="5"/>
  <c r="I540" i="6"/>
  <c r="M540" i="4"/>
  <c r="M540" i="5"/>
  <c r="G540" i="4"/>
  <c r="G540" i="5"/>
  <c r="D540" i="6"/>
  <c r="O540" i="6"/>
  <c r="Q540" i="4"/>
  <c r="Q540" i="5"/>
  <c r="Q540" i="6"/>
  <c r="U540" i="6"/>
  <c r="R540" i="4"/>
  <c r="R540" i="5"/>
  <c r="U189" i="3"/>
  <c r="T106" i="1"/>
  <c r="D50" i="2"/>
  <c r="E522" i="6"/>
  <c r="U522" i="6"/>
  <c r="G522" i="4"/>
  <c r="G522" i="5"/>
  <c r="U522" i="4"/>
  <c r="U522" i="5"/>
  <c r="M522" i="6"/>
  <c r="L522" i="4"/>
  <c r="L522" i="5"/>
  <c r="V522" i="4"/>
  <c r="V522" i="5"/>
  <c r="Q522" i="4"/>
  <c r="Q522" i="5"/>
  <c r="D522" i="4"/>
  <c r="D522" i="5"/>
  <c r="H522" i="6"/>
  <c r="K522" i="4"/>
  <c r="K522" i="5"/>
  <c r="I522" i="6"/>
  <c r="J522" i="4"/>
  <c r="J522" i="5"/>
  <c r="P522" i="4"/>
  <c r="P522" i="5"/>
  <c r="F522" i="6"/>
  <c r="K522" i="6"/>
  <c r="F522" i="4"/>
  <c r="F522" i="5"/>
  <c r="R522" i="6"/>
  <c r="I522" i="4"/>
  <c r="I522" i="5"/>
  <c r="J522" i="6"/>
  <c r="E522" i="4"/>
  <c r="E522" i="5"/>
  <c r="T522" i="6"/>
  <c r="L522" i="6"/>
  <c r="O522" i="4"/>
  <c r="O522" i="5"/>
  <c r="M522" i="4"/>
  <c r="M522" i="5"/>
  <c r="N522" i="6"/>
  <c r="S522" i="4"/>
  <c r="S522" i="5"/>
  <c r="H522" i="4"/>
  <c r="H522" i="5"/>
  <c r="D522" i="6"/>
  <c r="P522" i="6"/>
  <c r="Q522" i="6"/>
  <c r="V522" i="6"/>
  <c r="S522" i="6"/>
  <c r="G522" i="6"/>
  <c r="O522" i="6"/>
  <c r="T522" i="4"/>
  <c r="T522" i="5"/>
  <c r="R522" i="4"/>
  <c r="R522" i="5"/>
  <c r="N522" i="4"/>
  <c r="N522" i="5"/>
  <c r="F47" i="4"/>
  <c r="F47" i="5"/>
  <c r="R47" i="6"/>
  <c r="S47" i="6"/>
  <c r="E47" i="6"/>
  <c r="U47" i="6"/>
  <c r="V47" i="6"/>
  <c r="R47" i="4"/>
  <c r="R47" i="5"/>
  <c r="M47" i="4"/>
  <c r="M47" i="5"/>
  <c r="O47" i="4"/>
  <c r="O47" i="5"/>
  <c r="Q47" i="6"/>
  <c r="S47" i="4"/>
  <c r="S47" i="5"/>
  <c r="I47" i="6"/>
  <c r="I47" i="4"/>
  <c r="I47" i="5"/>
  <c r="F47" i="6"/>
  <c r="V47" i="4"/>
  <c r="V47" i="5"/>
  <c r="K47" i="4"/>
  <c r="K47" i="5"/>
  <c r="L47" i="4"/>
  <c r="L47" i="5"/>
  <c r="M47" i="6"/>
  <c r="D47" i="6"/>
  <c r="N47" i="4"/>
  <c r="N47" i="5"/>
  <c r="N47" i="6"/>
  <c r="G47" i="4"/>
  <c r="G47" i="5"/>
  <c r="H47" i="4"/>
  <c r="H47" i="5"/>
  <c r="E47" i="4"/>
  <c r="E47" i="5"/>
  <c r="G47" i="6"/>
  <c r="U47" i="4"/>
  <c r="U47" i="5"/>
  <c r="K47" i="6"/>
  <c r="D47" i="4"/>
  <c r="D47" i="5"/>
  <c r="L47" i="6"/>
  <c r="O47" i="6"/>
  <c r="Q47" i="4"/>
  <c r="Q47" i="5"/>
  <c r="J47" i="6"/>
  <c r="H47" i="6"/>
  <c r="O530" i="6"/>
  <c r="N530" i="6"/>
  <c r="L530" i="6"/>
  <c r="L530" i="4"/>
  <c r="L530" i="5"/>
  <c r="R530" i="6"/>
  <c r="E530" i="6"/>
  <c r="Q530" i="4"/>
  <c r="Q530" i="5"/>
  <c r="N530" i="4"/>
  <c r="N530" i="5"/>
  <c r="J530" i="4"/>
  <c r="J530" i="5"/>
  <c r="D530" i="6"/>
  <c r="R530" i="4"/>
  <c r="R530" i="5"/>
  <c r="K530" i="4"/>
  <c r="K530" i="5"/>
  <c r="E530" i="4"/>
  <c r="E530" i="5"/>
  <c r="I530" i="4"/>
  <c r="I530" i="5"/>
  <c r="K530" i="6"/>
  <c r="P530" i="4"/>
  <c r="P530" i="5"/>
  <c r="O530" i="4"/>
  <c r="O530" i="5"/>
  <c r="D530" i="4"/>
  <c r="D530" i="5"/>
  <c r="T530" i="6"/>
  <c r="S530" i="4"/>
  <c r="S530" i="5"/>
  <c r="I530" i="6"/>
  <c r="P530" i="6"/>
  <c r="Q530" i="6"/>
  <c r="J530" i="6"/>
  <c r="T530" i="4"/>
  <c r="T530" i="5"/>
  <c r="S530" i="6"/>
  <c r="T504" i="6"/>
  <c r="L504" i="6"/>
  <c r="R504" i="6"/>
  <c r="V504" i="6"/>
  <c r="F504" i="6"/>
  <c r="D504" i="6"/>
  <c r="P504" i="6"/>
  <c r="H504" i="6"/>
  <c r="J504" i="6"/>
  <c r="N504" i="6"/>
  <c r="D504" i="4"/>
  <c r="D504" i="5"/>
  <c r="R504" i="4"/>
  <c r="R504" i="5"/>
  <c r="V504" i="4"/>
  <c r="V504" i="5"/>
  <c r="N504" i="4"/>
  <c r="N504" i="5"/>
  <c r="J504" i="4"/>
  <c r="J504" i="5"/>
  <c r="H504" i="4"/>
  <c r="H504" i="5"/>
  <c r="T504" i="4"/>
  <c r="T504" i="5"/>
  <c r="L504" i="4"/>
  <c r="L504" i="5"/>
  <c r="P504" i="4"/>
  <c r="P504" i="5"/>
  <c r="F504" i="4"/>
  <c r="F504" i="5"/>
  <c r="O504" i="4"/>
  <c r="O504" i="5"/>
  <c r="G504" i="4"/>
  <c r="G504" i="5"/>
  <c r="M504" i="4"/>
  <c r="M504" i="5"/>
  <c r="I504" i="4"/>
  <c r="I504" i="5"/>
  <c r="S504" i="4"/>
  <c r="S504" i="5"/>
  <c r="K504" i="6"/>
  <c r="I504" i="6"/>
  <c r="O504" i="6"/>
  <c r="S504" i="6"/>
  <c r="K504" i="4"/>
  <c r="K504" i="5"/>
  <c r="U504" i="4"/>
  <c r="U504" i="5"/>
  <c r="Q504" i="4"/>
  <c r="Q504" i="5"/>
  <c r="E504" i="6"/>
  <c r="G504" i="6"/>
  <c r="U504" i="6"/>
  <c r="Q504" i="6"/>
  <c r="E504" i="4"/>
  <c r="E504" i="5"/>
  <c r="M504" i="6"/>
  <c r="H340" i="4"/>
  <c r="H340" i="5"/>
  <c r="R340" i="4"/>
  <c r="R340" i="5"/>
  <c r="P340" i="4"/>
  <c r="P340" i="5"/>
  <c r="J340" i="4"/>
  <c r="J340" i="5"/>
  <c r="D340" i="4"/>
  <c r="D340" i="5"/>
  <c r="L340" i="4"/>
  <c r="L340" i="5"/>
  <c r="T340" i="4"/>
  <c r="T340" i="5"/>
  <c r="F340" i="4"/>
  <c r="F340" i="5"/>
  <c r="N340" i="4"/>
  <c r="N340" i="5"/>
  <c r="V340" i="4"/>
  <c r="V340" i="5"/>
  <c r="R340" i="6"/>
  <c r="J340" i="6"/>
  <c r="T340" i="6"/>
  <c r="D340" i="6"/>
  <c r="H340" i="6"/>
  <c r="V340" i="6"/>
  <c r="N340" i="6"/>
  <c r="F340" i="6"/>
  <c r="L340" i="6"/>
  <c r="P340" i="6"/>
  <c r="E340" i="4"/>
  <c r="E340" i="5"/>
  <c r="G340" i="4"/>
  <c r="G340" i="5"/>
  <c r="I340" i="4"/>
  <c r="I340" i="5"/>
  <c r="K340" i="4"/>
  <c r="K340" i="5"/>
  <c r="M340" i="4"/>
  <c r="M340" i="5"/>
  <c r="O340" i="4"/>
  <c r="O340" i="5"/>
  <c r="Q340" i="4"/>
  <c r="Q340" i="5"/>
  <c r="S340" i="4"/>
  <c r="S340" i="5"/>
  <c r="U340" i="4"/>
  <c r="U340" i="5"/>
  <c r="I340" i="6"/>
  <c r="Q340" i="6"/>
  <c r="S340" i="6"/>
  <c r="K340" i="6"/>
  <c r="G340" i="6"/>
  <c r="M340" i="6"/>
  <c r="O340" i="6"/>
  <c r="U340" i="6"/>
  <c r="E340" i="6"/>
  <c r="U119" i="4"/>
  <c r="U119" i="5"/>
  <c r="D119" i="4"/>
  <c r="D119" i="5"/>
  <c r="Q119" i="6"/>
  <c r="S119" i="6"/>
  <c r="K119" i="6"/>
  <c r="U119" i="6"/>
  <c r="D119" i="6"/>
  <c r="I119" i="6"/>
  <c r="M119" i="6"/>
  <c r="G119" i="6"/>
  <c r="O119" i="6"/>
  <c r="E119" i="6"/>
  <c r="Q119" i="4"/>
  <c r="Q119" i="5"/>
  <c r="M119" i="4"/>
  <c r="M119" i="5"/>
  <c r="I119" i="4"/>
  <c r="I119" i="5"/>
  <c r="E119" i="4"/>
  <c r="E119" i="5"/>
  <c r="O119" i="4"/>
  <c r="O119" i="5"/>
  <c r="K119" i="4"/>
  <c r="K119" i="5"/>
  <c r="G119" i="4"/>
  <c r="G119" i="5"/>
  <c r="T119" i="6"/>
  <c r="H119" i="6"/>
  <c r="N119" i="6"/>
  <c r="F119" i="6"/>
  <c r="H119" i="4"/>
  <c r="H119" i="5"/>
  <c r="P119" i="4"/>
  <c r="P119" i="5"/>
  <c r="P119" i="6"/>
  <c r="V119" i="6"/>
  <c r="R119" i="6"/>
  <c r="L119" i="4"/>
  <c r="L119" i="5"/>
  <c r="V119" i="4"/>
  <c r="V119" i="5"/>
  <c r="R119" i="4"/>
  <c r="R119" i="5"/>
  <c r="L119" i="6"/>
  <c r="J119" i="6"/>
  <c r="J119" i="4"/>
  <c r="J119" i="5"/>
  <c r="T119" i="4"/>
  <c r="T119" i="5"/>
  <c r="F119" i="4"/>
  <c r="F119" i="5"/>
  <c r="N119" i="4"/>
  <c r="N119" i="5"/>
  <c r="S119" i="4"/>
  <c r="S119" i="5"/>
  <c r="O431" i="4"/>
  <c r="O431" i="5"/>
  <c r="D431" i="6"/>
  <c r="I431" i="6"/>
  <c r="Q431" i="6"/>
  <c r="M431" i="4"/>
  <c r="M431" i="5"/>
  <c r="U431" i="6"/>
  <c r="F431" i="4"/>
  <c r="F431" i="5"/>
  <c r="S431" i="4"/>
  <c r="S431" i="5"/>
  <c r="U431" i="4"/>
  <c r="U431" i="5"/>
  <c r="D431" i="4"/>
  <c r="D431" i="5"/>
  <c r="Q431" i="4"/>
  <c r="Q431" i="5"/>
  <c r="R431" i="4"/>
  <c r="R431" i="5"/>
  <c r="E431" i="4"/>
  <c r="E431" i="5"/>
  <c r="M431" i="6"/>
  <c r="K431" i="6"/>
  <c r="E431" i="6"/>
  <c r="S431" i="6"/>
  <c r="O431" i="6"/>
  <c r="G431" i="6"/>
  <c r="H431" i="6"/>
  <c r="L431" i="6"/>
  <c r="P431" i="6"/>
  <c r="T431" i="6"/>
  <c r="F431" i="6"/>
  <c r="J431" i="6"/>
  <c r="N431" i="6"/>
  <c r="R431" i="6"/>
  <c r="V431" i="6"/>
  <c r="L431" i="4"/>
  <c r="L431" i="5"/>
  <c r="V431" i="4"/>
  <c r="V431" i="5"/>
  <c r="H431" i="4"/>
  <c r="H431" i="5"/>
  <c r="P431" i="4"/>
  <c r="P431" i="5"/>
  <c r="T431" i="4"/>
  <c r="T431" i="5"/>
  <c r="I431" i="4"/>
  <c r="I431" i="5"/>
  <c r="K431" i="4"/>
  <c r="K431" i="5"/>
  <c r="G431" i="4"/>
  <c r="G431" i="5"/>
  <c r="J431" i="4"/>
  <c r="J431" i="5"/>
  <c r="N431" i="4"/>
  <c r="N431" i="5"/>
  <c r="V417" i="6"/>
  <c r="J417" i="4"/>
  <c r="J417" i="5"/>
  <c r="F417" i="6"/>
  <c r="S417" i="4"/>
  <c r="S417" i="5"/>
  <c r="L417" i="4"/>
  <c r="L417" i="5"/>
  <c r="H417" i="6"/>
  <c r="F417" i="4"/>
  <c r="F417" i="5"/>
  <c r="T417" i="6"/>
  <c r="L417" i="6"/>
  <c r="D417" i="4"/>
  <c r="D417" i="5"/>
  <c r="R417" i="4"/>
  <c r="R417" i="5"/>
  <c r="P417" i="4"/>
  <c r="P417" i="5"/>
  <c r="N417" i="6"/>
  <c r="H417" i="4"/>
  <c r="H417" i="5"/>
  <c r="T417" i="4"/>
  <c r="T417" i="5"/>
  <c r="N417" i="4"/>
  <c r="N417" i="5"/>
  <c r="J417" i="6"/>
  <c r="V417" i="4"/>
  <c r="V417" i="5"/>
  <c r="P417" i="6"/>
  <c r="R417" i="6"/>
  <c r="D417" i="6"/>
  <c r="S417" i="6"/>
  <c r="O417" i="6"/>
  <c r="I417" i="4"/>
  <c r="I417" i="5"/>
  <c r="U417" i="6"/>
  <c r="Q417" i="4"/>
  <c r="Q417" i="5"/>
  <c r="M417" i="6"/>
  <c r="K417" i="4"/>
  <c r="K417" i="5"/>
  <c r="K417" i="6"/>
  <c r="Q417" i="6"/>
  <c r="G417" i="4"/>
  <c r="G417" i="5"/>
  <c r="G417" i="6"/>
  <c r="O417" i="4"/>
  <c r="O417" i="5"/>
  <c r="M417" i="4"/>
  <c r="M417" i="5"/>
  <c r="E417" i="4"/>
  <c r="E417" i="5"/>
  <c r="E417" i="6"/>
  <c r="I417" i="6"/>
  <c r="U417" i="4"/>
  <c r="U417" i="5"/>
  <c r="S397" i="6"/>
  <c r="H397" i="4"/>
  <c r="H397" i="5"/>
  <c r="O397" i="6"/>
  <c r="I397" i="4"/>
  <c r="I397" i="5"/>
  <c r="L397" i="4"/>
  <c r="L397" i="5"/>
  <c r="I397" i="6"/>
  <c r="Q397" i="4"/>
  <c r="Q397" i="5"/>
  <c r="E397" i="6"/>
  <c r="D397" i="6"/>
  <c r="T397" i="4"/>
  <c r="T397" i="5"/>
  <c r="N397" i="4"/>
  <c r="N397" i="5"/>
  <c r="F397" i="4"/>
  <c r="F397" i="5"/>
  <c r="P397" i="4"/>
  <c r="P397" i="5"/>
  <c r="F397" i="6"/>
  <c r="J397" i="4"/>
  <c r="J397" i="5"/>
  <c r="R397" i="4"/>
  <c r="R397" i="5"/>
  <c r="H397" i="6"/>
  <c r="P397" i="6"/>
  <c r="D397" i="4"/>
  <c r="D397" i="5"/>
  <c r="R397" i="6"/>
  <c r="V397" i="4"/>
  <c r="V397" i="5"/>
  <c r="T397" i="6"/>
  <c r="S397" i="4"/>
  <c r="S397" i="5"/>
  <c r="N397" i="6"/>
  <c r="V397" i="6"/>
  <c r="J397" i="6"/>
  <c r="L397" i="6"/>
  <c r="K397" i="4"/>
  <c r="K397" i="5"/>
  <c r="G397" i="4"/>
  <c r="G397" i="5"/>
  <c r="K397" i="6"/>
  <c r="G397" i="6"/>
  <c r="U397" i="4"/>
  <c r="U397" i="5"/>
  <c r="M397" i="6"/>
  <c r="O397" i="4"/>
  <c r="O397" i="5"/>
  <c r="Q397" i="6"/>
  <c r="U397" i="6"/>
  <c r="M397" i="4"/>
  <c r="M397" i="5"/>
  <c r="E397" i="4"/>
  <c r="E397" i="5"/>
  <c r="D366" i="6"/>
  <c r="S366" i="6"/>
  <c r="K366" i="6"/>
  <c r="E366" i="6"/>
  <c r="M366" i="6"/>
  <c r="U366" i="6"/>
  <c r="O366" i="6"/>
  <c r="O366" i="4"/>
  <c r="O366" i="5"/>
  <c r="G366" i="4"/>
  <c r="G366" i="5"/>
  <c r="D366" i="4"/>
  <c r="D366" i="5"/>
  <c r="I366" i="6"/>
  <c r="Q366" i="6"/>
  <c r="E366" i="4"/>
  <c r="E366" i="5"/>
  <c r="I366" i="4"/>
  <c r="I366" i="5"/>
  <c r="M366" i="4"/>
  <c r="M366" i="5"/>
  <c r="Q366" i="4"/>
  <c r="Q366" i="5"/>
  <c r="U366" i="4"/>
  <c r="U366" i="5"/>
  <c r="G366" i="6"/>
  <c r="K366" i="4"/>
  <c r="K366" i="5"/>
  <c r="S366" i="4"/>
  <c r="S366" i="5"/>
  <c r="F366" i="4"/>
  <c r="F366" i="5"/>
  <c r="T366" i="6"/>
  <c r="P366" i="6"/>
  <c r="J366" i="4"/>
  <c r="J366" i="5"/>
  <c r="H366" i="4"/>
  <c r="H366" i="5"/>
  <c r="H366" i="6"/>
  <c r="L366" i="4"/>
  <c r="L366" i="5"/>
  <c r="V366" i="4"/>
  <c r="V366" i="5"/>
  <c r="V366" i="6"/>
  <c r="T366" i="4"/>
  <c r="T366" i="5"/>
  <c r="R366" i="6"/>
  <c r="J366" i="6"/>
  <c r="L366" i="6"/>
  <c r="R366" i="4"/>
  <c r="R366" i="5"/>
  <c r="P366" i="4"/>
  <c r="P366" i="5"/>
  <c r="N366" i="4"/>
  <c r="N366" i="5"/>
  <c r="N366" i="6"/>
  <c r="F366" i="6"/>
  <c r="R342" i="4"/>
  <c r="R342" i="5"/>
  <c r="J342" i="4"/>
  <c r="J342" i="5"/>
  <c r="P342" i="4"/>
  <c r="P342" i="5"/>
  <c r="H342" i="4"/>
  <c r="H342" i="5"/>
  <c r="D342" i="4"/>
  <c r="D342" i="5"/>
  <c r="L342" i="4"/>
  <c r="L342" i="5"/>
  <c r="T342" i="4"/>
  <c r="T342" i="5"/>
  <c r="F342" i="4"/>
  <c r="F342" i="5"/>
  <c r="N342" i="4"/>
  <c r="N342" i="5"/>
  <c r="V342" i="4"/>
  <c r="V342" i="5"/>
  <c r="D342" i="6"/>
  <c r="H342" i="6"/>
  <c r="L342" i="6"/>
  <c r="P342" i="6"/>
  <c r="T342" i="6"/>
  <c r="F342" i="6"/>
  <c r="J342" i="6"/>
  <c r="N342" i="6"/>
  <c r="R342" i="6"/>
  <c r="V342" i="6"/>
  <c r="G342" i="4"/>
  <c r="G342" i="5"/>
  <c r="O342" i="4"/>
  <c r="O342" i="5"/>
  <c r="S342" i="4"/>
  <c r="S342" i="5"/>
  <c r="K342" i="6"/>
  <c r="E342" i="4"/>
  <c r="E342" i="5"/>
  <c r="E342" i="6"/>
  <c r="I342" i="6"/>
  <c r="K342" i="4"/>
  <c r="K342" i="5"/>
  <c r="S342" i="6"/>
  <c r="I342" i="4"/>
  <c r="I342" i="5"/>
  <c r="Q342" i="4"/>
  <c r="Q342" i="5"/>
  <c r="Q342" i="6"/>
  <c r="M342" i="6"/>
  <c r="G342" i="6"/>
  <c r="M342" i="4"/>
  <c r="M342" i="5"/>
  <c r="U342" i="4"/>
  <c r="U342" i="5"/>
  <c r="U342" i="6"/>
  <c r="O342" i="6"/>
  <c r="T327" i="4"/>
  <c r="T327" i="5"/>
  <c r="N327" i="4"/>
  <c r="N327" i="5"/>
  <c r="P327" i="6"/>
  <c r="K327" i="6"/>
  <c r="E327" i="4"/>
  <c r="E327" i="5"/>
  <c r="I327" i="6"/>
  <c r="M327" i="4"/>
  <c r="M327" i="5"/>
  <c r="U327" i="4"/>
  <c r="U327" i="5"/>
  <c r="G327" i="6"/>
  <c r="Q327" i="4"/>
  <c r="Q327" i="5"/>
  <c r="Q327" i="6"/>
  <c r="J327" i="4"/>
  <c r="J327" i="5"/>
  <c r="J327" i="6"/>
  <c r="V327" i="4"/>
  <c r="V327" i="5"/>
  <c r="D327" i="4"/>
  <c r="D327" i="5"/>
  <c r="D327" i="6"/>
  <c r="T327" i="6"/>
  <c r="U327" i="6"/>
  <c r="G327" i="4"/>
  <c r="G327" i="5"/>
  <c r="F327" i="6"/>
  <c r="L327" i="4"/>
  <c r="L327" i="5"/>
  <c r="F327" i="4"/>
  <c r="F327" i="5"/>
  <c r="R327" i="6"/>
  <c r="N327" i="6"/>
  <c r="L327" i="6"/>
  <c r="M327" i="6"/>
  <c r="O327" i="6"/>
  <c r="O327" i="4"/>
  <c r="O327" i="5"/>
  <c r="E327" i="6"/>
  <c r="S327" i="4"/>
  <c r="S327" i="5"/>
  <c r="S327" i="6"/>
  <c r="I327" i="4"/>
  <c r="I327" i="5"/>
  <c r="H327" i="4"/>
  <c r="H327" i="5"/>
  <c r="P327" i="4"/>
  <c r="P327" i="5"/>
  <c r="H327" i="6"/>
  <c r="K327" i="4"/>
  <c r="K327" i="5"/>
  <c r="V327" i="6"/>
  <c r="R327" i="4"/>
  <c r="R327" i="5"/>
  <c r="I305" i="4"/>
  <c r="I305" i="5"/>
  <c r="U305" i="6"/>
  <c r="D305" i="4"/>
  <c r="D305" i="5"/>
  <c r="M305" i="6"/>
  <c r="M305" i="4"/>
  <c r="M305" i="5"/>
  <c r="I305" i="6"/>
  <c r="G305" i="4"/>
  <c r="G305" i="5"/>
  <c r="O305" i="4"/>
  <c r="O305" i="5"/>
  <c r="G305" i="6"/>
  <c r="O305" i="6"/>
  <c r="Q305" i="4"/>
  <c r="Q305" i="5"/>
  <c r="E305" i="4"/>
  <c r="E305" i="5"/>
  <c r="U305" i="4"/>
  <c r="U305" i="5"/>
  <c r="Q305" i="6"/>
  <c r="D305" i="6"/>
  <c r="K305" i="4"/>
  <c r="K305" i="5"/>
  <c r="S305" i="4"/>
  <c r="S305" i="5"/>
  <c r="K305" i="6"/>
  <c r="S305" i="6"/>
  <c r="H305" i="6"/>
  <c r="N305" i="4"/>
  <c r="N305" i="5"/>
  <c r="R305" i="6"/>
  <c r="L305" i="4"/>
  <c r="L305" i="5"/>
  <c r="P305" i="4"/>
  <c r="P305" i="5"/>
  <c r="T305" i="4"/>
  <c r="T305" i="5"/>
  <c r="V305" i="4"/>
  <c r="V305" i="5"/>
  <c r="V305" i="6"/>
  <c r="J305" i="6"/>
  <c r="P305" i="6"/>
  <c r="J305" i="4"/>
  <c r="J305" i="5"/>
  <c r="F305" i="4"/>
  <c r="F305" i="5"/>
  <c r="F305" i="6"/>
  <c r="R305" i="4"/>
  <c r="R305" i="5"/>
  <c r="N305" i="6"/>
  <c r="H305" i="4"/>
  <c r="H305" i="5"/>
  <c r="L305" i="6"/>
  <c r="T305" i="6"/>
  <c r="E305" i="6"/>
  <c r="K295" i="4"/>
  <c r="K295" i="5"/>
  <c r="G295" i="6"/>
  <c r="S295" i="4"/>
  <c r="S295" i="5"/>
  <c r="E295" i="4"/>
  <c r="E295" i="5"/>
  <c r="M295" i="4"/>
  <c r="M295" i="5"/>
  <c r="U295" i="4"/>
  <c r="U295" i="5"/>
  <c r="I295" i="6"/>
  <c r="Q295" i="6"/>
  <c r="D295" i="4"/>
  <c r="D295" i="5"/>
  <c r="I295" i="4"/>
  <c r="I295" i="5"/>
  <c r="Q295" i="4"/>
  <c r="Q295" i="5"/>
  <c r="E295" i="6"/>
  <c r="M295" i="6"/>
  <c r="U295" i="6"/>
  <c r="H295" i="4"/>
  <c r="H295" i="5"/>
  <c r="N295" i="6"/>
  <c r="P295" i="6"/>
  <c r="J295" i="6"/>
  <c r="N295" i="4"/>
  <c r="N295" i="5"/>
  <c r="P295" i="4"/>
  <c r="P295" i="5"/>
  <c r="F295" i="4"/>
  <c r="F295" i="5"/>
  <c r="F295" i="6"/>
  <c r="J295" i="4"/>
  <c r="J295" i="5"/>
  <c r="L295" i="4"/>
  <c r="L295" i="5"/>
  <c r="L295" i="6"/>
  <c r="R295" i="6"/>
  <c r="V295" i="4"/>
  <c r="V295" i="5"/>
  <c r="H295" i="6"/>
  <c r="S295" i="6"/>
  <c r="R295" i="4"/>
  <c r="R295" i="5"/>
  <c r="T295" i="4"/>
  <c r="T295" i="5"/>
  <c r="T295" i="6"/>
  <c r="V295" i="6"/>
  <c r="G295" i="4"/>
  <c r="G295" i="5"/>
  <c r="O295" i="4"/>
  <c r="O295" i="5"/>
  <c r="K295" i="6"/>
  <c r="D295" i="6"/>
  <c r="O295" i="6"/>
  <c r="Q263" i="4"/>
  <c r="Q263" i="5"/>
  <c r="D263" i="6"/>
  <c r="P263" i="6"/>
  <c r="Q263" i="6"/>
  <c r="H263" i="4"/>
  <c r="H263" i="5"/>
  <c r="G263" i="4"/>
  <c r="G263" i="5"/>
  <c r="I263" i="6"/>
  <c r="M263" i="4"/>
  <c r="M263" i="5"/>
  <c r="V263" i="4"/>
  <c r="V263" i="5"/>
  <c r="L263" i="6"/>
  <c r="I263" i="4"/>
  <c r="I263" i="5"/>
  <c r="O263" i="6"/>
  <c r="H263" i="6"/>
  <c r="U263" i="4"/>
  <c r="U263" i="5"/>
  <c r="E263" i="4"/>
  <c r="E263" i="5"/>
  <c r="V263" i="6"/>
  <c r="L263" i="4"/>
  <c r="L263" i="5"/>
  <c r="T263" i="4"/>
  <c r="T263" i="5"/>
  <c r="R263" i="6"/>
  <c r="N263" i="4"/>
  <c r="N263" i="5"/>
  <c r="J263" i="6"/>
  <c r="F263" i="4"/>
  <c r="F263" i="5"/>
  <c r="P263" i="4"/>
  <c r="P263" i="5"/>
  <c r="O263" i="4"/>
  <c r="O263" i="5"/>
  <c r="U263" i="6"/>
  <c r="E263" i="6"/>
  <c r="S263" i="4"/>
  <c r="S263" i="5"/>
  <c r="T263" i="6"/>
  <c r="R263" i="4"/>
  <c r="R263" i="5"/>
  <c r="N263" i="6"/>
  <c r="J263" i="4"/>
  <c r="J263" i="5"/>
  <c r="F263" i="6"/>
  <c r="D263" i="4"/>
  <c r="D263" i="5"/>
  <c r="K263" i="6"/>
  <c r="S263" i="6"/>
  <c r="M263" i="6"/>
  <c r="K263" i="4"/>
  <c r="K263" i="5"/>
  <c r="G263" i="6"/>
  <c r="D236" i="6"/>
  <c r="U236" i="6"/>
  <c r="Q236" i="6"/>
  <c r="M236" i="6"/>
  <c r="I236" i="6"/>
  <c r="E236" i="6"/>
  <c r="D236" i="4"/>
  <c r="D236" i="5"/>
  <c r="T236" i="6"/>
  <c r="S236" i="6"/>
  <c r="O236" i="6"/>
  <c r="K236" i="6"/>
  <c r="G236" i="6"/>
  <c r="U236" i="4"/>
  <c r="U236" i="5"/>
  <c r="S236" i="4"/>
  <c r="S236" i="5"/>
  <c r="Q236" i="4"/>
  <c r="Q236" i="5"/>
  <c r="O236" i="4"/>
  <c r="O236" i="5"/>
  <c r="M236" i="4"/>
  <c r="M236" i="5"/>
  <c r="K236" i="4"/>
  <c r="K236" i="5"/>
  <c r="I236" i="4"/>
  <c r="I236" i="5"/>
  <c r="G236" i="4"/>
  <c r="G236" i="5"/>
  <c r="E236" i="4"/>
  <c r="E236" i="5"/>
  <c r="V236" i="6"/>
  <c r="P236" i="4"/>
  <c r="P236" i="5"/>
  <c r="L236" i="4"/>
  <c r="L236" i="5"/>
  <c r="H236" i="4"/>
  <c r="H236" i="5"/>
  <c r="F236" i="6"/>
  <c r="T236" i="4"/>
  <c r="T236" i="5"/>
  <c r="R236" i="6"/>
  <c r="N236" i="6"/>
  <c r="J236" i="6"/>
  <c r="P236" i="6"/>
  <c r="L236" i="6"/>
  <c r="H236" i="6"/>
  <c r="J236" i="4"/>
  <c r="J236" i="5"/>
  <c r="R236" i="4"/>
  <c r="R236" i="5"/>
  <c r="F236" i="4"/>
  <c r="F236" i="5"/>
  <c r="N236" i="4"/>
  <c r="N236" i="5"/>
  <c r="V236" i="4"/>
  <c r="V236" i="5"/>
  <c r="D218" i="4"/>
  <c r="D218" i="5"/>
  <c r="P218" i="6"/>
  <c r="T218" i="4"/>
  <c r="T218" i="5"/>
  <c r="H218" i="4"/>
  <c r="H218" i="5"/>
  <c r="T218" i="6"/>
  <c r="H218" i="6"/>
  <c r="L218" i="6"/>
  <c r="P218" i="4"/>
  <c r="P218" i="5"/>
  <c r="L218" i="4"/>
  <c r="L218" i="5"/>
  <c r="D218" i="6"/>
  <c r="J218" i="6"/>
  <c r="R218" i="6"/>
  <c r="F218" i="4"/>
  <c r="F218" i="5"/>
  <c r="J218" i="4"/>
  <c r="J218" i="5"/>
  <c r="N218" i="4"/>
  <c r="N218" i="5"/>
  <c r="R218" i="4"/>
  <c r="R218" i="5"/>
  <c r="V218" i="4"/>
  <c r="V218" i="5"/>
  <c r="F218" i="6"/>
  <c r="N218" i="6"/>
  <c r="V218" i="6"/>
  <c r="E218" i="6"/>
  <c r="O218" i="6"/>
  <c r="K218" i="4"/>
  <c r="K218" i="5"/>
  <c r="G218" i="6"/>
  <c r="U218" i="4"/>
  <c r="U218" i="5"/>
  <c r="K218" i="6"/>
  <c r="S218" i="4"/>
  <c r="S218" i="5"/>
  <c r="E218" i="4"/>
  <c r="E218" i="5"/>
  <c r="I218" i="4"/>
  <c r="I218" i="5"/>
  <c r="S218" i="6"/>
  <c r="I218" i="6"/>
  <c r="M218" i="4"/>
  <c r="M218" i="5"/>
  <c r="M218" i="6"/>
  <c r="Q218" i="6"/>
  <c r="G218" i="4"/>
  <c r="G218" i="5"/>
  <c r="U218" i="6"/>
  <c r="Q218" i="4"/>
  <c r="Q218" i="5"/>
  <c r="O218" i="4"/>
  <c r="O218" i="5"/>
  <c r="V178" i="6"/>
  <c r="J178" i="4"/>
  <c r="J178" i="5"/>
  <c r="V178" i="4"/>
  <c r="V178" i="5"/>
  <c r="M178" i="6"/>
  <c r="D178" i="6"/>
  <c r="P178" i="6"/>
  <c r="O178" i="6"/>
  <c r="N178" i="4"/>
  <c r="N178" i="5"/>
  <c r="F178" i="4"/>
  <c r="F178" i="5"/>
  <c r="P178" i="4"/>
  <c r="P178" i="5"/>
  <c r="N178" i="6"/>
  <c r="I178" i="6"/>
  <c r="Q178" i="4"/>
  <c r="Q178" i="5"/>
  <c r="U178" i="6"/>
  <c r="J178" i="6"/>
  <c r="T178" i="6"/>
  <c r="F178" i="6"/>
  <c r="O178" i="4"/>
  <c r="O178" i="5"/>
  <c r="D178" i="4"/>
  <c r="D178" i="5"/>
  <c r="L178" i="4"/>
  <c r="L178" i="5"/>
  <c r="H178" i="6"/>
  <c r="I178" i="4"/>
  <c r="I178" i="5"/>
  <c r="Q178" i="6"/>
  <c r="U178" i="4"/>
  <c r="U178" i="5"/>
  <c r="G178" i="6"/>
  <c r="K178" i="4"/>
  <c r="K178" i="5"/>
  <c r="S178" i="4"/>
  <c r="S178" i="5"/>
  <c r="E178" i="4"/>
  <c r="E178" i="5"/>
  <c r="R178" i="6"/>
  <c r="R178" i="4"/>
  <c r="R178" i="5"/>
  <c r="H178" i="4"/>
  <c r="H178" i="5"/>
  <c r="G178" i="4"/>
  <c r="G178" i="5"/>
  <c r="K178" i="6"/>
  <c r="S178" i="6"/>
  <c r="E178" i="6"/>
  <c r="M178" i="4"/>
  <c r="M178" i="5"/>
  <c r="L178" i="6"/>
  <c r="T178" i="4"/>
  <c r="T178" i="5"/>
  <c r="O156" i="4"/>
  <c r="O156" i="5"/>
  <c r="G156" i="6"/>
  <c r="K156" i="6"/>
  <c r="O156" i="6"/>
  <c r="S156" i="6"/>
  <c r="E156" i="4"/>
  <c r="E156" i="5"/>
  <c r="I156" i="4"/>
  <c r="I156" i="5"/>
  <c r="M156" i="4"/>
  <c r="M156" i="5"/>
  <c r="S156" i="4"/>
  <c r="S156" i="5"/>
  <c r="H156" i="6"/>
  <c r="G156" i="4"/>
  <c r="G156" i="5"/>
  <c r="Q156" i="4"/>
  <c r="Q156" i="5"/>
  <c r="D156" i="6"/>
  <c r="E156" i="6"/>
  <c r="I156" i="6"/>
  <c r="M156" i="6"/>
  <c r="Q156" i="6"/>
  <c r="U156" i="6"/>
  <c r="D156" i="4"/>
  <c r="D156" i="5"/>
  <c r="K156" i="4"/>
  <c r="K156" i="5"/>
  <c r="U156" i="4"/>
  <c r="U156" i="5"/>
  <c r="V156" i="4"/>
  <c r="V156" i="5"/>
  <c r="T156" i="4"/>
  <c r="T156" i="5"/>
  <c r="R156" i="4"/>
  <c r="R156" i="5"/>
  <c r="P156" i="4"/>
  <c r="P156" i="5"/>
  <c r="N156" i="4"/>
  <c r="N156" i="5"/>
  <c r="L156" i="6"/>
  <c r="H156" i="4"/>
  <c r="H156" i="5"/>
  <c r="J156" i="4"/>
  <c r="J156" i="5"/>
  <c r="F156" i="4"/>
  <c r="F156" i="5"/>
  <c r="P156" i="6"/>
  <c r="L156" i="4"/>
  <c r="L156" i="5"/>
  <c r="T156" i="6"/>
  <c r="V156" i="6"/>
  <c r="N156" i="6"/>
  <c r="F156" i="6"/>
  <c r="R156" i="6"/>
  <c r="J156" i="6"/>
  <c r="S141" i="4"/>
  <c r="S141" i="5"/>
  <c r="Q141" i="4"/>
  <c r="Q141" i="5"/>
  <c r="S141" i="6"/>
  <c r="I141" i="6"/>
  <c r="I141" i="4"/>
  <c r="I141" i="5"/>
  <c r="O141" i="6"/>
  <c r="D141" i="6"/>
  <c r="G141" i="4"/>
  <c r="G141" i="5"/>
  <c r="K141" i="4"/>
  <c r="K141" i="5"/>
  <c r="O141" i="4"/>
  <c r="O141" i="5"/>
  <c r="G141" i="6"/>
  <c r="E141" i="6"/>
  <c r="U141" i="4"/>
  <c r="U141" i="5"/>
  <c r="M141" i="4"/>
  <c r="M141" i="5"/>
  <c r="E141" i="4"/>
  <c r="E141" i="5"/>
  <c r="K141" i="6"/>
  <c r="Q141" i="6"/>
  <c r="U141" i="6"/>
  <c r="R141" i="4"/>
  <c r="R141" i="5"/>
  <c r="N141" i="4"/>
  <c r="N141" i="5"/>
  <c r="J141" i="4"/>
  <c r="J141" i="5"/>
  <c r="T141" i="4"/>
  <c r="T141" i="5"/>
  <c r="P141" i="4"/>
  <c r="P141" i="5"/>
  <c r="J141" i="6"/>
  <c r="D141" i="4"/>
  <c r="D141" i="5"/>
  <c r="L141" i="6"/>
  <c r="V141" i="6"/>
  <c r="H141" i="6"/>
  <c r="M141" i="6"/>
  <c r="L141" i="4"/>
  <c r="L141" i="5"/>
  <c r="V141" i="4"/>
  <c r="V141" i="5"/>
  <c r="H141" i="4"/>
  <c r="H141" i="5"/>
  <c r="N141" i="6"/>
  <c r="R141" i="6"/>
  <c r="F141" i="4"/>
  <c r="F141" i="5"/>
  <c r="F141" i="6"/>
  <c r="P141" i="6"/>
  <c r="T141" i="6"/>
  <c r="U121" i="6"/>
  <c r="I121" i="6"/>
  <c r="P121" i="4"/>
  <c r="P121" i="5"/>
  <c r="O121" i="4"/>
  <c r="O121" i="5"/>
  <c r="S121" i="4"/>
  <c r="S121" i="5"/>
  <c r="E121" i="6"/>
  <c r="Q121" i="6"/>
  <c r="K121" i="6"/>
  <c r="I121" i="4"/>
  <c r="I121" i="5"/>
  <c r="K121" i="4"/>
  <c r="K121" i="5"/>
  <c r="M121" i="6"/>
  <c r="V121" i="6"/>
  <c r="L121" i="4"/>
  <c r="L121" i="5"/>
  <c r="H121" i="6"/>
  <c r="U121" i="4"/>
  <c r="U121" i="5"/>
  <c r="D121" i="6"/>
  <c r="G121" i="6"/>
  <c r="O121" i="6"/>
  <c r="M121" i="4"/>
  <c r="M121" i="5"/>
  <c r="E121" i="4"/>
  <c r="E121" i="5"/>
  <c r="G121" i="4"/>
  <c r="G121" i="5"/>
  <c r="S121" i="6"/>
  <c r="Q121" i="4"/>
  <c r="Q121" i="5"/>
  <c r="D121" i="4"/>
  <c r="D121" i="5"/>
  <c r="V121" i="4"/>
  <c r="V121" i="5"/>
  <c r="L121" i="6"/>
  <c r="H121" i="4"/>
  <c r="H121" i="5"/>
  <c r="T121" i="4"/>
  <c r="T121" i="5"/>
  <c r="R121" i="4"/>
  <c r="R121" i="5"/>
  <c r="N121" i="4"/>
  <c r="N121" i="5"/>
  <c r="N121" i="6"/>
  <c r="J121" i="6"/>
  <c r="F121" i="4"/>
  <c r="F121" i="5"/>
  <c r="T121" i="6"/>
  <c r="R121" i="6"/>
  <c r="J121" i="4"/>
  <c r="J121" i="5"/>
  <c r="F121" i="6"/>
  <c r="P121" i="6"/>
  <c r="K15" i="6"/>
  <c r="O15" i="4"/>
  <c r="O15" i="5"/>
  <c r="P15" i="6"/>
  <c r="F15" i="4"/>
  <c r="F15" i="5"/>
  <c r="F15" i="6"/>
  <c r="H15" i="6"/>
  <c r="I15" i="6"/>
  <c r="M15" i="4"/>
  <c r="M15" i="5"/>
  <c r="Q15" i="4"/>
  <c r="Q15" i="5"/>
  <c r="R15" i="4"/>
  <c r="R15" i="5"/>
  <c r="T15" i="6"/>
  <c r="E15" i="4"/>
  <c r="E15" i="5"/>
  <c r="J15" i="4"/>
  <c r="J15" i="5"/>
  <c r="N15" i="4"/>
  <c r="N15" i="5"/>
  <c r="S15" i="6"/>
  <c r="U15" i="4"/>
  <c r="U15" i="5"/>
  <c r="O15" i="6"/>
  <c r="P15" i="4"/>
  <c r="P15" i="5"/>
  <c r="H15" i="4"/>
  <c r="H15" i="5"/>
  <c r="I15" i="4"/>
  <c r="I15" i="5"/>
  <c r="L15" i="4"/>
  <c r="L15" i="5"/>
  <c r="L15" i="6"/>
  <c r="M15" i="6"/>
  <c r="Q15" i="6"/>
  <c r="R15" i="6"/>
  <c r="T15" i="4"/>
  <c r="T15" i="5"/>
  <c r="E15" i="6"/>
  <c r="J15" i="6"/>
  <c r="N15" i="6"/>
  <c r="S15" i="4"/>
  <c r="S15" i="5"/>
  <c r="U15" i="6"/>
  <c r="V15" i="6"/>
  <c r="K15" i="4"/>
  <c r="K15" i="5"/>
  <c r="D15" i="6"/>
  <c r="V15" i="4"/>
  <c r="V15" i="5"/>
  <c r="G15" i="4"/>
  <c r="G15" i="5"/>
  <c r="D15" i="4"/>
  <c r="D15" i="5"/>
  <c r="G15" i="6"/>
  <c r="D71" i="6"/>
  <c r="G71" i="6"/>
  <c r="K71" i="6"/>
  <c r="O71" i="6"/>
  <c r="S71" i="6"/>
  <c r="U71" i="4"/>
  <c r="U71" i="5"/>
  <c r="E71" i="4"/>
  <c r="E71" i="5"/>
  <c r="K71" i="4"/>
  <c r="K71" i="5"/>
  <c r="D71" i="4"/>
  <c r="D71" i="5"/>
  <c r="O71" i="4"/>
  <c r="O71" i="5"/>
  <c r="G71" i="4"/>
  <c r="G71" i="5"/>
  <c r="S71" i="4"/>
  <c r="S71" i="5"/>
  <c r="I71" i="4"/>
  <c r="I71" i="5"/>
  <c r="E71" i="6"/>
  <c r="I71" i="6"/>
  <c r="M71" i="6"/>
  <c r="Q71" i="6"/>
  <c r="U71" i="6"/>
  <c r="M71" i="4"/>
  <c r="M71" i="5"/>
  <c r="Q71" i="4"/>
  <c r="Q71" i="5"/>
  <c r="P71" i="6"/>
  <c r="R71" i="4"/>
  <c r="R71" i="5"/>
  <c r="P71" i="4"/>
  <c r="P71" i="5"/>
  <c r="R71" i="6"/>
  <c r="F71" i="4"/>
  <c r="F71" i="5"/>
  <c r="J71" i="6"/>
  <c r="V71" i="4"/>
  <c r="V71" i="5"/>
  <c r="T71" i="4"/>
  <c r="T71" i="5"/>
  <c r="N71" i="6"/>
  <c r="L71" i="4"/>
  <c r="L71" i="5"/>
  <c r="H71" i="6"/>
  <c r="J71" i="4"/>
  <c r="J71" i="5"/>
  <c r="T71" i="6"/>
  <c r="L71" i="6"/>
  <c r="F71" i="6"/>
  <c r="H71" i="4"/>
  <c r="H71" i="5"/>
  <c r="N71" i="4"/>
  <c r="N71" i="5"/>
  <c r="V71" i="6"/>
  <c r="R533" i="6"/>
  <c r="J533" i="6"/>
  <c r="S533" i="6"/>
  <c r="V533" i="4"/>
  <c r="V533" i="5"/>
  <c r="R533" i="4"/>
  <c r="R533" i="5"/>
  <c r="N533" i="4"/>
  <c r="N533" i="5"/>
  <c r="J533" i="4"/>
  <c r="J533" i="5"/>
  <c r="F533" i="4"/>
  <c r="F533" i="5"/>
  <c r="S533" i="4"/>
  <c r="S533" i="5"/>
  <c r="K533" i="4"/>
  <c r="K533" i="5"/>
  <c r="V533" i="6"/>
  <c r="N533" i="6"/>
  <c r="F533" i="6"/>
  <c r="E533" i="6"/>
  <c r="M533" i="4"/>
  <c r="M533" i="5"/>
  <c r="G533" i="6"/>
  <c r="Q533" i="6"/>
  <c r="K533" i="6"/>
  <c r="E533" i="4"/>
  <c r="E533" i="5"/>
  <c r="D533" i="6"/>
  <c r="L533" i="6"/>
  <c r="T533" i="6"/>
  <c r="M533" i="6"/>
  <c r="Q533" i="4"/>
  <c r="Q533" i="5"/>
  <c r="U533" i="4"/>
  <c r="U533" i="5"/>
  <c r="O533" i="6"/>
  <c r="I533" i="6"/>
  <c r="U533" i="6"/>
  <c r="H533" i="6"/>
  <c r="P533" i="6"/>
  <c r="G533" i="4"/>
  <c r="G533" i="5"/>
  <c r="O533" i="4"/>
  <c r="O533" i="5"/>
  <c r="D533" i="4"/>
  <c r="D533" i="5"/>
  <c r="H533" i="4"/>
  <c r="H533" i="5"/>
  <c r="L533" i="4"/>
  <c r="L533" i="5"/>
  <c r="P533" i="4"/>
  <c r="P533" i="5"/>
  <c r="I533" i="4"/>
  <c r="I533" i="5"/>
  <c r="T533" i="4"/>
  <c r="T533" i="5"/>
  <c r="Q280" i="4"/>
  <c r="Q280" i="5"/>
  <c r="P280" i="6"/>
  <c r="F280" i="6"/>
  <c r="D280" i="4"/>
  <c r="D280" i="5"/>
  <c r="L280" i="6"/>
  <c r="J280" i="4"/>
  <c r="J280" i="5"/>
  <c r="V280" i="6"/>
  <c r="R280" i="4"/>
  <c r="R280" i="5"/>
  <c r="O280" i="4"/>
  <c r="O280" i="5"/>
  <c r="U280" i="6"/>
  <c r="N280" i="6"/>
  <c r="L280" i="4"/>
  <c r="L280" i="5"/>
  <c r="T280" i="4"/>
  <c r="T280" i="5"/>
  <c r="D280" i="6"/>
  <c r="N280" i="4"/>
  <c r="N280" i="5"/>
  <c r="J280" i="6"/>
  <c r="T280" i="6"/>
  <c r="G280" i="4"/>
  <c r="G280" i="5"/>
  <c r="K280" i="6"/>
  <c r="S280" i="6"/>
  <c r="E280" i="6"/>
  <c r="H280" i="6"/>
  <c r="F280" i="4"/>
  <c r="F280" i="5"/>
  <c r="V280" i="4"/>
  <c r="V280" i="5"/>
  <c r="R280" i="6"/>
  <c r="P280" i="4"/>
  <c r="P280" i="5"/>
  <c r="H280" i="4"/>
  <c r="H280" i="5"/>
  <c r="G280" i="6"/>
  <c r="K280" i="4"/>
  <c r="K280" i="5"/>
  <c r="S280" i="4"/>
  <c r="S280" i="5"/>
  <c r="I280" i="4"/>
  <c r="I280" i="5"/>
  <c r="I280" i="6"/>
  <c r="M280" i="6"/>
  <c r="O280" i="6"/>
  <c r="Q280" i="6"/>
  <c r="M280" i="4"/>
  <c r="M280" i="5"/>
  <c r="U280" i="4"/>
  <c r="U280" i="5"/>
  <c r="E280" i="4"/>
  <c r="E280" i="5"/>
  <c r="M32" i="4"/>
  <c r="M32" i="5"/>
  <c r="U32" i="4"/>
  <c r="U32" i="5"/>
  <c r="H32" i="6"/>
  <c r="K32" i="4"/>
  <c r="K32" i="5"/>
  <c r="T32" i="6"/>
  <c r="R32" i="6"/>
  <c r="J32" i="6"/>
  <c r="G32" i="6"/>
  <c r="R32" i="4"/>
  <c r="R32" i="5"/>
  <c r="S32" i="4"/>
  <c r="S32" i="5"/>
  <c r="I32" i="6"/>
  <c r="D32" i="6"/>
  <c r="E32" i="4"/>
  <c r="E32" i="5"/>
  <c r="G32" i="4"/>
  <c r="G32" i="5"/>
  <c r="P32" i="4"/>
  <c r="P32" i="5"/>
  <c r="H32" i="4"/>
  <c r="H32" i="5"/>
  <c r="N32" i="6"/>
  <c r="T32" i="4"/>
  <c r="T32" i="5"/>
  <c r="V32" i="6"/>
  <c r="V32" i="4"/>
  <c r="V32" i="5"/>
  <c r="N32" i="4"/>
  <c r="N32" i="5"/>
  <c r="F32" i="4"/>
  <c r="F32" i="5"/>
  <c r="L32" i="4"/>
  <c r="L32" i="5"/>
  <c r="F32" i="6"/>
  <c r="S32" i="6"/>
  <c r="M32" i="6"/>
  <c r="Q32" i="6"/>
  <c r="K32" i="6"/>
  <c r="I32" i="4"/>
  <c r="I32" i="5"/>
  <c r="L32" i="6"/>
  <c r="J32" i="4"/>
  <c r="J32" i="5"/>
  <c r="D32" i="4"/>
  <c r="D32" i="5"/>
  <c r="U32" i="6"/>
  <c r="O32" i="4"/>
  <c r="O32" i="5"/>
  <c r="O32" i="6"/>
  <c r="Q32" i="4"/>
  <c r="Q32" i="5"/>
  <c r="P32" i="6"/>
  <c r="E32" i="6"/>
  <c r="F448" i="6"/>
  <c r="Q448" i="4"/>
  <c r="Q448" i="5"/>
  <c r="E448" i="6"/>
  <c r="M448" i="6"/>
  <c r="U448" i="6"/>
  <c r="G448" i="6"/>
  <c r="E448" i="4"/>
  <c r="E448" i="5"/>
  <c r="U448" i="4"/>
  <c r="U448" i="5"/>
  <c r="D448" i="4"/>
  <c r="D448" i="5"/>
  <c r="I448" i="6"/>
  <c r="Q448" i="6"/>
  <c r="G448" i="4"/>
  <c r="G448" i="5"/>
  <c r="K448" i="4"/>
  <c r="K448" i="5"/>
  <c r="O448" i="4"/>
  <c r="O448" i="5"/>
  <c r="S448" i="4"/>
  <c r="S448" i="5"/>
  <c r="D448" i="6"/>
  <c r="O448" i="6"/>
  <c r="M448" i="4"/>
  <c r="M448" i="5"/>
  <c r="F448" i="4"/>
  <c r="F448" i="5"/>
  <c r="T448" i="4"/>
  <c r="T448" i="5"/>
  <c r="R448" i="4"/>
  <c r="R448" i="5"/>
  <c r="L448" i="4"/>
  <c r="L448" i="5"/>
  <c r="R448" i="6"/>
  <c r="J448" i="4"/>
  <c r="J448" i="5"/>
  <c r="P448" i="4"/>
  <c r="P448" i="5"/>
  <c r="P448" i="6"/>
  <c r="L448" i="6"/>
  <c r="H448" i="4"/>
  <c r="H448" i="5"/>
  <c r="H448" i="6"/>
  <c r="J448" i="6"/>
  <c r="N448" i="4"/>
  <c r="N448" i="5"/>
  <c r="V448" i="4"/>
  <c r="V448" i="5"/>
  <c r="N448" i="6"/>
  <c r="V448" i="6"/>
  <c r="T448" i="6"/>
  <c r="S448" i="6"/>
  <c r="K448" i="6"/>
  <c r="I448" i="4"/>
  <c r="I448" i="5"/>
  <c r="I436" i="4"/>
  <c r="I436" i="5"/>
  <c r="E436" i="6"/>
  <c r="N436" i="4"/>
  <c r="N436" i="5"/>
  <c r="O436" i="4"/>
  <c r="O436" i="5"/>
  <c r="Q436" i="4"/>
  <c r="Q436" i="5"/>
  <c r="S436" i="4"/>
  <c r="S436" i="5"/>
  <c r="U436" i="4"/>
  <c r="U436" i="5"/>
  <c r="D436" i="4"/>
  <c r="D436" i="5"/>
  <c r="G436" i="4"/>
  <c r="G436" i="5"/>
  <c r="K436" i="4"/>
  <c r="K436" i="5"/>
  <c r="E436" i="4"/>
  <c r="E436" i="5"/>
  <c r="Q436" i="6"/>
  <c r="G436" i="6"/>
  <c r="I436" i="6"/>
  <c r="H436" i="4"/>
  <c r="H436" i="5"/>
  <c r="J436" i="6"/>
  <c r="T436" i="4"/>
  <c r="T436" i="5"/>
  <c r="V436" i="4"/>
  <c r="V436" i="5"/>
  <c r="M436" i="6"/>
  <c r="M436" i="4"/>
  <c r="M436" i="5"/>
  <c r="O436" i="6"/>
  <c r="N436" i="6"/>
  <c r="J436" i="4"/>
  <c r="J436" i="5"/>
  <c r="R436" i="4"/>
  <c r="R436" i="5"/>
  <c r="F436" i="4"/>
  <c r="F436" i="5"/>
  <c r="F436" i="6"/>
  <c r="L436" i="4"/>
  <c r="L436" i="5"/>
  <c r="P436" i="6"/>
  <c r="R436" i="6"/>
  <c r="H436" i="6"/>
  <c r="L436" i="6"/>
  <c r="P436" i="4"/>
  <c r="P436" i="5"/>
  <c r="T436" i="6"/>
  <c r="V436" i="6"/>
  <c r="K436" i="6"/>
  <c r="D436" i="6"/>
  <c r="U436" i="6"/>
  <c r="S436" i="6"/>
  <c r="P416" i="4"/>
  <c r="P416" i="5"/>
  <c r="H416" i="4"/>
  <c r="H416" i="5"/>
  <c r="T416" i="6"/>
  <c r="J416" i="6"/>
  <c r="V416" i="6"/>
  <c r="T416" i="4"/>
  <c r="T416" i="5"/>
  <c r="L416" i="4"/>
  <c r="L416" i="5"/>
  <c r="D416" i="4"/>
  <c r="D416" i="5"/>
  <c r="D416" i="6"/>
  <c r="N416" i="6"/>
  <c r="J416" i="4"/>
  <c r="J416" i="5"/>
  <c r="I416" i="6"/>
  <c r="S416" i="6"/>
  <c r="K416" i="6"/>
  <c r="G416" i="4"/>
  <c r="G416" i="5"/>
  <c r="S416" i="4"/>
  <c r="S416" i="5"/>
  <c r="I416" i="4"/>
  <c r="I416" i="5"/>
  <c r="R416" i="6"/>
  <c r="N416" i="4"/>
  <c r="N416" i="5"/>
  <c r="P416" i="6"/>
  <c r="U416" i="6"/>
  <c r="E416" i="4"/>
  <c r="E416" i="5"/>
  <c r="Q416" i="4"/>
  <c r="Q416" i="5"/>
  <c r="Q416" i="6"/>
  <c r="R416" i="4"/>
  <c r="R416" i="5"/>
  <c r="L416" i="6"/>
  <c r="V416" i="4"/>
  <c r="V416" i="5"/>
  <c r="F416" i="4"/>
  <c r="F416" i="5"/>
  <c r="H416" i="6"/>
  <c r="F416" i="6"/>
  <c r="U416" i="4"/>
  <c r="U416" i="5"/>
  <c r="E416" i="6"/>
  <c r="O416" i="4"/>
  <c r="O416" i="5"/>
  <c r="M416" i="6"/>
  <c r="O416" i="6"/>
  <c r="M416" i="4"/>
  <c r="M416" i="5"/>
  <c r="G416" i="6"/>
  <c r="K416" i="4"/>
  <c r="K416" i="5"/>
  <c r="K398" i="4"/>
  <c r="K398" i="5"/>
  <c r="S398" i="4"/>
  <c r="S398" i="5"/>
  <c r="O398" i="6"/>
  <c r="I398" i="6"/>
  <c r="I398" i="4"/>
  <c r="I398" i="5"/>
  <c r="D398" i="6"/>
  <c r="Q398" i="6"/>
  <c r="Q398" i="4"/>
  <c r="Q398" i="5"/>
  <c r="P398" i="6"/>
  <c r="V398" i="4"/>
  <c r="V398" i="5"/>
  <c r="T398" i="4"/>
  <c r="T398" i="5"/>
  <c r="L398" i="6"/>
  <c r="R398" i="4"/>
  <c r="R398" i="5"/>
  <c r="T398" i="6"/>
  <c r="H398" i="4"/>
  <c r="H398" i="5"/>
  <c r="N398" i="6"/>
  <c r="S398" i="6"/>
  <c r="G398" i="6"/>
  <c r="U398" i="6"/>
  <c r="E398" i="6"/>
  <c r="R398" i="6"/>
  <c r="H398" i="6"/>
  <c r="N398" i="4"/>
  <c r="N398" i="5"/>
  <c r="P398" i="4"/>
  <c r="P398" i="5"/>
  <c r="G398" i="4"/>
  <c r="G398" i="5"/>
  <c r="D398" i="4"/>
  <c r="D398" i="5"/>
  <c r="O398" i="4"/>
  <c r="O398" i="5"/>
  <c r="K398" i="6"/>
  <c r="M398" i="6"/>
  <c r="U398" i="4"/>
  <c r="U398" i="5"/>
  <c r="M398" i="4"/>
  <c r="M398" i="5"/>
  <c r="E398" i="4"/>
  <c r="E398" i="5"/>
  <c r="F398" i="6"/>
  <c r="V398" i="6"/>
  <c r="F398" i="4"/>
  <c r="F398" i="5"/>
  <c r="J398" i="4"/>
  <c r="J398" i="5"/>
  <c r="J398" i="6"/>
  <c r="L398" i="4"/>
  <c r="L398" i="5"/>
  <c r="S365" i="6"/>
  <c r="O365" i="4"/>
  <c r="O365" i="5"/>
  <c r="I365" i="6"/>
  <c r="U365" i="4"/>
  <c r="U365" i="5"/>
  <c r="Q365" i="4"/>
  <c r="Q365" i="5"/>
  <c r="M365" i="4"/>
  <c r="M365" i="5"/>
  <c r="I365" i="4"/>
  <c r="I365" i="5"/>
  <c r="E365" i="4"/>
  <c r="E365" i="5"/>
  <c r="Q365" i="6"/>
  <c r="P365" i="4"/>
  <c r="P365" i="5"/>
  <c r="R365" i="4"/>
  <c r="R365" i="5"/>
  <c r="G365" i="6"/>
  <c r="K365" i="4"/>
  <c r="K365" i="5"/>
  <c r="D365" i="6"/>
  <c r="U365" i="6"/>
  <c r="E365" i="6"/>
  <c r="N365" i="4"/>
  <c r="N365" i="5"/>
  <c r="T365" i="4"/>
  <c r="T365" i="5"/>
  <c r="T365" i="6"/>
  <c r="V365" i="4"/>
  <c r="V365" i="5"/>
  <c r="H365" i="4"/>
  <c r="H365" i="5"/>
  <c r="H365" i="6"/>
  <c r="R365" i="6"/>
  <c r="D365" i="4"/>
  <c r="D365" i="5"/>
  <c r="K365" i="6"/>
  <c r="S365" i="4"/>
  <c r="S365" i="5"/>
  <c r="G365" i="4"/>
  <c r="G365" i="5"/>
  <c r="O365" i="6"/>
  <c r="M365" i="6"/>
  <c r="L365" i="4"/>
  <c r="L365" i="5"/>
  <c r="L365" i="6"/>
  <c r="N365" i="6"/>
  <c r="V365" i="6"/>
  <c r="J365" i="6"/>
  <c r="F365" i="4"/>
  <c r="F365" i="5"/>
  <c r="F365" i="6"/>
  <c r="J365" i="4"/>
  <c r="J365" i="5"/>
  <c r="P365" i="6"/>
  <c r="R339" i="6"/>
  <c r="L339" i="4"/>
  <c r="L339" i="5"/>
  <c r="N339" i="4"/>
  <c r="N339" i="5"/>
  <c r="D339" i="4"/>
  <c r="D339" i="5"/>
  <c r="R339" i="4"/>
  <c r="R339" i="5"/>
  <c r="P339" i="4"/>
  <c r="P339" i="5"/>
  <c r="J339" i="4"/>
  <c r="J339" i="5"/>
  <c r="H339" i="4"/>
  <c r="H339" i="5"/>
  <c r="V339" i="6"/>
  <c r="T339" i="4"/>
  <c r="T339" i="5"/>
  <c r="V339" i="4"/>
  <c r="V339" i="5"/>
  <c r="F339" i="4"/>
  <c r="F339" i="5"/>
  <c r="L339" i="6"/>
  <c r="N339" i="6"/>
  <c r="T339" i="6"/>
  <c r="F339" i="6"/>
  <c r="H339" i="6"/>
  <c r="J339" i="6"/>
  <c r="P339" i="6"/>
  <c r="D339" i="6"/>
  <c r="S339" i="6"/>
  <c r="O339" i="6"/>
  <c r="E339" i="4"/>
  <c r="E339" i="5"/>
  <c r="O339" i="4"/>
  <c r="O339" i="5"/>
  <c r="U339" i="4"/>
  <c r="U339" i="5"/>
  <c r="G339" i="4"/>
  <c r="G339" i="5"/>
  <c r="K339" i="4"/>
  <c r="K339" i="5"/>
  <c r="I339" i="6"/>
  <c r="Q339" i="4"/>
  <c r="Q339" i="5"/>
  <c r="U339" i="6"/>
  <c r="G339" i="6"/>
  <c r="K339" i="6"/>
  <c r="I339" i="4"/>
  <c r="I339" i="5"/>
  <c r="Q339" i="6"/>
  <c r="M339" i="4"/>
  <c r="M339" i="5"/>
  <c r="M339" i="6"/>
  <c r="E339" i="6"/>
  <c r="S339" i="4"/>
  <c r="S339" i="5"/>
  <c r="D302" i="6"/>
  <c r="R302" i="4"/>
  <c r="R302" i="5"/>
  <c r="T302" i="6"/>
  <c r="U302" i="6"/>
  <c r="Q302" i="6"/>
  <c r="T302" i="4"/>
  <c r="T302" i="5"/>
  <c r="Q302" i="4"/>
  <c r="Q302" i="5"/>
  <c r="M302" i="6"/>
  <c r="K302" i="4"/>
  <c r="K302" i="5"/>
  <c r="S302" i="4"/>
  <c r="S302" i="5"/>
  <c r="O302" i="6"/>
  <c r="U302" i="4"/>
  <c r="U302" i="5"/>
  <c r="E302" i="4"/>
  <c r="E302" i="5"/>
  <c r="J302" i="4"/>
  <c r="J302" i="5"/>
  <c r="L302" i="6"/>
  <c r="N302" i="4"/>
  <c r="N302" i="5"/>
  <c r="P302" i="4"/>
  <c r="P302" i="5"/>
  <c r="P302" i="6"/>
  <c r="I302" i="4"/>
  <c r="I302" i="5"/>
  <c r="K302" i="6"/>
  <c r="E302" i="6"/>
  <c r="G302" i="4"/>
  <c r="G302" i="5"/>
  <c r="O302" i="4"/>
  <c r="O302" i="5"/>
  <c r="G302" i="6"/>
  <c r="I302" i="6"/>
  <c r="F302" i="4"/>
  <c r="F302" i="5"/>
  <c r="F302" i="6"/>
  <c r="J302" i="6"/>
  <c r="L302" i="4"/>
  <c r="L302" i="5"/>
  <c r="N302" i="6"/>
  <c r="H302" i="4"/>
  <c r="H302" i="5"/>
  <c r="H302" i="6"/>
  <c r="V302" i="6"/>
  <c r="V302" i="4"/>
  <c r="V302" i="5"/>
  <c r="R302" i="6"/>
  <c r="S302" i="6"/>
  <c r="D302" i="4"/>
  <c r="D302" i="5"/>
  <c r="M302" i="4"/>
  <c r="M302" i="5"/>
  <c r="K294" i="4"/>
  <c r="K294" i="5"/>
  <c r="O294" i="6"/>
  <c r="S294" i="4"/>
  <c r="S294" i="5"/>
  <c r="R294" i="4"/>
  <c r="R294" i="5"/>
  <c r="D294" i="4"/>
  <c r="D294" i="5"/>
  <c r="Q294" i="4"/>
  <c r="Q294" i="5"/>
  <c r="G294" i="4"/>
  <c r="G294" i="5"/>
  <c r="O294" i="4"/>
  <c r="O294" i="5"/>
  <c r="G294" i="6"/>
  <c r="M294" i="4"/>
  <c r="M294" i="5"/>
  <c r="I294" i="4"/>
  <c r="I294" i="5"/>
  <c r="E294" i="6"/>
  <c r="K294" i="6"/>
  <c r="I294" i="6"/>
  <c r="F294" i="4"/>
  <c r="F294" i="5"/>
  <c r="J294" i="4"/>
  <c r="J294" i="5"/>
  <c r="J294" i="6"/>
  <c r="V294" i="6"/>
  <c r="M294" i="6"/>
  <c r="Q294" i="6"/>
  <c r="U294" i="6"/>
  <c r="D294" i="6"/>
  <c r="S294" i="6"/>
  <c r="F294" i="6"/>
  <c r="V294" i="4"/>
  <c r="V294" i="5"/>
  <c r="L294" i="6"/>
  <c r="P294" i="4"/>
  <c r="P294" i="5"/>
  <c r="T294" i="6"/>
  <c r="R294" i="6"/>
  <c r="H294" i="4"/>
  <c r="H294" i="5"/>
  <c r="H294" i="6"/>
  <c r="L294" i="4"/>
  <c r="L294" i="5"/>
  <c r="N294" i="4"/>
  <c r="N294" i="5"/>
  <c r="N294" i="6"/>
  <c r="P294" i="6"/>
  <c r="T294" i="4"/>
  <c r="T294" i="5"/>
  <c r="U294" i="4"/>
  <c r="U294" i="5"/>
  <c r="E294" i="4"/>
  <c r="E294" i="5"/>
  <c r="O260" i="4"/>
  <c r="O260" i="5"/>
  <c r="K260" i="4"/>
  <c r="K260" i="5"/>
  <c r="O260" i="6"/>
  <c r="Q260" i="6"/>
  <c r="U260" i="4"/>
  <c r="U260" i="5"/>
  <c r="Q260" i="4"/>
  <c r="Q260" i="5"/>
  <c r="M260" i="4"/>
  <c r="M260" i="5"/>
  <c r="I260" i="4"/>
  <c r="I260" i="5"/>
  <c r="E260" i="4"/>
  <c r="E260" i="5"/>
  <c r="D260" i="6"/>
  <c r="I260" i="6"/>
  <c r="H260" i="6"/>
  <c r="N260" i="4"/>
  <c r="N260" i="5"/>
  <c r="R260" i="6"/>
  <c r="T260" i="6"/>
  <c r="N260" i="6"/>
  <c r="R260" i="4"/>
  <c r="R260" i="5"/>
  <c r="P260" i="4"/>
  <c r="P260" i="5"/>
  <c r="P260" i="6"/>
  <c r="L260" i="4"/>
  <c r="L260" i="5"/>
  <c r="T260" i="4"/>
  <c r="T260" i="5"/>
  <c r="V260" i="4"/>
  <c r="V260" i="5"/>
  <c r="J260" i="4"/>
  <c r="J260" i="5"/>
  <c r="J260" i="6"/>
  <c r="F260" i="4"/>
  <c r="F260" i="5"/>
  <c r="L260" i="6"/>
  <c r="V260" i="6"/>
  <c r="F260" i="6"/>
  <c r="H260" i="4"/>
  <c r="H260" i="5"/>
  <c r="G260" i="4"/>
  <c r="G260" i="5"/>
  <c r="S260" i="6"/>
  <c r="D260" i="4"/>
  <c r="D260" i="5"/>
  <c r="S260" i="4"/>
  <c r="S260" i="5"/>
  <c r="U260" i="6"/>
  <c r="E260" i="6"/>
  <c r="K260" i="6"/>
  <c r="G260" i="6"/>
  <c r="M260" i="6"/>
  <c r="S251" i="4"/>
  <c r="S251" i="5"/>
  <c r="G251" i="6"/>
  <c r="O251" i="6"/>
  <c r="S251" i="6"/>
  <c r="O251" i="4"/>
  <c r="O251" i="5"/>
  <c r="K251" i="6"/>
  <c r="K251" i="4"/>
  <c r="K251" i="5"/>
  <c r="D251" i="4"/>
  <c r="D251" i="5"/>
  <c r="G251" i="4"/>
  <c r="G251" i="5"/>
  <c r="U251" i="6"/>
  <c r="M251" i="6"/>
  <c r="E251" i="6"/>
  <c r="Q251" i="4"/>
  <c r="Q251" i="5"/>
  <c r="I251" i="4"/>
  <c r="I251" i="5"/>
  <c r="D251" i="6"/>
  <c r="Q251" i="6"/>
  <c r="I251" i="6"/>
  <c r="U251" i="4"/>
  <c r="U251" i="5"/>
  <c r="M251" i="4"/>
  <c r="M251" i="5"/>
  <c r="E251" i="4"/>
  <c r="E251" i="5"/>
  <c r="T251" i="6"/>
  <c r="L251" i="6"/>
  <c r="F251" i="4"/>
  <c r="F251" i="5"/>
  <c r="N251" i="4"/>
  <c r="N251" i="5"/>
  <c r="J251" i="4"/>
  <c r="J251" i="5"/>
  <c r="H251" i="6"/>
  <c r="H251" i="4"/>
  <c r="H251" i="5"/>
  <c r="P251" i="6"/>
  <c r="V251" i="4"/>
  <c r="V251" i="5"/>
  <c r="R251" i="6"/>
  <c r="P251" i="4"/>
  <c r="P251" i="5"/>
  <c r="J251" i="6"/>
  <c r="V251" i="6"/>
  <c r="R251" i="4"/>
  <c r="R251" i="5"/>
  <c r="L251" i="4"/>
  <c r="L251" i="5"/>
  <c r="T251" i="4"/>
  <c r="T251" i="5"/>
  <c r="F251" i="6"/>
  <c r="N251" i="6"/>
  <c r="D241" i="6"/>
  <c r="S241" i="4"/>
  <c r="S241" i="5"/>
  <c r="Q241" i="6"/>
  <c r="Q241" i="4"/>
  <c r="Q241" i="5"/>
  <c r="S241" i="6"/>
  <c r="M241" i="4"/>
  <c r="M241" i="5"/>
  <c r="K241" i="4"/>
  <c r="K241" i="5"/>
  <c r="D241" i="4"/>
  <c r="D241" i="5"/>
  <c r="K241" i="6"/>
  <c r="G241" i="4"/>
  <c r="G241" i="5"/>
  <c r="E241" i="4"/>
  <c r="E241" i="5"/>
  <c r="M241" i="6"/>
  <c r="O241" i="4"/>
  <c r="O241" i="5"/>
  <c r="U241" i="4"/>
  <c r="U241" i="5"/>
  <c r="U241" i="6"/>
  <c r="J241" i="4"/>
  <c r="J241" i="5"/>
  <c r="J241" i="6"/>
  <c r="T241" i="4"/>
  <c r="T241" i="5"/>
  <c r="P241" i="6"/>
  <c r="L241" i="4"/>
  <c r="L241" i="5"/>
  <c r="H241" i="4"/>
  <c r="H241" i="5"/>
  <c r="T241" i="6"/>
  <c r="P241" i="4"/>
  <c r="P241" i="5"/>
  <c r="L241" i="6"/>
  <c r="H241" i="6"/>
  <c r="V241" i="6"/>
  <c r="R241" i="6"/>
  <c r="N241" i="4"/>
  <c r="N241" i="5"/>
  <c r="F241" i="4"/>
  <c r="F241" i="5"/>
  <c r="O241" i="6"/>
  <c r="I241" i="6"/>
  <c r="E241" i="6"/>
  <c r="V241" i="4"/>
  <c r="V241" i="5"/>
  <c r="R241" i="4"/>
  <c r="R241" i="5"/>
  <c r="N241" i="6"/>
  <c r="F241" i="6"/>
  <c r="G241" i="6"/>
  <c r="I241" i="4"/>
  <c r="I241" i="5"/>
  <c r="O185" i="4"/>
  <c r="O185" i="5"/>
  <c r="Q185" i="6"/>
  <c r="R185" i="6"/>
  <c r="P185" i="6"/>
  <c r="K185" i="6"/>
  <c r="E185" i="6"/>
  <c r="G185" i="6"/>
  <c r="I185" i="4"/>
  <c r="I185" i="5"/>
  <c r="D185" i="4"/>
  <c r="D185" i="5"/>
  <c r="G185" i="4"/>
  <c r="G185" i="5"/>
  <c r="K185" i="4"/>
  <c r="K185" i="5"/>
  <c r="D185" i="6"/>
  <c r="I185" i="6"/>
  <c r="M185" i="6"/>
  <c r="S185" i="6"/>
  <c r="U185" i="6"/>
  <c r="O185" i="6"/>
  <c r="M185" i="4"/>
  <c r="M185" i="5"/>
  <c r="E185" i="4"/>
  <c r="E185" i="5"/>
  <c r="U185" i="4"/>
  <c r="U185" i="5"/>
  <c r="H185" i="6"/>
  <c r="N185" i="6"/>
  <c r="F185" i="6"/>
  <c r="J185" i="4"/>
  <c r="J185" i="5"/>
  <c r="L185" i="6"/>
  <c r="P185" i="4"/>
  <c r="P185" i="5"/>
  <c r="R185" i="4"/>
  <c r="R185" i="5"/>
  <c r="T185" i="4"/>
  <c r="T185" i="5"/>
  <c r="V185" i="6"/>
  <c r="T185" i="6"/>
  <c r="J185" i="6"/>
  <c r="L185" i="4"/>
  <c r="L185" i="5"/>
  <c r="N185" i="4"/>
  <c r="N185" i="5"/>
  <c r="F185" i="4"/>
  <c r="F185" i="5"/>
  <c r="H185" i="4"/>
  <c r="H185" i="5"/>
  <c r="V185" i="4"/>
  <c r="V185" i="5"/>
  <c r="S185" i="4"/>
  <c r="S185" i="5"/>
  <c r="Q185" i="4"/>
  <c r="Q185" i="5"/>
  <c r="K144" i="6"/>
  <c r="I144" i="6"/>
  <c r="G144" i="6"/>
  <c r="M144" i="6"/>
  <c r="D144" i="6"/>
  <c r="D144" i="4"/>
  <c r="D144" i="5"/>
  <c r="S144" i="4"/>
  <c r="S144" i="5"/>
  <c r="O144" i="4"/>
  <c r="O144" i="5"/>
  <c r="K144" i="4"/>
  <c r="K144" i="5"/>
  <c r="G144" i="4"/>
  <c r="G144" i="5"/>
  <c r="U144" i="4"/>
  <c r="U144" i="5"/>
  <c r="Q144" i="4"/>
  <c r="Q144" i="5"/>
  <c r="M144" i="4"/>
  <c r="M144" i="5"/>
  <c r="I144" i="4"/>
  <c r="I144" i="5"/>
  <c r="E144" i="4"/>
  <c r="E144" i="5"/>
  <c r="S144" i="6"/>
  <c r="Q144" i="6"/>
  <c r="O144" i="6"/>
  <c r="U144" i="6"/>
  <c r="E144" i="6"/>
  <c r="J144" i="4"/>
  <c r="J144" i="5"/>
  <c r="F144" i="4"/>
  <c r="F144" i="5"/>
  <c r="L144" i="4"/>
  <c r="L144" i="5"/>
  <c r="H144" i="4"/>
  <c r="H144" i="5"/>
  <c r="H144" i="6"/>
  <c r="V144" i="6"/>
  <c r="N144" i="4"/>
  <c r="N144" i="5"/>
  <c r="V144" i="4"/>
  <c r="V144" i="5"/>
  <c r="R144" i="4"/>
  <c r="R144" i="5"/>
  <c r="R144" i="6"/>
  <c r="N144" i="6"/>
  <c r="T144" i="4"/>
  <c r="T144" i="5"/>
  <c r="P144" i="4"/>
  <c r="P144" i="5"/>
  <c r="P144" i="6"/>
  <c r="L144" i="6"/>
  <c r="J144" i="6"/>
  <c r="T144" i="6"/>
  <c r="F144" i="6"/>
  <c r="D21" i="4"/>
  <c r="D21" i="5"/>
  <c r="D21" i="6"/>
  <c r="J21" i="6"/>
  <c r="N21" i="4"/>
  <c r="N21" i="5"/>
  <c r="K21" i="6"/>
  <c r="T21" i="4"/>
  <c r="T21" i="5"/>
  <c r="I21" i="6"/>
  <c r="L21" i="4"/>
  <c r="L21" i="5"/>
  <c r="P21" i="4"/>
  <c r="P21" i="5"/>
  <c r="S21" i="4"/>
  <c r="S21" i="5"/>
  <c r="U21" i="6"/>
  <c r="V21" i="4"/>
  <c r="V21" i="5"/>
  <c r="V21" i="6"/>
  <c r="J21" i="4"/>
  <c r="J21" i="5"/>
  <c r="N21" i="6"/>
  <c r="H21" i="4"/>
  <c r="H21" i="5"/>
  <c r="T21" i="6"/>
  <c r="E21" i="4"/>
  <c r="E21" i="5"/>
  <c r="E21" i="6"/>
  <c r="I21" i="4"/>
  <c r="I21" i="5"/>
  <c r="L21" i="6"/>
  <c r="P21" i="6"/>
  <c r="S21" i="6"/>
  <c r="U21" i="4"/>
  <c r="U21" i="5"/>
  <c r="M21" i="6"/>
  <c r="R21" i="4"/>
  <c r="R21" i="5"/>
  <c r="F21" i="6"/>
  <c r="Q21" i="4"/>
  <c r="Q21" i="5"/>
  <c r="G21" i="6"/>
  <c r="O21" i="6"/>
  <c r="O21" i="4"/>
  <c r="O21" i="5"/>
  <c r="R21" i="6"/>
  <c r="F21" i="4"/>
  <c r="F21" i="5"/>
  <c r="H21" i="6"/>
  <c r="Q21" i="6"/>
  <c r="M21" i="4"/>
  <c r="M21" i="5"/>
  <c r="G21" i="4"/>
  <c r="G21" i="5"/>
  <c r="K21" i="4"/>
  <c r="K21" i="5"/>
  <c r="K53" i="6"/>
  <c r="N53" i="6"/>
  <c r="T53" i="4"/>
  <c r="T53" i="5"/>
  <c r="H53" i="6"/>
  <c r="D53" i="6"/>
  <c r="L53" i="6"/>
  <c r="H53" i="4"/>
  <c r="H53" i="5"/>
  <c r="V53" i="6"/>
  <c r="R53" i="4"/>
  <c r="R53" i="5"/>
  <c r="D53" i="4"/>
  <c r="D53" i="5"/>
  <c r="P53" i="6"/>
  <c r="J53" i="4"/>
  <c r="J53" i="5"/>
  <c r="P53" i="4"/>
  <c r="P53" i="5"/>
  <c r="R53" i="6"/>
  <c r="T53" i="6"/>
  <c r="L53" i="4"/>
  <c r="L53" i="5"/>
  <c r="N53" i="4"/>
  <c r="N53" i="5"/>
  <c r="F53" i="4"/>
  <c r="F53" i="5"/>
  <c r="V53" i="4"/>
  <c r="V53" i="5"/>
  <c r="F53" i="6"/>
  <c r="G53" i="4"/>
  <c r="G53" i="5"/>
  <c r="G53" i="6"/>
  <c r="I53" i="6"/>
  <c r="M53" i="6"/>
  <c r="Q53" i="6"/>
  <c r="J53" i="6"/>
  <c r="I53" i="4"/>
  <c r="I53" i="5"/>
  <c r="U53" i="4"/>
  <c r="U53" i="5"/>
  <c r="U53" i="6"/>
  <c r="Q53" i="4"/>
  <c r="Q53" i="5"/>
  <c r="E53" i="4"/>
  <c r="E53" i="5"/>
  <c r="E53" i="6"/>
  <c r="S53" i="6"/>
  <c r="K53" i="4"/>
  <c r="K53" i="5"/>
  <c r="O53" i="6"/>
  <c r="S53" i="4"/>
  <c r="S53" i="5"/>
  <c r="O53" i="4"/>
  <c r="O53" i="5"/>
  <c r="M53" i="4"/>
  <c r="M53" i="5"/>
  <c r="H67" i="4"/>
  <c r="H67" i="5"/>
  <c r="U67" i="4"/>
  <c r="U67" i="5"/>
  <c r="R67" i="4"/>
  <c r="R67" i="5"/>
  <c r="G67" i="4"/>
  <c r="G67" i="5"/>
  <c r="S67" i="4"/>
  <c r="S67" i="5"/>
  <c r="I67" i="4"/>
  <c r="I67" i="5"/>
  <c r="E67" i="6"/>
  <c r="I67" i="6"/>
  <c r="M67" i="6"/>
  <c r="Q67" i="6"/>
  <c r="U67" i="6"/>
  <c r="D67" i="4"/>
  <c r="D67" i="5"/>
  <c r="Q67" i="4"/>
  <c r="Q67" i="5"/>
  <c r="D67" i="6"/>
  <c r="G67" i="6"/>
  <c r="K67" i="6"/>
  <c r="O67" i="6"/>
  <c r="S67" i="6"/>
  <c r="E67" i="4"/>
  <c r="E67" i="5"/>
  <c r="K67" i="4"/>
  <c r="K67" i="5"/>
  <c r="T67" i="4"/>
  <c r="T67" i="5"/>
  <c r="N67" i="6"/>
  <c r="T67" i="6"/>
  <c r="N67" i="4"/>
  <c r="N67" i="5"/>
  <c r="V67" i="4"/>
  <c r="V67" i="5"/>
  <c r="H67" i="6"/>
  <c r="L67" i="6"/>
  <c r="O67" i="4"/>
  <c r="O67" i="5"/>
  <c r="M67" i="4"/>
  <c r="M67" i="5"/>
  <c r="P67" i="6"/>
  <c r="F67" i="4"/>
  <c r="F67" i="5"/>
  <c r="J67" i="4"/>
  <c r="J67" i="5"/>
  <c r="F67" i="6"/>
  <c r="V67" i="6"/>
  <c r="L67" i="4"/>
  <c r="L67" i="5"/>
  <c r="J67" i="6"/>
  <c r="R67" i="6"/>
  <c r="P67" i="4"/>
  <c r="P67" i="5"/>
  <c r="P80" i="4"/>
  <c r="P80" i="5"/>
  <c r="O80" i="4"/>
  <c r="O80" i="5"/>
  <c r="M80" i="4"/>
  <c r="M80" i="5"/>
  <c r="J80" i="4"/>
  <c r="J80" i="5"/>
  <c r="E80" i="4"/>
  <c r="E80" i="5"/>
  <c r="S80" i="4"/>
  <c r="S80" i="5"/>
  <c r="I80" i="4"/>
  <c r="I80" i="5"/>
  <c r="D80" i="6"/>
  <c r="I80" i="6"/>
  <c r="M80" i="6"/>
  <c r="Q80" i="6"/>
  <c r="U80" i="6"/>
  <c r="K80" i="4"/>
  <c r="K80" i="5"/>
  <c r="G80" i="6"/>
  <c r="K80" i="6"/>
  <c r="O80" i="6"/>
  <c r="S80" i="6"/>
  <c r="G80" i="4"/>
  <c r="G80" i="5"/>
  <c r="Q80" i="4"/>
  <c r="Q80" i="5"/>
  <c r="H80" i="4"/>
  <c r="H80" i="5"/>
  <c r="H80" i="6"/>
  <c r="T80" i="4"/>
  <c r="T80" i="5"/>
  <c r="T80" i="6"/>
  <c r="P80" i="6"/>
  <c r="E80" i="6"/>
  <c r="U80" i="4"/>
  <c r="U80" i="5"/>
  <c r="D80" i="4"/>
  <c r="D80" i="5"/>
  <c r="N80" i="4"/>
  <c r="N80" i="5"/>
  <c r="L80" i="6"/>
  <c r="F80" i="4"/>
  <c r="F80" i="5"/>
  <c r="R80" i="4"/>
  <c r="R80" i="5"/>
  <c r="V80" i="4"/>
  <c r="V80" i="5"/>
  <c r="N80" i="6"/>
  <c r="J80" i="6"/>
  <c r="L80" i="4"/>
  <c r="L80" i="5"/>
  <c r="V80" i="6"/>
  <c r="F80" i="6"/>
  <c r="R80" i="6"/>
  <c r="R498" i="4"/>
  <c r="R498" i="5"/>
  <c r="D498" i="6"/>
  <c r="P498" i="6"/>
  <c r="H498" i="6"/>
  <c r="N498" i="6"/>
  <c r="R498" i="6"/>
  <c r="J498" i="4"/>
  <c r="J498" i="5"/>
  <c r="L498" i="4"/>
  <c r="L498" i="5"/>
  <c r="N498" i="4"/>
  <c r="N498" i="5"/>
  <c r="T498" i="6"/>
  <c r="L498" i="6"/>
  <c r="V498" i="6"/>
  <c r="F498" i="6"/>
  <c r="J498" i="6"/>
  <c r="V498" i="4"/>
  <c r="V498" i="5"/>
  <c r="D498" i="4"/>
  <c r="D498" i="5"/>
  <c r="T498" i="4"/>
  <c r="T498" i="5"/>
  <c r="M498" i="4"/>
  <c r="M498" i="5"/>
  <c r="G498" i="4"/>
  <c r="G498" i="5"/>
  <c r="O498" i="4"/>
  <c r="O498" i="5"/>
  <c r="I498" i="4"/>
  <c r="I498" i="5"/>
  <c r="O498" i="6"/>
  <c r="H498" i="4"/>
  <c r="H498" i="5"/>
  <c r="M498" i="6"/>
  <c r="S498" i="4"/>
  <c r="S498" i="5"/>
  <c r="E498" i="4"/>
  <c r="E498" i="5"/>
  <c r="F498" i="4"/>
  <c r="F498" i="5"/>
  <c r="P498" i="4"/>
  <c r="P498" i="5"/>
  <c r="I498" i="6"/>
  <c r="S498" i="6"/>
  <c r="E498" i="6"/>
  <c r="U498" i="6"/>
  <c r="Q498" i="6"/>
  <c r="K498" i="4"/>
  <c r="K498" i="5"/>
  <c r="U498" i="4"/>
  <c r="U498" i="5"/>
  <c r="Q498" i="4"/>
  <c r="Q498" i="5"/>
  <c r="K498" i="6"/>
  <c r="G498" i="6"/>
  <c r="K28" i="6"/>
  <c r="P28" i="6"/>
  <c r="L28" i="4"/>
  <c r="L28" i="5"/>
  <c r="G28" i="6"/>
  <c r="R28" i="4"/>
  <c r="R28" i="5"/>
  <c r="D28" i="4"/>
  <c r="D28" i="5"/>
  <c r="F28" i="4"/>
  <c r="F28" i="5"/>
  <c r="P28" i="4"/>
  <c r="P28" i="5"/>
  <c r="E28" i="6"/>
  <c r="V28" i="4"/>
  <c r="V28" i="5"/>
  <c r="G28" i="4"/>
  <c r="G28" i="5"/>
  <c r="F28" i="6"/>
  <c r="S28" i="4"/>
  <c r="S28" i="5"/>
  <c r="O28" i="6"/>
  <c r="K28" i="4"/>
  <c r="K28" i="5"/>
  <c r="T28" i="6"/>
  <c r="R28" i="6"/>
  <c r="V28" i="6"/>
  <c r="J28" i="6"/>
  <c r="J28" i="4"/>
  <c r="J28" i="5"/>
  <c r="N28" i="6"/>
  <c r="E28" i="4"/>
  <c r="E28" i="5"/>
  <c r="S28" i="6"/>
  <c r="O28" i="4"/>
  <c r="O28" i="5"/>
  <c r="U28" i="6"/>
  <c r="Q28" i="4"/>
  <c r="Q28" i="5"/>
  <c r="I28" i="6"/>
  <c r="L28" i="6"/>
  <c r="D28" i="6"/>
  <c r="N28" i="4"/>
  <c r="N28" i="5"/>
  <c r="T28" i="4"/>
  <c r="T28" i="5"/>
  <c r="U28" i="4"/>
  <c r="U28" i="5"/>
  <c r="Q28" i="6"/>
  <c r="M28" i="4"/>
  <c r="M28" i="5"/>
  <c r="I28" i="4"/>
  <c r="I28" i="5"/>
  <c r="M28" i="6"/>
  <c r="H28" i="6"/>
  <c r="H28" i="4"/>
  <c r="H28" i="5"/>
  <c r="D513" i="6"/>
  <c r="T513" i="6"/>
  <c r="J513" i="4"/>
  <c r="J513" i="5"/>
  <c r="V513" i="6"/>
  <c r="R513" i="6"/>
  <c r="L513" i="4"/>
  <c r="L513" i="5"/>
  <c r="H513" i="4"/>
  <c r="H513" i="5"/>
  <c r="F513" i="6"/>
  <c r="L513" i="6"/>
  <c r="F513" i="4"/>
  <c r="F513" i="5"/>
  <c r="N513" i="4"/>
  <c r="N513" i="5"/>
  <c r="V513" i="4"/>
  <c r="V513" i="5"/>
  <c r="H513" i="6"/>
  <c r="T513" i="4"/>
  <c r="T513" i="5"/>
  <c r="P513" i="4"/>
  <c r="P513" i="5"/>
  <c r="N513" i="6"/>
  <c r="J513" i="6"/>
  <c r="E513" i="6"/>
  <c r="D513" i="4"/>
  <c r="D513" i="5"/>
  <c r="S513" i="4"/>
  <c r="S513" i="5"/>
  <c r="O513" i="4"/>
  <c r="O513" i="5"/>
  <c r="K513" i="4"/>
  <c r="K513" i="5"/>
  <c r="G513" i="4"/>
  <c r="G513" i="5"/>
  <c r="U513" i="6"/>
  <c r="Q513" i="6"/>
  <c r="M513" i="6"/>
  <c r="I513" i="6"/>
  <c r="U513" i="4"/>
  <c r="U513" i="5"/>
  <c r="Q513" i="4"/>
  <c r="Q513" i="5"/>
  <c r="M513" i="4"/>
  <c r="M513" i="5"/>
  <c r="I513" i="4"/>
  <c r="I513" i="5"/>
  <c r="E513" i="4"/>
  <c r="E513" i="5"/>
  <c r="S513" i="6"/>
  <c r="O513" i="6"/>
  <c r="K513" i="6"/>
  <c r="G513" i="6"/>
  <c r="R513" i="4"/>
  <c r="R513" i="5"/>
  <c r="P513" i="6"/>
  <c r="K445" i="4"/>
  <c r="K445" i="5"/>
  <c r="D445" i="6"/>
  <c r="K445" i="6"/>
  <c r="S445" i="6"/>
  <c r="Q445" i="6"/>
  <c r="U445" i="6"/>
  <c r="D445" i="4"/>
  <c r="D445" i="5"/>
  <c r="M445" i="6"/>
  <c r="G445" i="6"/>
  <c r="O445" i="6"/>
  <c r="E445" i="4"/>
  <c r="E445" i="5"/>
  <c r="I445" i="4"/>
  <c r="I445" i="5"/>
  <c r="M445" i="4"/>
  <c r="M445" i="5"/>
  <c r="Q445" i="4"/>
  <c r="Q445" i="5"/>
  <c r="U445" i="4"/>
  <c r="U445" i="5"/>
  <c r="I445" i="6"/>
  <c r="G445" i="4"/>
  <c r="G445" i="5"/>
  <c r="O445" i="4"/>
  <c r="O445" i="5"/>
  <c r="E445" i="6"/>
  <c r="S445" i="4"/>
  <c r="S445" i="5"/>
  <c r="L445" i="4"/>
  <c r="L445" i="5"/>
  <c r="P445" i="4"/>
  <c r="P445" i="5"/>
  <c r="V445" i="6"/>
  <c r="H445" i="4"/>
  <c r="H445" i="5"/>
  <c r="N445" i="6"/>
  <c r="F445" i="6"/>
  <c r="J445" i="4"/>
  <c r="J445" i="5"/>
  <c r="R445" i="4"/>
  <c r="R445" i="5"/>
  <c r="R445" i="6"/>
  <c r="V445" i="4"/>
  <c r="V445" i="5"/>
  <c r="F445" i="4"/>
  <c r="F445" i="5"/>
  <c r="J445" i="6"/>
  <c r="T445" i="4"/>
  <c r="T445" i="5"/>
  <c r="T445" i="6"/>
  <c r="L445" i="6"/>
  <c r="H445" i="6"/>
  <c r="N445" i="4"/>
  <c r="N445" i="5"/>
  <c r="P445" i="6"/>
  <c r="S388" i="6"/>
  <c r="G388" i="4"/>
  <c r="G388" i="5"/>
  <c r="D388" i="6"/>
  <c r="O388" i="6"/>
  <c r="Q388" i="6"/>
  <c r="I388" i="6"/>
  <c r="U388" i="4"/>
  <c r="U388" i="5"/>
  <c r="M388" i="4"/>
  <c r="M388" i="5"/>
  <c r="E388" i="4"/>
  <c r="E388" i="5"/>
  <c r="K388" i="4"/>
  <c r="K388" i="5"/>
  <c r="S388" i="4"/>
  <c r="S388" i="5"/>
  <c r="G388" i="6"/>
  <c r="D388" i="4"/>
  <c r="D388" i="5"/>
  <c r="O388" i="4"/>
  <c r="O388" i="5"/>
  <c r="K388" i="6"/>
  <c r="U388" i="6"/>
  <c r="M388" i="6"/>
  <c r="E388" i="6"/>
  <c r="Q388" i="4"/>
  <c r="Q388" i="5"/>
  <c r="I388" i="4"/>
  <c r="I388" i="5"/>
  <c r="H388" i="6"/>
  <c r="R388" i="4"/>
  <c r="R388" i="5"/>
  <c r="L388" i="6"/>
  <c r="V388" i="4"/>
  <c r="V388" i="5"/>
  <c r="R388" i="6"/>
  <c r="P388" i="6"/>
  <c r="T388" i="4"/>
  <c r="T388" i="5"/>
  <c r="T388" i="6"/>
  <c r="H388" i="4"/>
  <c r="H388" i="5"/>
  <c r="V388" i="6"/>
  <c r="P388" i="4"/>
  <c r="P388" i="5"/>
  <c r="F388" i="4"/>
  <c r="F388" i="5"/>
  <c r="J388" i="4"/>
  <c r="J388" i="5"/>
  <c r="J388" i="6"/>
  <c r="N388" i="6"/>
  <c r="F388" i="6"/>
  <c r="N388" i="4"/>
  <c r="N388" i="5"/>
  <c r="L388" i="4"/>
  <c r="L388" i="5"/>
  <c r="K367" i="4"/>
  <c r="K367" i="5"/>
  <c r="O367" i="6"/>
  <c r="D367" i="4"/>
  <c r="D367" i="5"/>
  <c r="D367" i="6"/>
  <c r="S367" i="6"/>
  <c r="O367" i="4"/>
  <c r="O367" i="5"/>
  <c r="S367" i="4"/>
  <c r="S367" i="5"/>
  <c r="Q367" i="6"/>
  <c r="I367" i="6"/>
  <c r="K367" i="6"/>
  <c r="G367" i="4"/>
  <c r="G367" i="5"/>
  <c r="G367" i="6"/>
  <c r="U367" i="4"/>
  <c r="U367" i="5"/>
  <c r="Q367" i="4"/>
  <c r="Q367" i="5"/>
  <c r="M367" i="4"/>
  <c r="M367" i="5"/>
  <c r="I367" i="4"/>
  <c r="I367" i="5"/>
  <c r="E367" i="4"/>
  <c r="E367" i="5"/>
  <c r="U367" i="6"/>
  <c r="M367" i="6"/>
  <c r="E367" i="6"/>
  <c r="N367" i="4"/>
  <c r="N367" i="5"/>
  <c r="H367" i="4"/>
  <c r="H367" i="5"/>
  <c r="P367" i="4"/>
  <c r="P367" i="5"/>
  <c r="P367" i="6"/>
  <c r="F367" i="6"/>
  <c r="R367" i="4"/>
  <c r="R367" i="5"/>
  <c r="J367" i="4"/>
  <c r="J367" i="5"/>
  <c r="T367" i="4"/>
  <c r="T367" i="5"/>
  <c r="T367" i="6"/>
  <c r="V367" i="6"/>
  <c r="F367" i="4"/>
  <c r="F367" i="5"/>
  <c r="R367" i="6"/>
  <c r="N367" i="6"/>
  <c r="J367" i="6"/>
  <c r="V367" i="4"/>
  <c r="V367" i="5"/>
  <c r="L367" i="4"/>
  <c r="L367" i="5"/>
  <c r="H367" i="6"/>
  <c r="L367" i="6"/>
  <c r="N326" i="4"/>
  <c r="N326" i="5"/>
  <c r="F326" i="6"/>
  <c r="V326" i="6"/>
  <c r="F326" i="4"/>
  <c r="F326" i="5"/>
  <c r="J326" i="4"/>
  <c r="J326" i="5"/>
  <c r="J326" i="6"/>
  <c r="N326" i="6"/>
  <c r="R326" i="4"/>
  <c r="R326" i="5"/>
  <c r="V326" i="4"/>
  <c r="V326" i="5"/>
  <c r="D326" i="4"/>
  <c r="D326" i="5"/>
  <c r="H326" i="4"/>
  <c r="H326" i="5"/>
  <c r="L326" i="4"/>
  <c r="L326" i="5"/>
  <c r="P326" i="4"/>
  <c r="P326" i="5"/>
  <c r="T326" i="4"/>
  <c r="T326" i="5"/>
  <c r="H326" i="6"/>
  <c r="P326" i="6"/>
  <c r="L326" i="6"/>
  <c r="T326" i="6"/>
  <c r="D326" i="6"/>
  <c r="G326" i="6"/>
  <c r="R326" i="6"/>
  <c r="E326" i="4"/>
  <c r="E326" i="5"/>
  <c r="M326" i="4"/>
  <c r="M326" i="5"/>
  <c r="I326" i="6"/>
  <c r="G326" i="4"/>
  <c r="G326" i="5"/>
  <c r="Q326" i="6"/>
  <c r="U326" i="4"/>
  <c r="U326" i="5"/>
  <c r="E326" i="6"/>
  <c r="O326" i="4"/>
  <c r="O326" i="5"/>
  <c r="S326" i="6"/>
  <c r="I326" i="4"/>
  <c r="I326" i="5"/>
  <c r="Q326" i="4"/>
  <c r="Q326" i="5"/>
  <c r="U326" i="6"/>
  <c r="O326" i="6"/>
  <c r="S326" i="4"/>
  <c r="S326" i="5"/>
  <c r="K326" i="6"/>
  <c r="K326" i="4"/>
  <c r="K326" i="5"/>
  <c r="M326" i="6"/>
  <c r="N316" i="4"/>
  <c r="N316" i="5"/>
  <c r="J316" i="6"/>
  <c r="J316" i="4"/>
  <c r="J316" i="5"/>
  <c r="V316" i="4"/>
  <c r="V316" i="5"/>
  <c r="F316" i="4"/>
  <c r="F316" i="5"/>
  <c r="F316" i="6"/>
  <c r="H316" i="6"/>
  <c r="P316" i="6"/>
  <c r="H316" i="4"/>
  <c r="H316" i="5"/>
  <c r="L316" i="4"/>
  <c r="L316" i="5"/>
  <c r="P316" i="4"/>
  <c r="P316" i="5"/>
  <c r="T316" i="4"/>
  <c r="T316" i="5"/>
  <c r="D316" i="6"/>
  <c r="L316" i="6"/>
  <c r="T316" i="6"/>
  <c r="I316" i="6"/>
  <c r="O316" i="4"/>
  <c r="O316" i="5"/>
  <c r="E316" i="6"/>
  <c r="K316" i="6"/>
  <c r="Q316" i="6"/>
  <c r="U316" i="6"/>
  <c r="M316" i="4"/>
  <c r="M316" i="5"/>
  <c r="M316" i="6"/>
  <c r="E316" i="4"/>
  <c r="E316" i="5"/>
  <c r="G316" i="6"/>
  <c r="U316" i="4"/>
  <c r="U316" i="5"/>
  <c r="K316" i="4"/>
  <c r="K316" i="5"/>
  <c r="O316" i="6"/>
  <c r="G316" i="4"/>
  <c r="G316" i="5"/>
  <c r="S316" i="4"/>
  <c r="S316" i="5"/>
  <c r="Q316" i="4"/>
  <c r="Q316" i="5"/>
  <c r="I316" i="4"/>
  <c r="I316" i="5"/>
  <c r="R316" i="4"/>
  <c r="R316" i="5"/>
  <c r="N316" i="6"/>
  <c r="V316" i="6"/>
  <c r="S316" i="6"/>
  <c r="D316" i="4"/>
  <c r="D316" i="5"/>
  <c r="R316" i="6"/>
  <c r="V275" i="6"/>
  <c r="F275" i="4"/>
  <c r="F275" i="5"/>
  <c r="V275" i="4"/>
  <c r="V275" i="5"/>
  <c r="N275" i="6"/>
  <c r="J275" i="6"/>
  <c r="D275" i="4"/>
  <c r="D275" i="5"/>
  <c r="L275" i="4"/>
  <c r="L275" i="5"/>
  <c r="T275" i="4"/>
  <c r="T275" i="5"/>
  <c r="L275" i="6"/>
  <c r="T275" i="6"/>
  <c r="N275" i="4"/>
  <c r="N275" i="5"/>
  <c r="H275" i="4"/>
  <c r="H275" i="5"/>
  <c r="P275" i="4"/>
  <c r="P275" i="5"/>
  <c r="H275" i="6"/>
  <c r="P275" i="6"/>
  <c r="G275" i="4"/>
  <c r="G275" i="5"/>
  <c r="I275" i="4"/>
  <c r="I275" i="5"/>
  <c r="K275" i="4"/>
  <c r="K275" i="5"/>
  <c r="O275" i="6"/>
  <c r="S275" i="6"/>
  <c r="Q275" i="4"/>
  <c r="Q275" i="5"/>
  <c r="F275" i="6"/>
  <c r="O275" i="4"/>
  <c r="O275" i="5"/>
  <c r="M275" i="4"/>
  <c r="M275" i="5"/>
  <c r="U275" i="4"/>
  <c r="U275" i="5"/>
  <c r="U275" i="6"/>
  <c r="J275" i="4"/>
  <c r="J275" i="5"/>
  <c r="I275" i="6"/>
  <c r="K275" i="6"/>
  <c r="M275" i="6"/>
  <c r="E275" i="6"/>
  <c r="E275" i="4"/>
  <c r="E275" i="5"/>
  <c r="Q275" i="6"/>
  <c r="S275" i="4"/>
  <c r="S275" i="5"/>
  <c r="G275" i="6"/>
  <c r="R275" i="6"/>
  <c r="D275" i="6"/>
  <c r="R275" i="4"/>
  <c r="R275" i="5"/>
  <c r="R259" i="4"/>
  <c r="R259" i="5"/>
  <c r="U259" i="6"/>
  <c r="Q259" i="6"/>
  <c r="M259" i="6"/>
  <c r="I259" i="6"/>
  <c r="E259" i="6"/>
  <c r="U259" i="4"/>
  <c r="U259" i="5"/>
  <c r="Q259" i="4"/>
  <c r="Q259" i="5"/>
  <c r="M259" i="4"/>
  <c r="M259" i="5"/>
  <c r="I259" i="4"/>
  <c r="I259" i="5"/>
  <c r="E259" i="4"/>
  <c r="E259" i="5"/>
  <c r="D259" i="4"/>
  <c r="D259" i="5"/>
  <c r="D259" i="6"/>
  <c r="H259" i="6"/>
  <c r="S259" i="6"/>
  <c r="O259" i="6"/>
  <c r="K259" i="6"/>
  <c r="G259" i="6"/>
  <c r="P259" i="4"/>
  <c r="P259" i="5"/>
  <c r="S259" i="4"/>
  <c r="S259" i="5"/>
  <c r="O259" i="4"/>
  <c r="O259" i="5"/>
  <c r="K259" i="4"/>
  <c r="K259" i="5"/>
  <c r="G259" i="4"/>
  <c r="G259" i="5"/>
  <c r="R259" i="6"/>
  <c r="N259" i="4"/>
  <c r="N259" i="5"/>
  <c r="J259" i="6"/>
  <c r="F259" i="4"/>
  <c r="F259" i="5"/>
  <c r="V259" i="4"/>
  <c r="V259" i="5"/>
  <c r="T259" i="6"/>
  <c r="P259" i="6"/>
  <c r="L259" i="6"/>
  <c r="H259" i="4"/>
  <c r="H259" i="5"/>
  <c r="F259" i="6"/>
  <c r="V259" i="6"/>
  <c r="N259" i="6"/>
  <c r="J259" i="4"/>
  <c r="J259" i="5"/>
  <c r="L259" i="4"/>
  <c r="L259" i="5"/>
  <c r="T259" i="4"/>
  <c r="T259" i="5"/>
  <c r="D250" i="6"/>
  <c r="U250" i="6"/>
  <c r="Q250" i="6"/>
  <c r="M250" i="6"/>
  <c r="I250" i="6"/>
  <c r="E250" i="6"/>
  <c r="D250" i="4"/>
  <c r="D250" i="5"/>
  <c r="R250" i="6"/>
  <c r="S250" i="6"/>
  <c r="O250" i="6"/>
  <c r="K250" i="6"/>
  <c r="G250" i="6"/>
  <c r="P250" i="4"/>
  <c r="P250" i="5"/>
  <c r="H250" i="4"/>
  <c r="H250" i="5"/>
  <c r="U250" i="4"/>
  <c r="U250" i="5"/>
  <c r="S250" i="4"/>
  <c r="S250" i="5"/>
  <c r="Q250" i="4"/>
  <c r="Q250" i="5"/>
  <c r="O250" i="4"/>
  <c r="O250" i="5"/>
  <c r="M250" i="4"/>
  <c r="M250" i="5"/>
  <c r="K250" i="4"/>
  <c r="K250" i="5"/>
  <c r="I250" i="4"/>
  <c r="I250" i="5"/>
  <c r="G250" i="4"/>
  <c r="G250" i="5"/>
  <c r="E250" i="4"/>
  <c r="E250" i="5"/>
  <c r="T250" i="6"/>
  <c r="P250" i="6"/>
  <c r="L250" i="6"/>
  <c r="F250" i="6"/>
  <c r="V250" i="6"/>
  <c r="R250" i="4"/>
  <c r="R250" i="5"/>
  <c r="N250" i="6"/>
  <c r="J250" i="4"/>
  <c r="J250" i="5"/>
  <c r="H250" i="6"/>
  <c r="T250" i="4"/>
  <c r="T250" i="5"/>
  <c r="F250" i="4"/>
  <c r="F250" i="5"/>
  <c r="V250" i="4"/>
  <c r="V250" i="5"/>
  <c r="L250" i="4"/>
  <c r="L250" i="5"/>
  <c r="J250" i="6"/>
  <c r="N250" i="4"/>
  <c r="N250" i="5"/>
  <c r="D237" i="4"/>
  <c r="D237" i="5"/>
  <c r="G237" i="6"/>
  <c r="Q237" i="4"/>
  <c r="Q237" i="5"/>
  <c r="D237" i="6"/>
  <c r="M237" i="6"/>
  <c r="O237" i="6"/>
  <c r="I237" i="4"/>
  <c r="I237" i="5"/>
  <c r="H237" i="4"/>
  <c r="H237" i="5"/>
  <c r="N237" i="4"/>
  <c r="N237" i="5"/>
  <c r="N237" i="6"/>
  <c r="T237" i="4"/>
  <c r="T237" i="5"/>
  <c r="P237" i="4"/>
  <c r="P237" i="5"/>
  <c r="P237" i="6"/>
  <c r="T237" i="6"/>
  <c r="V237" i="6"/>
  <c r="R237" i="4"/>
  <c r="R237" i="5"/>
  <c r="L237" i="6"/>
  <c r="J237" i="4"/>
  <c r="J237" i="5"/>
  <c r="F237" i="6"/>
  <c r="H237" i="6"/>
  <c r="S237" i="6"/>
  <c r="S237" i="4"/>
  <c r="S237" i="5"/>
  <c r="K237" i="4"/>
  <c r="K237" i="5"/>
  <c r="U237" i="6"/>
  <c r="E237" i="4"/>
  <c r="E237" i="5"/>
  <c r="Q237" i="6"/>
  <c r="V237" i="4"/>
  <c r="V237" i="5"/>
  <c r="R237" i="6"/>
  <c r="L237" i="4"/>
  <c r="L237" i="5"/>
  <c r="J237" i="6"/>
  <c r="F237" i="4"/>
  <c r="F237" i="5"/>
  <c r="M237" i="4"/>
  <c r="M237" i="5"/>
  <c r="I237" i="6"/>
  <c r="K237" i="6"/>
  <c r="O237" i="4"/>
  <c r="O237" i="5"/>
  <c r="G237" i="4"/>
  <c r="G237" i="5"/>
  <c r="E237" i="6"/>
  <c r="U237" i="4"/>
  <c r="U237" i="5"/>
  <c r="T226" i="6"/>
  <c r="H226" i="6"/>
  <c r="L226" i="4"/>
  <c r="L226" i="5"/>
  <c r="H226" i="4"/>
  <c r="H226" i="5"/>
  <c r="N226" i="4"/>
  <c r="N226" i="5"/>
  <c r="T226" i="4"/>
  <c r="T226" i="5"/>
  <c r="P226" i="4"/>
  <c r="P226" i="5"/>
  <c r="J226" i="4"/>
  <c r="J226" i="5"/>
  <c r="J226" i="6"/>
  <c r="R226" i="4"/>
  <c r="R226" i="5"/>
  <c r="V226" i="6"/>
  <c r="G226" i="4"/>
  <c r="G226" i="5"/>
  <c r="I226" i="4"/>
  <c r="I226" i="5"/>
  <c r="M226" i="4"/>
  <c r="M226" i="5"/>
  <c r="Q226" i="4"/>
  <c r="Q226" i="5"/>
  <c r="E226" i="4"/>
  <c r="E226" i="5"/>
  <c r="K226" i="4"/>
  <c r="K226" i="5"/>
  <c r="O226" i="6"/>
  <c r="S226" i="6"/>
  <c r="E226" i="6"/>
  <c r="K226" i="6"/>
  <c r="O226" i="4"/>
  <c r="O226" i="5"/>
  <c r="S226" i="4"/>
  <c r="S226" i="5"/>
  <c r="U226" i="4"/>
  <c r="U226" i="5"/>
  <c r="G226" i="6"/>
  <c r="N226" i="6"/>
  <c r="R226" i="6"/>
  <c r="F226" i="6"/>
  <c r="U226" i="6"/>
  <c r="Q226" i="6"/>
  <c r="I226" i="6"/>
  <c r="M226" i="6"/>
  <c r="D226" i="4"/>
  <c r="D226" i="5"/>
  <c r="D226" i="6"/>
  <c r="L226" i="6"/>
  <c r="P226" i="6"/>
  <c r="F226" i="4"/>
  <c r="F226" i="5"/>
  <c r="V226" i="4"/>
  <c r="V226" i="5"/>
  <c r="J217" i="4"/>
  <c r="J217" i="5"/>
  <c r="R217" i="6"/>
  <c r="D217" i="4"/>
  <c r="D217" i="5"/>
  <c r="L217" i="6"/>
  <c r="T217" i="6"/>
  <c r="L217" i="4"/>
  <c r="L217" i="5"/>
  <c r="T217" i="4"/>
  <c r="T217" i="5"/>
  <c r="N217" i="6"/>
  <c r="H217" i="6"/>
  <c r="P217" i="6"/>
  <c r="H217" i="4"/>
  <c r="H217" i="5"/>
  <c r="P217" i="4"/>
  <c r="P217" i="5"/>
  <c r="E217" i="6"/>
  <c r="M217" i="6"/>
  <c r="I217" i="4"/>
  <c r="I217" i="5"/>
  <c r="K217" i="6"/>
  <c r="S217" i="6"/>
  <c r="E217" i="4"/>
  <c r="E217" i="5"/>
  <c r="F217" i="6"/>
  <c r="F217" i="4"/>
  <c r="F217" i="5"/>
  <c r="G217" i="4"/>
  <c r="G217" i="5"/>
  <c r="U217" i="4"/>
  <c r="U217" i="5"/>
  <c r="O217" i="6"/>
  <c r="R217" i="4"/>
  <c r="R217" i="5"/>
  <c r="J217" i="6"/>
  <c r="V217" i="4"/>
  <c r="V217" i="5"/>
  <c r="G217" i="6"/>
  <c r="U217" i="6"/>
  <c r="O217" i="4"/>
  <c r="O217" i="5"/>
  <c r="Q217" i="4"/>
  <c r="Q217" i="5"/>
  <c r="I217" i="6"/>
  <c r="K217" i="4"/>
  <c r="K217" i="5"/>
  <c r="S217" i="4"/>
  <c r="S217" i="5"/>
  <c r="Q217" i="6"/>
  <c r="M217" i="4"/>
  <c r="M217" i="5"/>
  <c r="D217" i="6"/>
  <c r="V217" i="6"/>
  <c r="N217" i="4"/>
  <c r="N217" i="5"/>
  <c r="L184" i="6"/>
  <c r="P184" i="6"/>
  <c r="N184" i="4"/>
  <c r="N184" i="5"/>
  <c r="L184" i="4"/>
  <c r="L184" i="5"/>
  <c r="F184" i="4"/>
  <c r="F184" i="5"/>
  <c r="P184" i="4"/>
  <c r="P184" i="5"/>
  <c r="V184" i="4"/>
  <c r="V184" i="5"/>
  <c r="T184" i="4"/>
  <c r="T184" i="5"/>
  <c r="D184" i="4"/>
  <c r="D184" i="5"/>
  <c r="H184" i="4"/>
  <c r="H184" i="5"/>
  <c r="M184" i="4"/>
  <c r="M184" i="5"/>
  <c r="Q184" i="6"/>
  <c r="O184" i="4"/>
  <c r="O184" i="5"/>
  <c r="F184" i="6"/>
  <c r="R184" i="6"/>
  <c r="R184" i="4"/>
  <c r="R184" i="5"/>
  <c r="J184" i="6"/>
  <c r="N184" i="6"/>
  <c r="T184" i="6"/>
  <c r="S184" i="6"/>
  <c r="E184" i="4"/>
  <c r="E184" i="5"/>
  <c r="H184" i="6"/>
  <c r="V184" i="6"/>
  <c r="J184" i="4"/>
  <c r="J184" i="5"/>
  <c r="D184" i="6"/>
  <c r="S184" i="4"/>
  <c r="S184" i="5"/>
  <c r="E184" i="6"/>
  <c r="G184" i="4"/>
  <c r="G184" i="5"/>
  <c r="I184" i="6"/>
  <c r="K184" i="6"/>
  <c r="U184" i="4"/>
  <c r="U184" i="5"/>
  <c r="M184" i="6"/>
  <c r="O184" i="6"/>
  <c r="G184" i="6"/>
  <c r="I184" i="4"/>
  <c r="I184" i="5"/>
  <c r="K184" i="4"/>
  <c r="K184" i="5"/>
  <c r="U184" i="6"/>
  <c r="Q184" i="4"/>
  <c r="Q184" i="5"/>
  <c r="E160" i="6"/>
  <c r="M160" i="6"/>
  <c r="U160" i="6"/>
  <c r="I160" i="6"/>
  <c r="Q160" i="6"/>
  <c r="O160" i="4"/>
  <c r="O160" i="5"/>
  <c r="U160" i="4"/>
  <c r="U160" i="5"/>
  <c r="G160" i="4"/>
  <c r="G160" i="5"/>
  <c r="Q160" i="4"/>
  <c r="Q160" i="5"/>
  <c r="M160" i="4"/>
  <c r="M160" i="5"/>
  <c r="J160" i="6"/>
  <c r="V160" i="4"/>
  <c r="V160" i="5"/>
  <c r="P160" i="4"/>
  <c r="P160" i="5"/>
  <c r="L160" i="6"/>
  <c r="H160" i="4"/>
  <c r="H160" i="5"/>
  <c r="N160" i="4"/>
  <c r="N160" i="5"/>
  <c r="N160" i="6"/>
  <c r="F160" i="4"/>
  <c r="F160" i="5"/>
  <c r="D160" i="4"/>
  <c r="D160" i="5"/>
  <c r="G160" i="6"/>
  <c r="O160" i="6"/>
  <c r="D160" i="6"/>
  <c r="R160" i="6"/>
  <c r="F160" i="6"/>
  <c r="P160" i="6"/>
  <c r="K160" i="4"/>
  <c r="K160" i="5"/>
  <c r="K160" i="6"/>
  <c r="S160" i="6"/>
  <c r="S160" i="4"/>
  <c r="S160" i="5"/>
  <c r="E160" i="4"/>
  <c r="E160" i="5"/>
  <c r="I160" i="4"/>
  <c r="I160" i="5"/>
  <c r="R160" i="4"/>
  <c r="R160" i="5"/>
  <c r="T160" i="4"/>
  <c r="T160" i="5"/>
  <c r="T160" i="6"/>
  <c r="V160" i="6"/>
  <c r="J160" i="4"/>
  <c r="J160" i="5"/>
  <c r="L160" i="4"/>
  <c r="L160" i="5"/>
  <c r="H160" i="6"/>
  <c r="I140" i="6"/>
  <c r="K140" i="6"/>
  <c r="D140" i="6"/>
  <c r="M140" i="6"/>
  <c r="G140" i="6"/>
  <c r="D140" i="4"/>
  <c r="D140" i="5"/>
  <c r="N140" i="4"/>
  <c r="N140" i="5"/>
  <c r="U140" i="4"/>
  <c r="U140" i="5"/>
  <c r="Q140" i="4"/>
  <c r="Q140" i="5"/>
  <c r="M140" i="4"/>
  <c r="M140" i="5"/>
  <c r="I140" i="4"/>
  <c r="I140" i="5"/>
  <c r="S140" i="4"/>
  <c r="S140" i="5"/>
  <c r="O140" i="4"/>
  <c r="O140" i="5"/>
  <c r="K140" i="4"/>
  <c r="K140" i="5"/>
  <c r="G140" i="4"/>
  <c r="G140" i="5"/>
  <c r="E140" i="4"/>
  <c r="E140" i="5"/>
  <c r="Q140" i="6"/>
  <c r="S140" i="6"/>
  <c r="E140" i="6"/>
  <c r="U140" i="6"/>
  <c r="O140" i="6"/>
  <c r="R140" i="6"/>
  <c r="N140" i="6"/>
  <c r="F140" i="4"/>
  <c r="F140" i="5"/>
  <c r="V140" i="6"/>
  <c r="P140" i="6"/>
  <c r="L140" i="6"/>
  <c r="H140" i="6"/>
  <c r="V140" i="4"/>
  <c r="V140" i="5"/>
  <c r="J140" i="4"/>
  <c r="J140" i="5"/>
  <c r="J140" i="6"/>
  <c r="H140" i="4"/>
  <c r="H140" i="5"/>
  <c r="F140" i="6"/>
  <c r="T140" i="4"/>
  <c r="T140" i="5"/>
  <c r="T140" i="6"/>
  <c r="P140" i="4"/>
  <c r="P140" i="5"/>
  <c r="L140" i="4"/>
  <c r="L140" i="5"/>
  <c r="R140" i="4"/>
  <c r="R140" i="5"/>
  <c r="M117" i="6"/>
  <c r="Q117" i="6"/>
  <c r="S117" i="6"/>
  <c r="T117" i="6"/>
  <c r="O117" i="6"/>
  <c r="E117" i="6"/>
  <c r="S117" i="4"/>
  <c r="S117" i="5"/>
  <c r="I117" i="4"/>
  <c r="I117" i="5"/>
  <c r="U117" i="4"/>
  <c r="U117" i="5"/>
  <c r="E117" i="4"/>
  <c r="E117" i="5"/>
  <c r="I117" i="6"/>
  <c r="R117" i="4"/>
  <c r="R117" i="5"/>
  <c r="R117" i="6"/>
  <c r="N117" i="4"/>
  <c r="N117" i="5"/>
  <c r="J117" i="6"/>
  <c r="F117" i="6"/>
  <c r="T117" i="4"/>
  <c r="T117" i="5"/>
  <c r="G117" i="4"/>
  <c r="G117" i="5"/>
  <c r="G117" i="6"/>
  <c r="U117" i="6"/>
  <c r="K117" i="6"/>
  <c r="M117" i="4"/>
  <c r="M117" i="5"/>
  <c r="Q117" i="4"/>
  <c r="Q117" i="5"/>
  <c r="K117" i="4"/>
  <c r="K117" i="5"/>
  <c r="O117" i="4"/>
  <c r="O117" i="5"/>
  <c r="V117" i="4"/>
  <c r="V117" i="5"/>
  <c r="P117" i="4"/>
  <c r="P117" i="5"/>
  <c r="D117" i="6"/>
  <c r="D117" i="4"/>
  <c r="D117" i="5"/>
  <c r="N117" i="6"/>
  <c r="J117" i="4"/>
  <c r="J117" i="5"/>
  <c r="F117" i="4"/>
  <c r="F117" i="5"/>
  <c r="L117" i="4"/>
  <c r="L117" i="5"/>
  <c r="H117" i="6"/>
  <c r="V117" i="6"/>
  <c r="P117" i="6"/>
  <c r="L117" i="6"/>
  <c r="H117" i="4"/>
  <c r="H117" i="5"/>
  <c r="F20" i="6"/>
  <c r="P20" i="6"/>
  <c r="N20" i="4"/>
  <c r="N20" i="5"/>
  <c r="F20" i="4"/>
  <c r="F20" i="5"/>
  <c r="J20" i="6"/>
  <c r="R20" i="6"/>
  <c r="K20" i="6"/>
  <c r="S20" i="6"/>
  <c r="S20" i="4"/>
  <c r="S20" i="5"/>
  <c r="R20" i="4"/>
  <c r="R20" i="5"/>
  <c r="U20" i="4"/>
  <c r="U20" i="5"/>
  <c r="M20" i="6"/>
  <c r="N20" i="6"/>
  <c r="O20" i="6"/>
  <c r="I20" i="4"/>
  <c r="I20" i="5"/>
  <c r="J20" i="4"/>
  <c r="J20" i="5"/>
  <c r="T20" i="6"/>
  <c r="D20" i="6"/>
  <c r="V20" i="6"/>
  <c r="G20" i="6"/>
  <c r="L20" i="4"/>
  <c r="L20" i="5"/>
  <c r="U20" i="6"/>
  <c r="D20" i="4"/>
  <c r="D20" i="5"/>
  <c r="P20" i="4"/>
  <c r="P20" i="5"/>
  <c r="Q20" i="4"/>
  <c r="Q20" i="5"/>
  <c r="H20" i="4"/>
  <c r="H20" i="5"/>
  <c r="G20" i="4"/>
  <c r="G20" i="5"/>
  <c r="M20" i="4"/>
  <c r="M20" i="5"/>
  <c r="V20" i="4"/>
  <c r="V20" i="5"/>
  <c r="E20" i="4"/>
  <c r="E20" i="5"/>
  <c r="K20" i="4"/>
  <c r="K20" i="5"/>
  <c r="T20" i="4"/>
  <c r="T20" i="5"/>
  <c r="I20" i="6"/>
  <c r="H20" i="6"/>
  <c r="O20" i="4"/>
  <c r="O20" i="5"/>
  <c r="Q20" i="6"/>
  <c r="L20" i="6"/>
  <c r="E20" i="6"/>
  <c r="D38" i="4"/>
  <c r="D38" i="5"/>
  <c r="M38" i="6"/>
  <c r="S38" i="6"/>
  <c r="O38" i="4"/>
  <c r="O38" i="5"/>
  <c r="K38" i="6"/>
  <c r="D38" i="6"/>
  <c r="U38" i="6"/>
  <c r="Q38" i="6"/>
  <c r="G38" i="6"/>
  <c r="N38" i="6"/>
  <c r="J38" i="4"/>
  <c r="J38" i="5"/>
  <c r="L38" i="6"/>
  <c r="V38" i="4"/>
  <c r="V38" i="5"/>
  <c r="F38" i="4"/>
  <c r="F38" i="5"/>
  <c r="K38" i="4"/>
  <c r="K38" i="5"/>
  <c r="G38" i="4"/>
  <c r="G38" i="5"/>
  <c r="L38" i="4"/>
  <c r="L38" i="5"/>
  <c r="P38" i="4"/>
  <c r="P38" i="5"/>
  <c r="P38" i="6"/>
  <c r="R38" i="4"/>
  <c r="R38" i="5"/>
  <c r="R38" i="6"/>
  <c r="N38" i="4"/>
  <c r="N38" i="5"/>
  <c r="J38" i="6"/>
  <c r="E38" i="4"/>
  <c r="E38" i="5"/>
  <c r="S38" i="4"/>
  <c r="S38" i="5"/>
  <c r="O38" i="6"/>
  <c r="Q38" i="4"/>
  <c r="Q38" i="5"/>
  <c r="I38" i="4"/>
  <c r="I38" i="5"/>
  <c r="F38" i="6"/>
  <c r="V38" i="6"/>
  <c r="E38" i="6"/>
  <c r="H38" i="4"/>
  <c r="H38" i="5"/>
  <c r="U38" i="4"/>
  <c r="U38" i="5"/>
  <c r="M38" i="4"/>
  <c r="M38" i="5"/>
  <c r="I38" i="6"/>
  <c r="T38" i="6"/>
  <c r="T38" i="4"/>
  <c r="T38" i="5"/>
  <c r="H38" i="6"/>
  <c r="P73" i="6"/>
  <c r="Q73" i="4"/>
  <c r="Q73" i="5"/>
  <c r="I73" i="6"/>
  <c r="Q73" i="6"/>
  <c r="D73" i="6"/>
  <c r="K73" i="6"/>
  <c r="S73" i="6"/>
  <c r="E73" i="6"/>
  <c r="M73" i="6"/>
  <c r="U73" i="6"/>
  <c r="G73" i="6"/>
  <c r="O73" i="6"/>
  <c r="F73" i="4"/>
  <c r="F73" i="5"/>
  <c r="J73" i="6"/>
  <c r="D73" i="4"/>
  <c r="D73" i="5"/>
  <c r="S73" i="4"/>
  <c r="S73" i="5"/>
  <c r="I73" i="4"/>
  <c r="I73" i="5"/>
  <c r="T73" i="4"/>
  <c r="T73" i="5"/>
  <c r="T73" i="6"/>
  <c r="U73" i="4"/>
  <c r="U73" i="5"/>
  <c r="G73" i="4"/>
  <c r="G73" i="5"/>
  <c r="K73" i="4"/>
  <c r="K73" i="5"/>
  <c r="F73" i="6"/>
  <c r="J73" i="4"/>
  <c r="J73" i="5"/>
  <c r="O73" i="4"/>
  <c r="O73" i="5"/>
  <c r="M73" i="4"/>
  <c r="M73" i="5"/>
  <c r="E73" i="4"/>
  <c r="E73" i="5"/>
  <c r="L73" i="4"/>
  <c r="L73" i="5"/>
  <c r="N73" i="6"/>
  <c r="R73" i="6"/>
  <c r="H73" i="4"/>
  <c r="H73" i="5"/>
  <c r="H73" i="6"/>
  <c r="L73" i="6"/>
  <c r="N73" i="4"/>
  <c r="N73" i="5"/>
  <c r="R73" i="4"/>
  <c r="R73" i="5"/>
  <c r="V73" i="4"/>
  <c r="V73" i="5"/>
  <c r="V73" i="6"/>
  <c r="P73" i="4"/>
  <c r="P73" i="5"/>
  <c r="M87" i="6"/>
  <c r="G87" i="6"/>
  <c r="I87" i="6"/>
  <c r="K87" i="4"/>
  <c r="K87" i="5"/>
  <c r="M87" i="4"/>
  <c r="M87" i="5"/>
  <c r="D87" i="4"/>
  <c r="D87" i="5"/>
  <c r="G87" i="4"/>
  <c r="G87" i="5"/>
  <c r="Q87" i="6"/>
  <c r="O87" i="6"/>
  <c r="J87" i="4"/>
  <c r="J87" i="5"/>
  <c r="V87" i="4"/>
  <c r="V87" i="5"/>
  <c r="H87" i="4"/>
  <c r="H87" i="5"/>
  <c r="U87" i="6"/>
  <c r="S87" i="4"/>
  <c r="S87" i="5"/>
  <c r="U87" i="4"/>
  <c r="U87" i="5"/>
  <c r="E87" i="4"/>
  <c r="E87" i="5"/>
  <c r="I87" i="4"/>
  <c r="I87" i="5"/>
  <c r="Q87" i="4"/>
  <c r="Q87" i="5"/>
  <c r="P87" i="4"/>
  <c r="P87" i="5"/>
  <c r="K87" i="6"/>
  <c r="D87" i="6"/>
  <c r="O87" i="4"/>
  <c r="O87" i="5"/>
  <c r="E87" i="6"/>
  <c r="N87" i="6"/>
  <c r="P87" i="6"/>
  <c r="R87" i="4"/>
  <c r="R87" i="5"/>
  <c r="T87" i="4"/>
  <c r="T87" i="5"/>
  <c r="T87" i="6"/>
  <c r="F87" i="6"/>
  <c r="S87" i="6"/>
  <c r="N87" i="4"/>
  <c r="N87" i="5"/>
  <c r="R87" i="6"/>
  <c r="F87" i="4"/>
  <c r="F87" i="5"/>
  <c r="L87" i="6"/>
  <c r="H87" i="6"/>
  <c r="V87" i="6"/>
  <c r="L87" i="4"/>
  <c r="L87" i="5"/>
  <c r="J87" i="6"/>
  <c r="D128" i="6"/>
  <c r="S128" i="4"/>
  <c r="S128" i="5"/>
  <c r="K128" i="4"/>
  <c r="K128" i="5"/>
  <c r="P128" i="4"/>
  <c r="P128" i="5"/>
  <c r="Q128" i="4"/>
  <c r="Q128" i="5"/>
  <c r="J128" i="4"/>
  <c r="J128" i="5"/>
  <c r="N128" i="4"/>
  <c r="N128" i="5"/>
  <c r="U128" i="4"/>
  <c r="U128" i="5"/>
  <c r="I128" i="6"/>
  <c r="S128" i="6"/>
  <c r="Q128" i="6"/>
  <c r="G128" i="6"/>
  <c r="V128" i="6"/>
  <c r="N128" i="6"/>
  <c r="F128" i="4"/>
  <c r="F128" i="5"/>
  <c r="U128" i="6"/>
  <c r="K128" i="6"/>
  <c r="O128" i="6"/>
  <c r="R128" i="6"/>
  <c r="J128" i="6"/>
  <c r="T128" i="6"/>
  <c r="L128" i="6"/>
  <c r="E128" i="4"/>
  <c r="E128" i="5"/>
  <c r="M128" i="4"/>
  <c r="M128" i="5"/>
  <c r="I128" i="4"/>
  <c r="I128" i="5"/>
  <c r="H128" i="4"/>
  <c r="H128" i="5"/>
  <c r="G128" i="4"/>
  <c r="G128" i="5"/>
  <c r="O128" i="4"/>
  <c r="O128" i="5"/>
  <c r="D128" i="4"/>
  <c r="D128" i="5"/>
  <c r="R128" i="4"/>
  <c r="R128" i="5"/>
  <c r="T128" i="4"/>
  <c r="T128" i="5"/>
  <c r="F128" i="6"/>
  <c r="P128" i="6"/>
  <c r="H128" i="6"/>
  <c r="E128" i="6"/>
  <c r="M128" i="6"/>
  <c r="L128" i="4"/>
  <c r="L128" i="5"/>
  <c r="V128" i="4"/>
  <c r="V128" i="5"/>
  <c r="V438" i="4"/>
  <c r="V438" i="5"/>
  <c r="V25" i="4"/>
  <c r="V25" i="5"/>
  <c r="S290" i="4"/>
  <c r="S290" i="5"/>
  <c r="S290" i="6"/>
  <c r="T210" i="6"/>
  <c r="T210" i="4"/>
  <c r="T210" i="5"/>
  <c r="S314" i="6"/>
  <c r="G390" i="7"/>
  <c r="R191" i="6"/>
  <c r="R191" i="4"/>
  <c r="R191" i="5"/>
  <c r="Q438" i="4"/>
  <c r="Q438" i="5"/>
  <c r="Q329" i="4"/>
  <c r="Q329" i="5"/>
  <c r="Q329" i="6"/>
  <c r="O314" i="4"/>
  <c r="O314" i="5"/>
  <c r="M61" i="6"/>
  <c r="M61" i="4"/>
  <c r="M61" i="5"/>
  <c r="K377" i="4"/>
  <c r="K377" i="5"/>
  <c r="K377" i="6"/>
  <c r="J163" i="4"/>
  <c r="J163" i="5"/>
  <c r="J163" i="6"/>
  <c r="H37" i="2"/>
  <c r="H288" i="3"/>
  <c r="G103" i="1"/>
  <c r="G469" i="1"/>
  <c r="H469" i="3"/>
  <c r="N63" i="2"/>
  <c r="N52" i="2"/>
  <c r="N79" i="2"/>
  <c r="F396" i="4"/>
  <c r="F396" i="5"/>
  <c r="F396" i="6"/>
  <c r="E290" i="4"/>
  <c r="E290" i="6"/>
  <c r="U508" i="6"/>
  <c r="U508" i="4"/>
  <c r="U508" i="5"/>
  <c r="H530" i="4"/>
  <c r="H530" i="5"/>
  <c r="H530" i="6"/>
  <c r="G508" i="6"/>
  <c r="G508" i="4"/>
  <c r="G508" i="5"/>
  <c r="J51" i="2"/>
  <c r="J78" i="2"/>
  <c r="V375" i="3"/>
  <c r="V10" i="4"/>
  <c r="V10" i="5"/>
  <c r="C50" i="2"/>
  <c r="C77" i="2"/>
  <c r="U8" i="3"/>
  <c r="S471" i="6"/>
  <c r="S471" i="4"/>
  <c r="S471" i="5"/>
  <c r="R471" i="6"/>
  <c r="R471" i="4"/>
  <c r="R471" i="5"/>
  <c r="C47" i="2"/>
  <c r="C74" i="2"/>
  <c r="R8" i="3"/>
  <c r="G388" i="7"/>
  <c r="P191" i="4"/>
  <c r="P191" i="5"/>
  <c r="P191" i="6"/>
  <c r="J45" i="2"/>
  <c r="J72" i="2"/>
  <c r="P375" i="3"/>
  <c r="J44" i="2"/>
  <c r="J71" i="2"/>
  <c r="O375" i="3"/>
  <c r="L210" i="4"/>
  <c r="L210" i="5"/>
  <c r="L210" i="6"/>
  <c r="K146" i="6"/>
  <c r="K146" i="4"/>
  <c r="K146" i="5"/>
  <c r="J126" i="4"/>
  <c r="J126" i="5"/>
  <c r="H396" i="4"/>
  <c r="H396" i="5"/>
  <c r="H396" i="6"/>
  <c r="H10" i="4"/>
  <c r="H10" i="5"/>
  <c r="C379" i="7"/>
  <c r="F379" i="7"/>
  <c r="H379" i="7"/>
  <c r="G108" i="4"/>
  <c r="G108" i="5"/>
  <c r="G108" i="6"/>
  <c r="F438" i="6"/>
  <c r="F329" i="6"/>
  <c r="F329" i="4"/>
  <c r="F329" i="5"/>
  <c r="F35" i="6"/>
  <c r="F35" i="4"/>
  <c r="F35" i="5"/>
  <c r="F512" i="7"/>
  <c r="N512" i="7"/>
  <c r="F515" i="7"/>
  <c r="N515" i="7"/>
  <c r="F502" i="7"/>
  <c r="N502" i="7"/>
  <c r="F499" i="7"/>
  <c r="N499" i="7"/>
  <c r="F509" i="7"/>
  <c r="N509" i="7"/>
  <c r="F507" i="7"/>
  <c r="N507" i="7"/>
  <c r="F508" i="7"/>
  <c r="N508" i="7"/>
  <c r="F513" i="7"/>
  <c r="N513" i="7"/>
  <c r="F510" i="7"/>
  <c r="N510" i="7"/>
  <c r="F498" i="7"/>
  <c r="N498" i="7"/>
  <c r="F501" i="7"/>
  <c r="F500" i="7"/>
  <c r="N500" i="7"/>
  <c r="F506" i="7"/>
  <c r="N506" i="7"/>
  <c r="F504" i="7"/>
  <c r="N504" i="7"/>
  <c r="F503" i="7"/>
  <c r="N503" i="7"/>
  <c r="F514" i="7"/>
  <c r="N514" i="7"/>
  <c r="F511" i="7"/>
  <c r="N511" i="7"/>
  <c r="F505" i="7"/>
  <c r="N505" i="7"/>
  <c r="K525" i="3"/>
  <c r="J539" i="1"/>
  <c r="K539" i="3"/>
  <c r="Y67" i="2"/>
  <c r="Z40" i="2"/>
  <c r="L191" i="6"/>
  <c r="O191" i="4"/>
  <c r="O191" i="5"/>
  <c r="O191" i="6"/>
  <c r="F191" i="6"/>
  <c r="S191" i="4"/>
  <c r="S191" i="5"/>
  <c r="I191" i="4"/>
  <c r="I191" i="5"/>
  <c r="T191" i="6"/>
  <c r="D191" i="4"/>
  <c r="D191" i="5"/>
  <c r="Q191" i="6"/>
  <c r="N191" i="6"/>
  <c r="N191" i="4"/>
  <c r="N191" i="5"/>
  <c r="M191" i="6"/>
  <c r="L191" i="4"/>
  <c r="L191" i="5"/>
  <c r="Q191" i="4"/>
  <c r="Q191" i="5"/>
  <c r="S191" i="6"/>
  <c r="D191" i="6"/>
  <c r="M191" i="4"/>
  <c r="M191" i="5"/>
  <c r="T191" i="4"/>
  <c r="T191" i="5"/>
  <c r="J191" i="4"/>
  <c r="J191" i="5"/>
  <c r="E191" i="4"/>
  <c r="E191" i="5"/>
  <c r="J191" i="6"/>
  <c r="V191" i="4"/>
  <c r="V191" i="5"/>
  <c r="H191" i="6"/>
  <c r="K191" i="4"/>
  <c r="K191" i="5"/>
  <c r="E191" i="6"/>
  <c r="F191" i="4"/>
  <c r="F191" i="5"/>
  <c r="H191" i="4"/>
  <c r="H191" i="5"/>
  <c r="V191" i="6"/>
  <c r="K191" i="6"/>
  <c r="I191" i="6"/>
  <c r="D525" i="4"/>
  <c r="D525" i="5"/>
  <c r="D525" i="6"/>
  <c r="Q525" i="6"/>
  <c r="M525" i="4"/>
  <c r="M525" i="5"/>
  <c r="M525" i="6"/>
  <c r="Q525" i="4"/>
  <c r="Q525" i="5"/>
  <c r="D539" i="1"/>
  <c r="E539" i="3"/>
  <c r="E525" i="3"/>
  <c r="K486" i="4"/>
  <c r="K486" i="5"/>
  <c r="U288" i="6"/>
  <c r="U530" i="4"/>
  <c r="U530" i="5"/>
  <c r="J50" i="2"/>
  <c r="J77" i="2"/>
  <c r="U375" i="3"/>
  <c r="D75" i="2"/>
  <c r="F508" i="4"/>
  <c r="F508" i="5"/>
  <c r="E8" i="3"/>
  <c r="C34" i="2"/>
  <c r="C61" i="2"/>
  <c r="J288" i="4"/>
  <c r="J288" i="5"/>
  <c r="J288" i="6"/>
  <c r="V123" i="6"/>
  <c r="S123" i="6"/>
  <c r="E123" i="6"/>
  <c r="T123" i="6"/>
  <c r="Q123" i="4"/>
  <c r="Q123" i="5"/>
  <c r="D123" i="4"/>
  <c r="D123" i="5"/>
  <c r="S123" i="4"/>
  <c r="S123" i="5"/>
  <c r="H123" i="4"/>
  <c r="H123" i="5"/>
  <c r="R123" i="6"/>
  <c r="K123" i="4"/>
  <c r="K123" i="5"/>
  <c r="P123" i="6"/>
  <c r="I123" i="6"/>
  <c r="L123" i="6"/>
  <c r="P123" i="4"/>
  <c r="P123" i="5"/>
  <c r="G123" i="4"/>
  <c r="G123" i="5"/>
  <c r="F123" i="6"/>
  <c r="T123" i="4"/>
  <c r="T123" i="5"/>
  <c r="M123" i="4"/>
  <c r="M123" i="5"/>
  <c r="J123" i="6"/>
  <c r="F123" i="4"/>
  <c r="F123" i="5"/>
  <c r="V123" i="4"/>
  <c r="V123" i="5"/>
  <c r="O123" i="6"/>
  <c r="D123" i="6"/>
  <c r="N123" i="6"/>
  <c r="R123" i="4"/>
  <c r="R123" i="5"/>
  <c r="U123" i="4"/>
  <c r="U123" i="5"/>
  <c r="Q123" i="6"/>
  <c r="E123" i="4"/>
  <c r="E123" i="5"/>
  <c r="K123" i="6"/>
  <c r="O123" i="4"/>
  <c r="O123" i="5"/>
  <c r="L123" i="4"/>
  <c r="L123" i="5"/>
  <c r="I123" i="4"/>
  <c r="I123" i="5"/>
  <c r="N123" i="4"/>
  <c r="N123" i="5"/>
  <c r="U123" i="6"/>
  <c r="G123" i="6"/>
  <c r="J123" i="4"/>
  <c r="J123" i="5"/>
  <c r="H123" i="6"/>
  <c r="M123" i="6"/>
  <c r="T375" i="4"/>
  <c r="T375" i="5"/>
  <c r="N375" i="4"/>
  <c r="N375" i="5"/>
  <c r="J375" i="6"/>
  <c r="L375" i="4"/>
  <c r="L375" i="5"/>
  <c r="T375" i="6"/>
  <c r="N375" i="6"/>
  <c r="J375" i="4"/>
  <c r="J375" i="5"/>
  <c r="D375" i="4"/>
  <c r="D375" i="5"/>
  <c r="D375" i="6"/>
  <c r="L375" i="6"/>
  <c r="T410" i="6"/>
  <c r="K410" i="6"/>
  <c r="D410" i="6"/>
  <c r="E410" i="6"/>
  <c r="M410" i="4"/>
  <c r="M410" i="5"/>
  <c r="G410" i="4"/>
  <c r="G410" i="5"/>
  <c r="O410" i="4"/>
  <c r="O410" i="5"/>
  <c r="S410" i="4"/>
  <c r="S410" i="5"/>
  <c r="Q410" i="4"/>
  <c r="Q410" i="5"/>
  <c r="I410" i="6"/>
  <c r="K410" i="4"/>
  <c r="K410" i="5"/>
  <c r="G410" i="6"/>
  <c r="T410" i="4"/>
  <c r="T410" i="5"/>
  <c r="M410" i="6"/>
  <c r="N410" i="4"/>
  <c r="N410" i="5"/>
  <c r="S410" i="6"/>
  <c r="L410" i="4"/>
  <c r="L410" i="5"/>
  <c r="H410" i="4"/>
  <c r="H410" i="5"/>
  <c r="D410" i="4"/>
  <c r="D410" i="5"/>
  <c r="E410" i="4"/>
  <c r="E410" i="5"/>
  <c r="Q410" i="6"/>
  <c r="H410" i="6"/>
  <c r="N410" i="6"/>
  <c r="O410" i="6"/>
  <c r="L410" i="6"/>
  <c r="I410" i="4"/>
  <c r="I410" i="5"/>
  <c r="F410" i="4"/>
  <c r="F410" i="5"/>
  <c r="F410" i="6"/>
  <c r="J410" i="4"/>
  <c r="J410" i="5"/>
  <c r="V410" i="4"/>
  <c r="V410" i="5"/>
  <c r="J410" i="6"/>
  <c r="V410" i="6"/>
  <c r="R527" i="4"/>
  <c r="R527" i="5"/>
  <c r="U527" i="4"/>
  <c r="U527" i="5"/>
  <c r="I527" i="6"/>
  <c r="F527" i="6"/>
  <c r="H527" i="4"/>
  <c r="H527" i="5"/>
  <c r="D527" i="4"/>
  <c r="D527" i="5"/>
  <c r="K527" i="4"/>
  <c r="K527" i="5"/>
  <c r="P527" i="4"/>
  <c r="P527" i="5"/>
  <c r="M527" i="4"/>
  <c r="M527" i="5"/>
  <c r="I527" i="4"/>
  <c r="I527" i="5"/>
  <c r="V527" i="4"/>
  <c r="V527" i="5"/>
  <c r="G527" i="6"/>
  <c r="G527" i="4"/>
  <c r="G527" i="5"/>
  <c r="D527" i="6"/>
  <c r="T527" i="6"/>
  <c r="F527" i="4"/>
  <c r="F527" i="5"/>
  <c r="H527" i="6"/>
  <c r="P527" i="6"/>
  <c r="J527" i="4"/>
  <c r="J527" i="5"/>
  <c r="O527" i="4"/>
  <c r="O527" i="5"/>
  <c r="E527" i="6"/>
  <c r="U527" i="6"/>
  <c r="R527" i="6"/>
  <c r="O527" i="6"/>
  <c r="L527" i="6"/>
  <c r="K527" i="6"/>
  <c r="E527" i="4"/>
  <c r="E527" i="5"/>
  <c r="S527" i="4"/>
  <c r="S527" i="5"/>
  <c r="S527" i="6"/>
  <c r="T527" i="4"/>
  <c r="T527" i="5"/>
  <c r="M527" i="6"/>
  <c r="N527" i="4"/>
  <c r="N527" i="5"/>
  <c r="Q527" i="4"/>
  <c r="Q527" i="5"/>
  <c r="V527" i="6"/>
  <c r="L527" i="4"/>
  <c r="L527" i="5"/>
  <c r="N527" i="6"/>
  <c r="Q527" i="6"/>
  <c r="J527" i="6"/>
  <c r="O396" i="6"/>
  <c r="P396" i="6"/>
  <c r="N396" i="4"/>
  <c r="N396" i="5"/>
  <c r="T396" i="6"/>
  <c r="E396" i="6"/>
  <c r="U396" i="6"/>
  <c r="R396" i="6"/>
  <c r="K396" i="4"/>
  <c r="K396" i="5"/>
  <c r="P396" i="4"/>
  <c r="P396" i="5"/>
  <c r="D396" i="6"/>
  <c r="T396" i="4"/>
  <c r="T396" i="5"/>
  <c r="N396" i="6"/>
  <c r="L396" i="4"/>
  <c r="L396" i="5"/>
  <c r="S396" i="4"/>
  <c r="S396" i="5"/>
  <c r="K396" i="6"/>
  <c r="R396" i="4"/>
  <c r="R396" i="5"/>
  <c r="U396" i="4"/>
  <c r="U396" i="5"/>
  <c r="G396" i="6"/>
  <c r="O396" i="4"/>
  <c r="O396" i="5"/>
  <c r="J396" i="4"/>
  <c r="J396" i="5"/>
  <c r="M396" i="4"/>
  <c r="M396" i="5"/>
  <c r="D396" i="4"/>
  <c r="D396" i="5"/>
  <c r="S396" i="6"/>
  <c r="L396" i="6"/>
  <c r="M396" i="6"/>
  <c r="J396" i="6"/>
  <c r="E396" i="4"/>
  <c r="E396" i="5"/>
  <c r="G396" i="4"/>
  <c r="G396" i="5"/>
  <c r="L77" i="6"/>
  <c r="G77" i="6"/>
  <c r="E77" i="4"/>
  <c r="E77" i="5"/>
  <c r="I77" i="4"/>
  <c r="I77" i="5"/>
  <c r="N77" i="6"/>
  <c r="D77" i="4"/>
  <c r="D77" i="5"/>
  <c r="M77" i="4"/>
  <c r="M77" i="5"/>
  <c r="O77" i="6"/>
  <c r="G77" i="4"/>
  <c r="G77" i="5"/>
  <c r="U77" i="4"/>
  <c r="U77" i="5"/>
  <c r="U77" i="6"/>
  <c r="E77" i="6"/>
  <c r="I77" i="6"/>
  <c r="K77" i="4"/>
  <c r="K77" i="5"/>
  <c r="T77" i="4"/>
  <c r="T77" i="5"/>
  <c r="J77" i="4"/>
  <c r="J77" i="5"/>
  <c r="P77" i="4"/>
  <c r="P77" i="5"/>
  <c r="N77" i="4"/>
  <c r="N77" i="5"/>
  <c r="R77" i="4"/>
  <c r="R77" i="5"/>
  <c r="M77" i="6"/>
  <c r="F77" i="4"/>
  <c r="F77" i="5"/>
  <c r="H77" i="4"/>
  <c r="H77" i="5"/>
  <c r="K77" i="6"/>
  <c r="L77" i="4"/>
  <c r="L77" i="5"/>
  <c r="T77" i="6"/>
  <c r="J77" i="6"/>
  <c r="P77" i="6"/>
  <c r="D77" i="6"/>
  <c r="R77" i="6"/>
  <c r="O77" i="4"/>
  <c r="O77" i="5"/>
  <c r="F77" i="6"/>
  <c r="H77" i="6"/>
  <c r="J285" i="6"/>
  <c r="L285" i="6"/>
  <c r="T285" i="6"/>
  <c r="J285" i="4"/>
  <c r="J285" i="5"/>
  <c r="F285" i="6"/>
  <c r="V285" i="6"/>
  <c r="V285" i="4"/>
  <c r="V285" i="5"/>
  <c r="F285" i="4"/>
  <c r="F285" i="5"/>
  <c r="D285" i="4"/>
  <c r="D285" i="5"/>
  <c r="L285" i="4"/>
  <c r="L285" i="5"/>
  <c r="T285" i="4"/>
  <c r="T285" i="5"/>
  <c r="P285" i="6"/>
  <c r="R285" i="4"/>
  <c r="R285" i="5"/>
  <c r="R285" i="6"/>
  <c r="N285" i="4"/>
  <c r="N285" i="5"/>
  <c r="H285" i="4"/>
  <c r="H285" i="5"/>
  <c r="P285" i="4"/>
  <c r="P285" i="5"/>
  <c r="H285" i="6"/>
  <c r="D285" i="6"/>
  <c r="N285" i="6"/>
  <c r="I285" i="4"/>
  <c r="I285" i="5"/>
  <c r="K285" i="4"/>
  <c r="K285" i="5"/>
  <c r="G285" i="4"/>
  <c r="G285" i="5"/>
  <c r="M285" i="6"/>
  <c r="U285" i="4"/>
  <c r="U285" i="5"/>
  <c r="G285" i="6"/>
  <c r="M285" i="4"/>
  <c r="M285" i="5"/>
  <c r="Q285" i="4"/>
  <c r="Q285" i="5"/>
  <c r="Q285" i="6"/>
  <c r="U285" i="6"/>
  <c r="E285" i="6"/>
  <c r="S285" i="4"/>
  <c r="S285" i="5"/>
  <c r="K285" i="6"/>
  <c r="E285" i="4"/>
  <c r="E285" i="5"/>
  <c r="O285" i="4"/>
  <c r="O285" i="5"/>
  <c r="O285" i="6"/>
  <c r="S285" i="6"/>
  <c r="I285" i="6"/>
  <c r="E161" i="6"/>
  <c r="G161" i="6"/>
  <c r="K161" i="6"/>
  <c r="O161" i="6"/>
  <c r="S161" i="6"/>
  <c r="D161" i="4"/>
  <c r="D161" i="5"/>
  <c r="G161" i="4"/>
  <c r="G161" i="5"/>
  <c r="K161" i="4"/>
  <c r="K161" i="5"/>
  <c r="O161" i="4"/>
  <c r="O161" i="5"/>
  <c r="S161" i="4"/>
  <c r="S161" i="5"/>
  <c r="U161" i="4"/>
  <c r="U161" i="5"/>
  <c r="E161" i="4"/>
  <c r="E161" i="5"/>
  <c r="I161" i="4"/>
  <c r="I161" i="5"/>
  <c r="M161" i="4"/>
  <c r="M161" i="5"/>
  <c r="Q161" i="4"/>
  <c r="Q161" i="5"/>
  <c r="D161" i="6"/>
  <c r="I161" i="6"/>
  <c r="M161" i="6"/>
  <c r="Q161" i="6"/>
  <c r="U161" i="6"/>
  <c r="T161" i="4"/>
  <c r="T161" i="5"/>
  <c r="J161" i="6"/>
  <c r="F161" i="6"/>
  <c r="P161" i="6"/>
  <c r="H161" i="4"/>
  <c r="H161" i="5"/>
  <c r="L161" i="4"/>
  <c r="L161" i="5"/>
  <c r="P161" i="4"/>
  <c r="P161" i="5"/>
  <c r="F161" i="4"/>
  <c r="F161" i="5"/>
  <c r="N161" i="4"/>
  <c r="N161" i="5"/>
  <c r="L161" i="6"/>
  <c r="T161" i="6"/>
  <c r="R161" i="4"/>
  <c r="R161" i="5"/>
  <c r="R161" i="6"/>
  <c r="N161" i="6"/>
  <c r="V161" i="4"/>
  <c r="V161" i="5"/>
  <c r="H161" i="6"/>
  <c r="V161" i="6"/>
  <c r="J161" i="4"/>
  <c r="J161" i="5"/>
  <c r="U429" i="4"/>
  <c r="U429" i="5"/>
  <c r="O429" i="6"/>
  <c r="E429" i="6"/>
  <c r="S429" i="6"/>
  <c r="K429" i="6"/>
  <c r="G429" i="6"/>
  <c r="U429" i="6"/>
  <c r="D429" i="6"/>
  <c r="M429" i="4"/>
  <c r="M429" i="5"/>
  <c r="M429" i="6"/>
  <c r="I429" i="6"/>
  <c r="Q429" i="6"/>
  <c r="E429" i="4"/>
  <c r="E429" i="5"/>
  <c r="K429" i="4"/>
  <c r="K429" i="5"/>
  <c r="G429" i="4"/>
  <c r="G429" i="5"/>
  <c r="I429" i="4"/>
  <c r="I429" i="5"/>
  <c r="S429" i="4"/>
  <c r="S429" i="5"/>
  <c r="D429" i="4"/>
  <c r="D429" i="5"/>
  <c r="L429" i="4"/>
  <c r="L429" i="5"/>
  <c r="J429" i="4"/>
  <c r="J429" i="5"/>
  <c r="N429" i="4"/>
  <c r="N429" i="5"/>
  <c r="H429" i="6"/>
  <c r="R429" i="6"/>
  <c r="V429" i="6"/>
  <c r="O429" i="4"/>
  <c r="O429" i="5"/>
  <c r="Q429" i="4"/>
  <c r="Q429" i="5"/>
  <c r="N429" i="6"/>
  <c r="H429" i="4"/>
  <c r="H429" i="5"/>
  <c r="J429" i="6"/>
  <c r="R429" i="4"/>
  <c r="R429" i="5"/>
  <c r="V429" i="4"/>
  <c r="V429" i="5"/>
  <c r="F429" i="4"/>
  <c r="F429" i="5"/>
  <c r="P429" i="6"/>
  <c r="T429" i="6"/>
  <c r="F429" i="6"/>
  <c r="P429" i="4"/>
  <c r="P429" i="5"/>
  <c r="T429" i="4"/>
  <c r="T429" i="5"/>
  <c r="L429" i="6"/>
  <c r="D415" i="4"/>
  <c r="D415" i="5"/>
  <c r="D415" i="6"/>
  <c r="R415" i="4"/>
  <c r="R415" i="5"/>
  <c r="L415" i="4"/>
  <c r="L415" i="5"/>
  <c r="J415" i="4"/>
  <c r="J415" i="5"/>
  <c r="H415" i="6"/>
  <c r="P415" i="4"/>
  <c r="P415" i="5"/>
  <c r="F415" i="4"/>
  <c r="F415" i="5"/>
  <c r="T415" i="6"/>
  <c r="S415" i="4"/>
  <c r="S415" i="5"/>
  <c r="N415" i="6"/>
  <c r="N415" i="4"/>
  <c r="N415" i="5"/>
  <c r="J415" i="6"/>
  <c r="T415" i="4"/>
  <c r="T415" i="5"/>
  <c r="P415" i="6"/>
  <c r="V415" i="4"/>
  <c r="V415" i="5"/>
  <c r="L415" i="6"/>
  <c r="H415" i="4"/>
  <c r="H415" i="5"/>
  <c r="V415" i="6"/>
  <c r="F415" i="6"/>
  <c r="R415" i="6"/>
  <c r="U415" i="6"/>
  <c r="Q415" i="4"/>
  <c r="Q415" i="5"/>
  <c r="M415" i="6"/>
  <c r="I415" i="6"/>
  <c r="E415" i="6"/>
  <c r="S415" i="6"/>
  <c r="O415" i="6"/>
  <c r="K415" i="6"/>
  <c r="G415" i="6"/>
  <c r="K415" i="4"/>
  <c r="K415" i="5"/>
  <c r="M415" i="4"/>
  <c r="M415" i="5"/>
  <c r="O415" i="4"/>
  <c r="O415" i="5"/>
  <c r="I415" i="4"/>
  <c r="I415" i="5"/>
  <c r="E415" i="4"/>
  <c r="E415" i="5"/>
  <c r="G415" i="4"/>
  <c r="G415" i="5"/>
  <c r="Q415" i="6"/>
  <c r="U415" i="4"/>
  <c r="U415" i="5"/>
  <c r="D378" i="4"/>
  <c r="D378" i="5"/>
  <c r="Q378" i="6"/>
  <c r="I378" i="6"/>
  <c r="O378" i="6"/>
  <c r="D378" i="6"/>
  <c r="L378" i="6"/>
  <c r="T378" i="6"/>
  <c r="M378" i="4"/>
  <c r="M378" i="5"/>
  <c r="G378" i="4"/>
  <c r="G378" i="5"/>
  <c r="R378" i="4"/>
  <c r="R378" i="5"/>
  <c r="K378" i="6"/>
  <c r="N378" i="6"/>
  <c r="I378" i="4"/>
  <c r="I378" i="5"/>
  <c r="L378" i="4"/>
  <c r="L378" i="5"/>
  <c r="F378" i="4"/>
  <c r="F378" i="5"/>
  <c r="V378" i="4"/>
  <c r="V378" i="5"/>
  <c r="U378" i="6"/>
  <c r="M378" i="6"/>
  <c r="E378" i="6"/>
  <c r="G378" i="6"/>
  <c r="H378" i="6"/>
  <c r="P378" i="6"/>
  <c r="U378" i="4"/>
  <c r="U378" i="5"/>
  <c r="E378" i="4"/>
  <c r="E378" i="5"/>
  <c r="O378" i="4"/>
  <c r="O378" i="5"/>
  <c r="J378" i="4"/>
  <c r="J378" i="5"/>
  <c r="F378" i="6"/>
  <c r="V378" i="6"/>
  <c r="K378" i="4"/>
  <c r="K378" i="5"/>
  <c r="N378" i="4"/>
  <c r="N378" i="5"/>
  <c r="T378" i="4"/>
  <c r="T378" i="5"/>
  <c r="Q378" i="4"/>
  <c r="Q378" i="5"/>
  <c r="J378" i="6"/>
  <c r="S378" i="6"/>
  <c r="R378" i="6"/>
  <c r="S378" i="4"/>
  <c r="S378" i="5"/>
  <c r="H378" i="4"/>
  <c r="H378" i="5"/>
  <c r="P378" i="4"/>
  <c r="P378" i="5"/>
  <c r="I364" i="4"/>
  <c r="I364" i="5"/>
  <c r="M364" i="6"/>
  <c r="U364" i="6"/>
  <c r="D364" i="6"/>
  <c r="K364" i="6"/>
  <c r="E364" i="6"/>
  <c r="Q364" i="4"/>
  <c r="Q364" i="5"/>
  <c r="G364" i="6"/>
  <c r="O364" i="6"/>
  <c r="G364" i="4"/>
  <c r="G364" i="5"/>
  <c r="K364" i="4"/>
  <c r="K364" i="5"/>
  <c r="O364" i="4"/>
  <c r="O364" i="5"/>
  <c r="S364" i="4"/>
  <c r="S364" i="5"/>
  <c r="J364" i="4"/>
  <c r="J364" i="5"/>
  <c r="D364" i="4"/>
  <c r="D364" i="5"/>
  <c r="I364" i="6"/>
  <c r="E364" i="4"/>
  <c r="E364" i="5"/>
  <c r="M364" i="4"/>
  <c r="M364" i="5"/>
  <c r="U364" i="4"/>
  <c r="U364" i="5"/>
  <c r="S364" i="6"/>
  <c r="Q364" i="6"/>
  <c r="H364" i="4"/>
  <c r="H364" i="5"/>
  <c r="L364" i="6"/>
  <c r="P364" i="6"/>
  <c r="V364" i="6"/>
  <c r="F364" i="6"/>
  <c r="J364" i="6"/>
  <c r="N364" i="6"/>
  <c r="T364" i="6"/>
  <c r="R364" i="6"/>
  <c r="T364" i="4"/>
  <c r="T364" i="5"/>
  <c r="P364" i="4"/>
  <c r="P364" i="5"/>
  <c r="R364" i="4"/>
  <c r="R364" i="5"/>
  <c r="L364" i="4"/>
  <c r="L364" i="5"/>
  <c r="H364" i="6"/>
  <c r="N364" i="4"/>
  <c r="N364" i="5"/>
  <c r="V364" i="4"/>
  <c r="V364" i="5"/>
  <c r="F364" i="4"/>
  <c r="F364" i="5"/>
  <c r="L338" i="4"/>
  <c r="L338" i="5"/>
  <c r="V338" i="4"/>
  <c r="V338" i="5"/>
  <c r="D338" i="4"/>
  <c r="D338" i="5"/>
  <c r="F338" i="4"/>
  <c r="F338" i="5"/>
  <c r="H338" i="4"/>
  <c r="H338" i="5"/>
  <c r="P338" i="4"/>
  <c r="P338" i="5"/>
  <c r="J338" i="4"/>
  <c r="J338" i="5"/>
  <c r="R338" i="4"/>
  <c r="R338" i="5"/>
  <c r="D338" i="6"/>
  <c r="H338" i="6"/>
  <c r="L338" i="6"/>
  <c r="P338" i="6"/>
  <c r="T338" i="6"/>
  <c r="F338" i="6"/>
  <c r="J338" i="6"/>
  <c r="N338" i="6"/>
  <c r="R338" i="6"/>
  <c r="V338" i="6"/>
  <c r="E338" i="4"/>
  <c r="E338" i="5"/>
  <c r="M338" i="4"/>
  <c r="M338" i="5"/>
  <c r="U338" i="4"/>
  <c r="U338" i="5"/>
  <c r="T338" i="4"/>
  <c r="T338" i="5"/>
  <c r="N338" i="4"/>
  <c r="N338" i="5"/>
  <c r="I338" i="4"/>
  <c r="I338" i="5"/>
  <c r="Q338" i="4"/>
  <c r="Q338" i="5"/>
  <c r="M338" i="6"/>
  <c r="U338" i="6"/>
  <c r="O338" i="4"/>
  <c r="O338" i="5"/>
  <c r="E338" i="6"/>
  <c r="O338" i="6"/>
  <c r="G338" i="6"/>
  <c r="S338" i="4"/>
  <c r="S338" i="5"/>
  <c r="I338" i="6"/>
  <c r="G338" i="4"/>
  <c r="G338" i="5"/>
  <c r="K338" i="4"/>
  <c r="K338" i="5"/>
  <c r="K338" i="6"/>
  <c r="S338" i="6"/>
  <c r="Q338" i="6"/>
  <c r="H325" i="4"/>
  <c r="H325" i="5"/>
  <c r="N325" i="4"/>
  <c r="N325" i="5"/>
  <c r="H325" i="6"/>
  <c r="G325" i="4"/>
  <c r="G325" i="5"/>
  <c r="I325" i="6"/>
  <c r="S325" i="6"/>
  <c r="N325" i="6"/>
  <c r="J325" i="4"/>
  <c r="J325" i="5"/>
  <c r="D325" i="4"/>
  <c r="D325" i="5"/>
  <c r="L325" i="6"/>
  <c r="K325" i="6"/>
  <c r="O325" i="4"/>
  <c r="O325" i="5"/>
  <c r="Q325" i="4"/>
  <c r="Q325" i="5"/>
  <c r="U325" i="4"/>
  <c r="U325" i="5"/>
  <c r="E325" i="4"/>
  <c r="E325" i="5"/>
  <c r="F325" i="4"/>
  <c r="F325" i="5"/>
  <c r="U325" i="6"/>
  <c r="I325" i="4"/>
  <c r="I325" i="5"/>
  <c r="V325" i="6"/>
  <c r="E325" i="6"/>
  <c r="M325" i="6"/>
  <c r="T325" i="4"/>
  <c r="T325" i="5"/>
  <c r="L325" i="4"/>
  <c r="L325" i="5"/>
  <c r="R325" i="6"/>
  <c r="D325" i="6"/>
  <c r="R325" i="4"/>
  <c r="R325" i="5"/>
  <c r="P325" i="4"/>
  <c r="P325" i="5"/>
  <c r="T325" i="6"/>
  <c r="G325" i="6"/>
  <c r="O325" i="6"/>
  <c r="Q325" i="6"/>
  <c r="P325" i="6"/>
  <c r="V325" i="4"/>
  <c r="V325" i="5"/>
  <c r="M325" i="4"/>
  <c r="M325" i="5"/>
  <c r="K325" i="4"/>
  <c r="K325" i="5"/>
  <c r="J325" i="6"/>
  <c r="S325" i="4"/>
  <c r="S325" i="5"/>
  <c r="F325" i="6"/>
  <c r="D301" i="4"/>
  <c r="D301" i="5"/>
  <c r="I301" i="4"/>
  <c r="I301" i="5"/>
  <c r="Q301" i="4"/>
  <c r="Q301" i="5"/>
  <c r="E301" i="6"/>
  <c r="U301" i="6"/>
  <c r="D301" i="6"/>
  <c r="K301" i="6"/>
  <c r="S301" i="6"/>
  <c r="E301" i="4"/>
  <c r="E301" i="5"/>
  <c r="U301" i="4"/>
  <c r="U301" i="5"/>
  <c r="Q301" i="6"/>
  <c r="M301" i="6"/>
  <c r="G301" i="4"/>
  <c r="G301" i="5"/>
  <c r="K301" i="4"/>
  <c r="K301" i="5"/>
  <c r="O301" i="4"/>
  <c r="O301" i="5"/>
  <c r="S301" i="4"/>
  <c r="S301" i="5"/>
  <c r="G301" i="6"/>
  <c r="O301" i="6"/>
  <c r="J301" i="6"/>
  <c r="T301" i="4"/>
  <c r="T301" i="5"/>
  <c r="F301" i="6"/>
  <c r="P301" i="4"/>
  <c r="P301" i="5"/>
  <c r="R301" i="6"/>
  <c r="V301" i="6"/>
  <c r="F301" i="4"/>
  <c r="F301" i="5"/>
  <c r="H301" i="6"/>
  <c r="N301" i="4"/>
  <c r="N301" i="5"/>
  <c r="V301" i="4"/>
  <c r="V301" i="5"/>
  <c r="H301" i="4"/>
  <c r="H301" i="5"/>
  <c r="N301" i="6"/>
  <c r="P301" i="6"/>
  <c r="L301" i="4"/>
  <c r="L301" i="5"/>
  <c r="J301" i="4"/>
  <c r="J301" i="5"/>
  <c r="T301" i="6"/>
  <c r="L301" i="6"/>
  <c r="R301" i="4"/>
  <c r="R301" i="5"/>
  <c r="M301" i="4"/>
  <c r="M301" i="5"/>
  <c r="I301" i="6"/>
  <c r="E293" i="4"/>
  <c r="E293" i="5"/>
  <c r="I293" i="6"/>
  <c r="D293" i="4"/>
  <c r="D293" i="5"/>
  <c r="Q293" i="4"/>
  <c r="Q293" i="5"/>
  <c r="M293" i="6"/>
  <c r="D293" i="6"/>
  <c r="K293" i="6"/>
  <c r="S293" i="6"/>
  <c r="M293" i="4"/>
  <c r="M293" i="5"/>
  <c r="I293" i="4"/>
  <c r="I293" i="5"/>
  <c r="E293" i="6"/>
  <c r="U293" i="6"/>
  <c r="G293" i="4"/>
  <c r="G293" i="5"/>
  <c r="K293" i="4"/>
  <c r="K293" i="5"/>
  <c r="O293" i="4"/>
  <c r="O293" i="5"/>
  <c r="S293" i="4"/>
  <c r="S293" i="5"/>
  <c r="G293" i="6"/>
  <c r="O293" i="6"/>
  <c r="J293" i="6"/>
  <c r="V293" i="6"/>
  <c r="F293" i="6"/>
  <c r="L293" i="4"/>
  <c r="L293" i="5"/>
  <c r="R293" i="6"/>
  <c r="F293" i="4"/>
  <c r="F293" i="5"/>
  <c r="L293" i="6"/>
  <c r="N293" i="4"/>
  <c r="N293" i="5"/>
  <c r="N293" i="6"/>
  <c r="V293" i="4"/>
  <c r="V293" i="5"/>
  <c r="H293" i="6"/>
  <c r="P293" i="4"/>
  <c r="P293" i="5"/>
  <c r="T293" i="6"/>
  <c r="R293" i="4"/>
  <c r="R293" i="5"/>
  <c r="J293" i="4"/>
  <c r="J293" i="5"/>
  <c r="H293" i="4"/>
  <c r="H293" i="5"/>
  <c r="P293" i="6"/>
  <c r="T293" i="4"/>
  <c r="T293" i="5"/>
  <c r="U293" i="4"/>
  <c r="U293" i="5"/>
  <c r="Q293" i="6"/>
  <c r="Q242" i="6"/>
  <c r="E242" i="4"/>
  <c r="E242" i="5"/>
  <c r="E242" i="6"/>
  <c r="U242" i="4"/>
  <c r="U242" i="5"/>
  <c r="I242" i="4"/>
  <c r="I242" i="5"/>
  <c r="D242" i="4"/>
  <c r="D242" i="5"/>
  <c r="O242" i="6"/>
  <c r="G242" i="6"/>
  <c r="O242" i="4"/>
  <c r="O242" i="5"/>
  <c r="G242" i="4"/>
  <c r="G242" i="5"/>
  <c r="U242" i="6"/>
  <c r="S242" i="6"/>
  <c r="K242" i="6"/>
  <c r="S242" i="4"/>
  <c r="S242" i="5"/>
  <c r="K242" i="4"/>
  <c r="K242" i="5"/>
  <c r="R242" i="6"/>
  <c r="J242" i="4"/>
  <c r="J242" i="5"/>
  <c r="P242" i="6"/>
  <c r="D242" i="6"/>
  <c r="M242" i="4"/>
  <c r="M242" i="5"/>
  <c r="T242" i="4"/>
  <c r="T242" i="5"/>
  <c r="V242" i="4"/>
  <c r="V242" i="5"/>
  <c r="N242" i="6"/>
  <c r="F242" i="6"/>
  <c r="J242" i="6"/>
  <c r="Q242" i="4"/>
  <c r="Q242" i="5"/>
  <c r="M242" i="6"/>
  <c r="I242" i="6"/>
  <c r="T242" i="6"/>
  <c r="V242" i="6"/>
  <c r="N242" i="4"/>
  <c r="N242" i="5"/>
  <c r="F242" i="4"/>
  <c r="F242" i="5"/>
  <c r="L242" i="4"/>
  <c r="L242" i="5"/>
  <c r="H242" i="4"/>
  <c r="H242" i="5"/>
  <c r="R242" i="4"/>
  <c r="R242" i="5"/>
  <c r="P242" i="4"/>
  <c r="P242" i="5"/>
  <c r="L242" i="6"/>
  <c r="H242" i="6"/>
  <c r="D229" i="6"/>
  <c r="E229" i="4"/>
  <c r="E229" i="5"/>
  <c r="P229" i="4"/>
  <c r="P229" i="5"/>
  <c r="V229" i="4"/>
  <c r="V229" i="5"/>
  <c r="F229" i="4"/>
  <c r="F229" i="5"/>
  <c r="J229" i="4"/>
  <c r="J229" i="5"/>
  <c r="H229" i="4"/>
  <c r="H229" i="5"/>
  <c r="L229" i="4"/>
  <c r="L229" i="5"/>
  <c r="T229" i="4"/>
  <c r="T229" i="5"/>
  <c r="N229" i="4"/>
  <c r="N229" i="5"/>
  <c r="R229" i="4"/>
  <c r="R229" i="5"/>
  <c r="M229" i="6"/>
  <c r="E229" i="6"/>
  <c r="V229" i="6"/>
  <c r="I229" i="4"/>
  <c r="I229" i="5"/>
  <c r="J229" i="6"/>
  <c r="N229" i="6"/>
  <c r="K229" i="6"/>
  <c r="O229" i="4"/>
  <c r="O229" i="5"/>
  <c r="S229" i="4"/>
  <c r="S229" i="5"/>
  <c r="P229" i="6"/>
  <c r="T229" i="6"/>
  <c r="I229" i="6"/>
  <c r="H229" i="6"/>
  <c r="D229" i="4"/>
  <c r="D229" i="5"/>
  <c r="L229" i="6"/>
  <c r="K229" i="4"/>
  <c r="K229" i="5"/>
  <c r="O229" i="6"/>
  <c r="S229" i="6"/>
  <c r="G229" i="6"/>
  <c r="Q229" i="6"/>
  <c r="G229" i="4"/>
  <c r="G229" i="5"/>
  <c r="Q229" i="4"/>
  <c r="Q229" i="5"/>
  <c r="U229" i="4"/>
  <c r="U229" i="5"/>
  <c r="U229" i="6"/>
  <c r="M229" i="4"/>
  <c r="M229" i="5"/>
  <c r="F229" i="6"/>
  <c r="R229" i="6"/>
  <c r="T192" i="4"/>
  <c r="T192" i="5"/>
  <c r="J192" i="6"/>
  <c r="L192" i="6"/>
  <c r="V192" i="4"/>
  <c r="V192" i="5"/>
  <c r="N192" i="6"/>
  <c r="D192" i="6"/>
  <c r="V192" i="6"/>
  <c r="H192" i="4"/>
  <c r="H192" i="5"/>
  <c r="F192" i="4"/>
  <c r="F192" i="5"/>
  <c r="J192" i="4"/>
  <c r="J192" i="5"/>
  <c r="E192" i="6"/>
  <c r="K192" i="6"/>
  <c r="I192" i="4"/>
  <c r="I192" i="5"/>
  <c r="S192" i="4"/>
  <c r="S192" i="5"/>
  <c r="S192" i="6"/>
  <c r="G192" i="6"/>
  <c r="T192" i="6"/>
  <c r="L192" i="4"/>
  <c r="L192" i="5"/>
  <c r="N192" i="4"/>
  <c r="N192" i="5"/>
  <c r="H192" i="6"/>
  <c r="M192" i="4"/>
  <c r="M192" i="5"/>
  <c r="M192" i="6"/>
  <c r="U192" i="6"/>
  <c r="E192" i="4"/>
  <c r="E192" i="5"/>
  <c r="K192" i="4"/>
  <c r="K192" i="5"/>
  <c r="I192" i="6"/>
  <c r="G192" i="4"/>
  <c r="G192" i="5"/>
  <c r="D192" i="4"/>
  <c r="D192" i="5"/>
  <c r="R192" i="4"/>
  <c r="R192" i="5"/>
  <c r="P192" i="4"/>
  <c r="P192" i="5"/>
  <c r="F192" i="6"/>
  <c r="P192" i="6"/>
  <c r="R192" i="6"/>
  <c r="U192" i="4"/>
  <c r="U192" i="5"/>
  <c r="Q192" i="4"/>
  <c r="Q192" i="5"/>
  <c r="O192" i="6"/>
  <c r="Q192" i="6"/>
  <c r="O192" i="4"/>
  <c r="O192" i="5"/>
  <c r="L176" i="6"/>
  <c r="N176" i="6"/>
  <c r="D176" i="4"/>
  <c r="D176" i="5"/>
  <c r="D176" i="6"/>
  <c r="T176" i="6"/>
  <c r="I176" i="4"/>
  <c r="I176" i="5"/>
  <c r="K176" i="4"/>
  <c r="K176" i="5"/>
  <c r="O176" i="4"/>
  <c r="O176" i="5"/>
  <c r="S176" i="4"/>
  <c r="S176" i="5"/>
  <c r="U176" i="4"/>
  <c r="U176" i="5"/>
  <c r="M176" i="6"/>
  <c r="U176" i="6"/>
  <c r="Q176" i="6"/>
  <c r="E176" i="6"/>
  <c r="M176" i="4"/>
  <c r="M176" i="5"/>
  <c r="S176" i="6"/>
  <c r="Q176" i="4"/>
  <c r="Q176" i="5"/>
  <c r="E176" i="4"/>
  <c r="E176" i="5"/>
  <c r="G176" i="6"/>
  <c r="O176" i="6"/>
  <c r="H176" i="6"/>
  <c r="F176" i="6"/>
  <c r="J176" i="6"/>
  <c r="J176" i="4"/>
  <c r="J176" i="5"/>
  <c r="V176" i="4"/>
  <c r="V176" i="5"/>
  <c r="F176" i="4"/>
  <c r="F176" i="5"/>
  <c r="L176" i="4"/>
  <c r="L176" i="5"/>
  <c r="H176" i="4"/>
  <c r="H176" i="5"/>
  <c r="G176" i="4"/>
  <c r="G176" i="5"/>
  <c r="I176" i="6"/>
  <c r="K176" i="6"/>
  <c r="P176" i="6"/>
  <c r="V176" i="6"/>
  <c r="R176" i="6"/>
  <c r="R176" i="4"/>
  <c r="R176" i="5"/>
  <c r="P176" i="4"/>
  <c r="P176" i="5"/>
  <c r="T176" i="4"/>
  <c r="T176" i="5"/>
  <c r="N176" i="4"/>
  <c r="N176" i="5"/>
  <c r="O152" i="4"/>
  <c r="O152" i="5"/>
  <c r="E152" i="6"/>
  <c r="I152" i="6"/>
  <c r="M152" i="6"/>
  <c r="Q152" i="6"/>
  <c r="U152" i="6"/>
  <c r="I152" i="4"/>
  <c r="I152" i="5"/>
  <c r="S152" i="4"/>
  <c r="S152" i="5"/>
  <c r="N152" i="6"/>
  <c r="D152" i="6"/>
  <c r="G152" i="6"/>
  <c r="K152" i="6"/>
  <c r="O152" i="6"/>
  <c r="S152" i="6"/>
  <c r="E152" i="4"/>
  <c r="E152" i="5"/>
  <c r="M152" i="4"/>
  <c r="M152" i="5"/>
  <c r="L152" i="4"/>
  <c r="L152" i="5"/>
  <c r="D152" i="4"/>
  <c r="D152" i="5"/>
  <c r="G152" i="4"/>
  <c r="G152" i="5"/>
  <c r="K152" i="4"/>
  <c r="K152" i="5"/>
  <c r="Q152" i="4"/>
  <c r="Q152" i="5"/>
  <c r="U152" i="4"/>
  <c r="U152" i="5"/>
  <c r="V152" i="4"/>
  <c r="V152" i="5"/>
  <c r="R152" i="4"/>
  <c r="R152" i="5"/>
  <c r="P152" i="6"/>
  <c r="L152" i="6"/>
  <c r="F152" i="4"/>
  <c r="F152" i="5"/>
  <c r="T152" i="6"/>
  <c r="N152" i="4"/>
  <c r="N152" i="5"/>
  <c r="J152" i="4"/>
  <c r="J152" i="5"/>
  <c r="H152" i="6"/>
  <c r="F152" i="6"/>
  <c r="J152" i="6"/>
  <c r="P152" i="4"/>
  <c r="P152" i="5"/>
  <c r="V152" i="6"/>
  <c r="T152" i="4"/>
  <c r="T152" i="5"/>
  <c r="R152" i="6"/>
  <c r="H152" i="4"/>
  <c r="H152" i="5"/>
  <c r="U139" i="6"/>
  <c r="O139" i="4"/>
  <c r="O139" i="5"/>
  <c r="S139" i="6"/>
  <c r="S139" i="4"/>
  <c r="S139" i="5"/>
  <c r="Q139" i="6"/>
  <c r="I139" i="4"/>
  <c r="I139" i="5"/>
  <c r="D139" i="6"/>
  <c r="G139" i="6"/>
  <c r="R139" i="6"/>
  <c r="N139" i="4"/>
  <c r="N139" i="5"/>
  <c r="H139" i="4"/>
  <c r="H139" i="5"/>
  <c r="F139" i="4"/>
  <c r="F139" i="5"/>
  <c r="P139" i="6"/>
  <c r="K139" i="4"/>
  <c r="K139" i="5"/>
  <c r="M139" i="4"/>
  <c r="M139" i="5"/>
  <c r="K139" i="6"/>
  <c r="U139" i="4"/>
  <c r="U139" i="5"/>
  <c r="E139" i="6"/>
  <c r="E139" i="4"/>
  <c r="E139" i="5"/>
  <c r="V139" i="4"/>
  <c r="V139" i="5"/>
  <c r="T139" i="4"/>
  <c r="T139" i="5"/>
  <c r="T139" i="6"/>
  <c r="M139" i="6"/>
  <c r="D139" i="4"/>
  <c r="D139" i="5"/>
  <c r="O139" i="6"/>
  <c r="I139" i="6"/>
  <c r="Q139" i="4"/>
  <c r="Q139" i="5"/>
  <c r="G139" i="4"/>
  <c r="G139" i="5"/>
  <c r="V139" i="6"/>
  <c r="L139" i="4"/>
  <c r="L139" i="5"/>
  <c r="J139" i="6"/>
  <c r="H139" i="6"/>
  <c r="N139" i="6"/>
  <c r="R139" i="4"/>
  <c r="R139" i="5"/>
  <c r="L139" i="6"/>
  <c r="J139" i="4"/>
  <c r="J139" i="5"/>
  <c r="P139" i="4"/>
  <c r="P139" i="5"/>
  <c r="F139" i="6"/>
  <c r="K100" i="6"/>
  <c r="M100" i="6"/>
  <c r="O100" i="6"/>
  <c r="D100" i="4"/>
  <c r="D100" i="5"/>
  <c r="O100" i="4"/>
  <c r="O100" i="5"/>
  <c r="U100" i="4"/>
  <c r="U100" i="5"/>
  <c r="G100" i="4"/>
  <c r="G100" i="5"/>
  <c r="M100" i="4"/>
  <c r="M100" i="5"/>
  <c r="D100" i="6"/>
  <c r="G100" i="6"/>
  <c r="U100" i="6"/>
  <c r="S100" i="6"/>
  <c r="Q100" i="6"/>
  <c r="P100" i="6"/>
  <c r="J100" i="6"/>
  <c r="K100" i="4"/>
  <c r="K100" i="5"/>
  <c r="S100" i="4"/>
  <c r="S100" i="5"/>
  <c r="E100" i="4"/>
  <c r="E100" i="5"/>
  <c r="E100" i="6"/>
  <c r="I100" i="4"/>
  <c r="I100" i="5"/>
  <c r="Q100" i="4"/>
  <c r="Q100" i="5"/>
  <c r="I100" i="6"/>
  <c r="L100" i="6"/>
  <c r="N100" i="4"/>
  <c r="N100" i="5"/>
  <c r="R100" i="4"/>
  <c r="R100" i="5"/>
  <c r="R100" i="6"/>
  <c r="H100" i="6"/>
  <c r="V100" i="4"/>
  <c r="V100" i="5"/>
  <c r="T100" i="4"/>
  <c r="T100" i="5"/>
  <c r="F100" i="4"/>
  <c r="F100" i="5"/>
  <c r="N100" i="6"/>
  <c r="T100" i="6"/>
  <c r="H100" i="4"/>
  <c r="H100" i="5"/>
  <c r="L100" i="4"/>
  <c r="L100" i="5"/>
  <c r="J100" i="4"/>
  <c r="J100" i="5"/>
  <c r="F100" i="6"/>
  <c r="V100" i="6"/>
  <c r="P100" i="4"/>
  <c r="P100" i="5"/>
  <c r="Q39" i="6"/>
  <c r="Q39" i="4"/>
  <c r="Q39" i="5"/>
  <c r="G39" i="6"/>
  <c r="I39" i="4"/>
  <c r="I39" i="5"/>
  <c r="U39" i="6"/>
  <c r="S39" i="6"/>
  <c r="E39" i="6"/>
  <c r="I39" i="6"/>
  <c r="M39" i="4"/>
  <c r="M39" i="5"/>
  <c r="K39" i="4"/>
  <c r="K39" i="5"/>
  <c r="G39" i="4"/>
  <c r="G39" i="5"/>
  <c r="O39" i="4"/>
  <c r="O39" i="5"/>
  <c r="E39" i="4"/>
  <c r="E39" i="5"/>
  <c r="D39" i="6"/>
  <c r="K39" i="6"/>
  <c r="J39" i="6"/>
  <c r="V39" i="6"/>
  <c r="P39" i="6"/>
  <c r="T39" i="4"/>
  <c r="T39" i="5"/>
  <c r="R39" i="4"/>
  <c r="R39" i="5"/>
  <c r="R39" i="6"/>
  <c r="F39" i="6"/>
  <c r="O39" i="6"/>
  <c r="S39" i="4"/>
  <c r="S39" i="5"/>
  <c r="J39" i="4"/>
  <c r="J39" i="5"/>
  <c r="V39" i="4"/>
  <c r="V39" i="5"/>
  <c r="P39" i="4"/>
  <c r="P39" i="5"/>
  <c r="U39" i="4"/>
  <c r="U39" i="5"/>
  <c r="D39" i="4"/>
  <c r="D39" i="5"/>
  <c r="M39" i="6"/>
  <c r="T39" i="6"/>
  <c r="F39" i="4"/>
  <c r="F39" i="5"/>
  <c r="L39" i="6"/>
  <c r="H39" i="4"/>
  <c r="H39" i="5"/>
  <c r="N39" i="4"/>
  <c r="N39" i="5"/>
  <c r="N39" i="6"/>
  <c r="L39" i="4"/>
  <c r="L39" i="5"/>
  <c r="H39" i="6"/>
  <c r="R88" i="6"/>
  <c r="D88" i="4"/>
  <c r="D88" i="5"/>
  <c r="U88" i="4"/>
  <c r="U88" i="5"/>
  <c r="M88" i="4"/>
  <c r="M88" i="5"/>
  <c r="G88" i="4"/>
  <c r="G88" i="5"/>
  <c r="S88" i="4"/>
  <c r="S88" i="5"/>
  <c r="I88" i="4"/>
  <c r="I88" i="5"/>
  <c r="D88" i="6"/>
  <c r="I88" i="6"/>
  <c r="M88" i="6"/>
  <c r="Q88" i="6"/>
  <c r="U88" i="6"/>
  <c r="E88" i="4"/>
  <c r="E88" i="5"/>
  <c r="K88" i="4"/>
  <c r="K88" i="5"/>
  <c r="H88" i="6"/>
  <c r="G88" i="6"/>
  <c r="K88" i="6"/>
  <c r="O88" i="6"/>
  <c r="S88" i="6"/>
  <c r="O88" i="4"/>
  <c r="O88" i="5"/>
  <c r="Q88" i="4"/>
  <c r="Q88" i="5"/>
  <c r="N88" i="6"/>
  <c r="P88" i="4"/>
  <c r="P88" i="5"/>
  <c r="N88" i="4"/>
  <c r="N88" i="5"/>
  <c r="P88" i="6"/>
  <c r="R88" i="4"/>
  <c r="R88" i="5"/>
  <c r="T88" i="6"/>
  <c r="L88" i="4"/>
  <c r="L88" i="5"/>
  <c r="V88" i="4"/>
  <c r="V88" i="5"/>
  <c r="F88" i="4"/>
  <c r="F88" i="5"/>
  <c r="J88" i="4"/>
  <c r="J88" i="5"/>
  <c r="T88" i="4"/>
  <c r="T88" i="5"/>
  <c r="E88" i="6"/>
  <c r="V88" i="6"/>
  <c r="L88" i="6"/>
  <c r="F88" i="6"/>
  <c r="J88" i="6"/>
  <c r="H88" i="4"/>
  <c r="H88" i="5"/>
  <c r="R493" i="6"/>
  <c r="J493" i="6"/>
  <c r="S493" i="6"/>
  <c r="V493" i="6"/>
  <c r="N493" i="6"/>
  <c r="F493" i="6"/>
  <c r="T493" i="4"/>
  <c r="T493" i="5"/>
  <c r="P493" i="4"/>
  <c r="P493" i="5"/>
  <c r="L493" i="4"/>
  <c r="L493" i="5"/>
  <c r="H493" i="4"/>
  <c r="H493" i="5"/>
  <c r="D493" i="4"/>
  <c r="D493" i="5"/>
  <c r="U493" i="4"/>
  <c r="U493" i="5"/>
  <c r="Q493" i="4"/>
  <c r="Q493" i="5"/>
  <c r="M493" i="4"/>
  <c r="M493" i="5"/>
  <c r="I493" i="4"/>
  <c r="I493" i="5"/>
  <c r="E493" i="4"/>
  <c r="E493" i="5"/>
  <c r="O493" i="4"/>
  <c r="O493" i="5"/>
  <c r="G493" i="4"/>
  <c r="G493" i="5"/>
  <c r="H493" i="6"/>
  <c r="P493" i="6"/>
  <c r="K493" i="6"/>
  <c r="S493" i="4"/>
  <c r="S493" i="5"/>
  <c r="K493" i="4"/>
  <c r="K493" i="5"/>
  <c r="F493" i="4"/>
  <c r="F493" i="5"/>
  <c r="J493" i="4"/>
  <c r="J493" i="5"/>
  <c r="N493" i="4"/>
  <c r="N493" i="5"/>
  <c r="R493" i="4"/>
  <c r="R493" i="5"/>
  <c r="V493" i="4"/>
  <c r="V493" i="5"/>
  <c r="D493" i="6"/>
  <c r="L493" i="6"/>
  <c r="Q493" i="6"/>
  <c r="I493" i="6"/>
  <c r="G493" i="6"/>
  <c r="E493" i="6"/>
  <c r="U493" i="6"/>
  <c r="O493" i="6"/>
  <c r="M493" i="6"/>
  <c r="T493" i="6"/>
  <c r="L283" i="4"/>
  <c r="L283" i="5"/>
  <c r="J283" i="4"/>
  <c r="J283" i="5"/>
  <c r="V283" i="6"/>
  <c r="L283" i="6"/>
  <c r="N283" i="4"/>
  <c r="N283" i="5"/>
  <c r="E283" i="4"/>
  <c r="E283" i="5"/>
  <c r="G283" i="4"/>
  <c r="G283" i="5"/>
  <c r="I283" i="6"/>
  <c r="I283" i="4"/>
  <c r="I283" i="5"/>
  <c r="T283" i="6"/>
  <c r="J283" i="6"/>
  <c r="F283" i="4"/>
  <c r="F283" i="5"/>
  <c r="R283" i="6"/>
  <c r="D283" i="4"/>
  <c r="D283" i="5"/>
  <c r="P283" i="4"/>
  <c r="P283" i="5"/>
  <c r="P283" i="6"/>
  <c r="R283" i="4"/>
  <c r="R283" i="5"/>
  <c r="N283" i="6"/>
  <c r="K283" i="6"/>
  <c r="O283" i="4"/>
  <c r="O283" i="5"/>
  <c r="Q283" i="4"/>
  <c r="Q283" i="5"/>
  <c r="U283" i="4"/>
  <c r="U283" i="5"/>
  <c r="U283" i="6"/>
  <c r="T283" i="4"/>
  <c r="T283" i="5"/>
  <c r="F283" i="6"/>
  <c r="V283" i="4"/>
  <c r="V283" i="5"/>
  <c r="H283" i="4"/>
  <c r="H283" i="5"/>
  <c r="H283" i="6"/>
  <c r="D283" i="6"/>
  <c r="K283" i="4"/>
  <c r="K283" i="5"/>
  <c r="O283" i="6"/>
  <c r="Q283" i="6"/>
  <c r="M283" i="4"/>
  <c r="M283" i="5"/>
  <c r="M283" i="6"/>
  <c r="S283" i="4"/>
  <c r="S283" i="5"/>
  <c r="G283" i="6"/>
  <c r="S283" i="6"/>
  <c r="E283" i="6"/>
  <c r="I31" i="4"/>
  <c r="I31" i="5"/>
  <c r="G31" i="6"/>
  <c r="O31" i="6"/>
  <c r="R31" i="6"/>
  <c r="T31" i="4"/>
  <c r="T31" i="5"/>
  <c r="J31" i="6"/>
  <c r="U31" i="4"/>
  <c r="U31" i="5"/>
  <c r="L31" i="4"/>
  <c r="L31" i="5"/>
  <c r="S31" i="4"/>
  <c r="S31" i="5"/>
  <c r="K31" i="4"/>
  <c r="K31" i="5"/>
  <c r="O31" i="4"/>
  <c r="O31" i="5"/>
  <c r="D31" i="6"/>
  <c r="M31" i="4"/>
  <c r="M31" i="5"/>
  <c r="I31" i="6"/>
  <c r="Q31" i="6"/>
  <c r="F31" i="4"/>
  <c r="F31" i="5"/>
  <c r="N31" i="4"/>
  <c r="N31" i="5"/>
  <c r="D31" i="4"/>
  <c r="D31" i="5"/>
  <c r="E31" i="6"/>
  <c r="M31" i="6"/>
  <c r="U31" i="6"/>
  <c r="R31" i="4"/>
  <c r="R31" i="5"/>
  <c r="H31" i="6"/>
  <c r="G31" i="4"/>
  <c r="G31" i="5"/>
  <c r="P31" i="6"/>
  <c r="J31" i="4"/>
  <c r="J31" i="5"/>
  <c r="K31" i="6"/>
  <c r="N31" i="6"/>
  <c r="V31" i="4"/>
  <c r="V31" i="5"/>
  <c r="T31" i="6"/>
  <c r="L31" i="6"/>
  <c r="H31" i="4"/>
  <c r="H31" i="5"/>
  <c r="P31" i="4"/>
  <c r="P31" i="5"/>
  <c r="E31" i="4"/>
  <c r="E31" i="5"/>
  <c r="Q31" i="4"/>
  <c r="Q31" i="5"/>
  <c r="S31" i="6"/>
  <c r="V31" i="6"/>
  <c r="F31" i="6"/>
  <c r="E446" i="6"/>
  <c r="K446" i="6"/>
  <c r="I446" i="4"/>
  <c r="I446" i="5"/>
  <c r="Q446" i="4"/>
  <c r="Q446" i="5"/>
  <c r="D446" i="4"/>
  <c r="D446" i="5"/>
  <c r="Q446" i="6"/>
  <c r="U446" i="6"/>
  <c r="H446" i="6"/>
  <c r="V446" i="4"/>
  <c r="V446" i="5"/>
  <c r="M446" i="6"/>
  <c r="S446" i="6"/>
  <c r="O446" i="4"/>
  <c r="O446" i="5"/>
  <c r="K446" i="4"/>
  <c r="K446" i="5"/>
  <c r="F446" i="4"/>
  <c r="F446" i="5"/>
  <c r="R446" i="6"/>
  <c r="P446" i="4"/>
  <c r="P446" i="5"/>
  <c r="J446" i="4"/>
  <c r="J446" i="5"/>
  <c r="N446" i="4"/>
  <c r="N446" i="5"/>
  <c r="N446" i="6"/>
  <c r="P446" i="6"/>
  <c r="V446" i="6"/>
  <c r="J446" i="6"/>
  <c r="L446" i="6"/>
  <c r="T446" i="6"/>
  <c r="F446" i="6"/>
  <c r="L446" i="4"/>
  <c r="L446" i="5"/>
  <c r="T446" i="4"/>
  <c r="T446" i="5"/>
  <c r="H446" i="4"/>
  <c r="H446" i="5"/>
  <c r="R446" i="4"/>
  <c r="R446" i="5"/>
  <c r="G446" i="6"/>
  <c r="M446" i="4"/>
  <c r="M446" i="5"/>
  <c r="I446" i="6"/>
  <c r="G446" i="4"/>
  <c r="G446" i="5"/>
  <c r="E446" i="4"/>
  <c r="E446" i="5"/>
  <c r="U446" i="4"/>
  <c r="U446" i="5"/>
  <c r="S446" i="4"/>
  <c r="S446" i="5"/>
  <c r="D446" i="6"/>
  <c r="O446" i="6"/>
  <c r="I434" i="4"/>
  <c r="I434" i="5"/>
  <c r="M434" i="4"/>
  <c r="M434" i="5"/>
  <c r="O434" i="4"/>
  <c r="O434" i="5"/>
  <c r="E434" i="4"/>
  <c r="E434" i="5"/>
  <c r="D434" i="4"/>
  <c r="D434" i="5"/>
  <c r="D434" i="6"/>
  <c r="M434" i="6"/>
  <c r="I434" i="6"/>
  <c r="K434" i="6"/>
  <c r="S434" i="6"/>
  <c r="G434" i="6"/>
  <c r="U434" i="6"/>
  <c r="O434" i="6"/>
  <c r="E434" i="6"/>
  <c r="U434" i="4"/>
  <c r="U434" i="5"/>
  <c r="Q434" i="4"/>
  <c r="Q434" i="5"/>
  <c r="F434" i="4"/>
  <c r="F434" i="5"/>
  <c r="H434" i="4"/>
  <c r="H434" i="5"/>
  <c r="P434" i="6"/>
  <c r="V434" i="6"/>
  <c r="R434" i="6"/>
  <c r="T434" i="6"/>
  <c r="J434" i="4"/>
  <c r="J434" i="5"/>
  <c r="J434" i="6"/>
  <c r="N434" i="4"/>
  <c r="N434" i="5"/>
  <c r="T434" i="4"/>
  <c r="T434" i="5"/>
  <c r="R434" i="4"/>
  <c r="R434" i="5"/>
  <c r="N434" i="6"/>
  <c r="L434" i="4"/>
  <c r="L434" i="5"/>
  <c r="L434" i="6"/>
  <c r="H434" i="6"/>
  <c r="P434" i="4"/>
  <c r="P434" i="5"/>
  <c r="V434" i="4"/>
  <c r="V434" i="5"/>
  <c r="F434" i="6"/>
  <c r="G434" i="4"/>
  <c r="G434" i="5"/>
  <c r="Q434" i="6"/>
  <c r="K434" i="4"/>
  <c r="K434" i="5"/>
  <c r="S434" i="4"/>
  <c r="S434" i="5"/>
  <c r="T414" i="4"/>
  <c r="T414" i="5"/>
  <c r="R414" i="6"/>
  <c r="J414" i="6"/>
  <c r="V414" i="4"/>
  <c r="V414" i="5"/>
  <c r="N414" i="4"/>
  <c r="N414" i="5"/>
  <c r="F414" i="4"/>
  <c r="F414" i="5"/>
  <c r="T414" i="6"/>
  <c r="D414" i="6"/>
  <c r="H414" i="6"/>
  <c r="V414" i="6"/>
  <c r="N414" i="6"/>
  <c r="F414" i="6"/>
  <c r="L414" i="4"/>
  <c r="L414" i="5"/>
  <c r="P414" i="6"/>
  <c r="J414" i="4"/>
  <c r="J414" i="5"/>
  <c r="H414" i="4"/>
  <c r="H414" i="5"/>
  <c r="K414" i="6"/>
  <c r="R414" i="4"/>
  <c r="R414" i="5"/>
  <c r="L414" i="6"/>
  <c r="M414" i="4"/>
  <c r="M414" i="5"/>
  <c r="Q414" i="4"/>
  <c r="Q414" i="5"/>
  <c r="K414" i="4"/>
  <c r="K414" i="5"/>
  <c r="S414" i="6"/>
  <c r="P414" i="4"/>
  <c r="P414" i="5"/>
  <c r="D414" i="4"/>
  <c r="D414" i="5"/>
  <c r="U414" i="6"/>
  <c r="O414" i="4"/>
  <c r="O414" i="5"/>
  <c r="G414" i="4"/>
  <c r="G414" i="5"/>
  <c r="E414" i="4"/>
  <c r="E414" i="5"/>
  <c r="E414" i="6"/>
  <c r="S414" i="4"/>
  <c r="S414" i="5"/>
  <c r="Q414" i="6"/>
  <c r="U414" i="4"/>
  <c r="U414" i="5"/>
  <c r="O414" i="6"/>
  <c r="G414" i="6"/>
  <c r="I414" i="4"/>
  <c r="I414" i="5"/>
  <c r="I414" i="6"/>
  <c r="M414" i="6"/>
  <c r="U394" i="4"/>
  <c r="U394" i="5"/>
  <c r="O394" i="6"/>
  <c r="G394" i="6"/>
  <c r="O394" i="4"/>
  <c r="O394" i="5"/>
  <c r="G394" i="4"/>
  <c r="G394" i="5"/>
  <c r="S394" i="6"/>
  <c r="K394" i="6"/>
  <c r="S394" i="4"/>
  <c r="S394" i="5"/>
  <c r="K394" i="4"/>
  <c r="K394" i="5"/>
  <c r="H394" i="6"/>
  <c r="V394" i="4"/>
  <c r="V394" i="5"/>
  <c r="N394" i="4"/>
  <c r="N394" i="5"/>
  <c r="T394" i="6"/>
  <c r="F394" i="4"/>
  <c r="F394" i="5"/>
  <c r="F394" i="6"/>
  <c r="D394" i="4"/>
  <c r="D394" i="5"/>
  <c r="I394" i="6"/>
  <c r="J394" i="4"/>
  <c r="J394" i="5"/>
  <c r="L394" i="6"/>
  <c r="R394" i="6"/>
  <c r="E394" i="4"/>
  <c r="E394" i="5"/>
  <c r="I394" i="4"/>
  <c r="I394" i="5"/>
  <c r="V394" i="6"/>
  <c r="M394" i="4"/>
  <c r="M394" i="5"/>
  <c r="U394" i="6"/>
  <c r="J394" i="6"/>
  <c r="L394" i="4"/>
  <c r="L394" i="5"/>
  <c r="R394" i="4"/>
  <c r="R394" i="5"/>
  <c r="P394" i="4"/>
  <c r="P394" i="5"/>
  <c r="N394" i="6"/>
  <c r="T394" i="4"/>
  <c r="T394" i="5"/>
  <c r="Q394" i="4"/>
  <c r="Q394" i="5"/>
  <c r="M394" i="6"/>
  <c r="E394" i="6"/>
  <c r="P394" i="6"/>
  <c r="H394" i="4"/>
  <c r="H394" i="5"/>
  <c r="D394" i="6"/>
  <c r="Q394" i="6"/>
  <c r="I363" i="4"/>
  <c r="I363" i="5"/>
  <c r="M363" i="6"/>
  <c r="D363" i="4"/>
  <c r="D363" i="5"/>
  <c r="I363" i="6"/>
  <c r="E363" i="4"/>
  <c r="E363" i="5"/>
  <c r="M363" i="4"/>
  <c r="M363" i="5"/>
  <c r="U363" i="4"/>
  <c r="U363" i="5"/>
  <c r="E363" i="6"/>
  <c r="Q363" i="4"/>
  <c r="Q363" i="5"/>
  <c r="O363" i="6"/>
  <c r="G363" i="6"/>
  <c r="D363" i="6"/>
  <c r="Q363" i="6"/>
  <c r="U363" i="6"/>
  <c r="S363" i="4"/>
  <c r="S363" i="5"/>
  <c r="O363" i="4"/>
  <c r="O363" i="5"/>
  <c r="K363" i="4"/>
  <c r="K363" i="5"/>
  <c r="G363" i="4"/>
  <c r="G363" i="5"/>
  <c r="S363" i="6"/>
  <c r="K363" i="6"/>
  <c r="N363" i="6"/>
  <c r="R363" i="6"/>
  <c r="J363" i="6"/>
  <c r="P363" i="6"/>
  <c r="F363" i="4"/>
  <c r="F363" i="5"/>
  <c r="V363" i="4"/>
  <c r="V363" i="5"/>
  <c r="N363" i="4"/>
  <c r="N363" i="5"/>
  <c r="F363" i="6"/>
  <c r="V363" i="6"/>
  <c r="P363" i="4"/>
  <c r="P363" i="5"/>
  <c r="H363" i="6"/>
  <c r="L363" i="4"/>
  <c r="L363" i="5"/>
  <c r="T363" i="6"/>
  <c r="H363" i="4"/>
  <c r="H363" i="5"/>
  <c r="L363" i="6"/>
  <c r="T363" i="4"/>
  <c r="T363" i="5"/>
  <c r="J363" i="4"/>
  <c r="J363" i="5"/>
  <c r="R363" i="4"/>
  <c r="R363" i="5"/>
  <c r="F337" i="4"/>
  <c r="F337" i="5"/>
  <c r="N337" i="4"/>
  <c r="N337" i="5"/>
  <c r="V337" i="4"/>
  <c r="V337" i="5"/>
  <c r="L337" i="4"/>
  <c r="L337" i="5"/>
  <c r="T337" i="4"/>
  <c r="T337" i="5"/>
  <c r="F337" i="6"/>
  <c r="J337" i="6"/>
  <c r="V337" i="6"/>
  <c r="L337" i="6"/>
  <c r="P337" i="6"/>
  <c r="D337" i="4"/>
  <c r="D337" i="5"/>
  <c r="J337" i="4"/>
  <c r="J337" i="5"/>
  <c r="R337" i="4"/>
  <c r="R337" i="5"/>
  <c r="H337" i="4"/>
  <c r="H337" i="5"/>
  <c r="P337" i="4"/>
  <c r="P337" i="5"/>
  <c r="D337" i="6"/>
  <c r="H337" i="6"/>
  <c r="T337" i="6"/>
  <c r="S337" i="6"/>
  <c r="N337" i="6"/>
  <c r="R337" i="6"/>
  <c r="G337" i="4"/>
  <c r="G337" i="5"/>
  <c r="K337" i="4"/>
  <c r="K337" i="5"/>
  <c r="O337" i="4"/>
  <c r="O337" i="5"/>
  <c r="S337" i="4"/>
  <c r="S337" i="5"/>
  <c r="E337" i="4"/>
  <c r="E337" i="5"/>
  <c r="I337" i="4"/>
  <c r="I337" i="5"/>
  <c r="M337" i="4"/>
  <c r="M337" i="5"/>
  <c r="Q337" i="4"/>
  <c r="Q337" i="5"/>
  <c r="U337" i="4"/>
  <c r="U337" i="5"/>
  <c r="G337" i="6"/>
  <c r="U337" i="6"/>
  <c r="O337" i="6"/>
  <c r="K337" i="6"/>
  <c r="E337" i="6"/>
  <c r="M337" i="6"/>
  <c r="I337" i="6"/>
  <c r="Q337" i="6"/>
  <c r="O300" i="6"/>
  <c r="G300" i="4"/>
  <c r="G300" i="5"/>
  <c r="D300" i="6"/>
  <c r="D300" i="4"/>
  <c r="D300" i="5"/>
  <c r="E300" i="4"/>
  <c r="E300" i="5"/>
  <c r="I300" i="4"/>
  <c r="I300" i="5"/>
  <c r="M300" i="4"/>
  <c r="M300" i="5"/>
  <c r="Q300" i="4"/>
  <c r="Q300" i="5"/>
  <c r="U300" i="4"/>
  <c r="U300" i="5"/>
  <c r="E300" i="6"/>
  <c r="M300" i="6"/>
  <c r="U300" i="6"/>
  <c r="I300" i="6"/>
  <c r="Q300" i="6"/>
  <c r="P300" i="6"/>
  <c r="L300" i="4"/>
  <c r="L300" i="5"/>
  <c r="N300" i="6"/>
  <c r="R300" i="4"/>
  <c r="R300" i="5"/>
  <c r="T300" i="4"/>
  <c r="T300" i="5"/>
  <c r="V300" i="6"/>
  <c r="P300" i="4"/>
  <c r="P300" i="5"/>
  <c r="H300" i="4"/>
  <c r="H300" i="5"/>
  <c r="R300" i="6"/>
  <c r="T300" i="6"/>
  <c r="O300" i="4"/>
  <c r="O300" i="5"/>
  <c r="K300" i="6"/>
  <c r="H300" i="6"/>
  <c r="V300" i="4"/>
  <c r="V300" i="5"/>
  <c r="F300" i="4"/>
  <c r="F300" i="5"/>
  <c r="J300" i="6"/>
  <c r="L300" i="6"/>
  <c r="F300" i="6"/>
  <c r="J300" i="4"/>
  <c r="J300" i="5"/>
  <c r="K300" i="4"/>
  <c r="K300" i="5"/>
  <c r="G300" i="6"/>
  <c r="N300" i="4"/>
  <c r="N300" i="5"/>
  <c r="S300" i="4"/>
  <c r="S300" i="5"/>
  <c r="S300" i="6"/>
  <c r="H286" i="6"/>
  <c r="D286" i="4"/>
  <c r="D286" i="5"/>
  <c r="H286" i="4"/>
  <c r="H286" i="5"/>
  <c r="P286" i="4"/>
  <c r="P286" i="5"/>
  <c r="L286" i="6"/>
  <c r="T286" i="6"/>
  <c r="F286" i="4"/>
  <c r="F286" i="5"/>
  <c r="J286" i="4"/>
  <c r="J286" i="5"/>
  <c r="N286" i="4"/>
  <c r="N286" i="5"/>
  <c r="R286" i="4"/>
  <c r="R286" i="5"/>
  <c r="V286" i="4"/>
  <c r="V286" i="5"/>
  <c r="F286" i="6"/>
  <c r="N286" i="6"/>
  <c r="V286" i="6"/>
  <c r="D286" i="6"/>
  <c r="J286" i="6"/>
  <c r="R286" i="6"/>
  <c r="K286" i="6"/>
  <c r="O286" i="4"/>
  <c r="O286" i="5"/>
  <c r="M286" i="4"/>
  <c r="M286" i="5"/>
  <c r="S286" i="6"/>
  <c r="G286" i="4"/>
  <c r="G286" i="5"/>
  <c r="O286" i="6"/>
  <c r="G286" i="6"/>
  <c r="E286" i="4"/>
  <c r="E286" i="5"/>
  <c r="E286" i="6"/>
  <c r="I286" i="4"/>
  <c r="I286" i="5"/>
  <c r="Q286" i="6"/>
  <c r="U286" i="4"/>
  <c r="U286" i="5"/>
  <c r="K286" i="4"/>
  <c r="K286" i="5"/>
  <c r="M286" i="6"/>
  <c r="I286" i="6"/>
  <c r="Q286" i="4"/>
  <c r="Q286" i="5"/>
  <c r="U286" i="6"/>
  <c r="S286" i="4"/>
  <c r="S286" i="5"/>
  <c r="L286" i="4"/>
  <c r="L286" i="5"/>
  <c r="T286" i="4"/>
  <c r="T286" i="5"/>
  <c r="P286" i="6"/>
  <c r="U258" i="4"/>
  <c r="U258" i="5"/>
  <c r="M258" i="4"/>
  <c r="M258" i="5"/>
  <c r="E258" i="4"/>
  <c r="E258" i="5"/>
  <c r="Q258" i="6"/>
  <c r="I258" i="6"/>
  <c r="I258" i="4"/>
  <c r="I258" i="5"/>
  <c r="M258" i="6"/>
  <c r="K258" i="4"/>
  <c r="K258" i="5"/>
  <c r="Q258" i="4"/>
  <c r="Q258" i="5"/>
  <c r="U258" i="6"/>
  <c r="E258" i="6"/>
  <c r="D258" i="4"/>
  <c r="D258" i="5"/>
  <c r="S258" i="4"/>
  <c r="S258" i="5"/>
  <c r="P258" i="6"/>
  <c r="K258" i="6"/>
  <c r="T258" i="4"/>
  <c r="T258" i="5"/>
  <c r="H258" i="6"/>
  <c r="V258" i="4"/>
  <c r="V258" i="5"/>
  <c r="V258" i="6"/>
  <c r="J258" i="6"/>
  <c r="P258" i="4"/>
  <c r="P258" i="5"/>
  <c r="R258" i="6"/>
  <c r="J258" i="4"/>
  <c r="J258" i="5"/>
  <c r="T258" i="6"/>
  <c r="R258" i="4"/>
  <c r="R258" i="5"/>
  <c r="L258" i="6"/>
  <c r="H258" i="4"/>
  <c r="H258" i="5"/>
  <c r="O258" i="6"/>
  <c r="O258" i="4"/>
  <c r="O258" i="5"/>
  <c r="D258" i="6"/>
  <c r="N258" i="4"/>
  <c r="N258" i="5"/>
  <c r="N258" i="6"/>
  <c r="L258" i="4"/>
  <c r="L258" i="5"/>
  <c r="F258" i="4"/>
  <c r="F258" i="5"/>
  <c r="F258" i="6"/>
  <c r="S258" i="6"/>
  <c r="G258" i="4"/>
  <c r="G258" i="5"/>
  <c r="G258" i="6"/>
  <c r="I249" i="4"/>
  <c r="I249" i="5"/>
  <c r="E249" i="4"/>
  <c r="E249" i="5"/>
  <c r="D249" i="4"/>
  <c r="D249" i="5"/>
  <c r="O249" i="6"/>
  <c r="G249" i="6"/>
  <c r="O249" i="4"/>
  <c r="O249" i="5"/>
  <c r="G249" i="4"/>
  <c r="G249" i="5"/>
  <c r="U249" i="6"/>
  <c r="K249" i="6"/>
  <c r="K249" i="4"/>
  <c r="K249" i="5"/>
  <c r="U249" i="4"/>
  <c r="U249" i="5"/>
  <c r="S249" i="6"/>
  <c r="S249" i="4"/>
  <c r="S249" i="5"/>
  <c r="Q249" i="6"/>
  <c r="Q249" i="4"/>
  <c r="Q249" i="5"/>
  <c r="F249" i="6"/>
  <c r="R249" i="6"/>
  <c r="M249" i="4"/>
  <c r="M249" i="5"/>
  <c r="V249" i="6"/>
  <c r="R249" i="4"/>
  <c r="R249" i="5"/>
  <c r="N249" i="4"/>
  <c r="N249" i="5"/>
  <c r="L249" i="6"/>
  <c r="T249" i="4"/>
  <c r="T249" i="5"/>
  <c r="J249" i="4"/>
  <c r="J249" i="5"/>
  <c r="H249" i="6"/>
  <c r="N249" i="6"/>
  <c r="L249" i="4"/>
  <c r="L249" i="5"/>
  <c r="T249" i="6"/>
  <c r="J249" i="6"/>
  <c r="H249" i="4"/>
  <c r="H249" i="5"/>
  <c r="P249" i="4"/>
  <c r="P249" i="5"/>
  <c r="F249" i="4"/>
  <c r="F249" i="5"/>
  <c r="V249" i="4"/>
  <c r="V249" i="5"/>
  <c r="I249" i="6"/>
  <c r="E249" i="6"/>
  <c r="P249" i="6"/>
  <c r="D249" i="6"/>
  <c r="M249" i="6"/>
  <c r="D215" i="6"/>
  <c r="F215" i="6"/>
  <c r="J215" i="6"/>
  <c r="N215" i="6"/>
  <c r="R215" i="6"/>
  <c r="V215" i="6"/>
  <c r="H215" i="4"/>
  <c r="H215" i="5"/>
  <c r="L215" i="4"/>
  <c r="L215" i="5"/>
  <c r="P215" i="4"/>
  <c r="P215" i="5"/>
  <c r="T215" i="4"/>
  <c r="T215" i="5"/>
  <c r="D215" i="4"/>
  <c r="D215" i="5"/>
  <c r="K215" i="6"/>
  <c r="H215" i="6"/>
  <c r="L215" i="6"/>
  <c r="P215" i="6"/>
  <c r="T215" i="6"/>
  <c r="F215" i="4"/>
  <c r="F215" i="5"/>
  <c r="J215" i="4"/>
  <c r="J215" i="5"/>
  <c r="N215" i="4"/>
  <c r="N215" i="5"/>
  <c r="R215" i="4"/>
  <c r="R215" i="5"/>
  <c r="V215" i="4"/>
  <c r="V215" i="5"/>
  <c r="S215" i="6"/>
  <c r="O215" i="6"/>
  <c r="G215" i="6"/>
  <c r="Q215" i="4"/>
  <c r="Q215" i="5"/>
  <c r="I215" i="4"/>
  <c r="I215" i="5"/>
  <c r="U215" i="4"/>
  <c r="U215" i="5"/>
  <c r="M215" i="4"/>
  <c r="M215" i="5"/>
  <c r="E215" i="4"/>
  <c r="E215" i="5"/>
  <c r="S215" i="4"/>
  <c r="S215" i="5"/>
  <c r="G215" i="4"/>
  <c r="G215" i="5"/>
  <c r="E215" i="6"/>
  <c r="I215" i="6"/>
  <c r="O215" i="4"/>
  <c r="O215" i="5"/>
  <c r="K215" i="4"/>
  <c r="K215" i="5"/>
  <c r="U215" i="6"/>
  <c r="M215" i="6"/>
  <c r="Q215" i="6"/>
  <c r="E181" i="6"/>
  <c r="D181" i="6"/>
  <c r="O181" i="4"/>
  <c r="O181" i="5"/>
  <c r="Q181" i="6"/>
  <c r="I181" i="6"/>
  <c r="U181" i="6"/>
  <c r="O181" i="6"/>
  <c r="S181" i="6"/>
  <c r="M181" i="4"/>
  <c r="M181" i="5"/>
  <c r="M181" i="6"/>
  <c r="D181" i="4"/>
  <c r="D181" i="5"/>
  <c r="N181" i="4"/>
  <c r="N181" i="5"/>
  <c r="E181" i="4"/>
  <c r="E181" i="5"/>
  <c r="G181" i="4"/>
  <c r="G181" i="5"/>
  <c r="K181" i="4"/>
  <c r="K181" i="5"/>
  <c r="S181" i="4"/>
  <c r="S181" i="5"/>
  <c r="G181" i="6"/>
  <c r="K181" i="6"/>
  <c r="Q181" i="4"/>
  <c r="Q181" i="5"/>
  <c r="I181" i="4"/>
  <c r="I181" i="5"/>
  <c r="U181" i="4"/>
  <c r="U181" i="5"/>
  <c r="H181" i="6"/>
  <c r="L181" i="6"/>
  <c r="P181" i="6"/>
  <c r="T181" i="6"/>
  <c r="F181" i="4"/>
  <c r="F181" i="5"/>
  <c r="J181" i="6"/>
  <c r="N181" i="6"/>
  <c r="R181" i="6"/>
  <c r="V181" i="6"/>
  <c r="L181" i="4"/>
  <c r="L181" i="5"/>
  <c r="J181" i="4"/>
  <c r="J181" i="5"/>
  <c r="V181" i="4"/>
  <c r="V181" i="5"/>
  <c r="H181" i="4"/>
  <c r="H181" i="5"/>
  <c r="F181" i="6"/>
  <c r="P181" i="4"/>
  <c r="P181" i="5"/>
  <c r="T181" i="4"/>
  <c r="T181" i="5"/>
  <c r="R181" i="4"/>
  <c r="R181" i="5"/>
  <c r="D118" i="6"/>
  <c r="Q118" i="6"/>
  <c r="G118" i="6"/>
  <c r="I118" i="6"/>
  <c r="S118" i="6"/>
  <c r="D118" i="4"/>
  <c r="D118" i="5"/>
  <c r="G118" i="4"/>
  <c r="G118" i="5"/>
  <c r="K118" i="4"/>
  <c r="K118" i="5"/>
  <c r="O118" i="4"/>
  <c r="O118" i="5"/>
  <c r="S118" i="4"/>
  <c r="S118" i="5"/>
  <c r="E118" i="4"/>
  <c r="E118" i="5"/>
  <c r="I118" i="4"/>
  <c r="I118" i="5"/>
  <c r="M118" i="4"/>
  <c r="M118" i="5"/>
  <c r="Q118" i="4"/>
  <c r="Q118" i="5"/>
  <c r="U118" i="4"/>
  <c r="U118" i="5"/>
  <c r="U118" i="6"/>
  <c r="K118" i="6"/>
  <c r="O118" i="6"/>
  <c r="M118" i="6"/>
  <c r="E118" i="6"/>
  <c r="V118" i="4"/>
  <c r="V118" i="5"/>
  <c r="P118" i="4"/>
  <c r="P118" i="5"/>
  <c r="L118" i="4"/>
  <c r="L118" i="5"/>
  <c r="F118" i="4"/>
  <c r="F118" i="5"/>
  <c r="R118" i="6"/>
  <c r="N118" i="4"/>
  <c r="N118" i="5"/>
  <c r="N118" i="6"/>
  <c r="J118" i="4"/>
  <c r="J118" i="5"/>
  <c r="H118" i="4"/>
  <c r="H118" i="5"/>
  <c r="H118" i="6"/>
  <c r="L118" i="6"/>
  <c r="F118" i="6"/>
  <c r="R118" i="4"/>
  <c r="R118" i="5"/>
  <c r="T118" i="4"/>
  <c r="T118" i="5"/>
  <c r="T118" i="6"/>
  <c r="J118" i="6"/>
  <c r="P118" i="6"/>
  <c r="V118" i="6"/>
  <c r="D19" i="4"/>
  <c r="D19" i="5"/>
  <c r="D19" i="6"/>
  <c r="O19" i="6"/>
  <c r="S19" i="4"/>
  <c r="S19" i="5"/>
  <c r="S19" i="6"/>
  <c r="G19" i="6"/>
  <c r="H19" i="4"/>
  <c r="H19" i="5"/>
  <c r="I19" i="4"/>
  <c r="I19" i="5"/>
  <c r="L19" i="6"/>
  <c r="T19" i="4"/>
  <c r="T19" i="5"/>
  <c r="T19" i="6"/>
  <c r="E19" i="6"/>
  <c r="F19" i="4"/>
  <c r="F19" i="5"/>
  <c r="K19" i="6"/>
  <c r="M19" i="4"/>
  <c r="M19" i="5"/>
  <c r="N19" i="4"/>
  <c r="N19" i="5"/>
  <c r="N19" i="6"/>
  <c r="P19" i="4"/>
  <c r="P19" i="5"/>
  <c r="P19" i="6"/>
  <c r="Q19" i="4"/>
  <c r="Q19" i="5"/>
  <c r="R19" i="4"/>
  <c r="R19" i="5"/>
  <c r="R19" i="6"/>
  <c r="O19" i="4"/>
  <c r="O19" i="5"/>
  <c r="V19" i="4"/>
  <c r="V19" i="5"/>
  <c r="V19" i="6"/>
  <c r="G19" i="4"/>
  <c r="G19" i="5"/>
  <c r="H19" i="6"/>
  <c r="I19" i="6"/>
  <c r="L19" i="4"/>
  <c r="L19" i="5"/>
  <c r="E19" i="4"/>
  <c r="E19" i="5"/>
  <c r="F19" i="6"/>
  <c r="J19" i="4"/>
  <c r="J19" i="5"/>
  <c r="J19" i="6"/>
  <c r="K19" i="4"/>
  <c r="K19" i="5"/>
  <c r="M19" i="6"/>
  <c r="Q19" i="6"/>
  <c r="U19" i="6"/>
  <c r="U19" i="4"/>
  <c r="U19" i="5"/>
  <c r="D51" i="6"/>
  <c r="V51" i="6"/>
  <c r="T51" i="6"/>
  <c r="O51" i="4"/>
  <c r="O51" i="5"/>
  <c r="K51" i="4"/>
  <c r="K51" i="5"/>
  <c r="K51" i="6"/>
  <c r="G51" i="6"/>
  <c r="F51" i="4"/>
  <c r="F51" i="5"/>
  <c r="N51" i="4"/>
  <c r="N51" i="5"/>
  <c r="V51" i="4"/>
  <c r="V51" i="5"/>
  <c r="H51" i="6"/>
  <c r="M51" i="4"/>
  <c r="M51" i="5"/>
  <c r="I51" i="4"/>
  <c r="I51" i="5"/>
  <c r="I51" i="6"/>
  <c r="F51" i="6"/>
  <c r="R51" i="6"/>
  <c r="D51" i="4"/>
  <c r="D51" i="5"/>
  <c r="O51" i="6"/>
  <c r="E51" i="4"/>
  <c r="E51" i="5"/>
  <c r="L51" i="4"/>
  <c r="L51" i="5"/>
  <c r="T51" i="4"/>
  <c r="T51" i="5"/>
  <c r="N51" i="6"/>
  <c r="J51" i="4"/>
  <c r="J51" i="5"/>
  <c r="R51" i="4"/>
  <c r="R51" i="5"/>
  <c r="P51" i="6"/>
  <c r="M51" i="6"/>
  <c r="U51" i="4"/>
  <c r="U51" i="5"/>
  <c r="P51" i="4"/>
  <c r="P51" i="5"/>
  <c r="U51" i="6"/>
  <c r="Q51" i="6"/>
  <c r="S51" i="4"/>
  <c r="S51" i="5"/>
  <c r="J51" i="6"/>
  <c r="H51" i="4"/>
  <c r="H51" i="5"/>
  <c r="E51" i="6"/>
  <c r="G51" i="4"/>
  <c r="G51" i="5"/>
  <c r="L51" i="6"/>
  <c r="Q51" i="4"/>
  <c r="Q51" i="5"/>
  <c r="S51" i="6"/>
  <c r="D65" i="4"/>
  <c r="D65" i="5"/>
  <c r="M65" i="4"/>
  <c r="M65" i="5"/>
  <c r="E65" i="4"/>
  <c r="E65" i="5"/>
  <c r="H65" i="4"/>
  <c r="H65" i="5"/>
  <c r="G65" i="6"/>
  <c r="K65" i="6"/>
  <c r="O65" i="6"/>
  <c r="S65" i="6"/>
  <c r="S65" i="4"/>
  <c r="S65" i="5"/>
  <c r="K65" i="4"/>
  <c r="K65" i="5"/>
  <c r="D65" i="6"/>
  <c r="Q65" i="4"/>
  <c r="Q65" i="5"/>
  <c r="I65" i="4"/>
  <c r="I65" i="5"/>
  <c r="U65" i="4"/>
  <c r="U65" i="5"/>
  <c r="E65" i="6"/>
  <c r="I65" i="6"/>
  <c r="M65" i="6"/>
  <c r="Q65" i="6"/>
  <c r="U65" i="6"/>
  <c r="O65" i="4"/>
  <c r="O65" i="5"/>
  <c r="G65" i="4"/>
  <c r="G65" i="5"/>
  <c r="L65" i="4"/>
  <c r="L65" i="5"/>
  <c r="L65" i="6"/>
  <c r="P65" i="4"/>
  <c r="P65" i="5"/>
  <c r="T65" i="6"/>
  <c r="F65" i="4"/>
  <c r="F65" i="5"/>
  <c r="J65" i="4"/>
  <c r="J65" i="5"/>
  <c r="N65" i="6"/>
  <c r="V65" i="4"/>
  <c r="V65" i="5"/>
  <c r="F65" i="6"/>
  <c r="J65" i="6"/>
  <c r="N65" i="4"/>
  <c r="N65" i="5"/>
  <c r="R65" i="6"/>
  <c r="R65" i="4"/>
  <c r="R65" i="5"/>
  <c r="H65" i="6"/>
  <c r="T65" i="4"/>
  <c r="T65" i="5"/>
  <c r="P65" i="6"/>
  <c r="V65" i="6"/>
  <c r="T519" i="6"/>
  <c r="V519" i="6"/>
  <c r="N519" i="6"/>
  <c r="F519" i="6"/>
  <c r="R519" i="6"/>
  <c r="J519" i="6"/>
  <c r="T519" i="4"/>
  <c r="T519" i="5"/>
  <c r="L519" i="4"/>
  <c r="L519" i="5"/>
  <c r="D519" i="4"/>
  <c r="D519" i="5"/>
  <c r="O519" i="4"/>
  <c r="O519" i="5"/>
  <c r="G519" i="4"/>
  <c r="G519" i="5"/>
  <c r="R519" i="4"/>
  <c r="R519" i="5"/>
  <c r="J519" i="4"/>
  <c r="J519" i="5"/>
  <c r="Q519" i="6"/>
  <c r="U519" i="4"/>
  <c r="U519" i="5"/>
  <c r="Q519" i="4"/>
  <c r="Q519" i="5"/>
  <c r="M519" i="4"/>
  <c r="M519" i="5"/>
  <c r="I519" i="4"/>
  <c r="I519" i="5"/>
  <c r="E519" i="4"/>
  <c r="E519" i="5"/>
  <c r="S519" i="6"/>
  <c r="K519" i="6"/>
  <c r="I519" i="6"/>
  <c r="N519" i="4"/>
  <c r="N519" i="5"/>
  <c r="K519" i="4"/>
  <c r="K519" i="5"/>
  <c r="H519" i="4"/>
  <c r="H519" i="5"/>
  <c r="D519" i="6"/>
  <c r="L519" i="6"/>
  <c r="M519" i="6"/>
  <c r="O519" i="6"/>
  <c r="G519" i="6"/>
  <c r="F519" i="4"/>
  <c r="F519" i="5"/>
  <c r="V519" i="4"/>
  <c r="V519" i="5"/>
  <c r="S519" i="4"/>
  <c r="S519" i="5"/>
  <c r="P519" i="4"/>
  <c r="P519" i="5"/>
  <c r="H519" i="6"/>
  <c r="P519" i="6"/>
  <c r="E519" i="6"/>
  <c r="U519" i="6"/>
  <c r="D212" i="4"/>
  <c r="D212" i="5"/>
  <c r="P212" i="6"/>
  <c r="P212" i="4"/>
  <c r="P212" i="5"/>
  <c r="F212" i="6"/>
  <c r="R212" i="4"/>
  <c r="R212" i="5"/>
  <c r="L212" i="6"/>
  <c r="L212" i="4"/>
  <c r="L212" i="5"/>
  <c r="T212" i="4"/>
  <c r="T212" i="5"/>
  <c r="M212" i="6"/>
  <c r="G212" i="4"/>
  <c r="G212" i="5"/>
  <c r="O212" i="6"/>
  <c r="J212" i="6"/>
  <c r="V212" i="6"/>
  <c r="T212" i="6"/>
  <c r="S212" i="6"/>
  <c r="G212" i="6"/>
  <c r="H212" i="6"/>
  <c r="R212" i="6"/>
  <c r="E212" i="6"/>
  <c r="S212" i="4"/>
  <c r="S212" i="5"/>
  <c r="K212" i="4"/>
  <c r="K212" i="5"/>
  <c r="Q212" i="6"/>
  <c r="U212" i="6"/>
  <c r="H212" i="4"/>
  <c r="H212" i="5"/>
  <c r="E212" i="4"/>
  <c r="E212" i="5"/>
  <c r="K212" i="6"/>
  <c r="Q212" i="4"/>
  <c r="Q212" i="5"/>
  <c r="U212" i="4"/>
  <c r="U212" i="5"/>
  <c r="I212" i="6"/>
  <c r="M212" i="4"/>
  <c r="M212" i="5"/>
  <c r="J212" i="4"/>
  <c r="J212" i="5"/>
  <c r="N212" i="6"/>
  <c r="N212" i="4"/>
  <c r="N212" i="5"/>
  <c r="D212" i="6"/>
  <c r="I212" i="4"/>
  <c r="I212" i="5"/>
  <c r="O212" i="4"/>
  <c r="O212" i="5"/>
  <c r="F212" i="4"/>
  <c r="F212" i="5"/>
  <c r="V212" i="4"/>
  <c r="V212" i="5"/>
  <c r="S459" i="4"/>
  <c r="S459" i="5"/>
  <c r="D459" i="4"/>
  <c r="D459" i="5"/>
  <c r="D459" i="6"/>
  <c r="M459" i="6"/>
  <c r="K459" i="6"/>
  <c r="Q459" i="6"/>
  <c r="I459" i="6"/>
  <c r="R459" i="4"/>
  <c r="R459" i="5"/>
  <c r="P459" i="4"/>
  <c r="P459" i="5"/>
  <c r="G459" i="6"/>
  <c r="E459" i="6"/>
  <c r="U459" i="6"/>
  <c r="S459" i="6"/>
  <c r="O459" i="6"/>
  <c r="H459" i="6"/>
  <c r="L459" i="6"/>
  <c r="P459" i="6"/>
  <c r="T459" i="6"/>
  <c r="F459" i="6"/>
  <c r="J459" i="6"/>
  <c r="N459" i="6"/>
  <c r="R459" i="6"/>
  <c r="V459" i="6"/>
  <c r="H459" i="4"/>
  <c r="H459" i="5"/>
  <c r="J459" i="4"/>
  <c r="J459" i="5"/>
  <c r="T459" i="4"/>
  <c r="T459" i="5"/>
  <c r="V459" i="4"/>
  <c r="V459" i="5"/>
  <c r="F459" i="4"/>
  <c r="F459" i="5"/>
  <c r="U459" i="4"/>
  <c r="U459" i="5"/>
  <c r="Q459" i="4"/>
  <c r="Q459" i="5"/>
  <c r="M459" i="4"/>
  <c r="M459" i="5"/>
  <c r="I459" i="4"/>
  <c r="I459" i="5"/>
  <c r="E459" i="4"/>
  <c r="E459" i="5"/>
  <c r="K459" i="4"/>
  <c r="K459" i="5"/>
  <c r="L459" i="4"/>
  <c r="L459" i="5"/>
  <c r="N459" i="4"/>
  <c r="N459" i="5"/>
  <c r="O459" i="4"/>
  <c r="O459" i="5"/>
  <c r="G459" i="4"/>
  <c r="G459" i="5"/>
  <c r="E441" i="6"/>
  <c r="S441" i="4"/>
  <c r="S441" i="5"/>
  <c r="U441" i="6"/>
  <c r="K441" i="4"/>
  <c r="K441" i="5"/>
  <c r="K441" i="6"/>
  <c r="S441" i="6"/>
  <c r="I441" i="6"/>
  <c r="G441" i="4"/>
  <c r="G441" i="5"/>
  <c r="M441" i="6"/>
  <c r="D441" i="4"/>
  <c r="D441" i="5"/>
  <c r="G441" i="6"/>
  <c r="O441" i="6"/>
  <c r="E441" i="4"/>
  <c r="E441" i="5"/>
  <c r="I441" i="4"/>
  <c r="I441" i="5"/>
  <c r="M441" i="4"/>
  <c r="M441" i="5"/>
  <c r="Q441" i="4"/>
  <c r="Q441" i="5"/>
  <c r="U441" i="4"/>
  <c r="U441" i="5"/>
  <c r="D441" i="6"/>
  <c r="Q441" i="6"/>
  <c r="O441" i="4"/>
  <c r="O441" i="5"/>
  <c r="J441" i="6"/>
  <c r="N441" i="4"/>
  <c r="N441" i="5"/>
  <c r="P441" i="6"/>
  <c r="V441" i="6"/>
  <c r="H441" i="6"/>
  <c r="L441" i="6"/>
  <c r="R441" i="6"/>
  <c r="L441" i="4"/>
  <c r="L441" i="5"/>
  <c r="F441" i="6"/>
  <c r="T441" i="6"/>
  <c r="V441" i="4"/>
  <c r="V441" i="5"/>
  <c r="N441" i="6"/>
  <c r="R441" i="4"/>
  <c r="R441" i="5"/>
  <c r="F441" i="4"/>
  <c r="F441" i="5"/>
  <c r="T441" i="4"/>
  <c r="T441" i="5"/>
  <c r="J441" i="4"/>
  <c r="J441" i="5"/>
  <c r="P441" i="4"/>
  <c r="P441" i="5"/>
  <c r="H441" i="4"/>
  <c r="H441" i="5"/>
  <c r="U386" i="6"/>
  <c r="Q386" i="4"/>
  <c r="Q386" i="5"/>
  <c r="S386" i="6"/>
  <c r="K386" i="6"/>
  <c r="S386" i="4"/>
  <c r="S386" i="5"/>
  <c r="K386" i="4"/>
  <c r="K386" i="5"/>
  <c r="O386" i="6"/>
  <c r="G386" i="6"/>
  <c r="O386" i="4"/>
  <c r="O386" i="5"/>
  <c r="G386" i="4"/>
  <c r="G386" i="5"/>
  <c r="F386" i="4"/>
  <c r="F386" i="5"/>
  <c r="V386" i="4"/>
  <c r="V386" i="5"/>
  <c r="Q386" i="6"/>
  <c r="N386" i="4"/>
  <c r="N386" i="5"/>
  <c r="D386" i="4"/>
  <c r="D386" i="5"/>
  <c r="M386" i="4"/>
  <c r="M386" i="5"/>
  <c r="I386" i="6"/>
  <c r="M386" i="6"/>
  <c r="J386" i="4"/>
  <c r="J386" i="5"/>
  <c r="R386" i="6"/>
  <c r="T386" i="6"/>
  <c r="E386" i="6"/>
  <c r="N386" i="6"/>
  <c r="E386" i="4"/>
  <c r="E386" i="5"/>
  <c r="U386" i="4"/>
  <c r="U386" i="5"/>
  <c r="D386" i="6"/>
  <c r="I386" i="4"/>
  <c r="I386" i="5"/>
  <c r="J386" i="6"/>
  <c r="R386" i="4"/>
  <c r="R386" i="5"/>
  <c r="T386" i="4"/>
  <c r="T386" i="5"/>
  <c r="H386" i="6"/>
  <c r="L386" i="4"/>
  <c r="L386" i="5"/>
  <c r="P386" i="4"/>
  <c r="P386" i="5"/>
  <c r="P386" i="6"/>
  <c r="V386" i="6"/>
  <c r="H386" i="4"/>
  <c r="H386" i="5"/>
  <c r="L386" i="6"/>
  <c r="F386" i="6"/>
  <c r="M355" i="6"/>
  <c r="I355" i="4"/>
  <c r="I355" i="5"/>
  <c r="D355" i="4"/>
  <c r="D355" i="5"/>
  <c r="Q355" i="6"/>
  <c r="M355" i="4"/>
  <c r="M355" i="5"/>
  <c r="E355" i="6"/>
  <c r="Q355" i="4"/>
  <c r="Q355" i="5"/>
  <c r="O355" i="4"/>
  <c r="O355" i="5"/>
  <c r="G355" i="4"/>
  <c r="G355" i="5"/>
  <c r="O355" i="6"/>
  <c r="G355" i="6"/>
  <c r="D355" i="6"/>
  <c r="I355" i="6"/>
  <c r="E355" i="4"/>
  <c r="E355" i="5"/>
  <c r="U355" i="4"/>
  <c r="U355" i="5"/>
  <c r="U355" i="6"/>
  <c r="S355" i="4"/>
  <c r="S355" i="5"/>
  <c r="K355" i="4"/>
  <c r="K355" i="5"/>
  <c r="S355" i="6"/>
  <c r="K355" i="6"/>
  <c r="N355" i="4"/>
  <c r="N355" i="5"/>
  <c r="F355" i="4"/>
  <c r="F355" i="5"/>
  <c r="J355" i="6"/>
  <c r="J355" i="4"/>
  <c r="J355" i="5"/>
  <c r="R355" i="4"/>
  <c r="R355" i="5"/>
  <c r="P355" i="4"/>
  <c r="P355" i="5"/>
  <c r="V355" i="4"/>
  <c r="V355" i="5"/>
  <c r="V355" i="6"/>
  <c r="F355" i="6"/>
  <c r="T355" i="6"/>
  <c r="R355" i="6"/>
  <c r="P355" i="6"/>
  <c r="T355" i="4"/>
  <c r="T355" i="5"/>
  <c r="H355" i="4"/>
  <c r="H355" i="5"/>
  <c r="L355" i="6"/>
  <c r="N355" i="6"/>
  <c r="H355" i="6"/>
  <c r="L355" i="4"/>
  <c r="L355" i="5"/>
  <c r="T324" i="4"/>
  <c r="T324" i="5"/>
  <c r="H324" i="6"/>
  <c r="D324" i="4"/>
  <c r="D324" i="5"/>
  <c r="P324" i="4"/>
  <c r="P324" i="5"/>
  <c r="F324" i="4"/>
  <c r="F324" i="5"/>
  <c r="N324" i="4"/>
  <c r="N324" i="5"/>
  <c r="V324" i="4"/>
  <c r="V324" i="5"/>
  <c r="J324" i="6"/>
  <c r="R324" i="6"/>
  <c r="P324" i="6"/>
  <c r="L324" i="4"/>
  <c r="L324" i="5"/>
  <c r="T324" i="6"/>
  <c r="H324" i="4"/>
  <c r="H324" i="5"/>
  <c r="L324" i="6"/>
  <c r="D324" i="6"/>
  <c r="J324" i="4"/>
  <c r="J324" i="5"/>
  <c r="R324" i="4"/>
  <c r="R324" i="5"/>
  <c r="F324" i="6"/>
  <c r="N324" i="6"/>
  <c r="V324" i="6"/>
  <c r="I324" i="4"/>
  <c r="I324" i="5"/>
  <c r="K324" i="6"/>
  <c r="O324" i="4"/>
  <c r="O324" i="5"/>
  <c r="Q324" i="6"/>
  <c r="M324" i="6"/>
  <c r="U324" i="4"/>
  <c r="U324" i="5"/>
  <c r="M324" i="4"/>
  <c r="M324" i="5"/>
  <c r="G324" i="6"/>
  <c r="S324" i="4"/>
  <c r="S324" i="5"/>
  <c r="E324" i="6"/>
  <c r="I324" i="6"/>
  <c r="G324" i="4"/>
  <c r="G324" i="5"/>
  <c r="S324" i="6"/>
  <c r="E324" i="4"/>
  <c r="E324" i="5"/>
  <c r="K324" i="4"/>
  <c r="K324" i="5"/>
  <c r="Q324" i="4"/>
  <c r="Q324" i="5"/>
  <c r="O324" i="6"/>
  <c r="U324" i="6"/>
  <c r="E309" i="4"/>
  <c r="E309" i="5"/>
  <c r="U309" i="4"/>
  <c r="U309" i="5"/>
  <c r="Q309" i="6"/>
  <c r="D309" i="4"/>
  <c r="D309" i="5"/>
  <c r="Q309" i="4"/>
  <c r="Q309" i="5"/>
  <c r="M309" i="6"/>
  <c r="D309" i="6"/>
  <c r="K309" i="6"/>
  <c r="S309" i="6"/>
  <c r="M309" i="4"/>
  <c r="M309" i="5"/>
  <c r="I309" i="6"/>
  <c r="I309" i="4"/>
  <c r="I309" i="5"/>
  <c r="E309" i="6"/>
  <c r="U309" i="6"/>
  <c r="G309" i="4"/>
  <c r="G309" i="5"/>
  <c r="K309" i="4"/>
  <c r="K309" i="5"/>
  <c r="O309" i="4"/>
  <c r="O309" i="5"/>
  <c r="S309" i="4"/>
  <c r="S309" i="5"/>
  <c r="G309" i="6"/>
  <c r="O309" i="6"/>
  <c r="J309" i="6"/>
  <c r="V309" i="6"/>
  <c r="L309" i="4"/>
  <c r="L309" i="5"/>
  <c r="R309" i="6"/>
  <c r="H309" i="4"/>
  <c r="H309" i="5"/>
  <c r="H309" i="6"/>
  <c r="F309" i="6"/>
  <c r="N309" i="4"/>
  <c r="N309" i="5"/>
  <c r="V309" i="4"/>
  <c r="V309" i="5"/>
  <c r="F309" i="4"/>
  <c r="F309" i="5"/>
  <c r="N309" i="6"/>
  <c r="L309" i="6"/>
  <c r="P309" i="4"/>
  <c r="P309" i="5"/>
  <c r="T309" i="4"/>
  <c r="T309" i="5"/>
  <c r="T309" i="6"/>
  <c r="R309" i="4"/>
  <c r="R309" i="5"/>
  <c r="J309" i="4"/>
  <c r="J309" i="5"/>
  <c r="P309" i="6"/>
  <c r="T273" i="6"/>
  <c r="L273" i="6"/>
  <c r="N273" i="6"/>
  <c r="E273" i="4"/>
  <c r="E273" i="5"/>
  <c r="S273" i="6"/>
  <c r="D273" i="6"/>
  <c r="V273" i="6"/>
  <c r="Q273" i="6"/>
  <c r="H273" i="4"/>
  <c r="H273" i="5"/>
  <c r="F273" i="4"/>
  <c r="F273" i="5"/>
  <c r="R273" i="4"/>
  <c r="R273" i="5"/>
  <c r="J273" i="6"/>
  <c r="P273" i="6"/>
  <c r="I273" i="4"/>
  <c r="I273" i="5"/>
  <c r="M273" i="6"/>
  <c r="F273" i="6"/>
  <c r="L273" i="4"/>
  <c r="L273" i="5"/>
  <c r="Q273" i="4"/>
  <c r="Q273" i="5"/>
  <c r="P273" i="4"/>
  <c r="P273" i="5"/>
  <c r="D273" i="4"/>
  <c r="D273" i="5"/>
  <c r="N273" i="4"/>
  <c r="N273" i="5"/>
  <c r="V273" i="4"/>
  <c r="V273" i="5"/>
  <c r="R273" i="6"/>
  <c r="T273" i="4"/>
  <c r="T273" i="5"/>
  <c r="I273" i="6"/>
  <c r="M273" i="4"/>
  <c r="M273" i="5"/>
  <c r="G273" i="4"/>
  <c r="G273" i="5"/>
  <c r="K273" i="6"/>
  <c r="U273" i="6"/>
  <c r="S273" i="4"/>
  <c r="S273" i="5"/>
  <c r="G273" i="6"/>
  <c r="K273" i="4"/>
  <c r="K273" i="5"/>
  <c r="O273" i="4"/>
  <c r="O273" i="5"/>
  <c r="O273" i="6"/>
  <c r="U273" i="4"/>
  <c r="U273" i="5"/>
  <c r="E273" i="6"/>
  <c r="H273" i="6"/>
  <c r="J273" i="4"/>
  <c r="J273" i="5"/>
  <c r="D257" i="4"/>
  <c r="D257" i="5"/>
  <c r="E257" i="6"/>
  <c r="I257" i="6"/>
  <c r="D257" i="6"/>
  <c r="O257" i="6"/>
  <c r="G257" i="6"/>
  <c r="S257" i="6"/>
  <c r="K257" i="6"/>
  <c r="S257" i="4"/>
  <c r="S257" i="5"/>
  <c r="O257" i="4"/>
  <c r="O257" i="5"/>
  <c r="K257" i="4"/>
  <c r="K257" i="5"/>
  <c r="G257" i="4"/>
  <c r="G257" i="5"/>
  <c r="V257" i="4"/>
  <c r="V257" i="5"/>
  <c r="F257" i="4"/>
  <c r="F257" i="5"/>
  <c r="F257" i="6"/>
  <c r="T257" i="6"/>
  <c r="I257" i="4"/>
  <c r="I257" i="5"/>
  <c r="U257" i="4"/>
  <c r="U257" i="5"/>
  <c r="E257" i="4"/>
  <c r="E257" i="5"/>
  <c r="R257" i="6"/>
  <c r="N257" i="4"/>
  <c r="N257" i="5"/>
  <c r="Q257" i="6"/>
  <c r="R257" i="4"/>
  <c r="R257" i="5"/>
  <c r="N257" i="6"/>
  <c r="P257" i="4"/>
  <c r="P257" i="5"/>
  <c r="L257" i="4"/>
  <c r="L257" i="5"/>
  <c r="L257" i="6"/>
  <c r="J257" i="4"/>
  <c r="J257" i="5"/>
  <c r="H257" i="6"/>
  <c r="T257" i="4"/>
  <c r="T257" i="5"/>
  <c r="P257" i="6"/>
  <c r="J257" i="6"/>
  <c r="H257" i="4"/>
  <c r="H257" i="5"/>
  <c r="V257" i="6"/>
  <c r="M257" i="4"/>
  <c r="M257" i="5"/>
  <c r="M257" i="6"/>
  <c r="U257" i="6"/>
  <c r="Q257" i="4"/>
  <c r="Q257" i="5"/>
  <c r="Q248" i="6"/>
  <c r="M248" i="4"/>
  <c r="M248" i="5"/>
  <c r="I248" i="6"/>
  <c r="S248" i="6"/>
  <c r="Q248" i="4"/>
  <c r="Q248" i="5"/>
  <c r="D248" i="4"/>
  <c r="D248" i="5"/>
  <c r="K248" i="6"/>
  <c r="I248" i="4"/>
  <c r="I248" i="5"/>
  <c r="L248" i="4"/>
  <c r="L248" i="5"/>
  <c r="U248" i="4"/>
  <c r="U248" i="5"/>
  <c r="U248" i="6"/>
  <c r="D248" i="6"/>
  <c r="G248" i="6"/>
  <c r="V248" i="4"/>
  <c r="V248" i="5"/>
  <c r="R248" i="6"/>
  <c r="J248" i="6"/>
  <c r="M248" i="6"/>
  <c r="L248" i="6"/>
  <c r="N248" i="4"/>
  <c r="N248" i="5"/>
  <c r="N248" i="6"/>
  <c r="E248" i="4"/>
  <c r="E248" i="5"/>
  <c r="E248" i="6"/>
  <c r="O248" i="6"/>
  <c r="S248" i="4"/>
  <c r="S248" i="5"/>
  <c r="O248" i="4"/>
  <c r="O248" i="5"/>
  <c r="K248" i="4"/>
  <c r="K248" i="5"/>
  <c r="G248" i="4"/>
  <c r="G248" i="5"/>
  <c r="V248" i="6"/>
  <c r="R248" i="4"/>
  <c r="R248" i="5"/>
  <c r="J248" i="4"/>
  <c r="J248" i="5"/>
  <c r="F248" i="4"/>
  <c r="F248" i="5"/>
  <c r="F248" i="6"/>
  <c r="T248" i="6"/>
  <c r="P248" i="4"/>
  <c r="P248" i="5"/>
  <c r="H248" i="6"/>
  <c r="T248" i="4"/>
  <c r="T248" i="5"/>
  <c r="P248" i="6"/>
  <c r="H248" i="4"/>
  <c r="H248" i="5"/>
  <c r="G235" i="6"/>
  <c r="K235" i="4"/>
  <c r="K235" i="5"/>
  <c r="G235" i="4"/>
  <c r="G235" i="5"/>
  <c r="S235" i="4"/>
  <c r="S235" i="5"/>
  <c r="O235" i="6"/>
  <c r="S235" i="6"/>
  <c r="K235" i="6"/>
  <c r="D235" i="6"/>
  <c r="Q235" i="6"/>
  <c r="I235" i="6"/>
  <c r="U235" i="4"/>
  <c r="U235" i="5"/>
  <c r="Q235" i="4"/>
  <c r="Q235" i="5"/>
  <c r="M235" i="4"/>
  <c r="M235" i="5"/>
  <c r="I235" i="4"/>
  <c r="I235" i="5"/>
  <c r="E235" i="4"/>
  <c r="E235" i="5"/>
  <c r="U235" i="6"/>
  <c r="M235" i="6"/>
  <c r="E235" i="6"/>
  <c r="D235" i="4"/>
  <c r="D235" i="5"/>
  <c r="P235" i="6"/>
  <c r="O235" i="4"/>
  <c r="O235" i="5"/>
  <c r="T235" i="6"/>
  <c r="H235" i="4"/>
  <c r="H235" i="5"/>
  <c r="V235" i="4"/>
  <c r="V235" i="5"/>
  <c r="V235" i="6"/>
  <c r="L235" i="4"/>
  <c r="L235" i="5"/>
  <c r="T235" i="4"/>
  <c r="T235" i="5"/>
  <c r="H235" i="6"/>
  <c r="R235" i="6"/>
  <c r="L235" i="6"/>
  <c r="R235" i="4"/>
  <c r="R235" i="5"/>
  <c r="F235" i="4"/>
  <c r="F235" i="5"/>
  <c r="F235" i="6"/>
  <c r="N235" i="4"/>
  <c r="N235" i="5"/>
  <c r="J235" i="6"/>
  <c r="P235" i="4"/>
  <c r="P235" i="5"/>
  <c r="N235" i="6"/>
  <c r="J235" i="4"/>
  <c r="J235" i="5"/>
  <c r="L225" i="4"/>
  <c r="L225" i="5"/>
  <c r="D225" i="4"/>
  <c r="D225" i="5"/>
  <c r="T225" i="4"/>
  <c r="T225" i="5"/>
  <c r="H225" i="4"/>
  <c r="H225" i="5"/>
  <c r="P225" i="4"/>
  <c r="P225" i="5"/>
  <c r="F225" i="4"/>
  <c r="F225" i="5"/>
  <c r="N225" i="4"/>
  <c r="N225" i="5"/>
  <c r="V225" i="4"/>
  <c r="V225" i="5"/>
  <c r="J225" i="4"/>
  <c r="J225" i="5"/>
  <c r="R225" i="4"/>
  <c r="R225" i="5"/>
  <c r="G225" i="6"/>
  <c r="L225" i="6"/>
  <c r="T225" i="6"/>
  <c r="F225" i="6"/>
  <c r="N225" i="6"/>
  <c r="V225" i="6"/>
  <c r="D225" i="6"/>
  <c r="H225" i="6"/>
  <c r="P225" i="6"/>
  <c r="U225" i="6"/>
  <c r="J225" i="6"/>
  <c r="R225" i="6"/>
  <c r="K225" i="6"/>
  <c r="S225" i="6"/>
  <c r="E225" i="4"/>
  <c r="E225" i="5"/>
  <c r="G225" i="4"/>
  <c r="G225" i="5"/>
  <c r="I225" i="6"/>
  <c r="M225" i="4"/>
  <c r="M225" i="5"/>
  <c r="O225" i="4"/>
  <c r="O225" i="5"/>
  <c r="Q225" i="6"/>
  <c r="U225" i="4"/>
  <c r="U225" i="5"/>
  <c r="E225" i="6"/>
  <c r="O225" i="6"/>
  <c r="M225" i="6"/>
  <c r="K225" i="4"/>
  <c r="K225" i="5"/>
  <c r="S225" i="4"/>
  <c r="S225" i="5"/>
  <c r="I225" i="4"/>
  <c r="I225" i="5"/>
  <c r="Q225" i="4"/>
  <c r="Q225" i="5"/>
  <c r="T204" i="4"/>
  <c r="T204" i="5"/>
  <c r="D204" i="4"/>
  <c r="D204" i="5"/>
  <c r="D204" i="6"/>
  <c r="P204" i="6"/>
  <c r="H204" i="6"/>
  <c r="J204" i="6"/>
  <c r="V204" i="6"/>
  <c r="I204" i="6"/>
  <c r="J204" i="4"/>
  <c r="J204" i="5"/>
  <c r="P204" i="4"/>
  <c r="P204" i="5"/>
  <c r="H204" i="4"/>
  <c r="H204" i="5"/>
  <c r="F204" i="4"/>
  <c r="F204" i="5"/>
  <c r="T204" i="6"/>
  <c r="L204" i="6"/>
  <c r="R204" i="6"/>
  <c r="N204" i="6"/>
  <c r="F204" i="6"/>
  <c r="R204" i="4"/>
  <c r="R204" i="5"/>
  <c r="L204" i="4"/>
  <c r="L204" i="5"/>
  <c r="N204" i="4"/>
  <c r="N204" i="5"/>
  <c r="V204" i="4"/>
  <c r="V204" i="5"/>
  <c r="U204" i="4"/>
  <c r="U204" i="5"/>
  <c r="S204" i="6"/>
  <c r="O204" i="4"/>
  <c r="O204" i="5"/>
  <c r="M204" i="4"/>
  <c r="M204" i="5"/>
  <c r="K204" i="4"/>
  <c r="K204" i="5"/>
  <c r="I204" i="4"/>
  <c r="I204" i="5"/>
  <c r="G204" i="4"/>
  <c r="G204" i="5"/>
  <c r="E204" i="4"/>
  <c r="E204" i="5"/>
  <c r="Q204" i="6"/>
  <c r="O204" i="6"/>
  <c r="M204" i="6"/>
  <c r="K204" i="6"/>
  <c r="E204" i="6"/>
  <c r="Q204" i="4"/>
  <c r="Q204" i="5"/>
  <c r="S204" i="4"/>
  <c r="S204" i="5"/>
  <c r="G204" i="6"/>
  <c r="U204" i="6"/>
  <c r="I179" i="6"/>
  <c r="U179" i="6"/>
  <c r="D179" i="6"/>
  <c r="S179" i="6"/>
  <c r="M179" i="4"/>
  <c r="M179" i="5"/>
  <c r="M179" i="6"/>
  <c r="F179" i="4"/>
  <c r="F179" i="5"/>
  <c r="L179" i="4"/>
  <c r="L179" i="5"/>
  <c r="N179" i="4"/>
  <c r="N179" i="5"/>
  <c r="P179" i="4"/>
  <c r="P179" i="5"/>
  <c r="R179" i="4"/>
  <c r="R179" i="5"/>
  <c r="P179" i="6"/>
  <c r="H179" i="4"/>
  <c r="H179" i="5"/>
  <c r="T179" i="4"/>
  <c r="T179" i="5"/>
  <c r="V179" i="6"/>
  <c r="N179" i="6"/>
  <c r="H179" i="6"/>
  <c r="T179" i="6"/>
  <c r="V179" i="4"/>
  <c r="V179" i="5"/>
  <c r="J179" i="6"/>
  <c r="F179" i="6"/>
  <c r="U179" i="4"/>
  <c r="U179" i="5"/>
  <c r="Q179" i="4"/>
  <c r="Q179" i="5"/>
  <c r="E179" i="6"/>
  <c r="K179" i="6"/>
  <c r="Q179" i="6"/>
  <c r="E179" i="4"/>
  <c r="E179" i="5"/>
  <c r="S179" i="4"/>
  <c r="S179" i="5"/>
  <c r="K179" i="4"/>
  <c r="K179" i="5"/>
  <c r="J179" i="4"/>
  <c r="J179" i="5"/>
  <c r="L179" i="6"/>
  <c r="R179" i="6"/>
  <c r="O179" i="6"/>
  <c r="G179" i="6"/>
  <c r="I179" i="4"/>
  <c r="I179" i="5"/>
  <c r="D179" i="4"/>
  <c r="D179" i="5"/>
  <c r="O179" i="4"/>
  <c r="O179" i="5"/>
  <c r="G179" i="4"/>
  <c r="G179" i="5"/>
  <c r="O155" i="4"/>
  <c r="O155" i="5"/>
  <c r="E155" i="6"/>
  <c r="I155" i="6"/>
  <c r="M155" i="6"/>
  <c r="Q155" i="6"/>
  <c r="U155" i="6"/>
  <c r="S155" i="4"/>
  <c r="S155" i="5"/>
  <c r="G155" i="4"/>
  <c r="G155" i="5"/>
  <c r="E155" i="4"/>
  <c r="E155" i="5"/>
  <c r="D155" i="6"/>
  <c r="I155" i="4"/>
  <c r="I155" i="5"/>
  <c r="G155" i="6"/>
  <c r="K155" i="6"/>
  <c r="O155" i="6"/>
  <c r="S155" i="6"/>
  <c r="Q155" i="4"/>
  <c r="Q155" i="5"/>
  <c r="M155" i="4"/>
  <c r="M155" i="5"/>
  <c r="T155" i="6"/>
  <c r="N155" i="4"/>
  <c r="N155" i="5"/>
  <c r="K155" i="4"/>
  <c r="K155" i="5"/>
  <c r="U155" i="4"/>
  <c r="U155" i="5"/>
  <c r="D155" i="4"/>
  <c r="D155" i="5"/>
  <c r="T155" i="4"/>
  <c r="T155" i="5"/>
  <c r="N155" i="6"/>
  <c r="J155" i="6"/>
  <c r="P155" i="6"/>
  <c r="L155" i="4"/>
  <c r="L155" i="5"/>
  <c r="H155" i="4"/>
  <c r="H155" i="5"/>
  <c r="F155" i="6"/>
  <c r="L155" i="6"/>
  <c r="P155" i="4"/>
  <c r="P155" i="5"/>
  <c r="R155" i="4"/>
  <c r="R155" i="5"/>
  <c r="F155" i="4"/>
  <c r="F155" i="5"/>
  <c r="V155" i="4"/>
  <c r="V155" i="5"/>
  <c r="V155" i="6"/>
  <c r="R155" i="6"/>
  <c r="J155" i="4"/>
  <c r="J155" i="5"/>
  <c r="H155" i="6"/>
  <c r="J138" i="4"/>
  <c r="J138" i="5"/>
  <c r="Q138" i="4"/>
  <c r="Q138" i="5"/>
  <c r="I138" i="6"/>
  <c r="S138" i="4"/>
  <c r="S138" i="5"/>
  <c r="K138" i="4"/>
  <c r="K138" i="5"/>
  <c r="F138" i="4"/>
  <c r="F138" i="5"/>
  <c r="M138" i="6"/>
  <c r="S138" i="6"/>
  <c r="R138" i="6"/>
  <c r="I138" i="4"/>
  <c r="I138" i="5"/>
  <c r="O138" i="6"/>
  <c r="D138" i="4"/>
  <c r="D138" i="5"/>
  <c r="U138" i="4"/>
  <c r="U138" i="5"/>
  <c r="M138" i="4"/>
  <c r="M138" i="5"/>
  <c r="E138" i="4"/>
  <c r="E138" i="5"/>
  <c r="D138" i="6"/>
  <c r="O138" i="4"/>
  <c r="O138" i="5"/>
  <c r="G138" i="4"/>
  <c r="G138" i="5"/>
  <c r="U138" i="6"/>
  <c r="E138" i="6"/>
  <c r="K138" i="6"/>
  <c r="Q138" i="6"/>
  <c r="G138" i="6"/>
  <c r="V138" i="4"/>
  <c r="V138" i="5"/>
  <c r="T138" i="6"/>
  <c r="P138" i="6"/>
  <c r="L138" i="4"/>
  <c r="L138" i="5"/>
  <c r="F138" i="6"/>
  <c r="H138" i="6"/>
  <c r="R138" i="4"/>
  <c r="R138" i="5"/>
  <c r="N138" i="6"/>
  <c r="J138" i="6"/>
  <c r="H138" i="4"/>
  <c r="H138" i="5"/>
  <c r="V138" i="6"/>
  <c r="L138" i="6"/>
  <c r="P138" i="4"/>
  <c r="P138" i="5"/>
  <c r="N138" i="4"/>
  <c r="N138" i="5"/>
  <c r="T138" i="4"/>
  <c r="T138" i="5"/>
  <c r="D112" i="6"/>
  <c r="O112" i="6"/>
  <c r="G112" i="6"/>
  <c r="M112" i="6"/>
  <c r="I112" i="6"/>
  <c r="D112" i="4"/>
  <c r="D112" i="5"/>
  <c r="G112" i="4"/>
  <c r="G112" i="5"/>
  <c r="K112" i="4"/>
  <c r="K112" i="5"/>
  <c r="O112" i="4"/>
  <c r="O112" i="5"/>
  <c r="S112" i="4"/>
  <c r="S112" i="5"/>
  <c r="E112" i="4"/>
  <c r="E112" i="5"/>
  <c r="I112" i="4"/>
  <c r="I112" i="5"/>
  <c r="M112" i="4"/>
  <c r="M112" i="5"/>
  <c r="Q112" i="4"/>
  <c r="Q112" i="5"/>
  <c r="U112" i="4"/>
  <c r="U112" i="5"/>
  <c r="S112" i="6"/>
  <c r="K112" i="6"/>
  <c r="U112" i="6"/>
  <c r="E112" i="6"/>
  <c r="Q112" i="6"/>
  <c r="V112" i="4"/>
  <c r="V112" i="5"/>
  <c r="T112" i="4"/>
  <c r="T112" i="5"/>
  <c r="R112" i="4"/>
  <c r="R112" i="5"/>
  <c r="P112" i="6"/>
  <c r="L112" i="6"/>
  <c r="F112" i="4"/>
  <c r="F112" i="5"/>
  <c r="J112" i="4"/>
  <c r="J112" i="5"/>
  <c r="J112" i="6"/>
  <c r="N112" i="6"/>
  <c r="H112" i="6"/>
  <c r="T112" i="6"/>
  <c r="R112" i="6"/>
  <c r="N112" i="4"/>
  <c r="N112" i="5"/>
  <c r="P112" i="4"/>
  <c r="P112" i="5"/>
  <c r="V112" i="6"/>
  <c r="H112" i="4"/>
  <c r="H112" i="5"/>
  <c r="L112" i="4"/>
  <c r="L112" i="5"/>
  <c r="F112" i="6"/>
  <c r="T17" i="6"/>
  <c r="D17" i="6"/>
  <c r="D17" i="4"/>
  <c r="D17" i="5"/>
  <c r="Q17" i="4"/>
  <c r="Q17" i="5"/>
  <c r="S17" i="6"/>
  <c r="Q17" i="6"/>
  <c r="S17" i="4"/>
  <c r="S17" i="5"/>
  <c r="I17" i="4"/>
  <c r="I17" i="5"/>
  <c r="I17" i="6"/>
  <c r="V17" i="6"/>
  <c r="T17" i="4"/>
  <c r="T17" i="5"/>
  <c r="G17" i="4"/>
  <c r="G17" i="5"/>
  <c r="K17" i="6"/>
  <c r="M17" i="6"/>
  <c r="R17" i="6"/>
  <c r="H17" i="4"/>
  <c r="H17" i="5"/>
  <c r="L17" i="4"/>
  <c r="L17" i="5"/>
  <c r="L17" i="6"/>
  <c r="P17" i="6"/>
  <c r="U17" i="6"/>
  <c r="F17" i="4"/>
  <c r="F17" i="5"/>
  <c r="V17" i="4"/>
  <c r="V17" i="5"/>
  <c r="E17" i="6"/>
  <c r="G17" i="6"/>
  <c r="K17" i="4"/>
  <c r="K17" i="5"/>
  <c r="M17" i="4"/>
  <c r="M17" i="5"/>
  <c r="R17" i="4"/>
  <c r="R17" i="5"/>
  <c r="H17" i="6"/>
  <c r="P17" i="4"/>
  <c r="P17" i="5"/>
  <c r="U17" i="4"/>
  <c r="U17" i="5"/>
  <c r="N17" i="4"/>
  <c r="N17" i="5"/>
  <c r="J17" i="6"/>
  <c r="O17" i="6"/>
  <c r="J17" i="4"/>
  <c r="J17" i="5"/>
  <c r="F17" i="6"/>
  <c r="O17" i="4"/>
  <c r="O17" i="5"/>
  <c r="E17" i="4"/>
  <c r="E17" i="5"/>
  <c r="N17" i="6"/>
  <c r="Q36" i="6"/>
  <c r="M36" i="6"/>
  <c r="L36" i="4"/>
  <c r="L36" i="5"/>
  <c r="U36" i="6"/>
  <c r="H36" i="6"/>
  <c r="S36" i="6"/>
  <c r="L36" i="6"/>
  <c r="K36" i="4"/>
  <c r="K36" i="5"/>
  <c r="G36" i="4"/>
  <c r="G36" i="5"/>
  <c r="V36" i="4"/>
  <c r="V36" i="5"/>
  <c r="Q36" i="4"/>
  <c r="Q36" i="5"/>
  <c r="M36" i="4"/>
  <c r="M36" i="5"/>
  <c r="H36" i="4"/>
  <c r="H36" i="5"/>
  <c r="O36" i="6"/>
  <c r="E36" i="4"/>
  <c r="E36" i="5"/>
  <c r="J36" i="4"/>
  <c r="J36" i="5"/>
  <c r="O36" i="4"/>
  <c r="O36" i="5"/>
  <c r="D36" i="6"/>
  <c r="U36" i="4"/>
  <c r="U36" i="5"/>
  <c r="S36" i="4"/>
  <c r="S36" i="5"/>
  <c r="G36" i="6"/>
  <c r="D36" i="4"/>
  <c r="D36" i="5"/>
  <c r="K36" i="6"/>
  <c r="R36" i="6"/>
  <c r="N36" i="6"/>
  <c r="T36" i="6"/>
  <c r="J36" i="6"/>
  <c r="F36" i="6"/>
  <c r="I36" i="6"/>
  <c r="P36" i="6"/>
  <c r="V36" i="6"/>
  <c r="T36" i="4"/>
  <c r="T36" i="5"/>
  <c r="F36" i="4"/>
  <c r="F36" i="5"/>
  <c r="P36" i="4"/>
  <c r="P36" i="5"/>
  <c r="N36" i="4"/>
  <c r="N36" i="5"/>
  <c r="I36" i="4"/>
  <c r="I36" i="5"/>
  <c r="R36" i="4"/>
  <c r="R36" i="5"/>
  <c r="E36" i="6"/>
  <c r="D70" i="6"/>
  <c r="K70" i="6"/>
  <c r="Q70" i="6"/>
  <c r="U70" i="6"/>
  <c r="G70" i="6"/>
  <c r="M70" i="6"/>
  <c r="E70" i="4"/>
  <c r="E70" i="5"/>
  <c r="S70" i="6"/>
  <c r="K70" i="4"/>
  <c r="K70" i="5"/>
  <c r="D70" i="4"/>
  <c r="D70" i="5"/>
  <c r="E70" i="6"/>
  <c r="U70" i="4"/>
  <c r="U70" i="5"/>
  <c r="Q70" i="4"/>
  <c r="Q70" i="5"/>
  <c r="I70" i="6"/>
  <c r="G70" i="4"/>
  <c r="G70" i="5"/>
  <c r="N70" i="4"/>
  <c r="N70" i="5"/>
  <c r="O70" i="4"/>
  <c r="O70" i="5"/>
  <c r="S70" i="4"/>
  <c r="S70" i="5"/>
  <c r="I70" i="4"/>
  <c r="I70" i="5"/>
  <c r="M70" i="4"/>
  <c r="M70" i="5"/>
  <c r="O70" i="6"/>
  <c r="J70" i="4"/>
  <c r="J70" i="5"/>
  <c r="P70" i="4"/>
  <c r="P70" i="5"/>
  <c r="L70" i="6"/>
  <c r="T70" i="4"/>
  <c r="T70" i="5"/>
  <c r="V70" i="6"/>
  <c r="J70" i="6"/>
  <c r="P70" i="6"/>
  <c r="F70" i="4"/>
  <c r="F70" i="5"/>
  <c r="F70" i="6"/>
  <c r="L70" i="4"/>
  <c r="L70" i="5"/>
  <c r="T70" i="6"/>
  <c r="V70" i="4"/>
  <c r="V70" i="5"/>
  <c r="H70" i="4"/>
  <c r="H70" i="5"/>
  <c r="R70" i="4"/>
  <c r="R70" i="5"/>
  <c r="R70" i="6"/>
  <c r="N70" i="6"/>
  <c r="H70" i="6"/>
  <c r="J86" i="6"/>
  <c r="K86" i="4"/>
  <c r="K86" i="5"/>
  <c r="E86" i="4"/>
  <c r="E86" i="5"/>
  <c r="D86" i="4"/>
  <c r="D86" i="5"/>
  <c r="G86" i="6"/>
  <c r="K86" i="6"/>
  <c r="O86" i="6"/>
  <c r="S86" i="6"/>
  <c r="U86" i="4"/>
  <c r="U86" i="5"/>
  <c r="D86" i="6"/>
  <c r="I86" i="6"/>
  <c r="M86" i="6"/>
  <c r="Q86" i="6"/>
  <c r="U86" i="6"/>
  <c r="P86" i="4"/>
  <c r="P86" i="5"/>
  <c r="P86" i="6"/>
  <c r="J86" i="4"/>
  <c r="J86" i="5"/>
  <c r="R86" i="4"/>
  <c r="R86" i="5"/>
  <c r="G86" i="4"/>
  <c r="G86" i="5"/>
  <c r="I86" i="4"/>
  <c r="I86" i="5"/>
  <c r="S86" i="4"/>
  <c r="S86" i="5"/>
  <c r="O86" i="4"/>
  <c r="O86" i="5"/>
  <c r="Q86" i="4"/>
  <c r="Q86" i="5"/>
  <c r="M86" i="4"/>
  <c r="M86" i="5"/>
  <c r="H86" i="6"/>
  <c r="E86" i="6"/>
  <c r="V86" i="4"/>
  <c r="V86" i="5"/>
  <c r="V86" i="6"/>
  <c r="F86" i="4"/>
  <c r="F86" i="5"/>
  <c r="T86" i="6"/>
  <c r="N86" i="4"/>
  <c r="N86" i="5"/>
  <c r="L86" i="6"/>
  <c r="N86" i="6"/>
  <c r="R86" i="6"/>
  <c r="F86" i="6"/>
  <c r="L86" i="4"/>
  <c r="L86" i="5"/>
  <c r="T86" i="4"/>
  <c r="T86" i="5"/>
  <c r="H86" i="4"/>
  <c r="H86" i="5"/>
  <c r="E284" i="6"/>
  <c r="P284" i="6"/>
  <c r="E284" i="4"/>
  <c r="E284" i="5"/>
  <c r="S284" i="6"/>
  <c r="P284" i="4"/>
  <c r="P284" i="5"/>
  <c r="R284" i="4"/>
  <c r="R284" i="5"/>
  <c r="N284" i="6"/>
  <c r="J284" i="4"/>
  <c r="J284" i="5"/>
  <c r="V284" i="6"/>
  <c r="K284" i="6"/>
  <c r="T284" i="4"/>
  <c r="T284" i="5"/>
  <c r="H284" i="4"/>
  <c r="H284" i="5"/>
  <c r="L284" i="6"/>
  <c r="D284" i="6"/>
  <c r="R284" i="6"/>
  <c r="L284" i="4"/>
  <c r="L284" i="5"/>
  <c r="I284" i="6"/>
  <c r="M284" i="4"/>
  <c r="M284" i="5"/>
  <c r="O284" i="6"/>
  <c r="G284" i="4"/>
  <c r="G284" i="5"/>
  <c r="K284" i="4"/>
  <c r="K284" i="5"/>
  <c r="U284" i="6"/>
  <c r="F284" i="6"/>
  <c r="T284" i="6"/>
  <c r="D284" i="4"/>
  <c r="D284" i="5"/>
  <c r="F284" i="4"/>
  <c r="F284" i="5"/>
  <c r="N284" i="4"/>
  <c r="N284" i="5"/>
  <c r="V284" i="4"/>
  <c r="V284" i="5"/>
  <c r="J284" i="6"/>
  <c r="H284" i="6"/>
  <c r="I284" i="4"/>
  <c r="I284" i="5"/>
  <c r="M284" i="6"/>
  <c r="O284" i="4"/>
  <c r="O284" i="5"/>
  <c r="Q284" i="4"/>
  <c r="Q284" i="5"/>
  <c r="Q284" i="6"/>
  <c r="U284" i="4"/>
  <c r="U284" i="5"/>
  <c r="G284" i="6"/>
  <c r="S284" i="4"/>
  <c r="S284" i="5"/>
  <c r="Q377" i="4"/>
  <c r="Q377" i="5"/>
  <c r="R377" i="6"/>
  <c r="G377" i="6"/>
  <c r="P377" i="6"/>
  <c r="U377" i="4"/>
  <c r="U377" i="5"/>
  <c r="L377" i="6"/>
  <c r="H377" i="6"/>
  <c r="T377" i="4"/>
  <c r="T377" i="5"/>
  <c r="L377" i="4"/>
  <c r="L377" i="5"/>
  <c r="H377" i="4"/>
  <c r="H377" i="5"/>
  <c r="D377" i="6"/>
  <c r="N377" i="6"/>
  <c r="G377" i="4"/>
  <c r="G377" i="5"/>
  <c r="N377" i="4"/>
  <c r="N377" i="5"/>
  <c r="U377" i="6"/>
  <c r="I377" i="6"/>
  <c r="V377" i="4"/>
  <c r="V377" i="5"/>
  <c r="V377" i="6"/>
  <c r="M377" i="4"/>
  <c r="M377" i="5"/>
  <c r="I377" i="4"/>
  <c r="I377" i="5"/>
  <c r="M377" i="6"/>
  <c r="D377" i="4"/>
  <c r="D377" i="5"/>
  <c r="Q377" i="6"/>
  <c r="R377" i="4"/>
  <c r="R377" i="5"/>
  <c r="P377" i="4"/>
  <c r="P377" i="5"/>
  <c r="F377" i="4"/>
  <c r="F377" i="5"/>
  <c r="T377" i="6"/>
  <c r="J377" i="6"/>
  <c r="J377" i="4"/>
  <c r="J377" i="5"/>
  <c r="F377" i="6"/>
  <c r="M163" i="6"/>
  <c r="O163" i="4"/>
  <c r="O163" i="5"/>
  <c r="U163" i="6"/>
  <c r="G163" i="6"/>
  <c r="D163" i="6"/>
  <c r="P163" i="4"/>
  <c r="P163" i="5"/>
  <c r="V163" i="4"/>
  <c r="V163" i="5"/>
  <c r="I163" i="6"/>
  <c r="E163" i="4"/>
  <c r="E163" i="5"/>
  <c r="F163" i="6"/>
  <c r="U163" i="4"/>
  <c r="U163" i="5"/>
  <c r="K163" i="6"/>
  <c r="O163" i="6"/>
  <c r="R163" i="6"/>
  <c r="V163" i="6"/>
  <c r="P163" i="6"/>
  <c r="D163" i="4"/>
  <c r="D163" i="5"/>
  <c r="H163" i="4"/>
  <c r="H163" i="5"/>
  <c r="Q163" i="4"/>
  <c r="Q163" i="5"/>
  <c r="N163" i="6"/>
  <c r="S163" i="6"/>
  <c r="M163" i="4"/>
  <c r="M163" i="5"/>
  <c r="F163" i="4"/>
  <c r="F163" i="5"/>
  <c r="E163" i="6"/>
  <c r="Q163" i="6"/>
  <c r="H163" i="6"/>
  <c r="S163" i="4"/>
  <c r="S163" i="5"/>
  <c r="N163" i="4"/>
  <c r="N163" i="5"/>
  <c r="K163" i="4"/>
  <c r="K163" i="5"/>
  <c r="I163" i="4"/>
  <c r="I163" i="5"/>
  <c r="R163" i="4"/>
  <c r="R163" i="5"/>
  <c r="G163" i="4"/>
  <c r="G163" i="5"/>
  <c r="T127" i="4"/>
  <c r="T127" i="5"/>
  <c r="J127" i="4"/>
  <c r="J127" i="5"/>
  <c r="R127" i="4"/>
  <c r="R127" i="5"/>
  <c r="L127" i="6"/>
  <c r="T127" i="6"/>
  <c r="J127" i="6"/>
  <c r="G127" i="6"/>
  <c r="N127" i="6"/>
  <c r="V127" i="6"/>
  <c r="K127" i="4"/>
  <c r="K127" i="5"/>
  <c r="M127" i="4"/>
  <c r="M127" i="5"/>
  <c r="E127" i="6"/>
  <c r="S127" i="4"/>
  <c r="S127" i="5"/>
  <c r="L127" i="4"/>
  <c r="L127" i="5"/>
  <c r="V127" i="4"/>
  <c r="V127" i="5"/>
  <c r="P127" i="4"/>
  <c r="P127" i="5"/>
  <c r="H127" i="4"/>
  <c r="H127" i="5"/>
  <c r="D127" i="6"/>
  <c r="F127" i="4"/>
  <c r="F127" i="5"/>
  <c r="N127" i="4"/>
  <c r="N127" i="5"/>
  <c r="H127" i="6"/>
  <c r="P127" i="6"/>
  <c r="D127" i="4"/>
  <c r="D127" i="5"/>
  <c r="R127" i="6"/>
  <c r="O127" i="6"/>
  <c r="F127" i="6"/>
  <c r="S127" i="6"/>
  <c r="I127" i="6"/>
  <c r="U127" i="6"/>
  <c r="G127" i="4"/>
  <c r="G127" i="5"/>
  <c r="Q127" i="4"/>
  <c r="Q127" i="5"/>
  <c r="E127" i="4"/>
  <c r="E127" i="5"/>
  <c r="K127" i="6"/>
  <c r="I127" i="4"/>
  <c r="I127" i="5"/>
  <c r="O127" i="4"/>
  <c r="O127" i="5"/>
  <c r="U127" i="4"/>
  <c r="U127" i="5"/>
  <c r="Q127" i="6"/>
  <c r="M127" i="6"/>
  <c r="V222" i="6"/>
  <c r="T222" i="6"/>
  <c r="F222" i="6"/>
  <c r="N222" i="4"/>
  <c r="N222" i="5"/>
  <c r="U222" i="6"/>
  <c r="S222" i="6"/>
  <c r="I222" i="6"/>
  <c r="K222" i="6"/>
  <c r="S222" i="4"/>
  <c r="S222" i="5"/>
  <c r="O222" i="4"/>
  <c r="O222" i="5"/>
  <c r="Q222" i="4"/>
  <c r="Q222" i="5"/>
  <c r="D222" i="6"/>
  <c r="M222" i="4"/>
  <c r="M222" i="5"/>
  <c r="L222" i="6"/>
  <c r="E222" i="4"/>
  <c r="E222" i="5"/>
  <c r="R222" i="6"/>
  <c r="P222" i="6"/>
  <c r="R222" i="4"/>
  <c r="R222" i="5"/>
  <c r="J222" i="4"/>
  <c r="J222" i="5"/>
  <c r="P222" i="4"/>
  <c r="P222" i="5"/>
  <c r="H222" i="4"/>
  <c r="H222" i="5"/>
  <c r="G222" i="6"/>
  <c r="M222" i="6"/>
  <c r="O222" i="6"/>
  <c r="Q222" i="6"/>
  <c r="D222" i="4"/>
  <c r="D222" i="5"/>
  <c r="K222" i="4"/>
  <c r="K222" i="5"/>
  <c r="G222" i="4"/>
  <c r="G222" i="5"/>
  <c r="I222" i="4"/>
  <c r="I222" i="5"/>
  <c r="E222" i="6"/>
  <c r="J222" i="6"/>
  <c r="U222" i="4"/>
  <c r="U222" i="5"/>
  <c r="F222" i="4"/>
  <c r="F222" i="5"/>
  <c r="T222" i="4"/>
  <c r="T222" i="5"/>
  <c r="N222" i="6"/>
  <c r="V222" i="4"/>
  <c r="V222" i="5"/>
  <c r="L222" i="4"/>
  <c r="L222" i="5"/>
  <c r="H222" i="6"/>
  <c r="K315" i="4"/>
  <c r="K315" i="5"/>
  <c r="M315" i="4"/>
  <c r="M315" i="5"/>
  <c r="R315" i="6"/>
  <c r="P315" i="6"/>
  <c r="N315" i="4"/>
  <c r="N315" i="5"/>
  <c r="E315" i="4"/>
  <c r="E315" i="5"/>
  <c r="F315" i="4"/>
  <c r="F315" i="5"/>
  <c r="P315" i="4"/>
  <c r="P315" i="5"/>
  <c r="N315" i="6"/>
  <c r="R315" i="4"/>
  <c r="R315" i="5"/>
  <c r="V315" i="6"/>
  <c r="I315" i="4"/>
  <c r="I315" i="5"/>
  <c r="G315" i="6"/>
  <c r="T315" i="4"/>
  <c r="T315" i="5"/>
  <c r="H315" i="4"/>
  <c r="H315" i="5"/>
  <c r="D315" i="6"/>
  <c r="G315" i="4"/>
  <c r="G315" i="5"/>
  <c r="U315" i="4"/>
  <c r="U315" i="5"/>
  <c r="I315" i="6"/>
  <c r="S315" i="6"/>
  <c r="T315" i="6"/>
  <c r="L315" i="4"/>
  <c r="L315" i="5"/>
  <c r="V315" i="4"/>
  <c r="V315" i="5"/>
  <c r="D315" i="4"/>
  <c r="D315" i="5"/>
  <c r="E315" i="6"/>
  <c r="H315" i="6"/>
  <c r="J315" i="4"/>
  <c r="J315" i="5"/>
  <c r="J315" i="6"/>
  <c r="F315" i="6"/>
  <c r="L315" i="6"/>
  <c r="Q315" i="6"/>
  <c r="O315" i="4"/>
  <c r="O315" i="5"/>
  <c r="O315" i="6"/>
  <c r="S315" i="4"/>
  <c r="S315" i="5"/>
  <c r="K315" i="6"/>
  <c r="Q315" i="4"/>
  <c r="Q315" i="5"/>
  <c r="M315" i="6"/>
  <c r="U315" i="6"/>
  <c r="J356" i="6"/>
  <c r="R356" i="4"/>
  <c r="R356" i="5"/>
  <c r="H356" i="6"/>
  <c r="L356" i="4"/>
  <c r="L356" i="5"/>
  <c r="Q356" i="6"/>
  <c r="U356" i="4"/>
  <c r="U356" i="5"/>
  <c r="Q356" i="4"/>
  <c r="Q356" i="5"/>
  <c r="S356" i="6"/>
  <c r="S356" i="4"/>
  <c r="S356" i="5"/>
  <c r="N356" i="6"/>
  <c r="H356" i="4"/>
  <c r="H356" i="5"/>
  <c r="L356" i="6"/>
  <c r="F356" i="6"/>
  <c r="N356" i="4"/>
  <c r="N356" i="5"/>
  <c r="P356" i="4"/>
  <c r="P356" i="5"/>
  <c r="D356" i="4"/>
  <c r="D356" i="5"/>
  <c r="M356" i="4"/>
  <c r="M356" i="5"/>
  <c r="I356" i="6"/>
  <c r="M356" i="6"/>
  <c r="K356" i="6"/>
  <c r="G356" i="4"/>
  <c r="G356" i="5"/>
  <c r="O356" i="4"/>
  <c r="O356" i="5"/>
  <c r="E356" i="6"/>
  <c r="E356" i="4"/>
  <c r="E356" i="5"/>
  <c r="P356" i="6"/>
  <c r="O356" i="6"/>
  <c r="T356" i="6"/>
  <c r="R356" i="6"/>
  <c r="T356" i="4"/>
  <c r="T356" i="5"/>
  <c r="J356" i="4"/>
  <c r="J356" i="5"/>
  <c r="F356" i="4"/>
  <c r="F356" i="5"/>
  <c r="I356" i="4"/>
  <c r="I356" i="5"/>
  <c r="D356" i="6"/>
  <c r="K356" i="4"/>
  <c r="K356" i="5"/>
  <c r="G356" i="6"/>
  <c r="U356" i="6"/>
  <c r="V356" i="6"/>
  <c r="V356" i="4"/>
  <c r="V356" i="5"/>
  <c r="G452" i="4"/>
  <c r="G452" i="5"/>
  <c r="S452" i="4"/>
  <c r="S452" i="5"/>
  <c r="K452" i="6"/>
  <c r="Q452" i="4"/>
  <c r="Q452" i="5"/>
  <c r="U452" i="4"/>
  <c r="U452" i="5"/>
  <c r="D452" i="4"/>
  <c r="D452" i="5"/>
  <c r="O452" i="6"/>
  <c r="M452" i="4"/>
  <c r="M452" i="5"/>
  <c r="E452" i="6"/>
  <c r="U452" i="6"/>
  <c r="T452" i="4"/>
  <c r="T452" i="5"/>
  <c r="L452" i="6"/>
  <c r="V452" i="4"/>
  <c r="V452" i="5"/>
  <c r="R452" i="4"/>
  <c r="R452" i="5"/>
  <c r="P452" i="4"/>
  <c r="P452" i="5"/>
  <c r="N452" i="4"/>
  <c r="N452" i="5"/>
  <c r="F452" i="4"/>
  <c r="F452" i="5"/>
  <c r="N452" i="6"/>
  <c r="F452" i="6"/>
  <c r="I452" i="6"/>
  <c r="I452" i="4"/>
  <c r="I452" i="5"/>
  <c r="Q452" i="6"/>
  <c r="K452" i="4"/>
  <c r="K452" i="5"/>
  <c r="E452" i="4"/>
  <c r="E452" i="5"/>
  <c r="O452" i="4"/>
  <c r="O452" i="5"/>
  <c r="D452" i="6"/>
  <c r="M452" i="6"/>
  <c r="S452" i="6"/>
  <c r="G452" i="6"/>
  <c r="H452" i="6"/>
  <c r="V452" i="6"/>
  <c r="P452" i="6"/>
  <c r="J452" i="4"/>
  <c r="J452" i="5"/>
  <c r="T452" i="6"/>
  <c r="L452" i="4"/>
  <c r="L452" i="5"/>
  <c r="J452" i="6"/>
  <c r="R452" i="6"/>
  <c r="H452" i="4"/>
  <c r="H452" i="5"/>
  <c r="D290" i="6"/>
  <c r="G290" i="4"/>
  <c r="G290" i="5"/>
  <c r="U290" i="6"/>
  <c r="D290" i="4"/>
  <c r="D290" i="5"/>
  <c r="H290" i="4"/>
  <c r="H290" i="5"/>
  <c r="Q290" i="4"/>
  <c r="Q290" i="5"/>
  <c r="L290" i="4"/>
  <c r="L290" i="5"/>
  <c r="U290" i="4"/>
  <c r="U290" i="5"/>
  <c r="P290" i="4"/>
  <c r="P290" i="5"/>
  <c r="F290" i="4"/>
  <c r="F290" i="5"/>
  <c r="I290" i="4"/>
  <c r="I290" i="5"/>
  <c r="N290" i="4"/>
  <c r="N290" i="5"/>
  <c r="R290" i="4"/>
  <c r="R290" i="5"/>
  <c r="G290" i="6"/>
  <c r="P290" i="6"/>
  <c r="H290" i="6"/>
  <c r="Q290" i="6"/>
  <c r="M290" i="4"/>
  <c r="M290" i="5"/>
  <c r="N290" i="6"/>
  <c r="F290" i="6"/>
  <c r="I290" i="6"/>
  <c r="T290" i="4"/>
  <c r="T290" i="5"/>
  <c r="V290" i="4"/>
  <c r="V290" i="5"/>
  <c r="L290" i="6"/>
  <c r="R290" i="6"/>
  <c r="M290" i="6"/>
  <c r="T290" i="6"/>
  <c r="J290" i="4"/>
  <c r="J290" i="5"/>
  <c r="J290" i="6"/>
  <c r="V290" i="6"/>
  <c r="Q488" i="6"/>
  <c r="R488" i="6"/>
  <c r="U488" i="4"/>
  <c r="U488" i="5"/>
  <c r="K488" i="6"/>
  <c r="E488" i="6"/>
  <c r="S488" i="6"/>
  <c r="S488" i="4"/>
  <c r="S488" i="5"/>
  <c r="D488" i="4"/>
  <c r="D488" i="5"/>
  <c r="D488" i="6"/>
  <c r="Q488" i="4"/>
  <c r="Q488" i="5"/>
  <c r="F488" i="4"/>
  <c r="F488" i="5"/>
  <c r="F488" i="6"/>
  <c r="P488" i="4"/>
  <c r="P488" i="5"/>
  <c r="K488" i="4"/>
  <c r="K488" i="5"/>
  <c r="I488" i="4"/>
  <c r="I488" i="5"/>
  <c r="I488" i="6"/>
  <c r="P488" i="6"/>
  <c r="E488" i="4"/>
  <c r="E488" i="5"/>
  <c r="M488" i="6"/>
  <c r="O488" i="6"/>
  <c r="G488" i="6"/>
  <c r="O488" i="4"/>
  <c r="O488" i="5"/>
  <c r="G488" i="4"/>
  <c r="G488" i="5"/>
  <c r="M488" i="4"/>
  <c r="M488" i="5"/>
  <c r="U488" i="6"/>
  <c r="R488" i="4"/>
  <c r="R488" i="5"/>
  <c r="P148" i="6"/>
  <c r="V148" i="4"/>
  <c r="V148" i="5"/>
  <c r="N148" i="6"/>
  <c r="G148" i="6"/>
  <c r="E148" i="4"/>
  <c r="E148" i="5"/>
  <c r="M148" i="4"/>
  <c r="M148" i="5"/>
  <c r="E148" i="6"/>
  <c r="U148" i="6"/>
  <c r="L148" i="6"/>
  <c r="I148" i="6"/>
  <c r="K148" i="6"/>
  <c r="G148" i="4"/>
  <c r="G148" i="5"/>
  <c r="T148" i="4"/>
  <c r="T148" i="5"/>
  <c r="R148" i="4"/>
  <c r="R148" i="5"/>
  <c r="F148" i="4"/>
  <c r="F148" i="5"/>
  <c r="T148" i="6"/>
  <c r="F148" i="6"/>
  <c r="V148" i="6"/>
  <c r="O148" i="4"/>
  <c r="O148" i="5"/>
  <c r="O148" i="6"/>
  <c r="I148" i="4"/>
  <c r="I148" i="5"/>
  <c r="S148" i="4"/>
  <c r="S148" i="5"/>
  <c r="M148" i="6"/>
  <c r="J148" i="6"/>
  <c r="S148" i="6"/>
  <c r="D148" i="4"/>
  <c r="D148" i="5"/>
  <c r="K148" i="4"/>
  <c r="K148" i="5"/>
  <c r="U148" i="4"/>
  <c r="U148" i="5"/>
  <c r="P148" i="4"/>
  <c r="P148" i="5"/>
  <c r="H148" i="4"/>
  <c r="H148" i="5"/>
  <c r="D148" i="6"/>
  <c r="Q148" i="6"/>
  <c r="Q148" i="4"/>
  <c r="Q148" i="5"/>
  <c r="L148" i="4"/>
  <c r="L148" i="5"/>
  <c r="H148" i="6"/>
  <c r="N148" i="4"/>
  <c r="N148" i="5"/>
  <c r="J148" i="4"/>
  <c r="J148" i="5"/>
  <c r="R148" i="6"/>
  <c r="U221" i="6"/>
  <c r="S221" i="4"/>
  <c r="S221" i="5"/>
  <c r="E221" i="4"/>
  <c r="E221" i="5"/>
  <c r="G221" i="6"/>
  <c r="Q221" i="6"/>
  <c r="F221" i="4"/>
  <c r="F221" i="5"/>
  <c r="R221" i="6"/>
  <c r="V221" i="4"/>
  <c r="V221" i="5"/>
  <c r="H221" i="4"/>
  <c r="H221" i="5"/>
  <c r="G221" i="4"/>
  <c r="G221" i="5"/>
  <c r="O221" i="4"/>
  <c r="O221" i="5"/>
  <c r="V221" i="6"/>
  <c r="F221" i="6"/>
  <c r="M221" i="4"/>
  <c r="M221" i="5"/>
  <c r="S221" i="6"/>
  <c r="E221" i="6"/>
  <c r="I221" i="4"/>
  <c r="I221" i="5"/>
  <c r="I221" i="6"/>
  <c r="U221" i="4"/>
  <c r="U221" i="5"/>
  <c r="Q221" i="4"/>
  <c r="Q221" i="5"/>
  <c r="D221" i="4"/>
  <c r="D221" i="5"/>
  <c r="H221" i="6"/>
  <c r="P221" i="6"/>
  <c r="D221" i="6"/>
  <c r="M221" i="6"/>
  <c r="R221" i="4"/>
  <c r="R221" i="5"/>
  <c r="O221" i="6"/>
  <c r="P221" i="4"/>
  <c r="P221" i="5"/>
  <c r="K221" i="4"/>
  <c r="K221" i="5"/>
  <c r="K221" i="6"/>
  <c r="E411" i="4"/>
  <c r="E411" i="5"/>
  <c r="O411" i="4"/>
  <c r="O411" i="5"/>
  <c r="L411" i="4"/>
  <c r="L411" i="5"/>
  <c r="P411" i="4"/>
  <c r="P411" i="5"/>
  <c r="T411" i="6"/>
  <c r="F411" i="6"/>
  <c r="M411" i="6"/>
  <c r="S411" i="4"/>
  <c r="S411" i="5"/>
  <c r="G411" i="6"/>
  <c r="S411" i="6"/>
  <c r="G411" i="4"/>
  <c r="G411" i="5"/>
  <c r="Q411" i="4"/>
  <c r="Q411" i="5"/>
  <c r="U411" i="6"/>
  <c r="M411" i="4"/>
  <c r="M411" i="5"/>
  <c r="H411" i="4"/>
  <c r="H411" i="5"/>
  <c r="T411" i="4"/>
  <c r="T411" i="5"/>
  <c r="R411" i="4"/>
  <c r="R411" i="5"/>
  <c r="V411" i="4"/>
  <c r="V411" i="5"/>
  <c r="N411" i="4"/>
  <c r="N411" i="5"/>
  <c r="F411" i="4"/>
  <c r="F411" i="5"/>
  <c r="V411" i="6"/>
  <c r="N411" i="6"/>
  <c r="D411" i="4"/>
  <c r="D411" i="5"/>
  <c r="L411" i="6"/>
  <c r="I411" i="4"/>
  <c r="I411" i="5"/>
  <c r="J411" i="6"/>
  <c r="I411" i="6"/>
  <c r="K411" i="6"/>
  <c r="K411" i="4"/>
  <c r="K411" i="5"/>
  <c r="Q411" i="6"/>
  <c r="O411" i="6"/>
  <c r="J411" i="4"/>
  <c r="J411" i="5"/>
  <c r="P411" i="6"/>
  <c r="D411" i="6"/>
  <c r="H411" i="6"/>
  <c r="R411" i="6"/>
  <c r="E411" i="6"/>
  <c r="U411" i="4"/>
  <c r="U411" i="5"/>
  <c r="J26" i="4"/>
  <c r="J26" i="5"/>
  <c r="S26" i="4"/>
  <c r="S26" i="5"/>
  <c r="E26" i="6"/>
  <c r="V26" i="4"/>
  <c r="V26" i="5"/>
  <c r="M26" i="6"/>
  <c r="K26" i="6"/>
  <c r="O26" i="4"/>
  <c r="O26" i="5"/>
  <c r="K26" i="4"/>
  <c r="K26" i="5"/>
  <c r="G26" i="6"/>
  <c r="G26" i="4"/>
  <c r="G26" i="5"/>
  <c r="Q26" i="6"/>
  <c r="I26" i="4"/>
  <c r="I26" i="5"/>
  <c r="T26" i="4"/>
  <c r="T26" i="5"/>
  <c r="S26" i="6"/>
  <c r="L26" i="6"/>
  <c r="U26" i="6"/>
  <c r="V26" i="6"/>
  <c r="I26" i="6"/>
  <c r="R26" i="4"/>
  <c r="R26" i="5"/>
  <c r="D26" i="4"/>
  <c r="D26" i="5"/>
  <c r="F26" i="6"/>
  <c r="Q26" i="4"/>
  <c r="Q26" i="5"/>
  <c r="T26" i="6"/>
  <c r="J26" i="6"/>
  <c r="L26" i="4"/>
  <c r="L26" i="5"/>
  <c r="P26" i="4"/>
  <c r="P26" i="5"/>
  <c r="N26" i="4"/>
  <c r="N26" i="5"/>
  <c r="E26" i="4"/>
  <c r="E26" i="5"/>
  <c r="D26" i="6"/>
  <c r="F26" i="4"/>
  <c r="F26" i="5"/>
  <c r="M26" i="4"/>
  <c r="M26" i="5"/>
  <c r="P26" i="6"/>
  <c r="H26" i="4"/>
  <c r="H26" i="5"/>
  <c r="H26" i="6"/>
  <c r="U26" i="4"/>
  <c r="U26" i="5"/>
  <c r="O26" i="6"/>
  <c r="R26" i="6"/>
  <c r="N26" i="6"/>
  <c r="J310" i="6"/>
  <c r="H310" i="6"/>
  <c r="N310" i="4"/>
  <c r="N310" i="5"/>
  <c r="P310" i="4"/>
  <c r="P310" i="5"/>
  <c r="P310" i="6"/>
  <c r="T310" i="6"/>
  <c r="V310" i="6"/>
  <c r="I310" i="4"/>
  <c r="I310" i="5"/>
  <c r="O310" i="4"/>
  <c r="O310" i="5"/>
  <c r="U310" i="6"/>
  <c r="K310" i="6"/>
  <c r="R310" i="6"/>
  <c r="F310" i="6"/>
  <c r="H310" i="4"/>
  <c r="H310" i="5"/>
  <c r="L310" i="4"/>
  <c r="L310" i="5"/>
  <c r="L310" i="6"/>
  <c r="N310" i="6"/>
  <c r="T310" i="4"/>
  <c r="T310" i="5"/>
  <c r="R310" i="4"/>
  <c r="R310" i="5"/>
  <c r="S310" i="6"/>
  <c r="E310" i="4"/>
  <c r="E310" i="5"/>
  <c r="M310" i="4"/>
  <c r="M310" i="5"/>
  <c r="G310" i="4"/>
  <c r="G310" i="5"/>
  <c r="U310" i="4"/>
  <c r="U310" i="5"/>
  <c r="M310" i="6"/>
  <c r="O310" i="6"/>
  <c r="D310" i="6"/>
  <c r="I310" i="6"/>
  <c r="K310" i="4"/>
  <c r="K310" i="5"/>
  <c r="Q310" i="6"/>
  <c r="V310" i="4"/>
  <c r="V310" i="5"/>
  <c r="F310" i="4"/>
  <c r="F310" i="5"/>
  <c r="D310" i="4"/>
  <c r="D310" i="5"/>
  <c r="Q310" i="4"/>
  <c r="Q310" i="5"/>
  <c r="E310" i="6"/>
  <c r="S310" i="4"/>
  <c r="S310" i="5"/>
  <c r="G310" i="6"/>
  <c r="J310" i="4"/>
  <c r="J310" i="5"/>
  <c r="H523" i="4"/>
  <c r="H523" i="5"/>
  <c r="T523" i="6"/>
  <c r="L523" i="6"/>
  <c r="T523" i="4"/>
  <c r="T523" i="5"/>
  <c r="P523" i="4"/>
  <c r="P523" i="5"/>
  <c r="L523" i="4"/>
  <c r="L523" i="5"/>
  <c r="K523" i="4"/>
  <c r="K523" i="5"/>
  <c r="S523" i="4"/>
  <c r="S523" i="5"/>
  <c r="I523" i="6"/>
  <c r="D523" i="6"/>
  <c r="O523" i="6"/>
  <c r="K523" i="6"/>
  <c r="N523" i="4"/>
  <c r="N523" i="5"/>
  <c r="R523" i="6"/>
  <c r="J523" i="6"/>
  <c r="E523" i="4"/>
  <c r="E523" i="5"/>
  <c r="I523" i="4"/>
  <c r="I523" i="5"/>
  <c r="M523" i="4"/>
  <c r="M523" i="5"/>
  <c r="Q523" i="4"/>
  <c r="Q523" i="5"/>
  <c r="U523" i="4"/>
  <c r="U523" i="5"/>
  <c r="E523" i="6"/>
  <c r="M523" i="6"/>
  <c r="U523" i="6"/>
  <c r="G523" i="6"/>
  <c r="F523" i="6"/>
  <c r="P523" i="6"/>
  <c r="S523" i="6"/>
  <c r="H523" i="6"/>
  <c r="R523" i="4"/>
  <c r="R523" i="5"/>
  <c r="J523" i="4"/>
  <c r="J523" i="5"/>
  <c r="G523" i="4"/>
  <c r="G523" i="5"/>
  <c r="O523" i="4"/>
  <c r="O523" i="5"/>
  <c r="D523" i="4"/>
  <c r="D523" i="5"/>
  <c r="Q523" i="6"/>
  <c r="V523" i="6"/>
  <c r="N523" i="6"/>
  <c r="V523" i="4"/>
  <c r="V523" i="5"/>
  <c r="F523" i="4"/>
  <c r="F523" i="5"/>
  <c r="N61" i="6"/>
  <c r="P61" i="4"/>
  <c r="P61" i="5"/>
  <c r="Q61" i="4"/>
  <c r="Q61" i="5"/>
  <c r="R61" i="4"/>
  <c r="R61" i="5"/>
  <c r="U61" i="4"/>
  <c r="U61" i="5"/>
  <c r="L61" i="4"/>
  <c r="L61" i="5"/>
  <c r="V61" i="4"/>
  <c r="V61" i="5"/>
  <c r="P61" i="6"/>
  <c r="H61" i="4"/>
  <c r="H61" i="5"/>
  <c r="D61" i="6"/>
  <c r="G61" i="4"/>
  <c r="G61" i="5"/>
  <c r="O61" i="4"/>
  <c r="O61" i="5"/>
  <c r="D61" i="4"/>
  <c r="D61" i="5"/>
  <c r="O61" i="6"/>
  <c r="V61" i="6"/>
  <c r="S61" i="6"/>
  <c r="S61" i="4"/>
  <c r="S61" i="5"/>
  <c r="T61" i="6"/>
  <c r="J61" i="4"/>
  <c r="J61" i="5"/>
  <c r="G61" i="6"/>
  <c r="R61" i="6"/>
  <c r="H61" i="6"/>
  <c r="Q61" i="6"/>
  <c r="F61" i="4"/>
  <c r="F61" i="5"/>
  <c r="L61" i="6"/>
  <c r="T61" i="4"/>
  <c r="T61" i="5"/>
  <c r="J61" i="6"/>
  <c r="N61" i="4"/>
  <c r="N61" i="5"/>
  <c r="U61" i="6"/>
  <c r="F61" i="6"/>
  <c r="H35" i="6"/>
  <c r="N35" i="6"/>
  <c r="P35" i="4"/>
  <c r="P35" i="5"/>
  <c r="K35" i="6"/>
  <c r="K35" i="4"/>
  <c r="K35" i="5"/>
  <c r="V35" i="4"/>
  <c r="V35" i="5"/>
  <c r="S35" i="4"/>
  <c r="S35" i="5"/>
  <c r="T35" i="6"/>
  <c r="H35" i="4"/>
  <c r="H35" i="5"/>
  <c r="N35" i="4"/>
  <c r="N35" i="5"/>
  <c r="Q35" i="4"/>
  <c r="Q35" i="5"/>
  <c r="D35" i="6"/>
  <c r="O35" i="4"/>
  <c r="O35" i="5"/>
  <c r="D35" i="4"/>
  <c r="D35" i="5"/>
  <c r="O35" i="6"/>
  <c r="M35" i="4"/>
  <c r="M35" i="5"/>
  <c r="T35" i="4"/>
  <c r="T35" i="5"/>
  <c r="Q35" i="6"/>
  <c r="I35" i="6"/>
  <c r="E35" i="4"/>
  <c r="E35" i="5"/>
  <c r="J35" i="4"/>
  <c r="J35" i="5"/>
  <c r="L35" i="4"/>
  <c r="L35" i="5"/>
  <c r="S35" i="6"/>
  <c r="V35" i="6"/>
  <c r="M35" i="6"/>
  <c r="P35" i="6"/>
  <c r="I35" i="4"/>
  <c r="I35" i="5"/>
  <c r="E35" i="6"/>
  <c r="J35" i="6"/>
  <c r="L35" i="6"/>
  <c r="S124" i="4"/>
  <c r="S124" i="5"/>
  <c r="O124" i="6"/>
  <c r="J124" i="6"/>
  <c r="Q124" i="4"/>
  <c r="Q124" i="5"/>
  <c r="O124" i="4"/>
  <c r="O124" i="5"/>
  <c r="J124" i="4"/>
  <c r="J124" i="5"/>
  <c r="Q124" i="6"/>
  <c r="G124" i="4"/>
  <c r="G124" i="5"/>
  <c r="D124" i="6"/>
  <c r="T124" i="6"/>
  <c r="M124" i="6"/>
  <c r="M124" i="4"/>
  <c r="M124" i="5"/>
  <c r="K124" i="4"/>
  <c r="K124" i="5"/>
  <c r="G124" i="6"/>
  <c r="S124" i="6"/>
  <c r="U124" i="4"/>
  <c r="U124" i="5"/>
  <c r="L124" i="4"/>
  <c r="L124" i="5"/>
  <c r="N124" i="4"/>
  <c r="N124" i="5"/>
  <c r="F124" i="6"/>
  <c r="F124" i="4"/>
  <c r="F124" i="5"/>
  <c r="H124" i="4"/>
  <c r="H124" i="5"/>
  <c r="N124" i="6"/>
  <c r="H124" i="6"/>
  <c r="R124" i="4"/>
  <c r="R124" i="5"/>
  <c r="U124" i="6"/>
  <c r="I124" i="4"/>
  <c r="I124" i="5"/>
  <c r="V124" i="6"/>
  <c r="D124" i="4"/>
  <c r="D124" i="5"/>
  <c r="K124" i="6"/>
  <c r="E124" i="4"/>
  <c r="E124" i="5"/>
  <c r="I124" i="6"/>
  <c r="V124" i="4"/>
  <c r="V124" i="5"/>
  <c r="T124" i="4"/>
  <c r="T124" i="5"/>
  <c r="R124" i="6"/>
  <c r="P124" i="4"/>
  <c r="P124" i="5"/>
  <c r="P124" i="6"/>
  <c r="E124" i="6"/>
  <c r="L124" i="6"/>
  <c r="V164" i="4"/>
  <c r="V164" i="5"/>
  <c r="I164" i="4"/>
  <c r="I164" i="5"/>
  <c r="E164" i="4"/>
  <c r="E164" i="5"/>
  <c r="E164" i="6"/>
  <c r="H164" i="4"/>
  <c r="H164" i="5"/>
  <c r="R164" i="4"/>
  <c r="R164" i="5"/>
  <c r="T164" i="4"/>
  <c r="T164" i="5"/>
  <c r="V164" i="6"/>
  <c r="G164" i="4"/>
  <c r="G164" i="5"/>
  <c r="H164" i="6"/>
  <c r="R164" i="6"/>
  <c r="T164" i="6"/>
  <c r="N164" i="6"/>
  <c r="F164" i="4"/>
  <c r="F164" i="5"/>
  <c r="P164" i="4"/>
  <c r="P164" i="5"/>
  <c r="J164" i="6"/>
  <c r="K164" i="4"/>
  <c r="K164" i="5"/>
  <c r="M164" i="6"/>
  <c r="O164" i="6"/>
  <c r="S164" i="6"/>
  <c r="U164" i="6"/>
  <c r="U164" i="4"/>
  <c r="U164" i="5"/>
  <c r="F164" i="6"/>
  <c r="P164" i="6"/>
  <c r="L164" i="4"/>
  <c r="L164" i="5"/>
  <c r="J164" i="4"/>
  <c r="J164" i="5"/>
  <c r="D164" i="4"/>
  <c r="D164" i="5"/>
  <c r="O164" i="4"/>
  <c r="O164" i="5"/>
  <c r="G164" i="6"/>
  <c r="S164" i="4"/>
  <c r="S164" i="5"/>
  <c r="D164" i="6"/>
  <c r="M164" i="4"/>
  <c r="M164" i="5"/>
  <c r="Q164" i="4"/>
  <c r="Q164" i="5"/>
  <c r="I164" i="6"/>
  <c r="K164" i="6"/>
  <c r="Q164" i="6"/>
  <c r="L164" i="6"/>
  <c r="N164" i="4"/>
  <c r="N164" i="5"/>
  <c r="D246" i="4"/>
  <c r="D246" i="5"/>
  <c r="F246" i="6"/>
  <c r="O246" i="6"/>
  <c r="G246" i="6"/>
  <c r="V246" i="6"/>
  <c r="S246" i="6"/>
  <c r="K246" i="6"/>
  <c r="V246" i="4"/>
  <c r="V246" i="5"/>
  <c r="N246" i="4"/>
  <c r="N246" i="5"/>
  <c r="F246" i="4"/>
  <c r="F246" i="5"/>
  <c r="S246" i="4"/>
  <c r="S246" i="5"/>
  <c r="O246" i="4"/>
  <c r="O246" i="5"/>
  <c r="K246" i="4"/>
  <c r="K246" i="5"/>
  <c r="G246" i="4"/>
  <c r="G246" i="5"/>
  <c r="P246" i="6"/>
  <c r="L246" i="6"/>
  <c r="N246" i="6"/>
  <c r="T246" i="6"/>
  <c r="H246" i="6"/>
  <c r="R246" i="6"/>
  <c r="J246" i="6"/>
  <c r="E246" i="4"/>
  <c r="E246" i="5"/>
  <c r="M246" i="4"/>
  <c r="M246" i="5"/>
  <c r="U246" i="4"/>
  <c r="U246" i="5"/>
  <c r="R246" i="4"/>
  <c r="R246" i="5"/>
  <c r="I246" i="6"/>
  <c r="Q246" i="6"/>
  <c r="D246" i="6"/>
  <c r="L246" i="4"/>
  <c r="L246" i="5"/>
  <c r="T246" i="4"/>
  <c r="T246" i="5"/>
  <c r="I246" i="4"/>
  <c r="I246" i="5"/>
  <c r="Q246" i="4"/>
  <c r="Q246" i="5"/>
  <c r="J246" i="4"/>
  <c r="J246" i="5"/>
  <c r="E246" i="6"/>
  <c r="M246" i="6"/>
  <c r="U246" i="6"/>
  <c r="H246" i="4"/>
  <c r="H246" i="5"/>
  <c r="P246" i="4"/>
  <c r="P246" i="5"/>
  <c r="F277" i="4"/>
  <c r="F277" i="5"/>
  <c r="J277" i="4"/>
  <c r="J277" i="5"/>
  <c r="V277" i="4"/>
  <c r="V277" i="5"/>
  <c r="D277" i="4"/>
  <c r="D277" i="5"/>
  <c r="H277" i="4"/>
  <c r="H277" i="5"/>
  <c r="L277" i="4"/>
  <c r="L277" i="5"/>
  <c r="P277" i="4"/>
  <c r="P277" i="5"/>
  <c r="T277" i="4"/>
  <c r="T277" i="5"/>
  <c r="H277" i="6"/>
  <c r="P277" i="6"/>
  <c r="L277" i="6"/>
  <c r="T277" i="6"/>
  <c r="M277" i="4"/>
  <c r="M277" i="5"/>
  <c r="I277" i="6"/>
  <c r="E277" i="4"/>
  <c r="E277" i="5"/>
  <c r="E277" i="6"/>
  <c r="Q277" i="6"/>
  <c r="O277" i="4"/>
  <c r="O277" i="5"/>
  <c r="S277" i="4"/>
  <c r="S277" i="5"/>
  <c r="S277" i="6"/>
  <c r="Q277" i="4"/>
  <c r="Q277" i="5"/>
  <c r="U277" i="4"/>
  <c r="U277" i="5"/>
  <c r="U277" i="6"/>
  <c r="I277" i="4"/>
  <c r="I277" i="5"/>
  <c r="O277" i="6"/>
  <c r="K277" i="6"/>
  <c r="M277" i="6"/>
  <c r="G277" i="4"/>
  <c r="G277" i="5"/>
  <c r="G277" i="6"/>
  <c r="K277" i="4"/>
  <c r="K277" i="5"/>
  <c r="R277" i="6"/>
  <c r="R277" i="4"/>
  <c r="R277" i="5"/>
  <c r="N277" i="6"/>
  <c r="J277" i="6"/>
  <c r="V277" i="6"/>
  <c r="D277" i="6"/>
  <c r="F277" i="6"/>
  <c r="N277" i="4"/>
  <c r="N277" i="5"/>
  <c r="T536" i="4"/>
  <c r="T536" i="5"/>
  <c r="P536" i="4"/>
  <c r="P536" i="5"/>
  <c r="L536" i="4"/>
  <c r="L536" i="5"/>
  <c r="H536" i="4"/>
  <c r="H536" i="5"/>
  <c r="D536" i="4"/>
  <c r="D536" i="5"/>
  <c r="R536" i="6"/>
  <c r="J536" i="6"/>
  <c r="T536" i="6"/>
  <c r="L536" i="6"/>
  <c r="D536" i="6"/>
  <c r="V536" i="4"/>
  <c r="V536" i="5"/>
  <c r="R536" i="4"/>
  <c r="R536" i="5"/>
  <c r="N536" i="4"/>
  <c r="N536" i="5"/>
  <c r="J536" i="4"/>
  <c r="J536" i="5"/>
  <c r="F536" i="4"/>
  <c r="F536" i="5"/>
  <c r="V536" i="6"/>
  <c r="N536" i="6"/>
  <c r="F536" i="6"/>
  <c r="P536" i="6"/>
  <c r="H536" i="6"/>
  <c r="S536" i="4"/>
  <c r="S536" i="5"/>
  <c r="K536" i="4"/>
  <c r="K536" i="5"/>
  <c r="G536" i="4"/>
  <c r="G536" i="5"/>
  <c r="O536" i="4"/>
  <c r="O536" i="5"/>
  <c r="O536" i="6"/>
  <c r="G536" i="6"/>
  <c r="Q536" i="4"/>
  <c r="Q536" i="5"/>
  <c r="Q536" i="6"/>
  <c r="I536" i="6"/>
  <c r="I536" i="4"/>
  <c r="I536" i="5"/>
  <c r="E536" i="4"/>
  <c r="E536" i="5"/>
  <c r="E536" i="6"/>
  <c r="U536" i="4"/>
  <c r="U536" i="5"/>
  <c r="U536" i="6"/>
  <c r="M536" i="6"/>
  <c r="K536" i="6"/>
  <c r="M536" i="4"/>
  <c r="M536" i="5"/>
  <c r="S536" i="6"/>
  <c r="Q11" i="4"/>
  <c r="Q11" i="5"/>
  <c r="V11" i="6"/>
  <c r="L11" i="4"/>
  <c r="L11" i="5"/>
  <c r="D11" i="4"/>
  <c r="D11" i="5"/>
  <c r="G11" i="6"/>
  <c r="H11" i="6"/>
  <c r="P11" i="4"/>
  <c r="P11" i="5"/>
  <c r="N11" i="6"/>
  <c r="R11" i="6"/>
  <c r="P11" i="6"/>
  <c r="I11" i="4"/>
  <c r="I11" i="5"/>
  <c r="H11" i="4"/>
  <c r="H11" i="5"/>
  <c r="T11" i="4"/>
  <c r="T11" i="5"/>
  <c r="J11" i="4"/>
  <c r="J11" i="5"/>
  <c r="N11" i="4"/>
  <c r="N11" i="5"/>
  <c r="R11" i="4"/>
  <c r="R11" i="5"/>
  <c r="V11" i="4"/>
  <c r="V11" i="5"/>
  <c r="T11" i="6"/>
  <c r="U11" i="4"/>
  <c r="U11" i="5"/>
  <c r="K11" i="6"/>
  <c r="E11" i="4"/>
  <c r="E11" i="5"/>
  <c r="F11" i="6"/>
  <c r="O11" i="4"/>
  <c r="O11" i="5"/>
  <c r="O11" i="6"/>
  <c r="I11" i="6"/>
  <c r="M11" i="4"/>
  <c r="M11" i="5"/>
  <c r="M11" i="6"/>
  <c r="D11" i="6"/>
  <c r="G11" i="4"/>
  <c r="G11" i="5"/>
  <c r="J11" i="6"/>
  <c r="L11" i="6"/>
  <c r="U11" i="6"/>
  <c r="K11" i="4"/>
  <c r="K11" i="5"/>
  <c r="E11" i="6"/>
  <c r="F11" i="4"/>
  <c r="F11" i="5"/>
  <c r="S11" i="4"/>
  <c r="S11" i="5"/>
  <c r="Q11" i="6"/>
  <c r="S11" i="6"/>
  <c r="K175" i="6"/>
  <c r="U175" i="6"/>
  <c r="U175" i="4"/>
  <c r="U175" i="5"/>
  <c r="S175" i="6"/>
  <c r="I175" i="6"/>
  <c r="G175" i="4"/>
  <c r="G175" i="5"/>
  <c r="E175" i="4"/>
  <c r="E175" i="5"/>
  <c r="Q175" i="6"/>
  <c r="M175" i="4"/>
  <c r="M175" i="5"/>
  <c r="O175" i="6"/>
  <c r="O175" i="4"/>
  <c r="O175" i="5"/>
  <c r="M175" i="6"/>
  <c r="G175" i="6"/>
  <c r="S175" i="4"/>
  <c r="S175" i="5"/>
  <c r="I175" i="4"/>
  <c r="I175" i="5"/>
  <c r="N175" i="4"/>
  <c r="N175" i="5"/>
  <c r="D175" i="4"/>
  <c r="D175" i="5"/>
  <c r="K175" i="4"/>
  <c r="K175" i="5"/>
  <c r="Q175" i="4"/>
  <c r="Q175" i="5"/>
  <c r="J175" i="4"/>
  <c r="J175" i="5"/>
  <c r="F175" i="6"/>
  <c r="J175" i="6"/>
  <c r="N175" i="6"/>
  <c r="T175" i="6"/>
  <c r="H175" i="6"/>
  <c r="L175" i="6"/>
  <c r="P175" i="6"/>
  <c r="R175" i="4"/>
  <c r="R175" i="5"/>
  <c r="V175" i="4"/>
  <c r="V175" i="5"/>
  <c r="V175" i="6"/>
  <c r="E175" i="6"/>
  <c r="R175" i="6"/>
  <c r="D175" i="6"/>
  <c r="H175" i="4"/>
  <c r="H175" i="5"/>
  <c r="T175" i="4"/>
  <c r="T175" i="5"/>
  <c r="F175" i="4"/>
  <c r="F175" i="5"/>
  <c r="P175" i="4"/>
  <c r="P175" i="5"/>
  <c r="L175" i="4"/>
  <c r="L175" i="5"/>
  <c r="U264" i="4"/>
  <c r="U264" i="5"/>
  <c r="Q264" i="4"/>
  <c r="Q264" i="5"/>
  <c r="E264" i="4"/>
  <c r="E264" i="5"/>
  <c r="D264" i="4"/>
  <c r="D264" i="5"/>
  <c r="U264" i="6"/>
  <c r="E264" i="6"/>
  <c r="O264" i="6"/>
  <c r="G264" i="6"/>
  <c r="M264" i="6"/>
  <c r="S264" i="6"/>
  <c r="K264" i="6"/>
  <c r="S264" i="4"/>
  <c r="S264" i="5"/>
  <c r="K264" i="4"/>
  <c r="K264" i="5"/>
  <c r="D264" i="6"/>
  <c r="O264" i="4"/>
  <c r="O264" i="5"/>
  <c r="G264" i="4"/>
  <c r="G264" i="5"/>
  <c r="T264" i="4"/>
  <c r="T264" i="5"/>
  <c r="H264" i="6"/>
  <c r="P264" i="4"/>
  <c r="P264" i="5"/>
  <c r="L264" i="4"/>
  <c r="L264" i="5"/>
  <c r="L264" i="6"/>
  <c r="F264" i="6"/>
  <c r="N264" i="4"/>
  <c r="N264" i="5"/>
  <c r="P264" i="6"/>
  <c r="F264" i="4"/>
  <c r="F264" i="5"/>
  <c r="V264" i="6"/>
  <c r="V264" i="4"/>
  <c r="V264" i="5"/>
  <c r="R264" i="6"/>
  <c r="J264" i="6"/>
  <c r="T264" i="6"/>
  <c r="N264" i="6"/>
  <c r="H264" i="4"/>
  <c r="H264" i="5"/>
  <c r="R264" i="4"/>
  <c r="R264" i="5"/>
  <c r="J264" i="4"/>
  <c r="J264" i="5"/>
  <c r="I264" i="6"/>
  <c r="M264" i="4"/>
  <c r="M264" i="5"/>
  <c r="I264" i="4"/>
  <c r="I264" i="5"/>
  <c r="Q264" i="6"/>
  <c r="G407" i="4"/>
  <c r="G407" i="5"/>
  <c r="D407" i="4"/>
  <c r="D407" i="5"/>
  <c r="Q407" i="6"/>
  <c r="O407" i="6"/>
  <c r="D407" i="6"/>
  <c r="I407" i="4"/>
  <c r="I407" i="5"/>
  <c r="Q407" i="4"/>
  <c r="Q407" i="5"/>
  <c r="E407" i="6"/>
  <c r="U407" i="6"/>
  <c r="S407" i="6"/>
  <c r="G407" i="6"/>
  <c r="J407" i="6"/>
  <c r="O407" i="4"/>
  <c r="O407" i="5"/>
  <c r="E407" i="4"/>
  <c r="E407" i="5"/>
  <c r="M407" i="4"/>
  <c r="M407" i="5"/>
  <c r="U407" i="4"/>
  <c r="U407" i="5"/>
  <c r="M407" i="6"/>
  <c r="K407" i="6"/>
  <c r="I407" i="6"/>
  <c r="S407" i="4"/>
  <c r="S407" i="5"/>
  <c r="K407" i="4"/>
  <c r="K407" i="5"/>
  <c r="J407" i="4"/>
  <c r="J407" i="5"/>
  <c r="L407" i="4"/>
  <c r="L407" i="5"/>
  <c r="T407" i="4"/>
  <c r="T407" i="5"/>
  <c r="V407" i="4"/>
  <c r="V407" i="5"/>
  <c r="H407" i="4"/>
  <c r="H407" i="5"/>
  <c r="N407" i="6"/>
  <c r="R407" i="4"/>
  <c r="R407" i="5"/>
  <c r="T407" i="6"/>
  <c r="H407" i="6"/>
  <c r="N407" i="4"/>
  <c r="N407" i="5"/>
  <c r="R407" i="6"/>
  <c r="F407" i="6"/>
  <c r="L407" i="6"/>
  <c r="F407" i="4"/>
  <c r="F407" i="5"/>
  <c r="P407" i="4"/>
  <c r="P407" i="5"/>
  <c r="P407" i="6"/>
  <c r="V407" i="6"/>
  <c r="D254" i="6"/>
  <c r="K254" i="4"/>
  <c r="K254" i="5"/>
  <c r="S254" i="4"/>
  <c r="S254" i="5"/>
  <c r="K254" i="6"/>
  <c r="S254" i="6"/>
  <c r="E254" i="6"/>
  <c r="M254" i="6"/>
  <c r="U254" i="6"/>
  <c r="G254" i="4"/>
  <c r="G254" i="5"/>
  <c r="O254" i="4"/>
  <c r="O254" i="5"/>
  <c r="G254" i="6"/>
  <c r="O254" i="6"/>
  <c r="D254" i="4"/>
  <c r="D254" i="5"/>
  <c r="I254" i="6"/>
  <c r="Q254" i="6"/>
  <c r="E254" i="4"/>
  <c r="E254" i="5"/>
  <c r="I254" i="4"/>
  <c r="I254" i="5"/>
  <c r="M254" i="4"/>
  <c r="M254" i="5"/>
  <c r="Q254" i="4"/>
  <c r="Q254" i="5"/>
  <c r="U254" i="4"/>
  <c r="U254" i="5"/>
  <c r="T254" i="4"/>
  <c r="T254" i="5"/>
  <c r="L254" i="4"/>
  <c r="L254" i="5"/>
  <c r="J254" i="6"/>
  <c r="R254" i="4"/>
  <c r="R254" i="5"/>
  <c r="J254" i="4"/>
  <c r="J254" i="5"/>
  <c r="L254" i="6"/>
  <c r="N254" i="4"/>
  <c r="N254" i="5"/>
  <c r="N254" i="6"/>
  <c r="P254" i="4"/>
  <c r="P254" i="5"/>
  <c r="H254" i="4"/>
  <c r="H254" i="5"/>
  <c r="H254" i="6"/>
  <c r="F254" i="6"/>
  <c r="R254" i="6"/>
  <c r="V254" i="4"/>
  <c r="V254" i="5"/>
  <c r="V254" i="6"/>
  <c r="P254" i="6"/>
  <c r="F254" i="4"/>
  <c r="F254" i="5"/>
  <c r="T254" i="6"/>
  <c r="S79" i="4"/>
  <c r="S79" i="5"/>
  <c r="G79" i="4"/>
  <c r="G79" i="5"/>
  <c r="K79" i="4"/>
  <c r="K79" i="5"/>
  <c r="G79" i="6"/>
  <c r="O79" i="4"/>
  <c r="O79" i="5"/>
  <c r="Q79" i="4"/>
  <c r="Q79" i="5"/>
  <c r="D79" i="4"/>
  <c r="D79" i="5"/>
  <c r="K79" i="6"/>
  <c r="E79" i="6"/>
  <c r="O79" i="6"/>
  <c r="E79" i="4"/>
  <c r="E79" i="5"/>
  <c r="T79" i="6"/>
  <c r="D79" i="6"/>
  <c r="Q79" i="6"/>
  <c r="I79" i="6"/>
  <c r="U79" i="6"/>
  <c r="U79" i="4"/>
  <c r="U79" i="5"/>
  <c r="I79" i="4"/>
  <c r="I79" i="5"/>
  <c r="S79" i="6"/>
  <c r="L79" i="6"/>
  <c r="H79" i="6"/>
  <c r="P79" i="4"/>
  <c r="P79" i="5"/>
  <c r="M79" i="4"/>
  <c r="M79" i="5"/>
  <c r="M79" i="6"/>
  <c r="L79" i="4"/>
  <c r="L79" i="5"/>
  <c r="H79" i="4"/>
  <c r="H79" i="5"/>
  <c r="P79" i="6"/>
  <c r="J79" i="6"/>
  <c r="N79" i="4"/>
  <c r="N79" i="5"/>
  <c r="R79" i="4"/>
  <c r="R79" i="5"/>
  <c r="R79" i="6"/>
  <c r="V79" i="6"/>
  <c r="F79" i="6"/>
  <c r="J79" i="4"/>
  <c r="J79" i="5"/>
  <c r="N79" i="6"/>
  <c r="V79" i="4"/>
  <c r="V79" i="5"/>
  <c r="F79" i="4"/>
  <c r="F79" i="5"/>
  <c r="T79" i="4"/>
  <c r="T79" i="5"/>
  <c r="I72" i="6"/>
  <c r="U72" i="6"/>
  <c r="E72" i="6"/>
  <c r="D72" i="4"/>
  <c r="D72" i="5"/>
  <c r="M72" i="6"/>
  <c r="Q72" i="6"/>
  <c r="O72" i="6"/>
  <c r="G72" i="6"/>
  <c r="S72" i="6"/>
  <c r="K72" i="6"/>
  <c r="O72" i="4"/>
  <c r="O72" i="5"/>
  <c r="K72" i="4"/>
  <c r="K72" i="5"/>
  <c r="I72" i="4"/>
  <c r="I72" i="5"/>
  <c r="E72" i="4"/>
  <c r="E72" i="5"/>
  <c r="G72" i="4"/>
  <c r="G72" i="5"/>
  <c r="D72" i="6"/>
  <c r="S72" i="4"/>
  <c r="S72" i="5"/>
  <c r="Q72" i="4"/>
  <c r="Q72" i="5"/>
  <c r="U72" i="4"/>
  <c r="U72" i="5"/>
  <c r="M72" i="4"/>
  <c r="M72" i="5"/>
  <c r="J72" i="4"/>
  <c r="J72" i="5"/>
  <c r="T72" i="4"/>
  <c r="T72" i="5"/>
  <c r="V72" i="4"/>
  <c r="V72" i="5"/>
  <c r="L72" i="6"/>
  <c r="N72" i="6"/>
  <c r="L72" i="4"/>
  <c r="L72" i="5"/>
  <c r="H72" i="6"/>
  <c r="V72" i="6"/>
  <c r="J72" i="6"/>
  <c r="R72" i="4"/>
  <c r="R72" i="5"/>
  <c r="H72" i="4"/>
  <c r="H72" i="5"/>
  <c r="P72" i="4"/>
  <c r="P72" i="5"/>
  <c r="P72" i="6"/>
  <c r="R72" i="6"/>
  <c r="F72" i="6"/>
  <c r="N72" i="4"/>
  <c r="N72" i="5"/>
  <c r="F72" i="4"/>
  <c r="F72" i="5"/>
  <c r="T72" i="6"/>
  <c r="M509" i="6"/>
  <c r="G509" i="6"/>
  <c r="F509" i="6"/>
  <c r="K509" i="4"/>
  <c r="K509" i="5"/>
  <c r="E509" i="4"/>
  <c r="E509" i="5"/>
  <c r="D509" i="4"/>
  <c r="D509" i="5"/>
  <c r="O509" i="6"/>
  <c r="L509" i="6"/>
  <c r="P509" i="6"/>
  <c r="J509" i="4"/>
  <c r="J509" i="5"/>
  <c r="N509" i="4"/>
  <c r="N509" i="5"/>
  <c r="V509" i="6"/>
  <c r="D509" i="6"/>
  <c r="I509" i="4"/>
  <c r="I509" i="5"/>
  <c r="N509" i="6"/>
  <c r="Q509" i="4"/>
  <c r="Q509" i="5"/>
  <c r="O509" i="4"/>
  <c r="O509" i="5"/>
  <c r="M509" i="4"/>
  <c r="M509" i="5"/>
  <c r="V509" i="4"/>
  <c r="V509" i="5"/>
  <c r="T509" i="6"/>
  <c r="U509" i="4"/>
  <c r="U509" i="5"/>
  <c r="F509" i="4"/>
  <c r="F509" i="5"/>
  <c r="I509" i="6"/>
  <c r="U509" i="6"/>
  <c r="K509" i="6"/>
  <c r="H509" i="6"/>
  <c r="G509" i="4"/>
  <c r="G509" i="5"/>
  <c r="H509" i="4"/>
  <c r="H509" i="5"/>
  <c r="L509" i="4"/>
  <c r="L509" i="5"/>
  <c r="P509" i="4"/>
  <c r="P509" i="5"/>
  <c r="T509" i="4"/>
  <c r="T509" i="5"/>
  <c r="S509" i="4"/>
  <c r="S509" i="5"/>
  <c r="R509" i="4"/>
  <c r="R509" i="5"/>
  <c r="Q509" i="6"/>
  <c r="E509" i="6"/>
  <c r="R509" i="6"/>
  <c r="S509" i="6"/>
  <c r="J509" i="6"/>
  <c r="H281" i="6"/>
  <c r="F281" i="4"/>
  <c r="F281" i="5"/>
  <c r="J281" i="4"/>
  <c r="J281" i="5"/>
  <c r="N281" i="4"/>
  <c r="N281" i="5"/>
  <c r="D281" i="4"/>
  <c r="D281" i="5"/>
  <c r="H281" i="4"/>
  <c r="H281" i="5"/>
  <c r="L281" i="4"/>
  <c r="L281" i="5"/>
  <c r="P281" i="4"/>
  <c r="P281" i="5"/>
  <c r="T281" i="4"/>
  <c r="T281" i="5"/>
  <c r="V281" i="4"/>
  <c r="V281" i="5"/>
  <c r="Q281" i="6"/>
  <c r="E281" i="6"/>
  <c r="O281" i="4"/>
  <c r="O281" i="5"/>
  <c r="V281" i="6"/>
  <c r="I281" i="6"/>
  <c r="U281" i="6"/>
  <c r="E281" i="4"/>
  <c r="E281" i="5"/>
  <c r="O281" i="6"/>
  <c r="S281" i="6"/>
  <c r="M281" i="4"/>
  <c r="M281" i="5"/>
  <c r="U281" i="4"/>
  <c r="U281" i="5"/>
  <c r="S281" i="4"/>
  <c r="S281" i="5"/>
  <c r="M281" i="6"/>
  <c r="K281" i="4"/>
  <c r="K281" i="5"/>
  <c r="G281" i="4"/>
  <c r="G281" i="5"/>
  <c r="G281" i="6"/>
  <c r="K281" i="6"/>
  <c r="Q281" i="4"/>
  <c r="Q281" i="5"/>
  <c r="I281" i="4"/>
  <c r="I281" i="5"/>
  <c r="F281" i="6"/>
  <c r="L281" i="6"/>
  <c r="R281" i="6"/>
  <c r="J281" i="6"/>
  <c r="R281" i="4"/>
  <c r="R281" i="5"/>
  <c r="D281" i="6"/>
  <c r="T281" i="6"/>
  <c r="N281" i="6"/>
  <c r="P281" i="6"/>
  <c r="V506" i="4"/>
  <c r="V506" i="5"/>
  <c r="R506" i="4"/>
  <c r="R506" i="5"/>
  <c r="J506" i="4"/>
  <c r="J506" i="5"/>
  <c r="D506" i="6"/>
  <c r="R506" i="6"/>
  <c r="J506" i="6"/>
  <c r="P506" i="6"/>
  <c r="T506" i="6"/>
  <c r="D506" i="4"/>
  <c r="D506" i="5"/>
  <c r="N506" i="4"/>
  <c r="N506" i="5"/>
  <c r="F506" i="4"/>
  <c r="F506" i="5"/>
  <c r="V506" i="6"/>
  <c r="N506" i="6"/>
  <c r="F506" i="6"/>
  <c r="H506" i="6"/>
  <c r="L506" i="6"/>
  <c r="L506" i="4"/>
  <c r="L506" i="5"/>
  <c r="H506" i="4"/>
  <c r="H506" i="5"/>
  <c r="M506" i="6"/>
  <c r="S506" i="4"/>
  <c r="S506" i="5"/>
  <c r="Q506" i="4"/>
  <c r="Q506" i="5"/>
  <c r="O506" i="6"/>
  <c r="K506" i="4"/>
  <c r="K506" i="5"/>
  <c r="I506" i="4"/>
  <c r="I506" i="5"/>
  <c r="G506" i="4"/>
  <c r="G506" i="5"/>
  <c r="E506" i="6"/>
  <c r="G506" i="6"/>
  <c r="T506" i="4"/>
  <c r="T506" i="5"/>
  <c r="S506" i="6"/>
  <c r="P506" i="4"/>
  <c r="P506" i="5"/>
  <c r="Q506" i="6"/>
  <c r="U506" i="4"/>
  <c r="U506" i="5"/>
  <c r="U506" i="6"/>
  <c r="K506" i="6"/>
  <c r="O506" i="4"/>
  <c r="O506" i="5"/>
  <c r="M506" i="4"/>
  <c r="M506" i="5"/>
  <c r="E506" i="4"/>
  <c r="E506" i="5"/>
  <c r="I506" i="6"/>
  <c r="E75" i="6"/>
  <c r="M75" i="6"/>
  <c r="U75" i="6"/>
  <c r="G75" i="6"/>
  <c r="O75" i="6"/>
  <c r="S75" i="4"/>
  <c r="S75" i="5"/>
  <c r="U75" i="4"/>
  <c r="U75" i="5"/>
  <c r="D75" i="4"/>
  <c r="D75" i="5"/>
  <c r="I75" i="6"/>
  <c r="Q75" i="6"/>
  <c r="Q75" i="4"/>
  <c r="Q75" i="5"/>
  <c r="K75" i="4"/>
  <c r="K75" i="5"/>
  <c r="E75" i="4"/>
  <c r="E75" i="5"/>
  <c r="D75" i="6"/>
  <c r="K75" i="6"/>
  <c r="S75" i="6"/>
  <c r="I75" i="4"/>
  <c r="I75" i="5"/>
  <c r="O75" i="4"/>
  <c r="O75" i="5"/>
  <c r="F75" i="6"/>
  <c r="R75" i="6"/>
  <c r="H75" i="4"/>
  <c r="H75" i="5"/>
  <c r="N75" i="4"/>
  <c r="N75" i="5"/>
  <c r="L75" i="6"/>
  <c r="V75" i="6"/>
  <c r="H75" i="6"/>
  <c r="N75" i="6"/>
  <c r="J75" i="4"/>
  <c r="J75" i="5"/>
  <c r="T75" i="6"/>
  <c r="G75" i="4"/>
  <c r="G75" i="5"/>
  <c r="M75" i="4"/>
  <c r="M75" i="5"/>
  <c r="J75" i="6"/>
  <c r="T75" i="4"/>
  <c r="T75" i="5"/>
  <c r="P75" i="4"/>
  <c r="P75" i="5"/>
  <c r="P75" i="6"/>
  <c r="L75" i="4"/>
  <c r="L75" i="5"/>
  <c r="R75" i="4"/>
  <c r="R75" i="5"/>
  <c r="F75" i="4"/>
  <c r="F75" i="5"/>
  <c r="V75" i="4"/>
  <c r="V75" i="5"/>
  <c r="J16" i="4"/>
  <c r="J16" i="5"/>
  <c r="D16" i="6"/>
  <c r="Q16" i="6"/>
  <c r="M16" i="4"/>
  <c r="M16" i="5"/>
  <c r="G16" i="4"/>
  <c r="G16" i="5"/>
  <c r="D16" i="4"/>
  <c r="D16" i="5"/>
  <c r="G16" i="6"/>
  <c r="K16" i="6"/>
  <c r="J16" i="6"/>
  <c r="F16" i="4"/>
  <c r="F16" i="5"/>
  <c r="V16" i="4"/>
  <c r="V16" i="5"/>
  <c r="S16" i="6"/>
  <c r="R16" i="6"/>
  <c r="S16" i="4"/>
  <c r="S16" i="5"/>
  <c r="L16" i="4"/>
  <c r="L16" i="5"/>
  <c r="I16" i="4"/>
  <c r="I16" i="5"/>
  <c r="R16" i="4"/>
  <c r="R16" i="5"/>
  <c r="P16" i="6"/>
  <c r="M16" i="6"/>
  <c r="K16" i="4"/>
  <c r="K16" i="5"/>
  <c r="H16" i="6"/>
  <c r="F16" i="6"/>
  <c r="O16" i="4"/>
  <c r="O16" i="5"/>
  <c r="H16" i="4"/>
  <c r="H16" i="5"/>
  <c r="E16" i="6"/>
  <c r="V16" i="6"/>
  <c r="L16" i="6"/>
  <c r="T16" i="4"/>
  <c r="T16" i="5"/>
  <c r="Q16" i="4"/>
  <c r="Q16" i="5"/>
  <c r="P16" i="4"/>
  <c r="P16" i="5"/>
  <c r="I16" i="6"/>
  <c r="U16" i="4"/>
  <c r="U16" i="5"/>
  <c r="U16" i="6"/>
  <c r="N16" i="4"/>
  <c r="N16" i="5"/>
  <c r="E16" i="4"/>
  <c r="E16" i="5"/>
  <c r="O16" i="6"/>
  <c r="N16" i="6"/>
  <c r="T16" i="6"/>
  <c r="V196" i="4"/>
  <c r="V196" i="5"/>
  <c r="V196" i="6"/>
  <c r="N196" i="6"/>
  <c r="F196" i="6"/>
  <c r="H196" i="6"/>
  <c r="L196" i="6"/>
  <c r="R196" i="4"/>
  <c r="R196" i="5"/>
  <c r="F196" i="4"/>
  <c r="F196" i="5"/>
  <c r="P196" i="4"/>
  <c r="P196" i="5"/>
  <c r="D196" i="6"/>
  <c r="R196" i="6"/>
  <c r="J196" i="6"/>
  <c r="P196" i="6"/>
  <c r="T196" i="6"/>
  <c r="N196" i="4"/>
  <c r="N196" i="5"/>
  <c r="H196" i="4"/>
  <c r="H196" i="5"/>
  <c r="L196" i="4"/>
  <c r="L196" i="5"/>
  <c r="J196" i="4"/>
  <c r="J196" i="5"/>
  <c r="M196" i="4"/>
  <c r="M196" i="5"/>
  <c r="I196" i="4"/>
  <c r="I196" i="5"/>
  <c r="S196" i="4"/>
  <c r="S196" i="5"/>
  <c r="K196" i="4"/>
  <c r="K196" i="5"/>
  <c r="G196" i="4"/>
  <c r="G196" i="5"/>
  <c r="I196" i="6"/>
  <c r="G196" i="6"/>
  <c r="U196" i="4"/>
  <c r="U196" i="5"/>
  <c r="Q196" i="4"/>
  <c r="Q196" i="5"/>
  <c r="E196" i="6"/>
  <c r="S196" i="6"/>
  <c r="U196" i="6"/>
  <c r="Q196" i="6"/>
  <c r="E196" i="4"/>
  <c r="E196" i="5"/>
  <c r="O196" i="4"/>
  <c r="O196" i="5"/>
  <c r="K196" i="6"/>
  <c r="O196" i="6"/>
  <c r="M196" i="6"/>
  <c r="D196" i="4"/>
  <c r="D196" i="5"/>
  <c r="T196" i="4"/>
  <c r="T196" i="5"/>
  <c r="L319" i="6"/>
  <c r="L319" i="4"/>
  <c r="L319" i="5"/>
  <c r="T319" i="4"/>
  <c r="T319" i="5"/>
  <c r="H319" i="6"/>
  <c r="F319" i="4"/>
  <c r="F319" i="5"/>
  <c r="N319" i="4"/>
  <c r="N319" i="5"/>
  <c r="V319" i="4"/>
  <c r="V319" i="5"/>
  <c r="F319" i="6"/>
  <c r="V319" i="6"/>
  <c r="G319" i="6"/>
  <c r="J319" i="4"/>
  <c r="J319" i="5"/>
  <c r="R319" i="4"/>
  <c r="R319" i="5"/>
  <c r="K319" i="4"/>
  <c r="K319" i="5"/>
  <c r="N319" i="6"/>
  <c r="E319" i="6"/>
  <c r="O319" i="6"/>
  <c r="G319" i="4"/>
  <c r="G319" i="5"/>
  <c r="I319" i="4"/>
  <c r="I319" i="5"/>
  <c r="K319" i="6"/>
  <c r="U319" i="6"/>
  <c r="Q319" i="4"/>
  <c r="Q319" i="5"/>
  <c r="M319" i="4"/>
  <c r="M319" i="5"/>
  <c r="S319" i="6"/>
  <c r="Q319" i="6"/>
  <c r="I319" i="6"/>
  <c r="M319" i="6"/>
  <c r="S319" i="4"/>
  <c r="S319" i="5"/>
  <c r="O319" i="4"/>
  <c r="O319" i="5"/>
  <c r="U319" i="4"/>
  <c r="U319" i="5"/>
  <c r="P319" i="4"/>
  <c r="P319" i="5"/>
  <c r="H319" i="4"/>
  <c r="H319" i="5"/>
  <c r="P319" i="6"/>
  <c r="J319" i="6"/>
  <c r="E319" i="4"/>
  <c r="E319" i="5"/>
  <c r="D319" i="4"/>
  <c r="D319" i="5"/>
  <c r="T319" i="6"/>
  <c r="D319" i="6"/>
  <c r="R319" i="6"/>
  <c r="K383" i="6"/>
  <c r="O383" i="6"/>
  <c r="U383" i="6"/>
  <c r="E383" i="6"/>
  <c r="H383" i="6"/>
  <c r="D383" i="4"/>
  <c r="D383" i="5"/>
  <c r="S383" i="4"/>
  <c r="S383" i="5"/>
  <c r="G383" i="4"/>
  <c r="G383" i="5"/>
  <c r="S383" i="6"/>
  <c r="I383" i="6"/>
  <c r="Q383" i="4"/>
  <c r="Q383" i="5"/>
  <c r="I383" i="4"/>
  <c r="I383" i="5"/>
  <c r="H383" i="4"/>
  <c r="H383" i="5"/>
  <c r="L383" i="6"/>
  <c r="P383" i="4"/>
  <c r="P383" i="5"/>
  <c r="O383" i="4"/>
  <c r="O383" i="5"/>
  <c r="K383" i="4"/>
  <c r="K383" i="5"/>
  <c r="G383" i="6"/>
  <c r="Q383" i="6"/>
  <c r="U383" i="4"/>
  <c r="U383" i="5"/>
  <c r="M383" i="4"/>
  <c r="M383" i="5"/>
  <c r="E383" i="4"/>
  <c r="E383" i="5"/>
  <c r="L383" i="4"/>
  <c r="L383" i="5"/>
  <c r="V383" i="4"/>
  <c r="V383" i="5"/>
  <c r="J383" i="6"/>
  <c r="N383" i="4"/>
  <c r="N383" i="5"/>
  <c r="T383" i="6"/>
  <c r="M383" i="6"/>
  <c r="V383" i="6"/>
  <c r="D383" i="6"/>
  <c r="F383" i="4"/>
  <c r="F383" i="5"/>
  <c r="F383" i="6"/>
  <c r="J383" i="4"/>
  <c r="J383" i="5"/>
  <c r="N383" i="6"/>
  <c r="R383" i="4"/>
  <c r="R383" i="5"/>
  <c r="T383" i="4"/>
  <c r="T383" i="5"/>
  <c r="P383" i="6"/>
  <c r="R383" i="6"/>
  <c r="H95" i="4"/>
  <c r="H95" i="5"/>
  <c r="N95" i="4"/>
  <c r="N95" i="5"/>
  <c r="L95" i="6"/>
  <c r="R95" i="4"/>
  <c r="R95" i="5"/>
  <c r="L95" i="4"/>
  <c r="L95" i="5"/>
  <c r="T95" i="6"/>
  <c r="P95" i="4"/>
  <c r="P95" i="5"/>
  <c r="J95" i="6"/>
  <c r="V95" i="4"/>
  <c r="V95" i="5"/>
  <c r="J95" i="4"/>
  <c r="J95" i="5"/>
  <c r="D95" i="6"/>
  <c r="F95" i="4"/>
  <c r="F95" i="5"/>
  <c r="R95" i="6"/>
  <c r="P95" i="6"/>
  <c r="D95" i="4"/>
  <c r="D95" i="5"/>
  <c r="V95" i="6"/>
  <c r="T95" i="4"/>
  <c r="T95" i="5"/>
  <c r="N95" i="6"/>
  <c r="G95" i="6"/>
  <c r="K95" i="4"/>
  <c r="K95" i="5"/>
  <c r="S95" i="6"/>
  <c r="H95" i="6"/>
  <c r="F95" i="6"/>
  <c r="I95" i="6"/>
  <c r="M95" i="6"/>
  <c r="U95" i="4"/>
  <c r="U95" i="5"/>
  <c r="G95" i="4"/>
  <c r="G95" i="5"/>
  <c r="K95" i="6"/>
  <c r="O95" i="4"/>
  <c r="O95" i="5"/>
  <c r="Q95" i="6"/>
  <c r="S95" i="4"/>
  <c r="S95" i="5"/>
  <c r="U95" i="6"/>
  <c r="E95" i="6"/>
  <c r="M95" i="4"/>
  <c r="M95" i="5"/>
  <c r="O95" i="6"/>
  <c r="Q95" i="4"/>
  <c r="Q95" i="5"/>
  <c r="I95" i="4"/>
  <c r="I95" i="5"/>
  <c r="E95" i="4"/>
  <c r="E95" i="5"/>
  <c r="R83" i="4"/>
  <c r="R83" i="5"/>
  <c r="K83" i="6"/>
  <c r="D83" i="4"/>
  <c r="D83" i="5"/>
  <c r="O83" i="6"/>
  <c r="U83" i="6"/>
  <c r="Q83" i="6"/>
  <c r="S83" i="4"/>
  <c r="S83" i="5"/>
  <c r="O83" i="4"/>
  <c r="O83" i="5"/>
  <c r="D83" i="6"/>
  <c r="I83" i="6"/>
  <c r="M83" i="4"/>
  <c r="M83" i="5"/>
  <c r="P83" i="6"/>
  <c r="N83" i="4"/>
  <c r="N83" i="5"/>
  <c r="G83" i="6"/>
  <c r="M83" i="6"/>
  <c r="I83" i="4"/>
  <c r="I83" i="5"/>
  <c r="E83" i="4"/>
  <c r="E83" i="5"/>
  <c r="L83" i="4"/>
  <c r="L83" i="5"/>
  <c r="R83" i="6"/>
  <c r="J83" i="4"/>
  <c r="J83" i="5"/>
  <c r="T83" i="4"/>
  <c r="T83" i="5"/>
  <c r="U83" i="4"/>
  <c r="U83" i="5"/>
  <c r="Q83" i="4"/>
  <c r="Q83" i="5"/>
  <c r="E83" i="6"/>
  <c r="K83" i="4"/>
  <c r="K83" i="5"/>
  <c r="H83" i="4"/>
  <c r="H83" i="5"/>
  <c r="V83" i="6"/>
  <c r="G83" i="4"/>
  <c r="G83" i="5"/>
  <c r="S83" i="6"/>
  <c r="H83" i="6"/>
  <c r="L83" i="6"/>
  <c r="V83" i="4"/>
  <c r="V83" i="5"/>
  <c r="F83" i="4"/>
  <c r="F83" i="5"/>
  <c r="N83" i="6"/>
  <c r="P83" i="4"/>
  <c r="P83" i="5"/>
  <c r="F83" i="6"/>
  <c r="T83" i="6"/>
  <c r="J83" i="6"/>
  <c r="R306" i="6"/>
  <c r="E306" i="4"/>
  <c r="E306" i="5"/>
  <c r="O306" i="4"/>
  <c r="O306" i="5"/>
  <c r="M306" i="4"/>
  <c r="M306" i="5"/>
  <c r="K306" i="6"/>
  <c r="M306" i="6"/>
  <c r="I306" i="4"/>
  <c r="I306" i="5"/>
  <c r="Q306" i="6"/>
  <c r="E306" i="6"/>
  <c r="R306" i="4"/>
  <c r="R306" i="5"/>
  <c r="G306" i="6"/>
  <c r="H306" i="6"/>
  <c r="U306" i="4"/>
  <c r="U306" i="5"/>
  <c r="D306" i="6"/>
  <c r="S306" i="6"/>
  <c r="Q306" i="4"/>
  <c r="Q306" i="5"/>
  <c r="D306" i="4"/>
  <c r="D306" i="5"/>
  <c r="K306" i="4"/>
  <c r="K306" i="5"/>
  <c r="S306" i="4"/>
  <c r="S306" i="5"/>
  <c r="O306" i="6"/>
  <c r="U306" i="6"/>
  <c r="G306" i="4"/>
  <c r="G306" i="5"/>
  <c r="I306" i="6"/>
  <c r="H306" i="4"/>
  <c r="H306" i="5"/>
  <c r="V306" i="4"/>
  <c r="V306" i="5"/>
  <c r="V306" i="6"/>
  <c r="J306" i="4"/>
  <c r="J306" i="5"/>
  <c r="L306" i="4"/>
  <c r="L306" i="5"/>
  <c r="L306" i="6"/>
  <c r="N306" i="6"/>
  <c r="P306" i="4"/>
  <c r="P306" i="5"/>
  <c r="T306" i="6"/>
  <c r="F306" i="4"/>
  <c r="F306" i="5"/>
  <c r="F306" i="6"/>
  <c r="J306" i="6"/>
  <c r="N306" i="4"/>
  <c r="N306" i="5"/>
  <c r="P306" i="6"/>
  <c r="T306" i="4"/>
  <c r="T306" i="5"/>
  <c r="S350" i="4"/>
  <c r="S350" i="5"/>
  <c r="K350" i="6"/>
  <c r="T350" i="6"/>
  <c r="P350" i="6"/>
  <c r="T350" i="4"/>
  <c r="T350" i="5"/>
  <c r="R350" i="4"/>
  <c r="R350" i="5"/>
  <c r="K350" i="4"/>
  <c r="K350" i="5"/>
  <c r="E350" i="6"/>
  <c r="N350" i="4"/>
  <c r="N350" i="5"/>
  <c r="H350" i="4"/>
  <c r="H350" i="5"/>
  <c r="F350" i="4"/>
  <c r="F350" i="5"/>
  <c r="D350" i="4"/>
  <c r="D350" i="5"/>
  <c r="R350" i="6"/>
  <c r="U350" i="6"/>
  <c r="U350" i="4"/>
  <c r="U350" i="5"/>
  <c r="Q350" i="4"/>
  <c r="Q350" i="5"/>
  <c r="O350" i="6"/>
  <c r="L350" i="6"/>
  <c r="F350" i="6"/>
  <c r="J350" i="6"/>
  <c r="I350" i="6"/>
  <c r="G350" i="4"/>
  <c r="G350" i="5"/>
  <c r="V350" i="4"/>
  <c r="V350" i="5"/>
  <c r="N350" i="6"/>
  <c r="S350" i="6"/>
  <c r="V350" i="6"/>
  <c r="M350" i="4"/>
  <c r="M350" i="5"/>
  <c r="J350" i="4"/>
  <c r="J350" i="5"/>
  <c r="L350" i="4"/>
  <c r="L350" i="5"/>
  <c r="H350" i="6"/>
  <c r="I350" i="4"/>
  <c r="I350" i="5"/>
  <c r="E350" i="4"/>
  <c r="E350" i="5"/>
  <c r="M350" i="6"/>
  <c r="O350" i="4"/>
  <c r="O350" i="5"/>
  <c r="G350" i="6"/>
  <c r="P350" i="4"/>
  <c r="P350" i="5"/>
  <c r="D350" i="6"/>
  <c r="Q350" i="6"/>
  <c r="J203" i="4"/>
  <c r="J203" i="5"/>
  <c r="T203" i="4"/>
  <c r="T203" i="5"/>
  <c r="F203" i="4"/>
  <c r="F203" i="5"/>
  <c r="R203" i="4"/>
  <c r="R203" i="5"/>
  <c r="K203" i="4"/>
  <c r="K203" i="5"/>
  <c r="D203" i="4"/>
  <c r="D203" i="5"/>
  <c r="K203" i="6"/>
  <c r="D203" i="6"/>
  <c r="V203" i="6"/>
  <c r="V203" i="4"/>
  <c r="V203" i="5"/>
  <c r="U203" i="4"/>
  <c r="U203" i="5"/>
  <c r="Q203" i="6"/>
  <c r="F203" i="6"/>
  <c r="I203" i="4"/>
  <c r="I203" i="5"/>
  <c r="H203" i="6"/>
  <c r="U203" i="6"/>
  <c r="P203" i="4"/>
  <c r="P203" i="5"/>
  <c r="G203" i="4"/>
  <c r="G203" i="5"/>
  <c r="P203" i="6"/>
  <c r="S203" i="6"/>
  <c r="G203" i="6"/>
  <c r="N203" i="6"/>
  <c r="R203" i="6"/>
  <c r="N203" i="4"/>
  <c r="N203" i="5"/>
  <c r="H203" i="4"/>
  <c r="H203" i="5"/>
  <c r="E203" i="4"/>
  <c r="E203" i="5"/>
  <c r="E203" i="6"/>
  <c r="Q203" i="4"/>
  <c r="Q203" i="5"/>
  <c r="O203" i="4"/>
  <c r="O203" i="5"/>
  <c r="O203" i="6"/>
  <c r="M203" i="6"/>
  <c r="S203" i="4"/>
  <c r="S203" i="5"/>
  <c r="L203" i="6"/>
  <c r="I203" i="6"/>
  <c r="J203" i="6"/>
  <c r="M203" i="4"/>
  <c r="M203" i="5"/>
  <c r="L203" i="4"/>
  <c r="L203" i="5"/>
  <c r="T203" i="6"/>
  <c r="H345" i="4"/>
  <c r="H345" i="5"/>
  <c r="J345" i="4"/>
  <c r="J345" i="5"/>
  <c r="F345" i="6"/>
  <c r="L345" i="4"/>
  <c r="L345" i="5"/>
  <c r="N345" i="4"/>
  <c r="N345" i="5"/>
  <c r="D345" i="4"/>
  <c r="D345" i="5"/>
  <c r="R345" i="4"/>
  <c r="R345" i="5"/>
  <c r="P345" i="4"/>
  <c r="P345" i="5"/>
  <c r="R345" i="6"/>
  <c r="J345" i="6"/>
  <c r="T345" i="4"/>
  <c r="T345" i="5"/>
  <c r="V345" i="4"/>
  <c r="V345" i="5"/>
  <c r="F345" i="4"/>
  <c r="F345" i="5"/>
  <c r="P345" i="6"/>
  <c r="V345" i="6"/>
  <c r="H345" i="6"/>
  <c r="D345" i="6"/>
  <c r="T345" i="6"/>
  <c r="L345" i="6"/>
  <c r="N345" i="6"/>
  <c r="I345" i="6"/>
  <c r="U345" i="6"/>
  <c r="G345" i="4"/>
  <c r="G345" i="5"/>
  <c r="M345" i="4"/>
  <c r="M345" i="5"/>
  <c r="S345" i="6"/>
  <c r="E345" i="4"/>
  <c r="E345" i="5"/>
  <c r="K345" i="6"/>
  <c r="Q345" i="4"/>
  <c r="Q345" i="5"/>
  <c r="E345" i="6"/>
  <c r="K345" i="4"/>
  <c r="K345" i="5"/>
  <c r="O345" i="4"/>
  <c r="O345" i="5"/>
  <c r="O345" i="6"/>
  <c r="Q345" i="6"/>
  <c r="G345" i="6"/>
  <c r="M345" i="6"/>
  <c r="I345" i="4"/>
  <c r="I345" i="5"/>
  <c r="S345" i="4"/>
  <c r="S345" i="5"/>
  <c r="U345" i="4"/>
  <c r="U345" i="5"/>
  <c r="V174" i="4"/>
  <c r="V174" i="5"/>
  <c r="T174" i="4"/>
  <c r="T174" i="5"/>
  <c r="D174" i="6"/>
  <c r="N174" i="6"/>
  <c r="H174" i="6"/>
  <c r="R174" i="6"/>
  <c r="J174" i="6"/>
  <c r="P174" i="4"/>
  <c r="P174" i="5"/>
  <c r="H174" i="4"/>
  <c r="H174" i="5"/>
  <c r="N174" i="4"/>
  <c r="N174" i="5"/>
  <c r="F174" i="4"/>
  <c r="F174" i="5"/>
  <c r="F174" i="6"/>
  <c r="V174" i="6"/>
  <c r="P174" i="6"/>
  <c r="L174" i="6"/>
  <c r="T174" i="6"/>
  <c r="L174" i="4"/>
  <c r="L174" i="5"/>
  <c r="R174" i="4"/>
  <c r="R174" i="5"/>
  <c r="J174" i="4"/>
  <c r="J174" i="5"/>
  <c r="D174" i="4"/>
  <c r="D174" i="5"/>
  <c r="E174" i="4"/>
  <c r="E174" i="5"/>
  <c r="G174" i="4"/>
  <c r="G174" i="5"/>
  <c r="M174" i="4"/>
  <c r="M174" i="5"/>
  <c r="Q174" i="4"/>
  <c r="Q174" i="5"/>
  <c r="S174" i="6"/>
  <c r="U174" i="6"/>
  <c r="Q174" i="6"/>
  <c r="O174" i="4"/>
  <c r="O174" i="5"/>
  <c r="U174" i="4"/>
  <c r="U174" i="5"/>
  <c r="M174" i="6"/>
  <c r="O174" i="6"/>
  <c r="K174" i="4"/>
  <c r="K174" i="5"/>
  <c r="S174" i="4"/>
  <c r="S174" i="5"/>
  <c r="G174" i="6"/>
  <c r="I174" i="4"/>
  <c r="I174" i="5"/>
  <c r="I174" i="6"/>
  <c r="K174" i="6"/>
  <c r="E174" i="6"/>
  <c r="D172" i="6"/>
  <c r="L172" i="6"/>
  <c r="J172" i="6"/>
  <c r="F172" i="6"/>
  <c r="D172" i="4"/>
  <c r="D172" i="5"/>
  <c r="O172" i="6"/>
  <c r="T172" i="6"/>
  <c r="M172" i="6"/>
  <c r="V172" i="6"/>
  <c r="I172" i="4"/>
  <c r="I172" i="5"/>
  <c r="M172" i="4"/>
  <c r="M172" i="5"/>
  <c r="O172" i="4"/>
  <c r="O172" i="5"/>
  <c r="U172" i="4"/>
  <c r="U172" i="5"/>
  <c r="G172" i="4"/>
  <c r="G172" i="5"/>
  <c r="K172" i="6"/>
  <c r="E172" i="6"/>
  <c r="G172" i="6"/>
  <c r="K172" i="4"/>
  <c r="K172" i="5"/>
  <c r="E172" i="4"/>
  <c r="E172" i="5"/>
  <c r="Q172" i="6"/>
  <c r="S172" i="6"/>
  <c r="I172" i="6"/>
  <c r="J172" i="4"/>
  <c r="J172" i="5"/>
  <c r="P172" i="6"/>
  <c r="N172" i="6"/>
  <c r="R172" i="4"/>
  <c r="R172" i="5"/>
  <c r="P172" i="4"/>
  <c r="P172" i="5"/>
  <c r="T172" i="4"/>
  <c r="T172" i="5"/>
  <c r="Q172" i="4"/>
  <c r="Q172" i="5"/>
  <c r="S172" i="4"/>
  <c r="S172" i="5"/>
  <c r="U172" i="6"/>
  <c r="F172" i="4"/>
  <c r="F172" i="5"/>
  <c r="H172" i="6"/>
  <c r="R172" i="6"/>
  <c r="V172" i="4"/>
  <c r="V172" i="5"/>
  <c r="L172" i="4"/>
  <c r="L172" i="5"/>
  <c r="H172" i="4"/>
  <c r="H172" i="5"/>
  <c r="N172" i="4"/>
  <c r="N172" i="5"/>
  <c r="H170" i="6"/>
  <c r="R170" i="6"/>
  <c r="D170" i="6"/>
  <c r="T170" i="6"/>
  <c r="N170" i="6"/>
  <c r="J170" i="6"/>
  <c r="F170" i="4"/>
  <c r="F170" i="5"/>
  <c r="L170" i="6"/>
  <c r="F170" i="6"/>
  <c r="D170" i="4"/>
  <c r="D170" i="5"/>
  <c r="H170" i="4"/>
  <c r="H170" i="5"/>
  <c r="T170" i="4"/>
  <c r="T170" i="5"/>
  <c r="L170" i="4"/>
  <c r="L170" i="5"/>
  <c r="V170" i="4"/>
  <c r="V170" i="5"/>
  <c r="J170" i="4"/>
  <c r="J170" i="5"/>
  <c r="N170" i="4"/>
  <c r="N170" i="5"/>
  <c r="R170" i="4"/>
  <c r="R170" i="5"/>
  <c r="V170" i="6"/>
  <c r="K170" i="6"/>
  <c r="O170" i="6"/>
  <c r="E170" i="6"/>
  <c r="M170" i="6"/>
  <c r="U170" i="6"/>
  <c r="P170" i="4"/>
  <c r="P170" i="5"/>
  <c r="I170" i="4"/>
  <c r="I170" i="5"/>
  <c r="S170" i="4"/>
  <c r="S170" i="5"/>
  <c r="S170" i="6"/>
  <c r="G170" i="4"/>
  <c r="G170" i="5"/>
  <c r="O170" i="4"/>
  <c r="O170" i="5"/>
  <c r="U170" i="4"/>
  <c r="U170" i="5"/>
  <c r="Q170" i="6"/>
  <c r="P170" i="6"/>
  <c r="I170" i="6"/>
  <c r="G170" i="6"/>
  <c r="M170" i="4"/>
  <c r="M170" i="5"/>
  <c r="Q170" i="4"/>
  <c r="Q170" i="5"/>
  <c r="K170" i="4"/>
  <c r="K170" i="5"/>
  <c r="E170" i="4"/>
  <c r="E170" i="5"/>
  <c r="J168" i="4"/>
  <c r="J168" i="5"/>
  <c r="D168" i="4"/>
  <c r="D168" i="5"/>
  <c r="H168" i="6"/>
  <c r="P168" i="6"/>
  <c r="F168" i="6"/>
  <c r="N168" i="6"/>
  <c r="I168" i="6"/>
  <c r="V168" i="6"/>
  <c r="D168" i="6"/>
  <c r="L168" i="6"/>
  <c r="T168" i="6"/>
  <c r="J168" i="6"/>
  <c r="R168" i="6"/>
  <c r="T168" i="4"/>
  <c r="T168" i="5"/>
  <c r="L168" i="4"/>
  <c r="L168" i="5"/>
  <c r="N168" i="4"/>
  <c r="N168" i="5"/>
  <c r="H168" i="4"/>
  <c r="H168" i="5"/>
  <c r="V168" i="4"/>
  <c r="V168" i="5"/>
  <c r="P168" i="4"/>
  <c r="P168" i="5"/>
  <c r="F168" i="4"/>
  <c r="F168" i="5"/>
  <c r="E168" i="6"/>
  <c r="I168" i="4"/>
  <c r="I168" i="5"/>
  <c r="M168" i="4"/>
  <c r="M168" i="5"/>
  <c r="Q168" i="6"/>
  <c r="U168" i="6"/>
  <c r="G168" i="4"/>
  <c r="G168" i="5"/>
  <c r="K168" i="4"/>
  <c r="K168" i="5"/>
  <c r="O168" i="6"/>
  <c r="S168" i="6"/>
  <c r="M168" i="6"/>
  <c r="G168" i="6"/>
  <c r="K168" i="6"/>
  <c r="S168" i="4"/>
  <c r="S168" i="5"/>
  <c r="Q168" i="4"/>
  <c r="Q168" i="5"/>
  <c r="O168" i="4"/>
  <c r="O168" i="5"/>
  <c r="E168" i="4"/>
  <c r="E168" i="5"/>
  <c r="U168" i="4"/>
  <c r="U168" i="5"/>
  <c r="R168" i="4"/>
  <c r="R168" i="5"/>
  <c r="I94" i="6"/>
  <c r="I94" i="4"/>
  <c r="I94" i="5"/>
  <c r="K94" i="4"/>
  <c r="K94" i="5"/>
  <c r="Q94" i="4"/>
  <c r="Q94" i="5"/>
  <c r="O94" i="4"/>
  <c r="O94" i="5"/>
  <c r="S94" i="4"/>
  <c r="S94" i="5"/>
  <c r="D94" i="4"/>
  <c r="D94" i="5"/>
  <c r="U94" i="6"/>
  <c r="K94" i="6"/>
  <c r="G94" i="4"/>
  <c r="G94" i="5"/>
  <c r="G94" i="6"/>
  <c r="E94" i="4"/>
  <c r="E94" i="5"/>
  <c r="J94" i="4"/>
  <c r="J94" i="5"/>
  <c r="J94" i="6"/>
  <c r="M94" i="6"/>
  <c r="E94" i="6"/>
  <c r="S94" i="6"/>
  <c r="L94" i="4"/>
  <c r="L94" i="5"/>
  <c r="T94" i="6"/>
  <c r="P94" i="4"/>
  <c r="P94" i="5"/>
  <c r="F94" i="4"/>
  <c r="F94" i="5"/>
  <c r="V94" i="4"/>
  <c r="V94" i="5"/>
  <c r="L94" i="6"/>
  <c r="T94" i="4"/>
  <c r="T94" i="5"/>
  <c r="R94" i="4"/>
  <c r="R94" i="5"/>
  <c r="H94" i="4"/>
  <c r="H94" i="5"/>
  <c r="N94" i="4"/>
  <c r="N94" i="5"/>
  <c r="P94" i="6"/>
  <c r="D94" i="6"/>
  <c r="U94" i="4"/>
  <c r="U94" i="5"/>
  <c r="F94" i="6"/>
  <c r="M94" i="4"/>
  <c r="M94" i="5"/>
  <c r="R94" i="6"/>
  <c r="V94" i="6"/>
  <c r="Q94" i="6"/>
  <c r="O94" i="6"/>
  <c r="H94" i="6"/>
  <c r="N94" i="6"/>
  <c r="V282" i="4"/>
  <c r="V282" i="5"/>
  <c r="H282" i="6"/>
  <c r="N282" i="6"/>
  <c r="J282" i="6"/>
  <c r="D282" i="6"/>
  <c r="P282" i="6"/>
  <c r="I282" i="4"/>
  <c r="I282" i="5"/>
  <c r="M282" i="4"/>
  <c r="M282" i="5"/>
  <c r="M282" i="6"/>
  <c r="Q282" i="6"/>
  <c r="E282" i="4"/>
  <c r="E282" i="5"/>
  <c r="E282" i="6"/>
  <c r="I282" i="6"/>
  <c r="Q282" i="4"/>
  <c r="Q282" i="5"/>
  <c r="U282" i="4"/>
  <c r="U282" i="5"/>
  <c r="U282" i="6"/>
  <c r="G282" i="4"/>
  <c r="G282" i="5"/>
  <c r="G282" i="6"/>
  <c r="K282" i="4"/>
  <c r="K282" i="5"/>
  <c r="O282" i="4"/>
  <c r="O282" i="5"/>
  <c r="O282" i="6"/>
  <c r="S282" i="4"/>
  <c r="S282" i="5"/>
  <c r="N282" i="4"/>
  <c r="N282" i="5"/>
  <c r="H282" i="4"/>
  <c r="H282" i="5"/>
  <c r="P282" i="4"/>
  <c r="P282" i="5"/>
  <c r="L282" i="6"/>
  <c r="J282" i="4"/>
  <c r="J282" i="5"/>
  <c r="F282" i="6"/>
  <c r="K282" i="6"/>
  <c r="S282" i="6"/>
  <c r="F282" i="4"/>
  <c r="F282" i="5"/>
  <c r="R282" i="6"/>
  <c r="D282" i="4"/>
  <c r="D282" i="5"/>
  <c r="L282" i="4"/>
  <c r="L282" i="5"/>
  <c r="T282" i="4"/>
  <c r="T282" i="5"/>
  <c r="T282" i="6"/>
  <c r="R282" i="4"/>
  <c r="R282" i="5"/>
  <c r="V282" i="6"/>
  <c r="F33" i="6"/>
  <c r="P33" i="4"/>
  <c r="P33" i="5"/>
  <c r="O33" i="4"/>
  <c r="O33" i="5"/>
  <c r="E33" i="4"/>
  <c r="E33" i="5"/>
  <c r="P33" i="6"/>
  <c r="V33" i="6"/>
  <c r="K33" i="6"/>
  <c r="G33" i="6"/>
  <c r="T33" i="6"/>
  <c r="R33" i="4"/>
  <c r="R33" i="5"/>
  <c r="L33" i="6"/>
  <c r="U33" i="4"/>
  <c r="U33" i="5"/>
  <c r="S33" i="6"/>
  <c r="I33" i="4"/>
  <c r="I33" i="5"/>
  <c r="D33" i="6"/>
  <c r="E33" i="6"/>
  <c r="F33" i="4"/>
  <c r="F33" i="5"/>
  <c r="H33" i="6"/>
  <c r="V33" i="4"/>
  <c r="V33" i="5"/>
  <c r="M33" i="4"/>
  <c r="M33" i="5"/>
  <c r="G33" i="4"/>
  <c r="G33" i="5"/>
  <c r="R33" i="6"/>
  <c r="L33" i="4"/>
  <c r="L33" i="5"/>
  <c r="I33" i="6"/>
  <c r="S33" i="4"/>
  <c r="S33" i="5"/>
  <c r="M33" i="6"/>
  <c r="D33" i="4"/>
  <c r="D33" i="5"/>
  <c r="Q33" i="4"/>
  <c r="Q33" i="5"/>
  <c r="J33" i="6"/>
  <c r="N33" i="6"/>
  <c r="U33" i="6"/>
  <c r="N33" i="4"/>
  <c r="N33" i="5"/>
  <c r="J33" i="4"/>
  <c r="J33" i="5"/>
  <c r="Q33" i="6"/>
  <c r="H33" i="4"/>
  <c r="H33" i="5"/>
  <c r="K33" i="4"/>
  <c r="K33" i="5"/>
  <c r="T33" i="4"/>
  <c r="T33" i="5"/>
  <c r="O33" i="6"/>
  <c r="M42" i="4"/>
  <c r="M42" i="5"/>
  <c r="K42" i="4"/>
  <c r="K42" i="5"/>
  <c r="S42" i="4"/>
  <c r="S42" i="5"/>
  <c r="R42" i="4"/>
  <c r="R42" i="5"/>
  <c r="F42" i="6"/>
  <c r="J42" i="6"/>
  <c r="R42" i="6"/>
  <c r="N42" i="6"/>
  <c r="H42" i="6"/>
  <c r="V42" i="6"/>
  <c r="T42" i="4"/>
  <c r="T42" i="5"/>
  <c r="D42" i="6"/>
  <c r="D42" i="4"/>
  <c r="D42" i="5"/>
  <c r="N42" i="4"/>
  <c r="N42" i="5"/>
  <c r="E42" i="6"/>
  <c r="T42" i="6"/>
  <c r="P42" i="6"/>
  <c r="L42" i="4"/>
  <c r="L42" i="5"/>
  <c r="L42" i="6"/>
  <c r="F42" i="4"/>
  <c r="F42" i="5"/>
  <c r="V42" i="4"/>
  <c r="V42" i="5"/>
  <c r="J42" i="4"/>
  <c r="J42" i="5"/>
  <c r="P42" i="4"/>
  <c r="P42" i="5"/>
  <c r="H42" i="4"/>
  <c r="H42" i="5"/>
  <c r="O42" i="6"/>
  <c r="M42" i="6"/>
  <c r="U42" i="6"/>
  <c r="G42" i="6"/>
  <c r="K42" i="6"/>
  <c r="I42" i="4"/>
  <c r="I42" i="5"/>
  <c r="S42" i="6"/>
  <c r="Q42" i="6"/>
  <c r="O42" i="4"/>
  <c r="O42" i="5"/>
  <c r="E42" i="4"/>
  <c r="E42" i="5"/>
  <c r="I42" i="6"/>
  <c r="U42" i="4"/>
  <c r="U42" i="5"/>
  <c r="G42" i="4"/>
  <c r="G42" i="5"/>
  <c r="Q42" i="4"/>
  <c r="Q42" i="5"/>
  <c r="S132" i="4"/>
  <c r="S132" i="5"/>
  <c r="O132" i="4"/>
  <c r="O132" i="5"/>
  <c r="K132" i="4"/>
  <c r="K132" i="5"/>
  <c r="G132" i="4"/>
  <c r="G132" i="5"/>
  <c r="Q132" i="4"/>
  <c r="Q132" i="5"/>
  <c r="I132" i="4"/>
  <c r="I132" i="5"/>
  <c r="D132" i="4"/>
  <c r="D132" i="5"/>
  <c r="U132" i="4"/>
  <c r="U132" i="5"/>
  <c r="E132" i="4"/>
  <c r="E132" i="5"/>
  <c r="D132" i="6"/>
  <c r="M132" i="4"/>
  <c r="M132" i="5"/>
  <c r="E132" i="6"/>
  <c r="I132" i="6"/>
  <c r="M132" i="6"/>
  <c r="Q132" i="6"/>
  <c r="U132" i="6"/>
  <c r="T132" i="4"/>
  <c r="T132" i="5"/>
  <c r="P132" i="4"/>
  <c r="P132" i="5"/>
  <c r="N132" i="4"/>
  <c r="N132" i="5"/>
  <c r="L132" i="4"/>
  <c r="L132" i="5"/>
  <c r="J132" i="4"/>
  <c r="J132" i="5"/>
  <c r="H132" i="4"/>
  <c r="H132" i="5"/>
  <c r="F132" i="4"/>
  <c r="F132" i="5"/>
  <c r="P132" i="6"/>
  <c r="G132" i="6"/>
  <c r="K132" i="6"/>
  <c r="O132" i="6"/>
  <c r="S132" i="6"/>
  <c r="V132" i="4"/>
  <c r="V132" i="5"/>
  <c r="R132" i="6"/>
  <c r="L132" i="6"/>
  <c r="H132" i="6"/>
  <c r="R132" i="4"/>
  <c r="R132" i="5"/>
  <c r="T132" i="6"/>
  <c r="V132" i="6"/>
  <c r="J132" i="6"/>
  <c r="N132" i="6"/>
  <c r="F132" i="6"/>
  <c r="R532" i="6"/>
  <c r="J532" i="6"/>
  <c r="T532" i="6"/>
  <c r="L532" i="6"/>
  <c r="D532" i="6"/>
  <c r="V532" i="4"/>
  <c r="V532" i="5"/>
  <c r="T532" i="4"/>
  <c r="T532" i="5"/>
  <c r="R532" i="4"/>
  <c r="R532" i="5"/>
  <c r="P532" i="4"/>
  <c r="P532" i="5"/>
  <c r="N532" i="4"/>
  <c r="N532" i="5"/>
  <c r="L532" i="4"/>
  <c r="L532" i="5"/>
  <c r="J532" i="4"/>
  <c r="J532" i="5"/>
  <c r="H532" i="4"/>
  <c r="H532" i="5"/>
  <c r="F532" i="4"/>
  <c r="F532" i="5"/>
  <c r="D532" i="4"/>
  <c r="D532" i="5"/>
  <c r="V532" i="6"/>
  <c r="N532" i="6"/>
  <c r="F532" i="6"/>
  <c r="P532" i="6"/>
  <c r="H532" i="6"/>
  <c r="O532" i="4"/>
  <c r="O532" i="5"/>
  <c r="G532" i="4"/>
  <c r="G532" i="5"/>
  <c r="S532" i="4"/>
  <c r="S532" i="5"/>
  <c r="K532" i="4"/>
  <c r="K532" i="5"/>
  <c r="G532" i="6"/>
  <c r="I532" i="4"/>
  <c r="I532" i="5"/>
  <c r="E532" i="4"/>
  <c r="E532" i="5"/>
  <c r="E532" i="6"/>
  <c r="O532" i="6"/>
  <c r="I532" i="6"/>
  <c r="Q532" i="4"/>
  <c r="Q532" i="5"/>
  <c r="M532" i="4"/>
  <c r="M532" i="5"/>
  <c r="M532" i="6"/>
  <c r="S532" i="6"/>
  <c r="U532" i="4"/>
  <c r="U532" i="5"/>
  <c r="U532" i="6"/>
  <c r="Q532" i="6"/>
  <c r="K532" i="6"/>
  <c r="Q516" i="4"/>
  <c r="Q516" i="5"/>
  <c r="T516" i="4"/>
  <c r="T516" i="5"/>
  <c r="P516" i="4"/>
  <c r="P516" i="5"/>
  <c r="L516" i="4"/>
  <c r="L516" i="5"/>
  <c r="H516" i="4"/>
  <c r="H516" i="5"/>
  <c r="D516" i="4"/>
  <c r="D516" i="5"/>
  <c r="P516" i="6"/>
  <c r="H516" i="6"/>
  <c r="V516" i="6"/>
  <c r="N516" i="6"/>
  <c r="F516" i="6"/>
  <c r="V516" i="4"/>
  <c r="V516" i="5"/>
  <c r="R516" i="4"/>
  <c r="R516" i="5"/>
  <c r="N516" i="4"/>
  <c r="N516" i="5"/>
  <c r="J516" i="4"/>
  <c r="J516" i="5"/>
  <c r="F516" i="4"/>
  <c r="F516" i="5"/>
  <c r="T516" i="6"/>
  <c r="L516" i="6"/>
  <c r="D516" i="6"/>
  <c r="R516" i="6"/>
  <c r="J516" i="6"/>
  <c r="S516" i="6"/>
  <c r="O516" i="4"/>
  <c r="O516" i="5"/>
  <c r="M516" i="6"/>
  <c r="K516" i="6"/>
  <c r="G516" i="4"/>
  <c r="G516" i="5"/>
  <c r="U516" i="6"/>
  <c r="Q516" i="6"/>
  <c r="E516" i="6"/>
  <c r="K516" i="4"/>
  <c r="K516" i="5"/>
  <c r="G516" i="6"/>
  <c r="I516" i="4"/>
  <c r="I516" i="5"/>
  <c r="S516" i="4"/>
  <c r="S516" i="5"/>
  <c r="O516" i="6"/>
  <c r="E516" i="4"/>
  <c r="E516" i="5"/>
  <c r="U516" i="4"/>
  <c r="U516" i="5"/>
  <c r="I516" i="6"/>
  <c r="M516" i="4"/>
  <c r="M516" i="5"/>
  <c r="M14" i="4"/>
  <c r="M14" i="5"/>
  <c r="N14" i="6"/>
  <c r="F14" i="6"/>
  <c r="U14" i="4"/>
  <c r="U14" i="5"/>
  <c r="F14" i="4"/>
  <c r="F14" i="5"/>
  <c r="N14" i="4"/>
  <c r="N14" i="5"/>
  <c r="E14" i="4"/>
  <c r="E14" i="5"/>
  <c r="L14" i="4"/>
  <c r="L14" i="5"/>
  <c r="T14" i="4"/>
  <c r="T14" i="5"/>
  <c r="I14" i="4"/>
  <c r="I14" i="5"/>
  <c r="H14" i="4"/>
  <c r="H14" i="5"/>
  <c r="O14" i="4"/>
  <c r="O14" i="5"/>
  <c r="R14" i="4"/>
  <c r="R14" i="5"/>
  <c r="G14" i="4"/>
  <c r="G14" i="5"/>
  <c r="P14" i="6"/>
  <c r="Q14" i="4"/>
  <c r="Q14" i="5"/>
  <c r="V14" i="4"/>
  <c r="V14" i="5"/>
  <c r="K14" i="4"/>
  <c r="K14" i="5"/>
  <c r="S14" i="6"/>
  <c r="Q14" i="6"/>
  <c r="D14" i="6"/>
  <c r="J14" i="4"/>
  <c r="J14" i="5"/>
  <c r="V14" i="6"/>
  <c r="L14" i="6"/>
  <c r="M14" i="6"/>
  <c r="G14" i="6"/>
  <c r="J14" i="6"/>
  <c r="E14" i="6"/>
  <c r="P14" i="4"/>
  <c r="P14" i="5"/>
  <c r="D14" i="4"/>
  <c r="D14" i="5"/>
  <c r="O14" i="6"/>
  <c r="T14" i="6"/>
  <c r="U14" i="6"/>
  <c r="K14" i="6"/>
  <c r="H14" i="6"/>
  <c r="I14" i="6"/>
  <c r="S14" i="4"/>
  <c r="S14" i="5"/>
  <c r="R14" i="6"/>
  <c r="S130" i="4"/>
  <c r="S130" i="5"/>
  <c r="K130" i="4"/>
  <c r="K130" i="5"/>
  <c r="U130" i="4"/>
  <c r="U130" i="5"/>
  <c r="E130" i="4"/>
  <c r="E130" i="5"/>
  <c r="Q130" i="4"/>
  <c r="Q130" i="5"/>
  <c r="G130" i="6"/>
  <c r="K130" i="6"/>
  <c r="O130" i="6"/>
  <c r="S130" i="6"/>
  <c r="D130" i="6"/>
  <c r="D130" i="4"/>
  <c r="D130" i="5"/>
  <c r="O130" i="4"/>
  <c r="O130" i="5"/>
  <c r="G130" i="4"/>
  <c r="G130" i="5"/>
  <c r="M130" i="4"/>
  <c r="M130" i="5"/>
  <c r="I130" i="4"/>
  <c r="I130" i="5"/>
  <c r="E130" i="6"/>
  <c r="I130" i="6"/>
  <c r="M130" i="6"/>
  <c r="Q130" i="6"/>
  <c r="U130" i="6"/>
  <c r="V130" i="4"/>
  <c r="V130" i="5"/>
  <c r="R130" i="4"/>
  <c r="R130" i="5"/>
  <c r="N130" i="4"/>
  <c r="N130" i="5"/>
  <c r="J130" i="4"/>
  <c r="J130" i="5"/>
  <c r="H130" i="4"/>
  <c r="H130" i="5"/>
  <c r="T130" i="4"/>
  <c r="T130" i="5"/>
  <c r="P130" i="4"/>
  <c r="P130" i="5"/>
  <c r="L130" i="4"/>
  <c r="L130" i="5"/>
  <c r="F130" i="4"/>
  <c r="F130" i="5"/>
  <c r="H130" i="6"/>
  <c r="L130" i="6"/>
  <c r="P130" i="6"/>
  <c r="T130" i="6"/>
  <c r="R130" i="6"/>
  <c r="J130" i="6"/>
  <c r="V130" i="6"/>
  <c r="N130" i="6"/>
  <c r="F130" i="6"/>
  <c r="U352" i="6"/>
  <c r="Q352" i="4"/>
  <c r="Q352" i="5"/>
  <c r="U352" i="4"/>
  <c r="U352" i="5"/>
  <c r="O352" i="4"/>
  <c r="O352" i="5"/>
  <c r="K352" i="4"/>
  <c r="K352" i="5"/>
  <c r="O352" i="6"/>
  <c r="M352" i="4"/>
  <c r="M352" i="5"/>
  <c r="E352" i="4"/>
  <c r="E352" i="5"/>
  <c r="E352" i="6"/>
  <c r="M352" i="6"/>
  <c r="D352" i="6"/>
  <c r="Q352" i="6"/>
  <c r="S352" i="6"/>
  <c r="G352" i="6"/>
  <c r="I352" i="6"/>
  <c r="K352" i="6"/>
  <c r="D352" i="4"/>
  <c r="D352" i="5"/>
  <c r="G352" i="4"/>
  <c r="G352" i="5"/>
  <c r="S352" i="4"/>
  <c r="S352" i="5"/>
  <c r="I352" i="4"/>
  <c r="I352" i="5"/>
  <c r="N352" i="6"/>
  <c r="R352" i="6"/>
  <c r="F352" i="4"/>
  <c r="F352" i="5"/>
  <c r="L352" i="6"/>
  <c r="P352" i="6"/>
  <c r="V352" i="4"/>
  <c r="V352" i="5"/>
  <c r="T352" i="4"/>
  <c r="T352" i="5"/>
  <c r="T352" i="6"/>
  <c r="F352" i="6"/>
  <c r="H352" i="4"/>
  <c r="H352" i="5"/>
  <c r="J352" i="4"/>
  <c r="J352" i="5"/>
  <c r="J352" i="6"/>
  <c r="H352" i="6"/>
  <c r="V352" i="6"/>
  <c r="L352" i="4"/>
  <c r="L352" i="5"/>
  <c r="P352" i="4"/>
  <c r="P352" i="5"/>
  <c r="N352" i="4"/>
  <c r="N352" i="5"/>
  <c r="R352" i="4"/>
  <c r="R352" i="5"/>
  <c r="I372" i="4"/>
  <c r="I372" i="5"/>
  <c r="G372" i="6"/>
  <c r="O372" i="6"/>
  <c r="Q372" i="4"/>
  <c r="Q372" i="5"/>
  <c r="M372" i="4"/>
  <c r="M372" i="5"/>
  <c r="E372" i="6"/>
  <c r="M372" i="6"/>
  <c r="D372" i="6"/>
  <c r="S372" i="6"/>
  <c r="U372" i="6"/>
  <c r="U372" i="4"/>
  <c r="U372" i="5"/>
  <c r="E372" i="4"/>
  <c r="E372" i="5"/>
  <c r="D372" i="4"/>
  <c r="D372" i="5"/>
  <c r="I372" i="6"/>
  <c r="Q372" i="6"/>
  <c r="K372" i="6"/>
  <c r="G372" i="4"/>
  <c r="G372" i="5"/>
  <c r="K372" i="4"/>
  <c r="K372" i="5"/>
  <c r="O372" i="4"/>
  <c r="O372" i="5"/>
  <c r="S372" i="4"/>
  <c r="S372" i="5"/>
  <c r="F372" i="6"/>
  <c r="P372" i="4"/>
  <c r="P372" i="5"/>
  <c r="J372" i="6"/>
  <c r="L372" i="6"/>
  <c r="J372" i="4"/>
  <c r="J372" i="5"/>
  <c r="H372" i="6"/>
  <c r="T372" i="6"/>
  <c r="L372" i="4"/>
  <c r="L372" i="5"/>
  <c r="H372" i="4"/>
  <c r="H372" i="5"/>
  <c r="R372" i="4"/>
  <c r="R372" i="5"/>
  <c r="R372" i="6"/>
  <c r="T372" i="4"/>
  <c r="T372" i="5"/>
  <c r="P372" i="6"/>
  <c r="N372" i="4"/>
  <c r="N372" i="5"/>
  <c r="N372" i="6"/>
  <c r="V372" i="6"/>
  <c r="V372" i="4"/>
  <c r="V372" i="5"/>
  <c r="F372" i="4"/>
  <c r="F372" i="5"/>
  <c r="O443" i="4"/>
  <c r="O443" i="5"/>
  <c r="Q443" i="6"/>
  <c r="T443" i="4"/>
  <c r="T443" i="5"/>
  <c r="K443" i="6"/>
  <c r="S443" i="6"/>
  <c r="I443" i="4"/>
  <c r="I443" i="5"/>
  <c r="Q443" i="4"/>
  <c r="Q443" i="5"/>
  <c r="D443" i="4"/>
  <c r="D443" i="5"/>
  <c r="M443" i="6"/>
  <c r="K443" i="4"/>
  <c r="K443" i="5"/>
  <c r="S443" i="4"/>
  <c r="S443" i="5"/>
  <c r="G443" i="4"/>
  <c r="G443" i="5"/>
  <c r="D443" i="6"/>
  <c r="G443" i="6"/>
  <c r="O443" i="6"/>
  <c r="E443" i="4"/>
  <c r="E443" i="5"/>
  <c r="M443" i="4"/>
  <c r="M443" i="5"/>
  <c r="U443" i="4"/>
  <c r="U443" i="5"/>
  <c r="E443" i="6"/>
  <c r="U443" i="6"/>
  <c r="I443" i="6"/>
  <c r="F443" i="4"/>
  <c r="F443" i="5"/>
  <c r="H443" i="6"/>
  <c r="N443" i="4"/>
  <c r="N443" i="5"/>
  <c r="T443" i="6"/>
  <c r="L443" i="6"/>
  <c r="V443" i="4"/>
  <c r="V443" i="5"/>
  <c r="L443" i="4"/>
  <c r="L443" i="5"/>
  <c r="J443" i="4"/>
  <c r="J443" i="5"/>
  <c r="R443" i="4"/>
  <c r="R443" i="5"/>
  <c r="P443" i="4"/>
  <c r="P443" i="5"/>
  <c r="P443" i="6"/>
  <c r="N443" i="6"/>
  <c r="J443" i="6"/>
  <c r="R443" i="6"/>
  <c r="F443" i="6"/>
  <c r="V443" i="6"/>
  <c r="H443" i="4"/>
  <c r="H443" i="5"/>
  <c r="M135" i="6"/>
  <c r="S135" i="6"/>
  <c r="O135" i="4"/>
  <c r="O135" i="5"/>
  <c r="H135" i="6"/>
  <c r="E135" i="4"/>
  <c r="E135" i="5"/>
  <c r="K135" i="4"/>
  <c r="K135" i="5"/>
  <c r="E135" i="6"/>
  <c r="Q135" i="4"/>
  <c r="Q135" i="5"/>
  <c r="Q135" i="6"/>
  <c r="K135" i="6"/>
  <c r="G135" i="6"/>
  <c r="V135" i="4"/>
  <c r="V135" i="5"/>
  <c r="N135" i="6"/>
  <c r="S135" i="4"/>
  <c r="S135" i="5"/>
  <c r="U135" i="6"/>
  <c r="D135" i="4"/>
  <c r="D135" i="5"/>
  <c r="I135" i="4"/>
  <c r="I135" i="5"/>
  <c r="D135" i="6"/>
  <c r="M135" i="4"/>
  <c r="M135" i="5"/>
  <c r="I135" i="6"/>
  <c r="P135" i="4"/>
  <c r="P135" i="5"/>
  <c r="J135" i="4"/>
  <c r="J135" i="5"/>
  <c r="L135" i="6"/>
  <c r="O135" i="6"/>
  <c r="T135" i="6"/>
  <c r="R135" i="6"/>
  <c r="T135" i="4"/>
  <c r="T135" i="5"/>
  <c r="H135" i="4"/>
  <c r="H135" i="5"/>
  <c r="F135" i="6"/>
  <c r="U135" i="4"/>
  <c r="U135" i="5"/>
  <c r="L135" i="4"/>
  <c r="L135" i="5"/>
  <c r="G135" i="4"/>
  <c r="G135" i="5"/>
  <c r="N135" i="4"/>
  <c r="N135" i="5"/>
  <c r="R135" i="4"/>
  <c r="R135" i="5"/>
  <c r="V135" i="6"/>
  <c r="P135" i="6"/>
  <c r="F135" i="4"/>
  <c r="F135" i="5"/>
  <c r="J135" i="6"/>
  <c r="U81" i="6"/>
  <c r="D81" i="4"/>
  <c r="D81" i="5"/>
  <c r="M81" i="6"/>
  <c r="Q81" i="4"/>
  <c r="Q81" i="5"/>
  <c r="Q81" i="6"/>
  <c r="S81" i="6"/>
  <c r="K81" i="6"/>
  <c r="S81" i="4"/>
  <c r="S81" i="5"/>
  <c r="K81" i="4"/>
  <c r="K81" i="5"/>
  <c r="D81" i="6"/>
  <c r="G81" i="4"/>
  <c r="G81" i="5"/>
  <c r="I81" i="4"/>
  <c r="I81" i="5"/>
  <c r="E81" i="6"/>
  <c r="I81" i="6"/>
  <c r="E81" i="4"/>
  <c r="E81" i="5"/>
  <c r="M81" i="4"/>
  <c r="M81" i="5"/>
  <c r="U81" i="4"/>
  <c r="U81" i="5"/>
  <c r="O81" i="6"/>
  <c r="G81" i="6"/>
  <c r="O81" i="4"/>
  <c r="O81" i="5"/>
  <c r="H81" i="6"/>
  <c r="P81" i="4"/>
  <c r="P81" i="5"/>
  <c r="V81" i="4"/>
  <c r="V81" i="5"/>
  <c r="R81" i="4"/>
  <c r="R81" i="5"/>
  <c r="L81" i="6"/>
  <c r="R81" i="6"/>
  <c r="T81" i="6"/>
  <c r="J81" i="6"/>
  <c r="P81" i="6"/>
  <c r="H81" i="4"/>
  <c r="H81" i="5"/>
  <c r="N81" i="6"/>
  <c r="T81" i="4"/>
  <c r="T81" i="5"/>
  <c r="J81" i="4"/>
  <c r="J81" i="5"/>
  <c r="N81" i="4"/>
  <c r="N81" i="5"/>
  <c r="V81" i="6"/>
  <c r="L81" i="4"/>
  <c r="L81" i="5"/>
  <c r="F81" i="4"/>
  <c r="F81" i="5"/>
  <c r="F81" i="6"/>
  <c r="J205" i="4"/>
  <c r="J205" i="5"/>
  <c r="F205" i="4"/>
  <c r="F205" i="5"/>
  <c r="V205" i="6"/>
  <c r="F205" i="6"/>
  <c r="R205" i="6"/>
  <c r="D205" i="6"/>
  <c r="L205" i="6"/>
  <c r="N205" i="6"/>
  <c r="H205" i="6"/>
  <c r="R205" i="4"/>
  <c r="R205" i="5"/>
  <c r="J205" i="6"/>
  <c r="P205" i="6"/>
  <c r="D205" i="4"/>
  <c r="D205" i="5"/>
  <c r="T205" i="4"/>
  <c r="T205" i="5"/>
  <c r="L205" i="4"/>
  <c r="L205" i="5"/>
  <c r="H205" i="4"/>
  <c r="H205" i="5"/>
  <c r="V205" i="4"/>
  <c r="V205" i="5"/>
  <c r="N205" i="4"/>
  <c r="N205" i="5"/>
  <c r="P205" i="4"/>
  <c r="P205" i="5"/>
  <c r="U205" i="6"/>
  <c r="I205" i="6"/>
  <c r="K205" i="6"/>
  <c r="E205" i="6"/>
  <c r="Q205" i="4"/>
  <c r="Q205" i="5"/>
  <c r="G205" i="6"/>
  <c r="S205" i="4"/>
  <c r="S205" i="5"/>
  <c r="O205" i="6"/>
  <c r="M205" i="4"/>
  <c r="M205" i="5"/>
  <c r="Q205" i="6"/>
  <c r="G205" i="4"/>
  <c r="G205" i="5"/>
  <c r="S205" i="6"/>
  <c r="O205" i="4"/>
  <c r="O205" i="5"/>
  <c r="I205" i="4"/>
  <c r="I205" i="5"/>
  <c r="M205" i="6"/>
  <c r="K205" i="4"/>
  <c r="K205" i="5"/>
  <c r="E205" i="4"/>
  <c r="E205" i="5"/>
  <c r="U205" i="4"/>
  <c r="U205" i="5"/>
  <c r="T205" i="6"/>
  <c r="P432" i="4"/>
  <c r="P432" i="5"/>
  <c r="O432" i="6"/>
  <c r="R432" i="4"/>
  <c r="R432" i="5"/>
  <c r="P432" i="6"/>
  <c r="G432" i="4"/>
  <c r="G432" i="5"/>
  <c r="M432" i="6"/>
  <c r="K432" i="6"/>
  <c r="S432" i="4"/>
  <c r="S432" i="5"/>
  <c r="E432" i="4"/>
  <c r="E432" i="5"/>
  <c r="D432" i="6"/>
  <c r="M432" i="4"/>
  <c r="M432" i="5"/>
  <c r="U432" i="4"/>
  <c r="U432" i="5"/>
  <c r="L432" i="4"/>
  <c r="L432" i="5"/>
  <c r="L432" i="6"/>
  <c r="Q432" i="6"/>
  <c r="H432" i="6"/>
  <c r="T432" i="6"/>
  <c r="K432" i="4"/>
  <c r="K432" i="5"/>
  <c r="I432" i="6"/>
  <c r="S432" i="6"/>
  <c r="O432" i="4"/>
  <c r="O432" i="5"/>
  <c r="I432" i="4"/>
  <c r="I432" i="5"/>
  <c r="Q432" i="4"/>
  <c r="Q432" i="5"/>
  <c r="U432" i="6"/>
  <c r="F432" i="4"/>
  <c r="F432" i="5"/>
  <c r="J432" i="6"/>
  <c r="N432" i="4"/>
  <c r="N432" i="5"/>
  <c r="V432" i="4"/>
  <c r="V432" i="5"/>
  <c r="V432" i="6"/>
  <c r="H432" i="4"/>
  <c r="H432" i="5"/>
  <c r="E432" i="6"/>
  <c r="F432" i="6"/>
  <c r="J432" i="4"/>
  <c r="J432" i="5"/>
  <c r="N432" i="6"/>
  <c r="R432" i="6"/>
  <c r="D432" i="4"/>
  <c r="D432" i="5"/>
  <c r="T432" i="4"/>
  <c r="T432" i="5"/>
  <c r="G432" i="6"/>
  <c r="L159" i="6"/>
  <c r="E159" i="6"/>
  <c r="D159" i="4"/>
  <c r="D159" i="5"/>
  <c r="V159" i="4"/>
  <c r="V159" i="5"/>
  <c r="N159" i="4"/>
  <c r="N159" i="5"/>
  <c r="T159" i="4"/>
  <c r="T159" i="5"/>
  <c r="D159" i="6"/>
  <c r="T159" i="6"/>
  <c r="H159" i="6"/>
  <c r="P159" i="4"/>
  <c r="P159" i="5"/>
  <c r="F159" i="6"/>
  <c r="N159" i="6"/>
  <c r="V159" i="6"/>
  <c r="L159" i="4"/>
  <c r="L159" i="5"/>
  <c r="H159" i="4"/>
  <c r="H159" i="5"/>
  <c r="J159" i="6"/>
  <c r="R159" i="6"/>
  <c r="J159" i="4"/>
  <c r="J159" i="5"/>
  <c r="F159" i="4"/>
  <c r="F159" i="5"/>
  <c r="E159" i="4"/>
  <c r="E159" i="5"/>
  <c r="R159" i="4"/>
  <c r="R159" i="5"/>
  <c r="P159" i="6"/>
  <c r="S159" i="6"/>
  <c r="G159" i="4"/>
  <c r="G159" i="5"/>
  <c r="M159" i="6"/>
  <c r="Q159" i="4"/>
  <c r="Q159" i="5"/>
  <c r="O159" i="6"/>
  <c r="M159" i="4"/>
  <c r="M159" i="5"/>
  <c r="K159" i="4"/>
  <c r="K159" i="5"/>
  <c r="K159" i="6"/>
  <c r="I159" i="6"/>
  <c r="S159" i="4"/>
  <c r="S159" i="5"/>
  <c r="U159" i="6"/>
  <c r="I159" i="4"/>
  <c r="I159" i="5"/>
  <c r="O159" i="4"/>
  <c r="O159" i="5"/>
  <c r="U159" i="4"/>
  <c r="U159" i="5"/>
  <c r="Q159" i="6"/>
  <c r="G159" i="6"/>
  <c r="V193" i="4"/>
  <c r="V193" i="5"/>
  <c r="V193" i="6"/>
  <c r="D193" i="4"/>
  <c r="D193" i="5"/>
  <c r="D193" i="6"/>
  <c r="R193" i="4"/>
  <c r="R193" i="5"/>
  <c r="H193" i="4"/>
  <c r="H193" i="5"/>
  <c r="N193" i="4"/>
  <c r="N193" i="5"/>
  <c r="Q193" i="6"/>
  <c r="U193" i="6"/>
  <c r="P193" i="4"/>
  <c r="P193" i="5"/>
  <c r="L193" i="4"/>
  <c r="L193" i="5"/>
  <c r="F193" i="4"/>
  <c r="F193" i="5"/>
  <c r="F193" i="6"/>
  <c r="T193" i="6"/>
  <c r="O193" i="6"/>
  <c r="K193" i="4"/>
  <c r="K193" i="5"/>
  <c r="G193" i="4"/>
  <c r="G193" i="5"/>
  <c r="E193" i="4"/>
  <c r="E193" i="5"/>
  <c r="E193" i="6"/>
  <c r="N193" i="6"/>
  <c r="Q193" i="4"/>
  <c r="Q193" i="5"/>
  <c r="S193" i="4"/>
  <c r="S193" i="5"/>
  <c r="S193" i="6"/>
  <c r="U193" i="4"/>
  <c r="U193" i="5"/>
  <c r="P193" i="6"/>
  <c r="L193" i="6"/>
  <c r="T193" i="4"/>
  <c r="T193" i="5"/>
  <c r="M193" i="4"/>
  <c r="M193" i="5"/>
  <c r="M193" i="6"/>
  <c r="O193" i="4"/>
  <c r="O193" i="5"/>
  <c r="K193" i="6"/>
  <c r="G193" i="6"/>
  <c r="J193" i="4"/>
  <c r="J193" i="5"/>
  <c r="J193" i="6"/>
  <c r="I193" i="4"/>
  <c r="I193" i="5"/>
  <c r="H193" i="6"/>
  <c r="I193" i="6"/>
  <c r="R193" i="6"/>
  <c r="S465" i="4"/>
  <c r="S465" i="5"/>
  <c r="Q465" i="6"/>
  <c r="O465" i="6"/>
  <c r="M465" i="6"/>
  <c r="E465" i="6"/>
  <c r="U465" i="6"/>
  <c r="D465" i="4"/>
  <c r="D465" i="5"/>
  <c r="I465" i="6"/>
  <c r="G465" i="6"/>
  <c r="D465" i="6"/>
  <c r="K465" i="6"/>
  <c r="S465" i="6"/>
  <c r="N465" i="4"/>
  <c r="N465" i="5"/>
  <c r="P465" i="4"/>
  <c r="P465" i="5"/>
  <c r="R465" i="4"/>
  <c r="R465" i="5"/>
  <c r="I465" i="4"/>
  <c r="I465" i="5"/>
  <c r="U465" i="4"/>
  <c r="U465" i="5"/>
  <c r="G465" i="4"/>
  <c r="G465" i="5"/>
  <c r="K465" i="4"/>
  <c r="K465" i="5"/>
  <c r="R465" i="6"/>
  <c r="F465" i="4"/>
  <c r="F465" i="5"/>
  <c r="F465" i="6"/>
  <c r="J465" i="4"/>
  <c r="J465" i="5"/>
  <c r="T465" i="6"/>
  <c r="E465" i="4"/>
  <c r="E465" i="5"/>
  <c r="M465" i="4"/>
  <c r="M465" i="5"/>
  <c r="Q465" i="4"/>
  <c r="Q465" i="5"/>
  <c r="N465" i="6"/>
  <c r="J465" i="6"/>
  <c r="T465" i="4"/>
  <c r="T465" i="5"/>
  <c r="H465" i="4"/>
  <c r="H465" i="5"/>
  <c r="L465" i="6"/>
  <c r="V465" i="4"/>
  <c r="V465" i="5"/>
  <c r="H465" i="6"/>
  <c r="L465" i="4"/>
  <c r="L465" i="5"/>
  <c r="V465" i="6"/>
  <c r="P465" i="6"/>
  <c r="O465" i="4"/>
  <c r="O465" i="5"/>
  <c r="I463" i="6"/>
  <c r="D463" i="6"/>
  <c r="M463" i="6"/>
  <c r="K463" i="6"/>
  <c r="Q463" i="6"/>
  <c r="D463" i="4"/>
  <c r="D463" i="5"/>
  <c r="M463" i="4"/>
  <c r="M463" i="5"/>
  <c r="I463" i="4"/>
  <c r="I463" i="5"/>
  <c r="E463" i="6"/>
  <c r="U463" i="6"/>
  <c r="S463" i="6"/>
  <c r="O463" i="6"/>
  <c r="G463" i="6"/>
  <c r="F463" i="6"/>
  <c r="P463" i="6"/>
  <c r="T463" i="6"/>
  <c r="H463" i="4"/>
  <c r="H463" i="5"/>
  <c r="N463" i="6"/>
  <c r="R463" i="6"/>
  <c r="V463" i="6"/>
  <c r="R463" i="4"/>
  <c r="R463" i="5"/>
  <c r="P463" i="4"/>
  <c r="P463" i="5"/>
  <c r="F463" i="4"/>
  <c r="F463" i="5"/>
  <c r="N463" i="4"/>
  <c r="N463" i="5"/>
  <c r="Q463" i="4"/>
  <c r="Q463" i="5"/>
  <c r="E463" i="4"/>
  <c r="E463" i="5"/>
  <c r="O463" i="4"/>
  <c r="O463" i="5"/>
  <c r="G463" i="4"/>
  <c r="G463" i="5"/>
  <c r="S463" i="4"/>
  <c r="S463" i="5"/>
  <c r="V463" i="4"/>
  <c r="V463" i="5"/>
  <c r="T463" i="4"/>
  <c r="T463" i="5"/>
  <c r="L463" i="4"/>
  <c r="L463" i="5"/>
  <c r="L463" i="6"/>
  <c r="J463" i="4"/>
  <c r="J463" i="5"/>
  <c r="H463" i="6"/>
  <c r="U463" i="4"/>
  <c r="U463" i="5"/>
  <c r="K463" i="4"/>
  <c r="K463" i="5"/>
  <c r="J463" i="6"/>
  <c r="E461" i="6"/>
  <c r="U461" i="6"/>
  <c r="S461" i="6"/>
  <c r="O461" i="6"/>
  <c r="G461" i="6"/>
  <c r="D461" i="4"/>
  <c r="D461" i="5"/>
  <c r="M461" i="6"/>
  <c r="K461" i="6"/>
  <c r="Q461" i="6"/>
  <c r="D461" i="6"/>
  <c r="L461" i="4"/>
  <c r="L461" i="5"/>
  <c r="P461" i="4"/>
  <c r="P461" i="5"/>
  <c r="E461" i="4"/>
  <c r="E461" i="5"/>
  <c r="O461" i="4"/>
  <c r="O461" i="5"/>
  <c r="I461" i="4"/>
  <c r="I461" i="5"/>
  <c r="J461" i="4"/>
  <c r="J461" i="5"/>
  <c r="J461" i="6"/>
  <c r="F461" i="4"/>
  <c r="F461" i="5"/>
  <c r="V461" i="4"/>
  <c r="V461" i="5"/>
  <c r="M461" i="4"/>
  <c r="M461" i="5"/>
  <c r="S461" i="4"/>
  <c r="S461" i="5"/>
  <c r="G461" i="4"/>
  <c r="G461" i="5"/>
  <c r="F461" i="6"/>
  <c r="V461" i="6"/>
  <c r="H461" i="6"/>
  <c r="N461" i="6"/>
  <c r="R461" i="4"/>
  <c r="R461" i="5"/>
  <c r="T461" i="4"/>
  <c r="T461" i="5"/>
  <c r="L461" i="6"/>
  <c r="H461" i="4"/>
  <c r="H461" i="5"/>
  <c r="N461" i="4"/>
  <c r="N461" i="5"/>
  <c r="R461" i="6"/>
  <c r="T461" i="6"/>
  <c r="P461" i="6"/>
  <c r="K461" i="4"/>
  <c r="K461" i="5"/>
  <c r="U461" i="4"/>
  <c r="U461" i="5"/>
  <c r="I461" i="6"/>
  <c r="Q461" i="4"/>
  <c r="Q461" i="5"/>
  <c r="E454" i="6"/>
  <c r="O454" i="4"/>
  <c r="O454" i="5"/>
  <c r="I454" i="4"/>
  <c r="I454" i="5"/>
  <c r="K454" i="6"/>
  <c r="I454" i="6"/>
  <c r="D454" i="6"/>
  <c r="M454" i="6"/>
  <c r="D454" i="4"/>
  <c r="D454" i="5"/>
  <c r="S454" i="6"/>
  <c r="Q454" i="6"/>
  <c r="O454" i="6"/>
  <c r="K454" i="4"/>
  <c r="K454" i="5"/>
  <c r="G454" i="4"/>
  <c r="G454" i="5"/>
  <c r="Q454" i="4"/>
  <c r="Q454" i="5"/>
  <c r="M454" i="4"/>
  <c r="M454" i="5"/>
  <c r="U454" i="4"/>
  <c r="U454" i="5"/>
  <c r="N454" i="4"/>
  <c r="N454" i="5"/>
  <c r="L454" i="6"/>
  <c r="R454" i="6"/>
  <c r="L454" i="4"/>
  <c r="L454" i="5"/>
  <c r="P454" i="6"/>
  <c r="F454" i="4"/>
  <c r="F454" i="5"/>
  <c r="V454" i="6"/>
  <c r="R454" i="4"/>
  <c r="R454" i="5"/>
  <c r="P454" i="4"/>
  <c r="P454" i="5"/>
  <c r="F454" i="6"/>
  <c r="V454" i="4"/>
  <c r="V454" i="5"/>
  <c r="H454" i="4"/>
  <c r="H454" i="5"/>
  <c r="J454" i="4"/>
  <c r="J454" i="5"/>
  <c r="J454" i="6"/>
  <c r="T454" i="4"/>
  <c r="T454" i="5"/>
  <c r="N454" i="6"/>
  <c r="H454" i="6"/>
  <c r="T454" i="6"/>
  <c r="E454" i="4"/>
  <c r="E454" i="5"/>
  <c r="U454" i="6"/>
  <c r="G454" i="6"/>
  <c r="S454" i="4"/>
  <c r="S454" i="5"/>
  <c r="D442" i="6"/>
  <c r="I442" i="6"/>
  <c r="O442" i="6"/>
  <c r="U442" i="6"/>
  <c r="T442" i="6"/>
  <c r="O442" i="4"/>
  <c r="O442" i="5"/>
  <c r="G442" i="6"/>
  <c r="E442" i="4"/>
  <c r="E442" i="5"/>
  <c r="M442" i="4"/>
  <c r="M442" i="5"/>
  <c r="U442" i="4"/>
  <c r="U442" i="5"/>
  <c r="E442" i="6"/>
  <c r="S442" i="4"/>
  <c r="S442" i="5"/>
  <c r="G442" i="4"/>
  <c r="G442" i="5"/>
  <c r="L442" i="6"/>
  <c r="V442" i="6"/>
  <c r="N442" i="4"/>
  <c r="N442" i="5"/>
  <c r="L442" i="4"/>
  <c r="L442" i="5"/>
  <c r="H442" i="6"/>
  <c r="R442" i="6"/>
  <c r="P442" i="4"/>
  <c r="P442" i="5"/>
  <c r="P442" i="6"/>
  <c r="N442" i="6"/>
  <c r="H442" i="4"/>
  <c r="H442" i="5"/>
  <c r="R442" i="4"/>
  <c r="R442" i="5"/>
  <c r="F442" i="4"/>
  <c r="F442" i="5"/>
  <c r="J442" i="6"/>
  <c r="F442" i="6"/>
  <c r="J442" i="4"/>
  <c r="J442" i="5"/>
  <c r="V442" i="4"/>
  <c r="V442" i="5"/>
  <c r="T442" i="4"/>
  <c r="T442" i="5"/>
  <c r="I442" i="4"/>
  <c r="I442" i="5"/>
  <c r="D442" i="4"/>
  <c r="D442" i="5"/>
  <c r="Q442" i="6"/>
  <c r="K442" i="4"/>
  <c r="K442" i="5"/>
  <c r="K442" i="6"/>
  <c r="Q442" i="4"/>
  <c r="Q442" i="5"/>
  <c r="M442" i="6"/>
  <c r="S442" i="6"/>
  <c r="I405" i="6"/>
  <c r="M405" i="4"/>
  <c r="M405" i="5"/>
  <c r="Q405" i="6"/>
  <c r="E405" i="4"/>
  <c r="E405" i="5"/>
  <c r="K405" i="6"/>
  <c r="U405" i="6"/>
  <c r="I405" i="4"/>
  <c r="I405" i="5"/>
  <c r="E405" i="6"/>
  <c r="S405" i="6"/>
  <c r="U405" i="4"/>
  <c r="U405" i="5"/>
  <c r="D405" i="4"/>
  <c r="D405" i="5"/>
  <c r="G405" i="4"/>
  <c r="G405" i="5"/>
  <c r="K405" i="4"/>
  <c r="K405" i="5"/>
  <c r="O405" i="4"/>
  <c r="O405" i="5"/>
  <c r="S405" i="4"/>
  <c r="S405" i="5"/>
  <c r="G405" i="6"/>
  <c r="O405" i="6"/>
  <c r="D405" i="6"/>
  <c r="Q405" i="4"/>
  <c r="Q405" i="5"/>
  <c r="M405" i="6"/>
  <c r="H405" i="6"/>
  <c r="P405" i="6"/>
  <c r="V405" i="6"/>
  <c r="F405" i="6"/>
  <c r="J405" i="6"/>
  <c r="R405" i="6"/>
  <c r="V405" i="4"/>
  <c r="V405" i="5"/>
  <c r="T405" i="4"/>
  <c r="T405" i="5"/>
  <c r="L405" i="4"/>
  <c r="L405" i="5"/>
  <c r="N405" i="4"/>
  <c r="N405" i="5"/>
  <c r="N405" i="6"/>
  <c r="F405" i="4"/>
  <c r="F405" i="5"/>
  <c r="H405" i="4"/>
  <c r="H405" i="5"/>
  <c r="T405" i="6"/>
  <c r="L405" i="6"/>
  <c r="R405" i="4"/>
  <c r="R405" i="5"/>
  <c r="J405" i="4"/>
  <c r="J405" i="5"/>
  <c r="P405" i="4"/>
  <c r="P405" i="5"/>
  <c r="U403" i="6"/>
  <c r="Q403" i="4"/>
  <c r="Q403" i="5"/>
  <c r="E403" i="6"/>
  <c r="M403" i="6"/>
  <c r="D403" i="4"/>
  <c r="D403" i="5"/>
  <c r="O403" i="4"/>
  <c r="O403" i="5"/>
  <c r="G403" i="6"/>
  <c r="O403" i="6"/>
  <c r="Q403" i="6"/>
  <c r="U403" i="4"/>
  <c r="U403" i="5"/>
  <c r="K403" i="4"/>
  <c r="K403" i="5"/>
  <c r="E403" i="4"/>
  <c r="E403" i="5"/>
  <c r="I403" i="4"/>
  <c r="I403" i="5"/>
  <c r="M403" i="4"/>
  <c r="M403" i="5"/>
  <c r="G403" i="4"/>
  <c r="G403" i="5"/>
  <c r="S403" i="4"/>
  <c r="S403" i="5"/>
  <c r="K403" i="6"/>
  <c r="S403" i="6"/>
  <c r="I403" i="6"/>
  <c r="D403" i="6"/>
  <c r="J403" i="6"/>
  <c r="R403" i="6"/>
  <c r="L403" i="6"/>
  <c r="F403" i="4"/>
  <c r="F403" i="5"/>
  <c r="P403" i="6"/>
  <c r="L403" i="4"/>
  <c r="L403" i="5"/>
  <c r="H403" i="4"/>
  <c r="H403" i="5"/>
  <c r="H403" i="6"/>
  <c r="N403" i="4"/>
  <c r="N403" i="5"/>
  <c r="T403" i="4"/>
  <c r="T403" i="5"/>
  <c r="V403" i="4"/>
  <c r="V403" i="5"/>
  <c r="V403" i="6"/>
  <c r="R403" i="4"/>
  <c r="R403" i="5"/>
  <c r="N403" i="6"/>
  <c r="T403" i="6"/>
  <c r="F403" i="6"/>
  <c r="P403" i="4"/>
  <c r="P403" i="5"/>
  <c r="J403" i="4"/>
  <c r="J403" i="5"/>
  <c r="K401" i="4"/>
  <c r="K401" i="5"/>
  <c r="S401" i="4"/>
  <c r="S401" i="5"/>
  <c r="E401" i="4"/>
  <c r="E401" i="5"/>
  <c r="M401" i="6"/>
  <c r="I401" i="6"/>
  <c r="U401" i="6"/>
  <c r="S401" i="6"/>
  <c r="G401" i="6"/>
  <c r="O401" i="6"/>
  <c r="D401" i="6"/>
  <c r="I401" i="4"/>
  <c r="I401" i="5"/>
  <c r="Q401" i="4"/>
  <c r="Q401" i="5"/>
  <c r="U401" i="4"/>
  <c r="U401" i="5"/>
  <c r="E401" i="6"/>
  <c r="M401" i="4"/>
  <c r="M401" i="5"/>
  <c r="Q401" i="6"/>
  <c r="D401" i="4"/>
  <c r="D401" i="5"/>
  <c r="G401" i="4"/>
  <c r="G401" i="5"/>
  <c r="O401" i="4"/>
  <c r="O401" i="5"/>
  <c r="K401" i="6"/>
  <c r="F401" i="6"/>
  <c r="L401" i="6"/>
  <c r="P401" i="6"/>
  <c r="H401" i="6"/>
  <c r="N401" i="4"/>
  <c r="N401" i="5"/>
  <c r="V401" i="6"/>
  <c r="T401" i="4"/>
  <c r="T401" i="5"/>
  <c r="N401" i="6"/>
  <c r="R401" i="6"/>
  <c r="T401" i="6"/>
  <c r="L401" i="4"/>
  <c r="L401" i="5"/>
  <c r="R401" i="4"/>
  <c r="R401" i="5"/>
  <c r="J401" i="4"/>
  <c r="J401" i="5"/>
  <c r="P401" i="4"/>
  <c r="P401" i="5"/>
  <c r="F401" i="4"/>
  <c r="F401" i="5"/>
  <c r="J401" i="6"/>
  <c r="H401" i="4"/>
  <c r="H401" i="5"/>
  <c r="V401" i="4"/>
  <c r="V401" i="5"/>
  <c r="D392" i="6"/>
  <c r="D392" i="4"/>
  <c r="D392" i="5"/>
  <c r="M392" i="4"/>
  <c r="M392" i="5"/>
  <c r="I392" i="6"/>
  <c r="I392" i="4"/>
  <c r="I392" i="5"/>
  <c r="U392" i="6"/>
  <c r="O392" i="6"/>
  <c r="G392" i="6"/>
  <c r="O392" i="4"/>
  <c r="O392" i="5"/>
  <c r="G392" i="4"/>
  <c r="G392" i="5"/>
  <c r="E392" i="4"/>
  <c r="E392" i="5"/>
  <c r="U392" i="4"/>
  <c r="U392" i="5"/>
  <c r="Q392" i="6"/>
  <c r="E392" i="6"/>
  <c r="S392" i="6"/>
  <c r="K392" i="6"/>
  <c r="S392" i="4"/>
  <c r="S392" i="5"/>
  <c r="K392" i="4"/>
  <c r="K392" i="5"/>
  <c r="F392" i="4"/>
  <c r="F392" i="5"/>
  <c r="T392" i="4"/>
  <c r="T392" i="5"/>
  <c r="V392" i="4"/>
  <c r="V392" i="5"/>
  <c r="N392" i="4"/>
  <c r="N392" i="5"/>
  <c r="N392" i="6"/>
  <c r="J392" i="4"/>
  <c r="J392" i="5"/>
  <c r="J392" i="6"/>
  <c r="H392" i="6"/>
  <c r="L392" i="4"/>
  <c r="L392" i="5"/>
  <c r="P392" i="4"/>
  <c r="P392" i="5"/>
  <c r="R392" i="6"/>
  <c r="V392" i="6"/>
  <c r="H392" i="4"/>
  <c r="H392" i="5"/>
  <c r="L392" i="6"/>
  <c r="P392" i="6"/>
  <c r="R392" i="4"/>
  <c r="R392" i="5"/>
  <c r="F392" i="6"/>
  <c r="T392" i="6"/>
  <c r="M392" i="6"/>
  <c r="Q392" i="4"/>
  <c r="Q392" i="5"/>
  <c r="Q390" i="6"/>
  <c r="I390" i="6"/>
  <c r="S390" i="6"/>
  <c r="K390" i="6"/>
  <c r="S390" i="4"/>
  <c r="S390" i="5"/>
  <c r="K390" i="4"/>
  <c r="K390" i="5"/>
  <c r="R390" i="4"/>
  <c r="R390" i="5"/>
  <c r="O390" i="6"/>
  <c r="G390" i="6"/>
  <c r="O390" i="4"/>
  <c r="O390" i="5"/>
  <c r="G390" i="4"/>
  <c r="G390" i="5"/>
  <c r="F390" i="6"/>
  <c r="R390" i="6"/>
  <c r="N390" i="6"/>
  <c r="V390" i="6"/>
  <c r="J390" i="6"/>
  <c r="D390" i="6"/>
  <c r="M390" i="4"/>
  <c r="M390" i="5"/>
  <c r="T390" i="6"/>
  <c r="D390" i="4"/>
  <c r="D390" i="5"/>
  <c r="Q390" i="4"/>
  <c r="Q390" i="5"/>
  <c r="U390" i="6"/>
  <c r="J390" i="4"/>
  <c r="J390" i="5"/>
  <c r="E390" i="4"/>
  <c r="E390" i="5"/>
  <c r="M390" i="6"/>
  <c r="U390" i="4"/>
  <c r="U390" i="5"/>
  <c r="T390" i="4"/>
  <c r="T390" i="5"/>
  <c r="H390" i="4"/>
  <c r="H390" i="5"/>
  <c r="L390" i="6"/>
  <c r="P390" i="4"/>
  <c r="P390" i="5"/>
  <c r="H390" i="6"/>
  <c r="L390" i="4"/>
  <c r="L390" i="5"/>
  <c r="P390" i="6"/>
  <c r="F390" i="4"/>
  <c r="F390" i="5"/>
  <c r="N390" i="4"/>
  <c r="N390" i="5"/>
  <c r="V390" i="4"/>
  <c r="V390" i="5"/>
  <c r="I390" i="4"/>
  <c r="I390" i="5"/>
  <c r="E390" i="6"/>
  <c r="I385" i="6"/>
  <c r="M385" i="4"/>
  <c r="M385" i="5"/>
  <c r="U385" i="4"/>
  <c r="U385" i="5"/>
  <c r="E385" i="4"/>
  <c r="E385" i="5"/>
  <c r="K385" i="6"/>
  <c r="S385" i="6"/>
  <c r="I385" i="4"/>
  <c r="I385" i="5"/>
  <c r="E385" i="6"/>
  <c r="U385" i="6"/>
  <c r="Q385" i="6"/>
  <c r="D385" i="4"/>
  <c r="D385" i="5"/>
  <c r="G385" i="4"/>
  <c r="G385" i="5"/>
  <c r="K385" i="4"/>
  <c r="K385" i="5"/>
  <c r="O385" i="4"/>
  <c r="O385" i="5"/>
  <c r="S385" i="4"/>
  <c r="S385" i="5"/>
  <c r="G385" i="6"/>
  <c r="O385" i="6"/>
  <c r="D385" i="6"/>
  <c r="Q385" i="4"/>
  <c r="Q385" i="5"/>
  <c r="M385" i="6"/>
  <c r="J385" i="4"/>
  <c r="J385" i="5"/>
  <c r="P385" i="4"/>
  <c r="P385" i="5"/>
  <c r="R385" i="4"/>
  <c r="R385" i="5"/>
  <c r="T385" i="4"/>
  <c r="T385" i="5"/>
  <c r="F385" i="4"/>
  <c r="F385" i="5"/>
  <c r="H385" i="4"/>
  <c r="H385" i="5"/>
  <c r="H385" i="6"/>
  <c r="L385" i="4"/>
  <c r="L385" i="5"/>
  <c r="N385" i="4"/>
  <c r="N385" i="5"/>
  <c r="N385" i="6"/>
  <c r="J385" i="6"/>
  <c r="F385" i="6"/>
  <c r="L385" i="6"/>
  <c r="V385" i="4"/>
  <c r="V385" i="5"/>
  <c r="R385" i="6"/>
  <c r="V385" i="6"/>
  <c r="P385" i="6"/>
  <c r="T385" i="6"/>
  <c r="U381" i="6"/>
  <c r="I381" i="4"/>
  <c r="I381" i="5"/>
  <c r="K381" i="6"/>
  <c r="S381" i="6"/>
  <c r="Q381" i="6"/>
  <c r="Q381" i="4"/>
  <c r="Q381" i="5"/>
  <c r="E381" i="6"/>
  <c r="D381" i="4"/>
  <c r="D381" i="5"/>
  <c r="G381" i="4"/>
  <c r="G381" i="5"/>
  <c r="K381" i="4"/>
  <c r="K381" i="5"/>
  <c r="O381" i="4"/>
  <c r="O381" i="5"/>
  <c r="S381" i="4"/>
  <c r="S381" i="5"/>
  <c r="G381" i="6"/>
  <c r="O381" i="6"/>
  <c r="E381" i="4"/>
  <c r="E381" i="5"/>
  <c r="M381" i="4"/>
  <c r="M381" i="5"/>
  <c r="U381" i="4"/>
  <c r="U381" i="5"/>
  <c r="I381" i="6"/>
  <c r="J381" i="6"/>
  <c r="P381" i="4"/>
  <c r="P381" i="5"/>
  <c r="V381" i="6"/>
  <c r="H381" i="4"/>
  <c r="H381" i="5"/>
  <c r="L381" i="6"/>
  <c r="R381" i="6"/>
  <c r="F381" i="4"/>
  <c r="F381" i="5"/>
  <c r="V381" i="4"/>
  <c r="V381" i="5"/>
  <c r="F381" i="6"/>
  <c r="N381" i="4"/>
  <c r="N381" i="5"/>
  <c r="N381" i="6"/>
  <c r="T381" i="4"/>
  <c r="T381" i="5"/>
  <c r="T381" i="6"/>
  <c r="H381" i="6"/>
  <c r="P381" i="6"/>
  <c r="D381" i="6"/>
  <c r="R381" i="4"/>
  <c r="R381" i="5"/>
  <c r="J381" i="4"/>
  <c r="J381" i="5"/>
  <c r="L381" i="4"/>
  <c r="L381" i="5"/>
  <c r="M381" i="6"/>
  <c r="S358" i="4"/>
  <c r="S358" i="5"/>
  <c r="G358" i="6"/>
  <c r="K358" i="4"/>
  <c r="K358" i="5"/>
  <c r="D358" i="6"/>
  <c r="S358" i="6"/>
  <c r="O358" i="4"/>
  <c r="O358" i="5"/>
  <c r="E358" i="6"/>
  <c r="M358" i="6"/>
  <c r="U358" i="6"/>
  <c r="O358" i="6"/>
  <c r="K358" i="6"/>
  <c r="G358" i="4"/>
  <c r="G358" i="5"/>
  <c r="D358" i="4"/>
  <c r="D358" i="5"/>
  <c r="I358" i="6"/>
  <c r="Q358" i="6"/>
  <c r="E358" i="4"/>
  <c r="E358" i="5"/>
  <c r="I358" i="4"/>
  <c r="I358" i="5"/>
  <c r="M358" i="4"/>
  <c r="M358" i="5"/>
  <c r="Q358" i="4"/>
  <c r="Q358" i="5"/>
  <c r="U358" i="4"/>
  <c r="U358" i="5"/>
  <c r="P358" i="6"/>
  <c r="V358" i="4"/>
  <c r="V358" i="5"/>
  <c r="J358" i="4"/>
  <c r="J358" i="5"/>
  <c r="T358" i="6"/>
  <c r="J358" i="6"/>
  <c r="R358" i="4"/>
  <c r="R358" i="5"/>
  <c r="R358" i="6"/>
  <c r="L358" i="4"/>
  <c r="L358" i="5"/>
  <c r="H358" i="6"/>
  <c r="T358" i="4"/>
  <c r="T358" i="5"/>
  <c r="L358" i="6"/>
  <c r="H358" i="4"/>
  <c r="H358" i="5"/>
  <c r="F358" i="4"/>
  <c r="F358" i="5"/>
  <c r="N358" i="6"/>
  <c r="P358" i="4"/>
  <c r="P358" i="5"/>
  <c r="F358" i="6"/>
  <c r="N358" i="4"/>
  <c r="N358" i="5"/>
  <c r="V358" i="6"/>
  <c r="H335" i="4"/>
  <c r="H335" i="5"/>
  <c r="P335" i="4"/>
  <c r="P335" i="5"/>
  <c r="R335" i="6"/>
  <c r="F335" i="6"/>
  <c r="T335" i="4"/>
  <c r="T335" i="5"/>
  <c r="L335" i="4"/>
  <c r="L335" i="5"/>
  <c r="V335" i="4"/>
  <c r="V335" i="5"/>
  <c r="N335" i="4"/>
  <c r="N335" i="5"/>
  <c r="F335" i="4"/>
  <c r="F335" i="5"/>
  <c r="D335" i="4"/>
  <c r="D335" i="5"/>
  <c r="N335" i="6"/>
  <c r="H335" i="6"/>
  <c r="L335" i="6"/>
  <c r="D335" i="6"/>
  <c r="V335" i="6"/>
  <c r="P335" i="6"/>
  <c r="J335" i="6"/>
  <c r="I335" i="4"/>
  <c r="I335" i="5"/>
  <c r="M335" i="4"/>
  <c r="M335" i="5"/>
  <c r="K335" i="4"/>
  <c r="K335" i="5"/>
  <c r="U335" i="4"/>
  <c r="U335" i="5"/>
  <c r="J335" i="4"/>
  <c r="J335" i="5"/>
  <c r="R335" i="4"/>
  <c r="R335" i="5"/>
  <c r="T335" i="6"/>
  <c r="G335" i="4"/>
  <c r="G335" i="5"/>
  <c r="Q335" i="6"/>
  <c r="G335" i="6"/>
  <c r="Q335" i="4"/>
  <c r="Q335" i="5"/>
  <c r="E335" i="4"/>
  <c r="E335" i="5"/>
  <c r="E335" i="6"/>
  <c r="O335" i="6"/>
  <c r="S335" i="4"/>
  <c r="S335" i="5"/>
  <c r="K335" i="6"/>
  <c r="O335" i="4"/>
  <c r="O335" i="5"/>
  <c r="S335" i="6"/>
  <c r="U335" i="6"/>
  <c r="M335" i="6"/>
  <c r="I335" i="6"/>
  <c r="H333" i="4"/>
  <c r="H333" i="5"/>
  <c r="V333" i="6"/>
  <c r="R333" i="4"/>
  <c r="R333" i="5"/>
  <c r="T333" i="6"/>
  <c r="H333" i="6"/>
  <c r="L333" i="4"/>
  <c r="L333" i="5"/>
  <c r="N333" i="4"/>
  <c r="N333" i="5"/>
  <c r="D333" i="4"/>
  <c r="D333" i="5"/>
  <c r="L333" i="6"/>
  <c r="P333" i="4"/>
  <c r="P333" i="5"/>
  <c r="D333" i="6"/>
  <c r="T333" i="4"/>
  <c r="T333" i="5"/>
  <c r="V333" i="4"/>
  <c r="V333" i="5"/>
  <c r="F333" i="4"/>
  <c r="F333" i="5"/>
  <c r="R333" i="6"/>
  <c r="N333" i="6"/>
  <c r="P333" i="6"/>
  <c r="G333" i="4"/>
  <c r="G333" i="5"/>
  <c r="S333" i="6"/>
  <c r="I333" i="6"/>
  <c r="K333" i="4"/>
  <c r="K333" i="5"/>
  <c r="M333" i="6"/>
  <c r="Q333" i="4"/>
  <c r="Q333" i="5"/>
  <c r="U333" i="4"/>
  <c r="U333" i="5"/>
  <c r="I333" i="4"/>
  <c r="I333" i="5"/>
  <c r="K333" i="6"/>
  <c r="M333" i="4"/>
  <c r="M333" i="5"/>
  <c r="Q333" i="6"/>
  <c r="U333" i="6"/>
  <c r="E333" i="4"/>
  <c r="E333" i="5"/>
  <c r="O333" i="6"/>
  <c r="G333" i="6"/>
  <c r="E333" i="6"/>
  <c r="O333" i="4"/>
  <c r="O333" i="5"/>
  <c r="S333" i="4"/>
  <c r="S333" i="5"/>
  <c r="J333" i="4"/>
  <c r="J333" i="5"/>
  <c r="J333" i="6"/>
  <c r="F333" i="6"/>
  <c r="G292" i="4"/>
  <c r="G292" i="5"/>
  <c r="S292" i="6"/>
  <c r="D292" i="6"/>
  <c r="O292" i="6"/>
  <c r="O292" i="4"/>
  <c r="O292" i="5"/>
  <c r="S292" i="4"/>
  <c r="S292" i="5"/>
  <c r="K292" i="6"/>
  <c r="K292" i="4"/>
  <c r="K292" i="5"/>
  <c r="G292" i="6"/>
  <c r="E292" i="4"/>
  <c r="E292" i="5"/>
  <c r="M292" i="4"/>
  <c r="M292" i="5"/>
  <c r="U292" i="4"/>
  <c r="U292" i="5"/>
  <c r="I292" i="6"/>
  <c r="Q292" i="6"/>
  <c r="D292" i="4"/>
  <c r="D292" i="5"/>
  <c r="I292" i="4"/>
  <c r="I292" i="5"/>
  <c r="Q292" i="4"/>
  <c r="Q292" i="5"/>
  <c r="E292" i="6"/>
  <c r="M292" i="6"/>
  <c r="U292" i="6"/>
  <c r="N292" i="4"/>
  <c r="N292" i="5"/>
  <c r="P292" i="6"/>
  <c r="L292" i="4"/>
  <c r="L292" i="5"/>
  <c r="R292" i="4"/>
  <c r="R292" i="5"/>
  <c r="P292" i="4"/>
  <c r="P292" i="5"/>
  <c r="T292" i="4"/>
  <c r="T292" i="5"/>
  <c r="T292" i="6"/>
  <c r="R292" i="6"/>
  <c r="H292" i="4"/>
  <c r="H292" i="5"/>
  <c r="J292" i="6"/>
  <c r="H292" i="6"/>
  <c r="J292" i="4"/>
  <c r="J292" i="5"/>
  <c r="V292" i="4"/>
  <c r="V292" i="5"/>
  <c r="V292" i="6"/>
  <c r="L292" i="6"/>
  <c r="F292" i="4"/>
  <c r="F292" i="5"/>
  <c r="F292" i="6"/>
  <c r="N292" i="6"/>
  <c r="D261" i="4"/>
  <c r="D261" i="5"/>
  <c r="N261" i="6"/>
  <c r="S261" i="6"/>
  <c r="O261" i="6"/>
  <c r="K261" i="6"/>
  <c r="G261" i="6"/>
  <c r="L261" i="6"/>
  <c r="S261" i="4"/>
  <c r="S261" i="5"/>
  <c r="O261" i="4"/>
  <c r="O261" i="5"/>
  <c r="K261" i="4"/>
  <c r="K261" i="5"/>
  <c r="G261" i="4"/>
  <c r="G261" i="5"/>
  <c r="D261" i="6"/>
  <c r="U261" i="6"/>
  <c r="Q261" i="6"/>
  <c r="M261" i="6"/>
  <c r="I261" i="6"/>
  <c r="E261" i="6"/>
  <c r="U261" i="4"/>
  <c r="U261" i="5"/>
  <c r="Q261" i="4"/>
  <c r="Q261" i="5"/>
  <c r="M261" i="4"/>
  <c r="M261" i="5"/>
  <c r="I261" i="4"/>
  <c r="I261" i="5"/>
  <c r="E261" i="4"/>
  <c r="E261" i="5"/>
  <c r="V261" i="6"/>
  <c r="R261" i="6"/>
  <c r="N261" i="4"/>
  <c r="N261" i="5"/>
  <c r="J261" i="6"/>
  <c r="F261" i="6"/>
  <c r="T261" i="4"/>
  <c r="T261" i="5"/>
  <c r="P261" i="6"/>
  <c r="L261" i="4"/>
  <c r="L261" i="5"/>
  <c r="H261" i="6"/>
  <c r="T261" i="6"/>
  <c r="F261" i="4"/>
  <c r="F261" i="5"/>
  <c r="P261" i="4"/>
  <c r="P261" i="5"/>
  <c r="H261" i="4"/>
  <c r="H261" i="5"/>
  <c r="V261" i="4"/>
  <c r="V261" i="5"/>
  <c r="J261" i="4"/>
  <c r="J261" i="5"/>
  <c r="R261" i="4"/>
  <c r="R261" i="5"/>
  <c r="V200" i="6"/>
  <c r="N200" i="6"/>
  <c r="F200" i="6"/>
  <c r="L200" i="6"/>
  <c r="D200" i="6"/>
  <c r="D200" i="4"/>
  <c r="D200" i="5"/>
  <c r="J200" i="4"/>
  <c r="J200" i="5"/>
  <c r="R200" i="4"/>
  <c r="R200" i="5"/>
  <c r="R200" i="6"/>
  <c r="J200" i="6"/>
  <c r="T200" i="6"/>
  <c r="P200" i="6"/>
  <c r="H200" i="6"/>
  <c r="P200" i="4"/>
  <c r="P200" i="5"/>
  <c r="F200" i="4"/>
  <c r="F200" i="5"/>
  <c r="H200" i="4"/>
  <c r="H200" i="5"/>
  <c r="U200" i="6"/>
  <c r="K200" i="6"/>
  <c r="M200" i="4"/>
  <c r="M200" i="5"/>
  <c r="I200" i="4"/>
  <c r="I200" i="5"/>
  <c r="E200" i="6"/>
  <c r="U200" i="4"/>
  <c r="U200" i="5"/>
  <c r="K200" i="4"/>
  <c r="K200" i="5"/>
  <c r="S200" i="6"/>
  <c r="M200" i="6"/>
  <c r="S200" i="4"/>
  <c r="S200" i="5"/>
  <c r="G200" i="4"/>
  <c r="G200" i="5"/>
  <c r="G200" i="6"/>
  <c r="Q200" i="4"/>
  <c r="Q200" i="5"/>
  <c r="O200" i="4"/>
  <c r="O200" i="5"/>
  <c r="O200" i="6"/>
  <c r="E200" i="4"/>
  <c r="E200" i="5"/>
  <c r="Q200" i="6"/>
  <c r="I200" i="6"/>
  <c r="L200" i="4"/>
  <c r="L200" i="5"/>
  <c r="V200" i="4"/>
  <c r="V200" i="5"/>
  <c r="T200" i="4"/>
  <c r="T200" i="5"/>
  <c r="N200" i="4"/>
  <c r="N200" i="5"/>
  <c r="T198" i="6"/>
  <c r="L198" i="6"/>
  <c r="V198" i="6"/>
  <c r="F198" i="6"/>
  <c r="R198" i="6"/>
  <c r="J198" i="6"/>
  <c r="D198" i="4"/>
  <c r="D198" i="5"/>
  <c r="G198" i="4"/>
  <c r="G198" i="5"/>
  <c r="H198" i="4"/>
  <c r="H198" i="5"/>
  <c r="V198" i="4"/>
  <c r="V198" i="5"/>
  <c r="N198" i="4"/>
  <c r="N198" i="5"/>
  <c r="F198" i="4"/>
  <c r="F198" i="5"/>
  <c r="T198" i="4"/>
  <c r="T198" i="5"/>
  <c r="S198" i="4"/>
  <c r="S198" i="5"/>
  <c r="R198" i="4"/>
  <c r="R198" i="5"/>
  <c r="P198" i="4"/>
  <c r="P198" i="5"/>
  <c r="J198" i="4"/>
  <c r="J198" i="5"/>
  <c r="D198" i="6"/>
  <c r="P198" i="6"/>
  <c r="H198" i="6"/>
  <c r="N198" i="6"/>
  <c r="M198" i="6"/>
  <c r="S198" i="6"/>
  <c r="O198" i="6"/>
  <c r="U198" i="6"/>
  <c r="O198" i="4"/>
  <c r="O198" i="5"/>
  <c r="K198" i="6"/>
  <c r="G198" i="6"/>
  <c r="Q198" i="6"/>
  <c r="M198" i="4"/>
  <c r="M198" i="5"/>
  <c r="I198" i="6"/>
  <c r="E198" i="6"/>
  <c r="U198" i="4"/>
  <c r="U198" i="5"/>
  <c r="K198" i="4"/>
  <c r="K198" i="5"/>
  <c r="I198" i="4"/>
  <c r="I198" i="5"/>
  <c r="E198" i="4"/>
  <c r="E198" i="5"/>
  <c r="Q198" i="4"/>
  <c r="Q198" i="5"/>
  <c r="L198" i="4"/>
  <c r="L198" i="5"/>
  <c r="Q149" i="4"/>
  <c r="Q149" i="5"/>
  <c r="K149" i="4"/>
  <c r="K149" i="5"/>
  <c r="D149" i="6"/>
  <c r="O149" i="4"/>
  <c r="O149" i="5"/>
  <c r="S149" i="4"/>
  <c r="S149" i="5"/>
  <c r="D149" i="4"/>
  <c r="D149" i="5"/>
  <c r="K149" i="6"/>
  <c r="S149" i="6"/>
  <c r="I149" i="6"/>
  <c r="Q149" i="6"/>
  <c r="I149" i="4"/>
  <c r="I149" i="5"/>
  <c r="G149" i="6"/>
  <c r="O149" i="6"/>
  <c r="U149" i="4"/>
  <c r="U149" i="5"/>
  <c r="G149" i="4"/>
  <c r="G149" i="5"/>
  <c r="E149" i="6"/>
  <c r="M149" i="6"/>
  <c r="U149" i="6"/>
  <c r="E149" i="4"/>
  <c r="E149" i="5"/>
  <c r="J149" i="4"/>
  <c r="J149" i="5"/>
  <c r="N149" i="6"/>
  <c r="F149" i="4"/>
  <c r="F149" i="5"/>
  <c r="J149" i="6"/>
  <c r="V149" i="4"/>
  <c r="V149" i="5"/>
  <c r="R149" i="4"/>
  <c r="R149" i="5"/>
  <c r="R149" i="6"/>
  <c r="T149" i="6"/>
  <c r="V149" i="6"/>
  <c r="T149" i="4"/>
  <c r="T149" i="5"/>
  <c r="P149" i="6"/>
  <c r="L149" i="6"/>
  <c r="N149" i="4"/>
  <c r="N149" i="5"/>
  <c r="F149" i="6"/>
  <c r="P149" i="4"/>
  <c r="P149" i="5"/>
  <c r="L149" i="4"/>
  <c r="L149" i="5"/>
  <c r="H149" i="4"/>
  <c r="H149" i="5"/>
  <c r="H149" i="6"/>
  <c r="M149" i="4"/>
  <c r="M149" i="5"/>
  <c r="L49" i="4"/>
  <c r="L49" i="5"/>
  <c r="D49" i="4"/>
  <c r="D49" i="5"/>
  <c r="P49" i="4"/>
  <c r="P49" i="5"/>
  <c r="R49" i="6"/>
  <c r="P49" i="6"/>
  <c r="H49" i="4"/>
  <c r="H49" i="5"/>
  <c r="J49" i="6"/>
  <c r="V49" i="4"/>
  <c r="V49" i="5"/>
  <c r="D49" i="6"/>
  <c r="R49" i="4"/>
  <c r="R49" i="5"/>
  <c r="N49" i="4"/>
  <c r="N49" i="5"/>
  <c r="J49" i="4"/>
  <c r="J49" i="5"/>
  <c r="H49" i="6"/>
  <c r="G49" i="6"/>
  <c r="U49" i="4"/>
  <c r="U49" i="5"/>
  <c r="K49" i="4"/>
  <c r="K49" i="5"/>
  <c r="K49" i="6"/>
  <c r="L49" i="6"/>
  <c r="G49" i="4"/>
  <c r="G49" i="5"/>
  <c r="Q49" i="6"/>
  <c r="O49" i="6"/>
  <c r="S49" i="4"/>
  <c r="S49" i="5"/>
  <c r="U49" i="6"/>
  <c r="M49" i="4"/>
  <c r="M49" i="5"/>
  <c r="I49" i="4"/>
  <c r="I49" i="5"/>
  <c r="I49" i="6"/>
  <c r="E49" i="6"/>
  <c r="M49" i="6"/>
  <c r="T49" i="6"/>
  <c r="T49" i="4"/>
  <c r="T49" i="5"/>
  <c r="N49" i="6"/>
  <c r="S49" i="6"/>
  <c r="E49" i="4"/>
  <c r="E49" i="5"/>
  <c r="F49" i="4"/>
  <c r="F49" i="5"/>
  <c r="F49" i="6"/>
  <c r="V49" i="6"/>
  <c r="O49" i="4"/>
  <c r="O49" i="5"/>
  <c r="Q49" i="4"/>
  <c r="Q49" i="5"/>
  <c r="V517" i="6"/>
  <c r="N517" i="6"/>
  <c r="F517" i="6"/>
  <c r="N517" i="4"/>
  <c r="N517" i="5"/>
  <c r="T517" i="6"/>
  <c r="D517" i="6"/>
  <c r="H517" i="4"/>
  <c r="H517" i="5"/>
  <c r="R517" i="4"/>
  <c r="R517" i="5"/>
  <c r="P517" i="4"/>
  <c r="P517" i="5"/>
  <c r="I517" i="6"/>
  <c r="S517" i="4"/>
  <c r="S517" i="5"/>
  <c r="I517" i="4"/>
  <c r="I517" i="5"/>
  <c r="R517" i="6"/>
  <c r="J517" i="6"/>
  <c r="V517" i="4"/>
  <c r="V517" i="5"/>
  <c r="F517" i="4"/>
  <c r="F517" i="5"/>
  <c r="L517" i="6"/>
  <c r="J517" i="4"/>
  <c r="J517" i="5"/>
  <c r="T517" i="4"/>
  <c r="T517" i="5"/>
  <c r="L517" i="4"/>
  <c r="L517" i="5"/>
  <c r="D517" i="4"/>
  <c r="D517" i="5"/>
  <c r="H517" i="6"/>
  <c r="P517" i="6"/>
  <c r="U517" i="4"/>
  <c r="U517" i="5"/>
  <c r="U517" i="6"/>
  <c r="Q517" i="6"/>
  <c r="E517" i="4"/>
  <c r="E517" i="5"/>
  <c r="O517" i="4"/>
  <c r="O517" i="5"/>
  <c r="K517" i="4"/>
  <c r="K517" i="5"/>
  <c r="S517" i="6"/>
  <c r="Q517" i="4"/>
  <c r="Q517" i="5"/>
  <c r="M517" i="4"/>
  <c r="M517" i="5"/>
  <c r="M517" i="6"/>
  <c r="E517" i="6"/>
  <c r="G517" i="6"/>
  <c r="O517" i="6"/>
  <c r="G517" i="4"/>
  <c r="G517" i="5"/>
  <c r="K517" i="6"/>
  <c r="D373" i="6"/>
  <c r="G373" i="6"/>
  <c r="O373" i="6"/>
  <c r="T373" i="6"/>
  <c r="K373" i="6"/>
  <c r="S373" i="6"/>
  <c r="G373" i="4"/>
  <c r="G373" i="5"/>
  <c r="K373" i="4"/>
  <c r="K373" i="5"/>
  <c r="I373" i="4"/>
  <c r="I373" i="5"/>
  <c r="O373" i="4"/>
  <c r="O373" i="5"/>
  <c r="M373" i="4"/>
  <c r="M373" i="5"/>
  <c r="E373" i="4"/>
  <c r="E373" i="5"/>
  <c r="D373" i="4"/>
  <c r="D373" i="5"/>
  <c r="Q373" i="4"/>
  <c r="Q373" i="5"/>
  <c r="S373" i="4"/>
  <c r="S373" i="5"/>
  <c r="H373" i="4"/>
  <c r="H373" i="5"/>
  <c r="R373" i="4"/>
  <c r="R373" i="5"/>
  <c r="N373" i="4"/>
  <c r="N373" i="5"/>
  <c r="T373" i="4"/>
  <c r="T373" i="5"/>
  <c r="F373" i="4"/>
  <c r="F373" i="5"/>
  <c r="L373" i="4"/>
  <c r="L373" i="5"/>
  <c r="V373" i="4"/>
  <c r="V373" i="5"/>
  <c r="Q373" i="6"/>
  <c r="I373" i="6"/>
  <c r="L373" i="6"/>
  <c r="U373" i="4"/>
  <c r="U373" i="5"/>
  <c r="P373" i="6"/>
  <c r="J373" i="4"/>
  <c r="J373" i="5"/>
  <c r="P373" i="4"/>
  <c r="P373" i="5"/>
  <c r="U373" i="6"/>
  <c r="M373" i="6"/>
  <c r="E373" i="6"/>
  <c r="H373" i="6"/>
  <c r="R373" i="6"/>
  <c r="J373" i="6"/>
  <c r="V373" i="6"/>
  <c r="N373" i="6"/>
  <c r="F373" i="6"/>
  <c r="M30" i="4"/>
  <c r="M30" i="5"/>
  <c r="U30" i="6"/>
  <c r="Q30" i="6"/>
  <c r="I30" i="4"/>
  <c r="I30" i="5"/>
  <c r="H30" i="6"/>
  <c r="V30" i="6"/>
  <c r="G30" i="4"/>
  <c r="G30" i="5"/>
  <c r="E30" i="4"/>
  <c r="E30" i="5"/>
  <c r="J30" i="6"/>
  <c r="V30" i="4"/>
  <c r="V30" i="5"/>
  <c r="R30" i="4"/>
  <c r="R30" i="5"/>
  <c r="D30" i="6"/>
  <c r="T30" i="4"/>
  <c r="T30" i="5"/>
  <c r="J30" i="4"/>
  <c r="J30" i="5"/>
  <c r="F30" i="4"/>
  <c r="F30" i="5"/>
  <c r="T30" i="6"/>
  <c r="P30" i="4"/>
  <c r="P30" i="5"/>
  <c r="U30" i="4"/>
  <c r="U30" i="5"/>
  <c r="Q30" i="4"/>
  <c r="Q30" i="5"/>
  <c r="I30" i="6"/>
  <c r="N30" i="4"/>
  <c r="N30" i="5"/>
  <c r="E30" i="6"/>
  <c r="F30" i="6"/>
  <c r="L30" i="6"/>
  <c r="G30" i="6"/>
  <c r="R30" i="6"/>
  <c r="L30" i="4"/>
  <c r="L30" i="5"/>
  <c r="D30" i="4"/>
  <c r="D30" i="5"/>
  <c r="H30" i="4"/>
  <c r="H30" i="5"/>
  <c r="S30" i="6"/>
  <c r="K30" i="4"/>
  <c r="K30" i="5"/>
  <c r="P30" i="6"/>
  <c r="N30" i="6"/>
  <c r="S30" i="4"/>
  <c r="S30" i="5"/>
  <c r="O30" i="4"/>
  <c r="O30" i="5"/>
  <c r="O30" i="6"/>
  <c r="K30" i="6"/>
  <c r="M30" i="6"/>
  <c r="V354" i="6"/>
  <c r="V77" i="4"/>
  <c r="V77" i="5"/>
  <c r="V77" i="6"/>
  <c r="S377" i="4"/>
  <c r="S377" i="5"/>
  <c r="S377" i="6"/>
  <c r="N102" i="2"/>
  <c r="T126" i="6"/>
  <c r="T126" i="4"/>
  <c r="T126" i="5"/>
  <c r="S10" i="6"/>
  <c r="R92" i="6"/>
  <c r="Q354" i="6"/>
  <c r="P427" i="6"/>
  <c r="P427" i="4"/>
  <c r="P427" i="5"/>
  <c r="O146" i="4"/>
  <c r="O146" i="5"/>
  <c r="O146" i="6"/>
  <c r="N210" i="4"/>
  <c r="N210" i="5"/>
  <c r="N210" i="6"/>
  <c r="M146" i="4"/>
  <c r="M146" i="5"/>
  <c r="M146" i="6"/>
  <c r="L163" i="4"/>
  <c r="L163" i="5"/>
  <c r="K290" i="4"/>
  <c r="K290" i="5"/>
  <c r="K290" i="6"/>
  <c r="J221" i="4"/>
  <c r="J221" i="5"/>
  <c r="I61" i="4"/>
  <c r="I61" i="5"/>
  <c r="H354" i="6"/>
  <c r="H8" i="3"/>
  <c r="C37" i="2"/>
  <c r="C64" i="2"/>
  <c r="G92" i="4"/>
  <c r="G92" i="5"/>
  <c r="F349" i="6"/>
  <c r="E375" i="3"/>
  <c r="J34" i="2"/>
  <c r="J61" i="2"/>
  <c r="E61" i="6"/>
  <c r="V486" i="3"/>
  <c r="U540" i="1"/>
  <c r="V540" i="3"/>
  <c r="U525" i="1"/>
  <c r="R78" i="2"/>
  <c r="T51" i="2"/>
  <c r="J488" i="4"/>
  <c r="J488" i="5"/>
  <c r="J488" i="6"/>
  <c r="G525" i="1"/>
  <c r="H486" i="3"/>
  <c r="G540" i="1"/>
  <c r="H540" i="3"/>
  <c r="R64" i="2"/>
  <c r="T37" i="2"/>
  <c r="W62" i="2"/>
  <c r="W87" i="2"/>
  <c r="V349" i="6"/>
  <c r="V349" i="4"/>
  <c r="V349" i="5"/>
  <c r="U108" i="4"/>
  <c r="U108" i="5"/>
  <c r="T221" i="6"/>
  <c r="T8" i="3"/>
  <c r="C49" i="2"/>
  <c r="S77" i="4"/>
  <c r="S77" i="5"/>
  <c r="R410" i="4"/>
  <c r="R410" i="5"/>
  <c r="Q106" i="1"/>
  <c r="D47" i="2"/>
  <c r="R189" i="3"/>
  <c r="J46" i="2"/>
  <c r="J73" i="2"/>
  <c r="Q375" i="3"/>
  <c r="C46" i="2"/>
  <c r="C73" i="2"/>
  <c r="Q8" i="3"/>
  <c r="F471" i="6"/>
  <c r="H471" i="6"/>
  <c r="D471" i="6"/>
  <c r="M471" i="4"/>
  <c r="M471" i="5"/>
  <c r="I471" i="4"/>
  <c r="I471" i="5"/>
  <c r="Q471" i="4"/>
  <c r="Q471" i="5"/>
  <c r="M471" i="6"/>
  <c r="J471" i="4"/>
  <c r="J471" i="5"/>
  <c r="H471" i="4"/>
  <c r="H471" i="5"/>
  <c r="V471" i="6"/>
  <c r="D471" i="4"/>
  <c r="D471" i="5"/>
  <c r="V471" i="4"/>
  <c r="V471" i="5"/>
  <c r="K471" i="6"/>
  <c r="F471" i="4"/>
  <c r="F471" i="5"/>
  <c r="G471" i="4"/>
  <c r="G471" i="5"/>
  <c r="E471" i="4"/>
  <c r="E471" i="5"/>
  <c r="L471" i="6"/>
  <c r="T471" i="4"/>
  <c r="T471" i="5"/>
  <c r="G471" i="6"/>
  <c r="K471" i="4"/>
  <c r="K471" i="5"/>
  <c r="O471" i="4"/>
  <c r="O471" i="5"/>
  <c r="E471" i="6"/>
  <c r="I471" i="6"/>
  <c r="L471" i="4"/>
  <c r="L471" i="5"/>
  <c r="J471" i="6"/>
  <c r="T471" i="6"/>
  <c r="Q471" i="6"/>
  <c r="N471" i="6"/>
  <c r="N471" i="4"/>
  <c r="N471" i="5"/>
  <c r="O471" i="6"/>
  <c r="L72" i="2"/>
  <c r="L52" i="2"/>
  <c r="L79" i="2"/>
  <c r="L102" i="2"/>
  <c r="P47" i="6"/>
  <c r="P47" i="4"/>
  <c r="P47" i="5"/>
  <c r="O290" i="6"/>
  <c r="O290" i="4"/>
  <c r="O290" i="5"/>
  <c r="N221" i="4"/>
  <c r="N221" i="5"/>
  <c r="L126" i="6"/>
  <c r="L126" i="4"/>
  <c r="L126" i="5"/>
  <c r="K314" i="4"/>
  <c r="K314" i="5"/>
  <c r="J210" i="4"/>
  <c r="J210" i="5"/>
  <c r="J210" i="6"/>
  <c r="I158" i="6"/>
  <c r="H349" i="6"/>
  <c r="F63" i="2"/>
  <c r="F52" i="2"/>
  <c r="F79" i="2"/>
  <c r="G35" i="4"/>
  <c r="G35" i="5"/>
  <c r="G35" i="6"/>
  <c r="F354" i="6"/>
  <c r="F189" i="3"/>
  <c r="E106" i="1"/>
  <c r="D35" i="2"/>
  <c r="E314" i="6"/>
  <c r="T486" i="3"/>
  <c r="S525" i="1"/>
  <c r="S540" i="1"/>
  <c r="T540" i="3"/>
  <c r="Y61" i="2"/>
  <c r="Z34" i="2"/>
  <c r="G525" i="4"/>
  <c r="G525" i="5"/>
  <c r="G525" i="6"/>
  <c r="K78" i="2"/>
  <c r="I425" i="3"/>
  <c r="K38" i="2"/>
  <c r="K65" i="2"/>
  <c r="K77" i="2"/>
  <c r="D450" i="3"/>
  <c r="G450" i="4"/>
  <c r="G450" i="5"/>
  <c r="V425" i="1"/>
  <c r="D425" i="3"/>
  <c r="J425" i="4"/>
  <c r="J425" i="5"/>
  <c r="K34" i="2"/>
  <c r="E425" i="3"/>
  <c r="K41" i="2"/>
  <c r="L425" i="3"/>
  <c r="H425" i="3"/>
  <c r="G475" i="1"/>
  <c r="K37" i="2"/>
  <c r="Q425" i="3"/>
  <c r="K46" i="2"/>
  <c r="P475" i="1"/>
  <c r="I450" i="4"/>
  <c r="I450" i="5"/>
  <c r="G425" i="3"/>
  <c r="K36" i="2"/>
  <c r="K63" i="2"/>
  <c r="K35" i="2"/>
  <c r="F425" i="3"/>
  <c r="D457" i="4"/>
  <c r="D457" i="5"/>
  <c r="D457" i="6"/>
  <c r="U457" i="6"/>
  <c r="O457" i="6"/>
  <c r="O457" i="4"/>
  <c r="O457" i="5"/>
  <c r="S457" i="4"/>
  <c r="S457" i="5"/>
  <c r="S457" i="6"/>
  <c r="U457" i="4"/>
  <c r="U457" i="5"/>
  <c r="Q457" i="6"/>
  <c r="H457" i="4"/>
  <c r="H457" i="5"/>
  <c r="L457" i="4"/>
  <c r="L457" i="5"/>
  <c r="Q457" i="4"/>
  <c r="Q457" i="5"/>
  <c r="R457" i="6"/>
  <c r="F457" i="6"/>
  <c r="F457" i="4"/>
  <c r="F457" i="5"/>
  <c r="J457" i="6"/>
  <c r="M457" i="6"/>
  <c r="M457" i="4"/>
  <c r="M457" i="5"/>
  <c r="N457" i="4"/>
  <c r="N457" i="5"/>
  <c r="P457" i="4"/>
  <c r="P457" i="5"/>
  <c r="T457" i="6"/>
  <c r="V457" i="4"/>
  <c r="V457" i="5"/>
  <c r="L457" i="6"/>
  <c r="J457" i="4"/>
  <c r="J457" i="5"/>
  <c r="N457" i="6"/>
  <c r="P457" i="6"/>
  <c r="R457" i="4"/>
  <c r="R457" i="5"/>
  <c r="T457" i="4"/>
  <c r="T457" i="5"/>
  <c r="V457" i="6"/>
  <c r="H457" i="6"/>
  <c r="Z42" i="2"/>
  <c r="X69" i="2"/>
  <c r="W103" i="2"/>
  <c r="W102" i="2"/>
  <c r="W93" i="2"/>
  <c r="W89" i="2"/>
  <c r="W90" i="2"/>
  <c r="W100" i="2"/>
  <c r="W99" i="2"/>
  <c r="W92" i="2"/>
  <c r="W104" i="2"/>
  <c r="W129" i="2"/>
  <c r="W95" i="2"/>
  <c r="W101" i="2"/>
  <c r="W91" i="2"/>
  <c r="W88" i="2"/>
  <c r="W98" i="2"/>
  <c r="W94" i="2"/>
  <c r="W96" i="2"/>
  <c r="W97" i="2"/>
  <c r="W86" i="2"/>
  <c r="T76" i="2"/>
  <c r="X49" i="2"/>
  <c r="J74" i="2"/>
  <c r="H65" i="2"/>
  <c r="C67" i="2"/>
  <c r="C65" i="2"/>
  <c r="G233" i="4"/>
  <c r="G233" i="5"/>
  <c r="D233" i="6"/>
  <c r="G233" i="6"/>
  <c r="R233" i="4"/>
  <c r="R233" i="5"/>
  <c r="D233" i="4"/>
  <c r="D233" i="5"/>
  <c r="U233" i="4"/>
  <c r="U233" i="5"/>
  <c r="U233" i="6"/>
  <c r="R233" i="6"/>
  <c r="S233" i="6"/>
  <c r="O233" i="4"/>
  <c r="O233" i="5"/>
  <c r="M233" i="6"/>
  <c r="I233" i="4"/>
  <c r="I233" i="5"/>
  <c r="E233" i="4"/>
  <c r="E233" i="5"/>
  <c r="E233" i="6"/>
  <c r="K233" i="6"/>
  <c r="P233" i="4"/>
  <c r="P233" i="5"/>
  <c r="N233" i="4"/>
  <c r="N233" i="5"/>
  <c r="N233" i="6"/>
  <c r="F233" i="6"/>
  <c r="J233" i="4"/>
  <c r="J233" i="5"/>
  <c r="S233" i="4"/>
  <c r="S233" i="5"/>
  <c r="O233" i="6"/>
  <c r="M233" i="4"/>
  <c r="M233" i="5"/>
  <c r="I233" i="6"/>
  <c r="K233" i="4"/>
  <c r="K233" i="5"/>
  <c r="H233" i="4"/>
  <c r="H233" i="5"/>
  <c r="H233" i="6"/>
  <c r="Q233" i="4"/>
  <c r="Q233" i="5"/>
  <c r="Q233" i="6"/>
  <c r="P233" i="6"/>
  <c r="L233" i="4"/>
  <c r="L233" i="5"/>
  <c r="L233" i="6"/>
  <c r="F233" i="4"/>
  <c r="F233" i="5"/>
  <c r="J233" i="6"/>
  <c r="V233" i="4"/>
  <c r="V233" i="5"/>
  <c r="V233" i="6"/>
  <c r="T233" i="4"/>
  <c r="T233" i="5"/>
  <c r="T233" i="6"/>
  <c r="R427" i="4"/>
  <c r="R427" i="5"/>
  <c r="R427" i="6"/>
  <c r="N488" i="4"/>
  <c r="N488" i="5"/>
  <c r="N488" i="6"/>
  <c r="S8" i="3"/>
  <c r="C48" i="2"/>
  <c r="R475" i="1"/>
  <c r="K525" i="1"/>
  <c r="L486" i="3"/>
  <c r="K540" i="1"/>
  <c r="L540" i="3"/>
  <c r="R68" i="2"/>
  <c r="T41" i="2"/>
  <c r="R52" i="2"/>
  <c r="R79" i="2"/>
  <c r="I38" i="2"/>
  <c r="I65" i="2"/>
  <c r="D65" i="2"/>
  <c r="G516" i="7"/>
  <c r="O498" i="7"/>
  <c r="J189" i="4"/>
  <c r="J189" i="5"/>
  <c r="J189" i="6"/>
  <c r="I103" i="1"/>
  <c r="J106" i="3"/>
  <c r="C519" i="7"/>
  <c r="N501" i="7"/>
  <c r="Y103" i="2"/>
  <c r="Y100" i="2"/>
  <c r="Y89" i="2"/>
  <c r="Y96" i="2"/>
  <c r="Y99" i="2"/>
  <c r="Y95" i="2"/>
  <c r="Y97" i="2"/>
  <c r="Y91" i="2"/>
  <c r="Y88" i="2"/>
  <c r="Y94" i="2"/>
  <c r="X63" i="2"/>
  <c r="Z36" i="2"/>
  <c r="S103" i="2"/>
  <c r="S128" i="2"/>
  <c r="S99" i="2"/>
  <c r="S124" i="2"/>
  <c r="S95" i="2"/>
  <c r="S120" i="2"/>
  <c r="S91" i="2"/>
  <c r="S116" i="2"/>
  <c r="S102" i="2"/>
  <c r="S127" i="2"/>
  <c r="S98" i="2"/>
  <c r="S123" i="2"/>
  <c r="S94" i="2"/>
  <c r="S119" i="2"/>
  <c r="S90" i="2"/>
  <c r="S115" i="2"/>
  <c r="S87" i="2"/>
  <c r="S112" i="2"/>
  <c r="S86" i="2"/>
  <c r="S111" i="2"/>
  <c r="S101" i="2"/>
  <c r="S126" i="2"/>
  <c r="S97" i="2"/>
  <c r="S122" i="2"/>
  <c r="S93" i="2"/>
  <c r="S118" i="2"/>
  <c r="S104" i="2"/>
  <c r="S129" i="2"/>
  <c r="S100" i="2"/>
  <c r="S125" i="2"/>
  <c r="S96" i="2"/>
  <c r="S121" i="2"/>
  <c r="S92" i="2"/>
  <c r="S117" i="2"/>
  <c r="S89" i="2"/>
  <c r="S114" i="2"/>
  <c r="S88" i="2"/>
  <c r="S113" i="2"/>
  <c r="R375" i="4"/>
  <c r="R375" i="5"/>
  <c r="R375" i="6"/>
  <c r="I288" i="6"/>
  <c r="I288" i="4"/>
  <c r="I288" i="5"/>
  <c r="I375" i="6"/>
  <c r="I375" i="4"/>
  <c r="I375" i="5"/>
  <c r="K8" i="4"/>
  <c r="K8" i="5"/>
  <c r="K8" i="6"/>
  <c r="I8" i="4"/>
  <c r="I8" i="5"/>
  <c r="I8" i="6"/>
  <c r="V104" i="1"/>
  <c r="D104" i="3"/>
  <c r="D103" i="3"/>
  <c r="K47" i="2"/>
  <c r="K74" i="2"/>
  <c r="R425" i="3"/>
  <c r="M540" i="1"/>
  <c r="N540" i="3"/>
  <c r="N486" i="3"/>
  <c r="M525" i="1"/>
  <c r="R70" i="2"/>
  <c r="T43" i="2"/>
  <c r="S25" i="4"/>
  <c r="S25" i="5"/>
  <c r="S25" i="6"/>
  <c r="L488" i="6"/>
  <c r="L488" i="4"/>
  <c r="L488" i="5"/>
  <c r="I106" i="3"/>
  <c r="H103" i="1"/>
  <c r="I189" i="6"/>
  <c r="I189" i="4"/>
  <c r="I189" i="5"/>
  <c r="I329" i="5"/>
  <c r="G519" i="7"/>
  <c r="O512" i="7"/>
  <c r="I39" i="2"/>
  <c r="D66" i="2"/>
  <c r="C516" i="7"/>
  <c r="P508" i="7"/>
  <c r="K450" i="7"/>
  <c r="P515" i="7"/>
  <c r="K457" i="7"/>
  <c r="I513" i="7"/>
  <c r="K513" i="7"/>
  <c r="M288" i="6"/>
  <c r="S540" i="6"/>
  <c r="O540" i="4"/>
  <c r="O540" i="5"/>
  <c r="Q450" i="4"/>
  <c r="Q450" i="5"/>
  <c r="L450" i="6"/>
  <c r="P506" i="7"/>
  <c r="K448" i="7"/>
  <c r="P504" i="7"/>
  <c r="K446" i="7"/>
  <c r="P513" i="7"/>
  <c r="K455" i="7"/>
  <c r="X35" i="2"/>
  <c r="X62" i="2"/>
  <c r="I48" i="2"/>
  <c r="I75" i="2"/>
  <c r="I525" i="6"/>
  <c r="O525" i="4"/>
  <c r="O525" i="5"/>
  <c r="F486" i="4"/>
  <c r="F486" i="5"/>
  <c r="E282" i="7" a="1"/>
  <c r="E288" i="7"/>
  <c r="I545" i="5"/>
  <c r="Y87" i="2"/>
  <c r="H145" i="7"/>
  <c r="Y101" i="2"/>
  <c r="Y126" i="2"/>
  <c r="H136" i="7"/>
  <c r="Y98" i="2"/>
  <c r="Y123" i="2"/>
  <c r="H133" i="7"/>
  <c r="Y92" i="2"/>
  <c r="Y117" i="2"/>
  <c r="H127" i="7"/>
  <c r="Y93" i="2"/>
  <c r="H151" i="7"/>
  <c r="Y102" i="2"/>
  <c r="Y127" i="2"/>
  <c r="H137" i="7"/>
  <c r="Y90" i="2"/>
  <c r="Y115" i="2"/>
  <c r="H125" i="7"/>
  <c r="Y86" i="2"/>
  <c r="Y111" i="2"/>
  <c r="H121" i="7"/>
  <c r="J52" i="2"/>
  <c r="J79" i="2"/>
  <c r="J88" i="2"/>
  <c r="D192" i="7"/>
  <c r="H52" i="2"/>
  <c r="H79" i="2"/>
  <c r="H92" i="2"/>
  <c r="H450" i="4"/>
  <c r="H450" i="5"/>
  <c r="E450" i="4"/>
  <c r="E450" i="5"/>
  <c r="D52" i="2"/>
  <c r="D79" i="2"/>
  <c r="M375" i="6"/>
  <c r="F392" i="7"/>
  <c r="H392" i="7"/>
  <c r="M8" i="4"/>
  <c r="M8" i="5"/>
  <c r="E259" i="7" a="1"/>
  <c r="E273" i="7"/>
  <c r="R545" i="5"/>
  <c r="Q450" i="6"/>
  <c r="H450" i="6"/>
  <c r="L450" i="4"/>
  <c r="L450" i="5"/>
  <c r="E450" i="6"/>
  <c r="I450" i="6"/>
  <c r="S525" i="4"/>
  <c r="S525" i="5"/>
  <c r="P540" i="4"/>
  <c r="P540" i="5"/>
  <c r="P208" i="4"/>
  <c r="P208" i="5"/>
  <c r="V425" i="6"/>
  <c r="I502" i="7"/>
  <c r="K502" i="7"/>
  <c r="I508" i="7"/>
  <c r="K508" i="7"/>
  <c r="I512" i="7"/>
  <c r="I519" i="7"/>
  <c r="I510" i="7"/>
  <c r="K510" i="7"/>
  <c r="I511" i="7"/>
  <c r="K511" i="7"/>
  <c r="I504" i="7"/>
  <c r="K504" i="7"/>
  <c r="I506" i="7"/>
  <c r="K506" i="7"/>
  <c r="P499" i="7"/>
  <c r="K441" i="7"/>
  <c r="P501" i="7"/>
  <c r="K443" i="7"/>
  <c r="I498" i="7"/>
  <c r="P503" i="7"/>
  <c r="K445" i="7"/>
  <c r="P511" i="7"/>
  <c r="K453" i="7"/>
  <c r="P509" i="7"/>
  <c r="K451" i="7"/>
  <c r="P505" i="7"/>
  <c r="K447" i="7"/>
  <c r="I514" i="7"/>
  <c r="K514" i="7"/>
  <c r="I500" i="7"/>
  <c r="K500" i="7"/>
  <c r="I507" i="7"/>
  <c r="K507" i="7"/>
  <c r="I503" i="7"/>
  <c r="K503" i="7"/>
  <c r="I499" i="7"/>
  <c r="K499" i="7"/>
  <c r="I505" i="7"/>
  <c r="K505" i="7"/>
  <c r="I509" i="7"/>
  <c r="K509" i="7"/>
  <c r="I501" i="7"/>
  <c r="K501" i="7"/>
  <c r="I515" i="7"/>
  <c r="K515" i="7"/>
  <c r="P500" i="7"/>
  <c r="K442" i="7"/>
  <c r="P502" i="7"/>
  <c r="K444" i="7"/>
  <c r="P507" i="7"/>
  <c r="K449" i="7"/>
  <c r="P514" i="7"/>
  <c r="K456" i="7"/>
  <c r="P510" i="7"/>
  <c r="K452" i="7"/>
  <c r="X73" i="2"/>
  <c r="Z46" i="2"/>
  <c r="C518" i="7"/>
  <c r="V469" i="1"/>
  <c r="D469" i="3"/>
  <c r="D469" i="4"/>
  <c r="D469" i="5"/>
  <c r="V475" i="1"/>
  <c r="D475" i="3"/>
  <c r="J425" i="6"/>
  <c r="O539" i="1"/>
  <c r="P539" i="3"/>
  <c r="P525" i="3"/>
  <c r="Z71" i="2"/>
  <c r="C28" i="7"/>
  <c r="X72" i="2"/>
  <c r="Z45" i="2"/>
  <c r="F450" i="6"/>
  <c r="H64" i="2"/>
  <c r="I37" i="2"/>
  <c r="I64" i="2"/>
  <c r="F525" i="3"/>
  <c r="E539" i="1"/>
  <c r="F539" i="3"/>
  <c r="Q539" i="1"/>
  <c r="R539" i="3"/>
  <c r="R525" i="3"/>
  <c r="G126" i="2"/>
  <c r="F251" i="7"/>
  <c r="X47" i="2"/>
  <c r="T74" i="2"/>
  <c r="D72" i="2"/>
  <c r="I45" i="2"/>
  <c r="I72" i="2"/>
  <c r="G96" i="2"/>
  <c r="G97" i="2"/>
  <c r="G99" i="2"/>
  <c r="G103" i="2"/>
  <c r="G90" i="2"/>
  <c r="G100" i="2"/>
  <c r="G98" i="2"/>
  <c r="G94" i="2"/>
  <c r="G89" i="2"/>
  <c r="G104" i="2"/>
  <c r="G129" i="2"/>
  <c r="G102" i="2"/>
  <c r="G86" i="2"/>
  <c r="G88" i="2"/>
  <c r="G87" i="2"/>
  <c r="G95" i="2"/>
  <c r="F88" i="2"/>
  <c r="E238" i="7"/>
  <c r="L97" i="2"/>
  <c r="L122" i="2"/>
  <c r="D545" i="5"/>
  <c r="N88" i="2"/>
  <c r="H192" i="7"/>
  <c r="H78" i="2"/>
  <c r="H103" i="2"/>
  <c r="I51" i="2"/>
  <c r="H519" i="7"/>
  <c r="H73" i="2"/>
  <c r="I46" i="2"/>
  <c r="I73" i="2"/>
  <c r="G375" i="4"/>
  <c r="G375" i="5"/>
  <c r="G545" i="5"/>
  <c r="G375" i="6"/>
  <c r="Z75" i="2"/>
  <c r="C32" i="7"/>
  <c r="G93" i="2"/>
  <c r="G91" i="2"/>
  <c r="G92" i="2"/>
  <c r="P475" i="3"/>
  <c r="O476" i="1"/>
  <c r="P476" i="3"/>
  <c r="V425" i="4"/>
  <c r="V425" i="5"/>
  <c r="Z61" i="2"/>
  <c r="C18" i="7"/>
  <c r="T540" i="6"/>
  <c r="T540" i="4"/>
  <c r="T540" i="5"/>
  <c r="T486" i="6"/>
  <c r="T486" i="4"/>
  <c r="T486" i="5"/>
  <c r="T545" i="5"/>
  <c r="D62" i="2"/>
  <c r="I35" i="2"/>
  <c r="I62" i="2"/>
  <c r="F189" i="4"/>
  <c r="F189" i="5"/>
  <c r="F189" i="6"/>
  <c r="F95" i="2"/>
  <c r="F89" i="2"/>
  <c r="F86" i="2"/>
  <c r="F100" i="2"/>
  <c r="F92" i="2"/>
  <c r="F90" i="2"/>
  <c r="F101" i="2"/>
  <c r="F97" i="2"/>
  <c r="F87" i="2"/>
  <c r="F104" i="2"/>
  <c r="F129" i="2"/>
  <c r="F98" i="2"/>
  <c r="F103" i="2"/>
  <c r="F93" i="2"/>
  <c r="F96" i="2"/>
  <c r="F94" i="2"/>
  <c r="F91" i="2"/>
  <c r="L86" i="2"/>
  <c r="L90" i="2"/>
  <c r="L104" i="2"/>
  <c r="L129" i="2"/>
  <c r="L92" i="2"/>
  <c r="L87" i="2"/>
  <c r="L93" i="2"/>
  <c r="L96" i="2"/>
  <c r="L89" i="2"/>
  <c r="L101" i="2"/>
  <c r="L95" i="2"/>
  <c r="L103" i="2"/>
  <c r="L94" i="2"/>
  <c r="L88" i="2"/>
  <c r="L98" i="2"/>
  <c r="L91" i="2"/>
  <c r="Q8" i="4"/>
  <c r="Q8" i="5"/>
  <c r="Q8" i="6"/>
  <c r="Q375" i="6"/>
  <c r="Q375" i="4"/>
  <c r="Q375" i="5"/>
  <c r="Q545" i="5"/>
  <c r="R189" i="6"/>
  <c r="R189" i="4"/>
  <c r="R189" i="5"/>
  <c r="R106" i="3"/>
  <c r="Q103" i="1"/>
  <c r="T8" i="6"/>
  <c r="T8" i="4"/>
  <c r="T8" i="5"/>
  <c r="Z35" i="2"/>
  <c r="T64" i="2"/>
  <c r="X37" i="2"/>
  <c r="H540" i="6"/>
  <c r="H540" i="4"/>
  <c r="H540" i="5"/>
  <c r="H525" i="3"/>
  <c r="G539" i="1"/>
  <c r="H539" i="3"/>
  <c r="V540" i="4"/>
  <c r="V540" i="5"/>
  <c r="V540" i="6"/>
  <c r="E375" i="4"/>
  <c r="E375" i="5"/>
  <c r="E545" i="5"/>
  <c r="E375" i="6"/>
  <c r="H8" i="6"/>
  <c r="H8" i="4"/>
  <c r="H8" i="5"/>
  <c r="N127" i="2"/>
  <c r="H183" i="7"/>
  <c r="H206" i="7"/>
  <c r="E525" i="4"/>
  <c r="E525" i="5"/>
  <c r="E525" i="6"/>
  <c r="C24" i="7"/>
  <c r="Z67" i="2"/>
  <c r="K539" i="6"/>
  <c r="K539" i="4"/>
  <c r="K539" i="5"/>
  <c r="F516" i="7"/>
  <c r="F519" i="7"/>
  <c r="O375" i="6"/>
  <c r="O375" i="4"/>
  <c r="O375" i="5"/>
  <c r="O545" i="5"/>
  <c r="P375" i="6"/>
  <c r="P375" i="4"/>
  <c r="P375" i="5"/>
  <c r="P545" i="5"/>
  <c r="V375" i="4"/>
  <c r="V375" i="5"/>
  <c r="V375" i="6"/>
  <c r="N91" i="2"/>
  <c r="N90" i="2"/>
  <c r="N95" i="2"/>
  <c r="N100" i="2"/>
  <c r="N92" i="2"/>
  <c r="N98" i="2"/>
  <c r="N94" i="2"/>
  <c r="N86" i="2"/>
  <c r="N96" i="2"/>
  <c r="N93" i="2"/>
  <c r="N87" i="2"/>
  <c r="N104" i="2"/>
  <c r="N129" i="2"/>
  <c r="N89" i="2"/>
  <c r="N101" i="2"/>
  <c r="N103" i="2"/>
  <c r="H103" i="3"/>
  <c r="H103" i="4"/>
  <c r="H103" i="5"/>
  <c r="G104" i="1"/>
  <c r="H104" i="3"/>
  <c r="H104" i="6"/>
  <c r="I50" i="2"/>
  <c r="D77" i="2"/>
  <c r="U189" i="4"/>
  <c r="U189" i="5"/>
  <c r="U189" i="6"/>
  <c r="P106" i="6"/>
  <c r="P106" i="4"/>
  <c r="P106" i="5"/>
  <c r="H393" i="7"/>
  <c r="F378" i="7"/>
  <c r="H378" i="7"/>
  <c r="E66" i="2"/>
  <c r="E52" i="2"/>
  <c r="E79" i="2"/>
  <c r="L189" i="4"/>
  <c r="L189" i="5"/>
  <c r="L189" i="6"/>
  <c r="O288" i="4"/>
  <c r="O288" i="5"/>
  <c r="O288" i="6"/>
  <c r="P8" i="6"/>
  <c r="P8" i="4"/>
  <c r="P8" i="5"/>
  <c r="F390" i="7"/>
  <c r="H390" i="7"/>
  <c r="X39" i="2"/>
  <c r="T66" i="2"/>
  <c r="J540" i="6"/>
  <c r="J540" i="4"/>
  <c r="J540" i="5"/>
  <c r="J525" i="3"/>
  <c r="I539" i="1"/>
  <c r="J539" i="3"/>
  <c r="K288" i="6"/>
  <c r="K288" i="4"/>
  <c r="K288" i="5"/>
  <c r="M189" i="4"/>
  <c r="M189" i="5"/>
  <c r="M189" i="6"/>
  <c r="M106" i="3"/>
  <c r="L103" i="1"/>
  <c r="E70" i="2"/>
  <c r="E95" i="2"/>
  <c r="D245" i="7"/>
  <c r="I43" i="2"/>
  <c r="N103" i="1"/>
  <c r="O106" i="3"/>
  <c r="D71" i="2"/>
  <c r="I44" i="2"/>
  <c r="S103" i="1"/>
  <c r="T106" i="3"/>
  <c r="I49" i="2"/>
  <c r="I76" i="2"/>
  <c r="D76" i="2"/>
  <c r="V8" i="4"/>
  <c r="V8" i="5"/>
  <c r="V8" i="6"/>
  <c r="S106" i="6"/>
  <c r="S106" i="4"/>
  <c r="S106" i="5"/>
  <c r="E516" i="7"/>
  <c r="P498" i="7"/>
  <c r="Q498" i="7"/>
  <c r="I34" i="2"/>
  <c r="D61" i="2"/>
  <c r="D103" i="1"/>
  <c r="E106" i="3"/>
  <c r="G106" i="3"/>
  <c r="F103" i="1"/>
  <c r="D63" i="2"/>
  <c r="I36" i="2"/>
  <c r="H375" i="4"/>
  <c r="H375" i="5"/>
  <c r="H375" i="6"/>
  <c r="D67" i="2"/>
  <c r="I40" i="2"/>
  <c r="L208" i="6"/>
  <c r="L208" i="4"/>
  <c r="L208" i="5"/>
  <c r="N97" i="2"/>
  <c r="L99" i="2"/>
  <c r="U539" i="6"/>
  <c r="U539" i="4"/>
  <c r="U539" i="5"/>
  <c r="J519" i="7"/>
  <c r="R512" i="7"/>
  <c r="J516" i="7"/>
  <c r="J518" i="7"/>
  <c r="R498" i="7"/>
  <c r="H516" i="7"/>
  <c r="Q103" i="3"/>
  <c r="P104" i="1"/>
  <c r="Q104" i="3"/>
  <c r="Q104" i="6"/>
  <c r="Q288" i="4"/>
  <c r="Q288" i="5"/>
  <c r="Q288" i="6"/>
  <c r="N99" i="2"/>
  <c r="T208" i="4"/>
  <c r="T208" i="5"/>
  <c r="T208" i="6"/>
  <c r="E354" i="5"/>
  <c r="G282" i="7" a="1"/>
  <c r="J8" i="4"/>
  <c r="J8" i="5"/>
  <c r="J8" i="6"/>
  <c r="D259" i="7" a="1"/>
  <c r="T525" i="3"/>
  <c r="S539" i="1"/>
  <c r="T539" i="3"/>
  <c r="F106" i="3"/>
  <c r="E103" i="1"/>
  <c r="F201" i="7"/>
  <c r="D74" i="2"/>
  <c r="I47" i="2"/>
  <c r="I74" i="2"/>
  <c r="C76" i="2"/>
  <c r="F206" i="7"/>
  <c r="L127" i="2"/>
  <c r="H486" i="4"/>
  <c r="H486" i="5"/>
  <c r="H486" i="6"/>
  <c r="X51" i="2"/>
  <c r="T78" i="2"/>
  <c r="V525" i="3"/>
  <c r="U539" i="1"/>
  <c r="V539" i="3"/>
  <c r="V486" i="4"/>
  <c r="V486" i="5"/>
  <c r="V486" i="6"/>
  <c r="M545" i="5"/>
  <c r="E8" i="4"/>
  <c r="E8" i="5"/>
  <c r="E8" i="6"/>
  <c r="U375" i="6"/>
  <c r="U375" i="4"/>
  <c r="U375" i="5"/>
  <c r="U545" i="5"/>
  <c r="E539" i="4"/>
  <c r="E539" i="5"/>
  <c r="E539" i="6"/>
  <c r="K525" i="4"/>
  <c r="K525" i="5"/>
  <c r="K525" i="6"/>
  <c r="R8" i="4"/>
  <c r="R8" i="5"/>
  <c r="R8" i="6"/>
  <c r="U8" i="4"/>
  <c r="U8" i="5"/>
  <c r="U8" i="6"/>
  <c r="E290" i="5"/>
  <c r="C259" i="7" a="1"/>
  <c r="C282" i="7" a="1"/>
  <c r="N113" i="2"/>
  <c r="H169" i="7"/>
  <c r="H288" i="4"/>
  <c r="H288" i="5"/>
  <c r="H288" i="6"/>
  <c r="U106" i="3"/>
  <c r="T103" i="1"/>
  <c r="O104" i="1"/>
  <c r="P104" i="3"/>
  <c r="P104" i="4"/>
  <c r="P104" i="5"/>
  <c r="P103" i="3"/>
  <c r="P103" i="4"/>
  <c r="P103" i="5"/>
  <c r="L8" i="6"/>
  <c r="L8" i="4"/>
  <c r="L8" i="5"/>
  <c r="G8" i="4"/>
  <c r="G8" i="5"/>
  <c r="G8" i="6"/>
  <c r="H388" i="7"/>
  <c r="J208" i="4"/>
  <c r="J208" i="5"/>
  <c r="J208" i="6"/>
  <c r="D68" i="2"/>
  <c r="I41" i="2"/>
  <c r="I68" i="2"/>
  <c r="K103" i="1"/>
  <c r="L106" i="3"/>
  <c r="O469" i="1"/>
  <c r="P469" i="3"/>
  <c r="C72" i="2"/>
  <c r="U104" i="1"/>
  <c r="V104" i="3"/>
  <c r="V103" i="3"/>
  <c r="V103" i="4"/>
  <c r="V103" i="5"/>
  <c r="U469" i="1"/>
  <c r="V469" i="3"/>
  <c r="V469" i="6"/>
  <c r="U475" i="1"/>
  <c r="V288" i="4"/>
  <c r="V288" i="5"/>
  <c r="V288" i="6"/>
  <c r="J486" i="4"/>
  <c r="J486" i="5"/>
  <c r="J545" i="5"/>
  <c r="J486" i="6"/>
  <c r="D69" i="2"/>
  <c r="I42" i="2"/>
  <c r="M475" i="1"/>
  <c r="N103" i="3"/>
  <c r="N103" i="4"/>
  <c r="N103" i="5"/>
  <c r="M104" i="1"/>
  <c r="N104" i="3"/>
  <c r="N104" i="4"/>
  <c r="N104" i="5"/>
  <c r="M469" i="1"/>
  <c r="N469" i="3"/>
  <c r="N208" i="6"/>
  <c r="N208" i="4"/>
  <c r="N208" i="5"/>
  <c r="O189" i="6"/>
  <c r="O189" i="4"/>
  <c r="O189" i="5"/>
  <c r="T189" i="6"/>
  <c r="T189" i="4"/>
  <c r="T189" i="5"/>
  <c r="S375" i="6"/>
  <c r="S375" i="4"/>
  <c r="S375" i="5"/>
  <c r="S545" i="5"/>
  <c r="F282" i="7" a="1"/>
  <c r="E349" i="5"/>
  <c r="F259" i="7" a="1"/>
  <c r="S103" i="3"/>
  <c r="S103" i="4"/>
  <c r="S103" i="5"/>
  <c r="R104" i="1"/>
  <c r="S104" i="3"/>
  <c r="S104" i="6"/>
  <c r="E519" i="7"/>
  <c r="P512" i="7"/>
  <c r="Q512" i="7"/>
  <c r="E189" i="6"/>
  <c r="E189" i="4"/>
  <c r="E189" i="5"/>
  <c r="F8" i="4"/>
  <c r="F8" i="5"/>
  <c r="F8" i="6"/>
  <c r="F288" i="6"/>
  <c r="F288" i="4"/>
  <c r="F288" i="5"/>
  <c r="G189" i="4"/>
  <c r="G189" i="5"/>
  <c r="G189" i="6"/>
  <c r="K189" i="4"/>
  <c r="K189" i="5"/>
  <c r="K189" i="6"/>
  <c r="K106" i="3"/>
  <c r="J103" i="1"/>
  <c r="F99" i="2"/>
  <c r="L100" i="2"/>
  <c r="F102" i="2"/>
  <c r="Z77" i="2"/>
  <c r="C34" i="7"/>
  <c r="U525" i="4"/>
  <c r="U525" i="5"/>
  <c r="U525" i="6"/>
  <c r="E288" i="4"/>
  <c r="E288" i="5"/>
  <c r="E288" i="6"/>
  <c r="F375" i="6"/>
  <c r="F375" i="4"/>
  <c r="F375" i="5"/>
  <c r="K375" i="6"/>
  <c r="K375" i="4"/>
  <c r="K375" i="5"/>
  <c r="K545" i="5"/>
  <c r="S288" i="4"/>
  <c r="S288" i="5"/>
  <c r="S288" i="6"/>
  <c r="G259" i="7" a="1"/>
  <c r="D282" i="7" a="1"/>
  <c r="K62" i="2"/>
  <c r="G425" i="6"/>
  <c r="G425" i="4"/>
  <c r="G425" i="5"/>
  <c r="Q475" i="3"/>
  <c r="P476" i="1"/>
  <c r="Q476" i="3"/>
  <c r="Q425" i="6"/>
  <c r="Q425" i="4"/>
  <c r="Q425" i="5"/>
  <c r="G476" i="1"/>
  <c r="H476" i="3"/>
  <c r="H475" i="3"/>
  <c r="H425" i="6"/>
  <c r="H425" i="4"/>
  <c r="H425" i="5"/>
  <c r="K68" i="2"/>
  <c r="K52" i="2"/>
  <c r="K79" i="2"/>
  <c r="K88" i="2"/>
  <c r="K61" i="2"/>
  <c r="M34" i="2"/>
  <c r="D425" i="4"/>
  <c r="D425" i="5"/>
  <c r="D425" i="6"/>
  <c r="N425" i="6"/>
  <c r="N425" i="4"/>
  <c r="N425" i="5"/>
  <c r="O425" i="6"/>
  <c r="P425" i="4"/>
  <c r="P425" i="5"/>
  <c r="P425" i="6"/>
  <c r="O425" i="4"/>
  <c r="O425" i="5"/>
  <c r="T425" i="4"/>
  <c r="T425" i="5"/>
  <c r="T425" i="6"/>
  <c r="M425" i="4"/>
  <c r="M425" i="5"/>
  <c r="U425" i="6"/>
  <c r="S425" i="6"/>
  <c r="K425" i="4"/>
  <c r="K425" i="5"/>
  <c r="F425" i="6"/>
  <c r="F425" i="4"/>
  <c r="F425" i="5"/>
  <c r="K73" i="2"/>
  <c r="K98" i="2"/>
  <c r="K64" i="2"/>
  <c r="K89" i="2"/>
  <c r="L425" i="6"/>
  <c r="L425" i="4"/>
  <c r="L425" i="5"/>
  <c r="E425" i="6"/>
  <c r="E425" i="4"/>
  <c r="E425" i="5"/>
  <c r="P450" i="6"/>
  <c r="D450" i="4"/>
  <c r="D450" i="5"/>
  <c r="N450" i="4"/>
  <c r="N450" i="5"/>
  <c r="N450" i="6"/>
  <c r="O450" i="4"/>
  <c r="O450" i="5"/>
  <c r="D450" i="6"/>
  <c r="O450" i="6"/>
  <c r="T450" i="4"/>
  <c r="T450" i="5"/>
  <c r="J450" i="6"/>
  <c r="R450" i="4"/>
  <c r="R450" i="5"/>
  <c r="T450" i="6"/>
  <c r="J450" i="4"/>
  <c r="J450" i="5"/>
  <c r="R450" i="6"/>
  <c r="S450" i="4"/>
  <c r="S450" i="5"/>
  <c r="P450" i="4"/>
  <c r="P450" i="5"/>
  <c r="S450" i="6"/>
  <c r="U450" i="6"/>
  <c r="V450" i="4"/>
  <c r="V450" i="5"/>
  <c r="K450" i="4"/>
  <c r="K450" i="5"/>
  <c r="M450" i="6"/>
  <c r="U450" i="4"/>
  <c r="U450" i="5"/>
  <c r="V450" i="6"/>
  <c r="K450" i="6"/>
  <c r="M450" i="4"/>
  <c r="M450" i="5"/>
  <c r="F450" i="4"/>
  <c r="F450" i="5"/>
  <c r="M425" i="6"/>
  <c r="U425" i="4"/>
  <c r="U425" i="5"/>
  <c r="S425" i="4"/>
  <c r="S425" i="5"/>
  <c r="K425" i="6"/>
  <c r="G450" i="6"/>
  <c r="I425" i="4"/>
  <c r="I425" i="5"/>
  <c r="I425" i="6"/>
  <c r="I456" i="7"/>
  <c r="Q514" i="7"/>
  <c r="I441" i="7"/>
  <c r="I440" i="7"/>
  <c r="N516" i="7"/>
  <c r="I447" i="7"/>
  <c r="I66" i="2"/>
  <c r="M39" i="2"/>
  <c r="E289" i="7"/>
  <c r="E295" i="7"/>
  <c r="E299" i="7"/>
  <c r="E293" i="7"/>
  <c r="I106" i="4"/>
  <c r="I106" i="5"/>
  <c r="I106" i="6"/>
  <c r="N486" i="4"/>
  <c r="N486" i="5"/>
  <c r="N545" i="5"/>
  <c r="N486" i="6"/>
  <c r="R425" i="6"/>
  <c r="R425" i="4"/>
  <c r="R425" i="5"/>
  <c r="P469" i="6"/>
  <c r="H469" i="6"/>
  <c r="V469" i="4"/>
  <c r="V469" i="5"/>
  <c r="V476" i="1"/>
  <c r="D476" i="3"/>
  <c r="J113" i="2"/>
  <c r="Z63" i="2"/>
  <c r="C20" i="7"/>
  <c r="Y112" i="2"/>
  <c r="H122" i="7"/>
  <c r="H156" i="7"/>
  <c r="Y118" i="2"/>
  <c r="H128" i="7"/>
  <c r="H148" i="7"/>
  <c r="I451" i="7"/>
  <c r="I443" i="7"/>
  <c r="Q515" i="7"/>
  <c r="I457" i="7"/>
  <c r="K512" i="7"/>
  <c r="K519" i="7"/>
  <c r="J103" i="3"/>
  <c r="I469" i="1"/>
  <c r="J469" i="3"/>
  <c r="I104" i="1"/>
  <c r="J104" i="3"/>
  <c r="I475" i="1"/>
  <c r="G518" i="7"/>
  <c r="E120" i="2"/>
  <c r="D222" i="7"/>
  <c r="T68" i="2"/>
  <c r="T52" i="2"/>
  <c r="T79" i="2"/>
  <c r="X41" i="2"/>
  <c r="L540" i="4"/>
  <c r="L540" i="5"/>
  <c r="L540" i="6"/>
  <c r="K539" i="1"/>
  <c r="L539" i="3"/>
  <c r="L525" i="3"/>
  <c r="R476" i="1"/>
  <c r="S476" i="3"/>
  <c r="S475" i="3"/>
  <c r="S8" i="4"/>
  <c r="S8" i="5"/>
  <c r="S8" i="6"/>
  <c r="M38" i="2"/>
  <c r="J93" i="2"/>
  <c r="J94" i="2"/>
  <c r="J102" i="2"/>
  <c r="J91" i="2"/>
  <c r="J104" i="2"/>
  <c r="J129" i="2"/>
  <c r="J95" i="2"/>
  <c r="J98" i="2"/>
  <c r="J86" i="2"/>
  <c r="H95" i="2"/>
  <c r="H100" i="2"/>
  <c r="H93" i="2"/>
  <c r="H101" i="2"/>
  <c r="M47" i="2"/>
  <c r="W122" i="2"/>
  <c r="E132" i="7"/>
  <c r="E155" i="7"/>
  <c r="W119" i="2"/>
  <c r="E129" i="7"/>
  <c r="E152" i="7"/>
  <c r="W113" i="2"/>
  <c r="E123" i="7"/>
  <c r="E146" i="7"/>
  <c r="W126" i="2"/>
  <c r="E136" i="7"/>
  <c r="E159" i="7"/>
  <c r="W124" i="2"/>
  <c r="E134" i="7"/>
  <c r="E157" i="7"/>
  <c r="W115" i="2"/>
  <c r="E125" i="7"/>
  <c r="E148" i="7"/>
  <c r="W118" i="2"/>
  <c r="E128" i="7"/>
  <c r="E151" i="7"/>
  <c r="W127" i="2"/>
  <c r="E137" i="7"/>
  <c r="E160" i="7"/>
  <c r="I445" i="7"/>
  <c r="I442" i="7"/>
  <c r="I449" i="7"/>
  <c r="I444" i="7"/>
  <c r="I446" i="7"/>
  <c r="K498" i="7"/>
  <c r="O519" i="7"/>
  <c r="J461" i="7"/>
  <c r="J454" i="7"/>
  <c r="E275" i="7"/>
  <c r="E272" i="7"/>
  <c r="E265" i="7"/>
  <c r="E264" i="7"/>
  <c r="H104" i="1"/>
  <c r="I104" i="3"/>
  <c r="I103" i="3"/>
  <c r="H475" i="1"/>
  <c r="H469" i="1"/>
  <c r="I469" i="3"/>
  <c r="X43" i="2"/>
  <c r="T70" i="2"/>
  <c r="N525" i="3"/>
  <c r="M539" i="1"/>
  <c r="N539" i="3"/>
  <c r="N540" i="4"/>
  <c r="N540" i="5"/>
  <c r="N540" i="6"/>
  <c r="Q103" i="4"/>
  <c r="Q103" i="5"/>
  <c r="S103" i="6"/>
  <c r="D103" i="4"/>
  <c r="D103" i="5"/>
  <c r="Q103" i="6"/>
  <c r="V103" i="6"/>
  <c r="D103" i="6"/>
  <c r="P104" i="6"/>
  <c r="D104" i="4"/>
  <c r="D104" i="5"/>
  <c r="D104" i="6"/>
  <c r="V104" i="6"/>
  <c r="H104" i="4"/>
  <c r="H104" i="5"/>
  <c r="V104" i="4"/>
  <c r="V104" i="5"/>
  <c r="Y119" i="2"/>
  <c r="H129" i="7"/>
  <c r="H152" i="7"/>
  <c r="Y113" i="2"/>
  <c r="H123" i="7"/>
  <c r="H146" i="7"/>
  <c r="Y116" i="2"/>
  <c r="H126" i="7"/>
  <c r="H149" i="7"/>
  <c r="Y122" i="2"/>
  <c r="H132" i="7"/>
  <c r="H155" i="7"/>
  <c r="Y120" i="2"/>
  <c r="H130" i="7"/>
  <c r="H153" i="7"/>
  <c r="Y124" i="2"/>
  <c r="H134" i="7"/>
  <c r="H157" i="7"/>
  <c r="H154" i="7"/>
  <c r="Y121" i="2"/>
  <c r="H131" i="7"/>
  <c r="H147" i="7"/>
  <c r="Y114" i="2"/>
  <c r="H124" i="7"/>
  <c r="Y125" i="2"/>
  <c r="H135" i="7"/>
  <c r="H158" i="7"/>
  <c r="Y128" i="2"/>
  <c r="H138" i="7"/>
  <c r="H161" i="7"/>
  <c r="I448" i="7"/>
  <c r="Q508" i="7"/>
  <c r="I450" i="7"/>
  <c r="I453" i="7"/>
  <c r="I455" i="7"/>
  <c r="I452" i="7"/>
  <c r="I454" i="7"/>
  <c r="N519" i="7"/>
  <c r="I461" i="7"/>
  <c r="J106" i="4"/>
  <c r="J106" i="5"/>
  <c r="J106" i="6"/>
  <c r="O516" i="7"/>
  <c r="J440" i="7"/>
  <c r="R102" i="2"/>
  <c r="R127" i="2"/>
  <c r="R98" i="2"/>
  <c r="R123" i="2"/>
  <c r="R94" i="2"/>
  <c r="R119" i="2"/>
  <c r="R90" i="2"/>
  <c r="R115" i="2"/>
  <c r="R101" i="2"/>
  <c r="R126" i="2"/>
  <c r="R97" i="2"/>
  <c r="R122" i="2"/>
  <c r="R93" i="2"/>
  <c r="R118" i="2"/>
  <c r="R88" i="2"/>
  <c r="R113" i="2"/>
  <c r="R89" i="2"/>
  <c r="R114" i="2"/>
  <c r="R104" i="2"/>
  <c r="R129" i="2"/>
  <c r="R100" i="2"/>
  <c r="R125" i="2"/>
  <c r="R96" i="2"/>
  <c r="R121" i="2"/>
  <c r="R92" i="2"/>
  <c r="R117" i="2"/>
  <c r="R103" i="2"/>
  <c r="R128" i="2"/>
  <c r="R99" i="2"/>
  <c r="R124" i="2"/>
  <c r="R95" i="2"/>
  <c r="R120" i="2"/>
  <c r="R91" i="2"/>
  <c r="R116" i="2"/>
  <c r="R86" i="2"/>
  <c r="R111" i="2"/>
  <c r="R87" i="2"/>
  <c r="R112" i="2"/>
  <c r="L486" i="6"/>
  <c r="L486" i="4"/>
  <c r="L486" i="5"/>
  <c r="L545" i="5"/>
  <c r="S469" i="4"/>
  <c r="S469" i="5"/>
  <c r="C75" i="2"/>
  <c r="C52" i="2"/>
  <c r="C79" i="2"/>
  <c r="C90" i="2"/>
  <c r="C115" i="2"/>
  <c r="J99" i="2"/>
  <c r="Z49" i="2"/>
  <c r="X76" i="2"/>
  <c r="W111" i="2"/>
  <c r="E121" i="7"/>
  <c r="E144" i="7"/>
  <c r="E154" i="7"/>
  <c r="W121" i="2"/>
  <c r="E131" i="7"/>
  <c r="W123" i="2"/>
  <c r="E133" i="7"/>
  <c r="E156" i="7"/>
  <c r="W116" i="2"/>
  <c r="E126" i="7"/>
  <c r="E149" i="7"/>
  <c r="W120" i="2"/>
  <c r="E130" i="7"/>
  <c r="E153" i="7"/>
  <c r="W117" i="2"/>
  <c r="E127" i="7"/>
  <c r="E150" i="7"/>
  <c r="W125" i="2"/>
  <c r="E135" i="7"/>
  <c r="E158" i="7"/>
  <c r="W114" i="2"/>
  <c r="E124" i="7"/>
  <c r="E147" i="7"/>
  <c r="W112" i="2"/>
  <c r="E122" i="7"/>
  <c r="E145" i="7"/>
  <c r="W128" i="2"/>
  <c r="E138" i="7"/>
  <c r="E161" i="7"/>
  <c r="C26" i="7"/>
  <c r="Z69" i="2"/>
  <c r="Q104" i="4"/>
  <c r="Q104" i="5"/>
  <c r="P103" i="6"/>
  <c r="E274" i="7"/>
  <c r="E261" i="7"/>
  <c r="E262" i="7"/>
  <c r="E270" i="7"/>
  <c r="E266" i="7"/>
  <c r="Q504" i="7"/>
  <c r="S504" i="7"/>
  <c r="H91" i="2"/>
  <c r="H99" i="2"/>
  <c r="H88" i="2"/>
  <c r="H144" i="7"/>
  <c r="H160" i="7"/>
  <c r="H150" i="7"/>
  <c r="H159" i="7"/>
  <c r="Q469" i="6"/>
  <c r="D469" i="6"/>
  <c r="M37" i="2"/>
  <c r="M46" i="2"/>
  <c r="K103" i="2"/>
  <c r="F545" i="5"/>
  <c r="H98" i="2"/>
  <c r="H89" i="2"/>
  <c r="J90" i="2"/>
  <c r="D194" i="7"/>
  <c r="M48" i="2"/>
  <c r="Q513" i="7"/>
  <c r="S513" i="7"/>
  <c r="Q506" i="7"/>
  <c r="J97" i="2"/>
  <c r="D201" i="7"/>
  <c r="J92" i="2"/>
  <c r="J100" i="2"/>
  <c r="J125" i="2"/>
  <c r="J87" i="2"/>
  <c r="J103" i="2"/>
  <c r="D207" i="7"/>
  <c r="J101" i="2"/>
  <c r="J96" i="2"/>
  <c r="D200" i="7"/>
  <c r="J89" i="2"/>
  <c r="E286" i="7"/>
  <c r="E291" i="7"/>
  <c r="E290" i="7"/>
  <c r="E284" i="7"/>
  <c r="E282" i="7"/>
  <c r="K102" i="2"/>
  <c r="K99" i="2"/>
  <c r="E203" i="7"/>
  <c r="K90" i="2"/>
  <c r="K86" i="2"/>
  <c r="E190" i="7"/>
  <c r="M49" i="2"/>
  <c r="F113" i="2"/>
  <c r="E215" i="7"/>
  <c r="S104" i="4"/>
  <c r="S104" i="5"/>
  <c r="N103" i="6"/>
  <c r="E292" i="7"/>
  <c r="E297" i="7"/>
  <c r="E296" i="7"/>
  <c r="E285" i="7"/>
  <c r="E294" i="7"/>
  <c r="E283" i="7"/>
  <c r="E298" i="7"/>
  <c r="E287" i="7"/>
  <c r="H90" i="2"/>
  <c r="H115" i="2"/>
  <c r="S469" i="6"/>
  <c r="E263" i="7"/>
  <c r="E276" i="7"/>
  <c r="E267" i="7"/>
  <c r="E259" i="7"/>
  <c r="E268" i="7"/>
  <c r="E260" i="7"/>
  <c r="E269" i="7"/>
  <c r="E271" i="7"/>
  <c r="H96" i="2"/>
  <c r="G246" i="7"/>
  <c r="H87" i="2"/>
  <c r="H94" i="2"/>
  <c r="H119" i="2"/>
  <c r="H104" i="2"/>
  <c r="H129" i="2"/>
  <c r="H97" i="2"/>
  <c r="G247" i="7"/>
  <c r="H86" i="2"/>
  <c r="H102" i="2"/>
  <c r="G252" i="7"/>
  <c r="N469" i="6"/>
  <c r="N469" i="4"/>
  <c r="N469" i="5"/>
  <c r="P469" i="4"/>
  <c r="P469" i="5"/>
  <c r="H469" i="4"/>
  <c r="H469" i="5"/>
  <c r="Q469" i="4"/>
  <c r="Q469" i="5"/>
  <c r="M41" i="2"/>
  <c r="M68" i="2"/>
  <c r="M45" i="2"/>
  <c r="M72" i="2"/>
  <c r="Q502" i="7"/>
  <c r="S502" i="7"/>
  <c r="Q503" i="7"/>
  <c r="S503" i="7"/>
  <c r="I516" i="7"/>
  <c r="I518" i="7"/>
  <c r="Q510" i="7"/>
  <c r="S510" i="7"/>
  <c r="Q511" i="7"/>
  <c r="S511" i="7"/>
  <c r="Q507" i="7"/>
  <c r="S507" i="7"/>
  <c r="Q500" i="7"/>
  <c r="C442" i="7"/>
  <c r="Q505" i="7"/>
  <c r="S505" i="7"/>
  <c r="Q499" i="7"/>
  <c r="S499" i="7"/>
  <c r="H518" i="7"/>
  <c r="K516" i="7"/>
  <c r="K518" i="7"/>
  <c r="Q501" i="7"/>
  <c r="C443" i="7"/>
  <c r="Q509" i="7"/>
  <c r="C451" i="7"/>
  <c r="F518" i="7"/>
  <c r="C30" i="7"/>
  <c r="Z73" i="2"/>
  <c r="P525" i="6"/>
  <c r="P525" i="4"/>
  <c r="P525" i="5"/>
  <c r="Z72" i="2"/>
  <c r="C29" i="7"/>
  <c r="P539" i="6"/>
  <c r="P539" i="4"/>
  <c r="P539" i="5"/>
  <c r="F242" i="7"/>
  <c r="G117" i="2"/>
  <c r="G118" i="2"/>
  <c r="F243" i="7"/>
  <c r="G112" i="2"/>
  <c r="F237" i="7"/>
  <c r="G111" i="2"/>
  <c r="F236" i="7"/>
  <c r="G119" i="2"/>
  <c r="F244" i="7"/>
  <c r="F250" i="7"/>
  <c r="G125" i="2"/>
  <c r="G128" i="2"/>
  <c r="F253" i="7"/>
  <c r="F247" i="7"/>
  <c r="G122" i="2"/>
  <c r="R525" i="6"/>
  <c r="R525" i="4"/>
  <c r="R525" i="5"/>
  <c r="F539" i="4"/>
  <c r="F539" i="5"/>
  <c r="F539" i="6"/>
  <c r="F241" i="7"/>
  <c r="G116" i="2"/>
  <c r="I78" i="2"/>
  <c r="M51" i="2"/>
  <c r="F245" i="7"/>
  <c r="G120" i="2"/>
  <c r="G113" i="2"/>
  <c r="F238" i="7"/>
  <c r="G127" i="2"/>
  <c r="F252" i="7"/>
  <c r="G114" i="2"/>
  <c r="F239" i="7"/>
  <c r="G123" i="2"/>
  <c r="F248" i="7"/>
  <c r="F240" i="7"/>
  <c r="G115" i="2"/>
  <c r="G124" i="2"/>
  <c r="F249" i="7"/>
  <c r="F246" i="7"/>
  <c r="G121" i="2"/>
  <c r="Z47" i="2"/>
  <c r="X74" i="2"/>
  <c r="F228" i="7"/>
  <c r="L338" i="7"/>
  <c r="R539" i="6"/>
  <c r="R539" i="4"/>
  <c r="R539" i="5"/>
  <c r="F525" i="4"/>
  <c r="F525" i="5"/>
  <c r="F525" i="6"/>
  <c r="N104" i="6"/>
  <c r="H103" i="6"/>
  <c r="M35" i="2"/>
  <c r="O35" i="2"/>
  <c r="D291" i="7"/>
  <c r="D288" i="7"/>
  <c r="D285" i="7"/>
  <c r="D290" i="7"/>
  <c r="D294" i="7"/>
  <c r="D296" i="7"/>
  <c r="D282" i="7"/>
  <c r="D287" i="7"/>
  <c r="D286" i="7"/>
  <c r="D289" i="7"/>
  <c r="D284" i="7"/>
  <c r="D299" i="7"/>
  <c r="D298" i="7"/>
  <c r="D297" i="7"/>
  <c r="D292" i="7"/>
  <c r="D295" i="7"/>
  <c r="D283" i="7"/>
  <c r="D293" i="7"/>
  <c r="L125" i="2"/>
  <c r="F204" i="7"/>
  <c r="J104" i="1"/>
  <c r="K104" i="3"/>
  <c r="K103" i="3"/>
  <c r="J469" i="1"/>
  <c r="K469" i="3"/>
  <c r="J475" i="1"/>
  <c r="K454" i="7"/>
  <c r="P519" i="7"/>
  <c r="K461" i="7"/>
  <c r="F261" i="7"/>
  <c r="F271" i="7"/>
  <c r="F276" i="7"/>
  <c r="F273" i="7"/>
  <c r="F260" i="7"/>
  <c r="F270" i="7"/>
  <c r="F264" i="7"/>
  <c r="F265" i="7"/>
  <c r="F267" i="7"/>
  <c r="F272" i="7"/>
  <c r="F263" i="7"/>
  <c r="F266" i="7"/>
  <c r="F262" i="7"/>
  <c r="F259" i="7"/>
  <c r="F268" i="7"/>
  <c r="F275" i="7"/>
  <c r="F274" i="7"/>
  <c r="F269" i="7"/>
  <c r="M42" i="2"/>
  <c r="I69" i="2"/>
  <c r="V475" i="3"/>
  <c r="V475" i="6"/>
  <c r="U476" i="1"/>
  <c r="V476" i="3"/>
  <c r="V476" i="6"/>
  <c r="O45" i="2"/>
  <c r="K104" i="1"/>
  <c r="L104" i="3"/>
  <c r="L103" i="3"/>
  <c r="K469" i="1"/>
  <c r="L469" i="3"/>
  <c r="K475" i="1"/>
  <c r="T104" i="1"/>
  <c r="U104" i="3"/>
  <c r="U103" i="3"/>
  <c r="T475" i="1"/>
  <c r="T469" i="1"/>
  <c r="U469" i="3"/>
  <c r="C288" i="7"/>
  <c r="C293" i="7"/>
  <c r="C292" i="7"/>
  <c r="C290" i="7"/>
  <c r="C299" i="7"/>
  <c r="C283" i="7"/>
  <c r="C286" i="7"/>
  <c r="C294" i="7"/>
  <c r="C289" i="7"/>
  <c r="C296" i="7"/>
  <c r="C285" i="7"/>
  <c r="C287" i="7"/>
  <c r="C295" i="7"/>
  <c r="C298" i="7"/>
  <c r="C282" i="7"/>
  <c r="C297" i="7"/>
  <c r="C284" i="7"/>
  <c r="C291" i="7"/>
  <c r="V539" i="4"/>
  <c r="V539" i="5"/>
  <c r="V539" i="6"/>
  <c r="I339" i="7"/>
  <c r="F183" i="7"/>
  <c r="M76" i="2"/>
  <c r="O49" i="2"/>
  <c r="I334" i="7"/>
  <c r="F178" i="7"/>
  <c r="F103" i="3"/>
  <c r="E104" i="1"/>
  <c r="F104" i="3"/>
  <c r="E469" i="1"/>
  <c r="F469" i="3"/>
  <c r="E475" i="1"/>
  <c r="T539" i="6"/>
  <c r="T539" i="4"/>
  <c r="T539" i="5"/>
  <c r="D263" i="7"/>
  <c r="D274" i="7"/>
  <c r="D272" i="7"/>
  <c r="D261" i="7"/>
  <c r="D259" i="7"/>
  <c r="D266" i="7"/>
  <c r="D276" i="7"/>
  <c r="D273" i="7"/>
  <c r="D268" i="7"/>
  <c r="D269" i="7"/>
  <c r="D267" i="7"/>
  <c r="D264" i="7"/>
  <c r="D275" i="7"/>
  <c r="D271" i="7"/>
  <c r="D265" i="7"/>
  <c r="D260" i="7"/>
  <c r="D270" i="7"/>
  <c r="D262" i="7"/>
  <c r="N122" i="2"/>
  <c r="H178" i="7"/>
  <c r="H201" i="7"/>
  <c r="H545" i="5"/>
  <c r="G106" i="6"/>
  <c r="G106" i="4"/>
  <c r="G106" i="5"/>
  <c r="D104" i="1"/>
  <c r="E104" i="3"/>
  <c r="E103" i="3"/>
  <c r="D469" i="1"/>
  <c r="E469" i="3"/>
  <c r="D475" i="1"/>
  <c r="I52" i="2"/>
  <c r="I61" i="2"/>
  <c r="E518" i="7"/>
  <c r="S104" i="1"/>
  <c r="T104" i="3"/>
  <c r="T103" i="3"/>
  <c r="S469" i="1"/>
  <c r="T469" i="3"/>
  <c r="S475" i="1"/>
  <c r="O103" i="3"/>
  <c r="N475" i="1"/>
  <c r="N104" i="1"/>
  <c r="O104" i="3"/>
  <c r="N469" i="1"/>
  <c r="O469" i="3"/>
  <c r="M106" i="4"/>
  <c r="M106" i="5"/>
  <c r="M106" i="6"/>
  <c r="J525" i="4"/>
  <c r="J525" i="5"/>
  <c r="J525" i="6"/>
  <c r="X66" i="2"/>
  <c r="Z39" i="2"/>
  <c r="E88" i="2"/>
  <c r="E90" i="2"/>
  <c r="E98" i="2"/>
  <c r="E93" i="2"/>
  <c r="E99" i="2"/>
  <c r="E87" i="2"/>
  <c r="E101" i="2"/>
  <c r="E103" i="2"/>
  <c r="E92" i="2"/>
  <c r="E94" i="2"/>
  <c r="E86" i="2"/>
  <c r="E89" i="2"/>
  <c r="E104" i="2"/>
  <c r="E129" i="2"/>
  <c r="E96" i="2"/>
  <c r="E97" i="2"/>
  <c r="E100" i="2"/>
  <c r="E102" i="2"/>
  <c r="H207" i="7"/>
  <c r="N128" i="2"/>
  <c r="H184" i="7"/>
  <c r="H193" i="7"/>
  <c r="N114" i="2"/>
  <c r="H170" i="7"/>
  <c r="N112" i="2"/>
  <c r="H168" i="7"/>
  <c r="H191" i="7"/>
  <c r="H200" i="7"/>
  <c r="N121" i="2"/>
  <c r="H177" i="7"/>
  <c r="N119" i="2"/>
  <c r="H175" i="7"/>
  <c r="H198" i="7"/>
  <c r="H196" i="7"/>
  <c r="N117" i="2"/>
  <c r="H173" i="7"/>
  <c r="H199" i="7"/>
  <c r="N120" i="2"/>
  <c r="H176" i="7"/>
  <c r="H195" i="7"/>
  <c r="N116" i="2"/>
  <c r="H172" i="7"/>
  <c r="V545" i="5"/>
  <c r="H539" i="6"/>
  <c r="H539" i="4"/>
  <c r="H539" i="5"/>
  <c r="X64" i="2"/>
  <c r="Z37" i="2"/>
  <c r="R103" i="3"/>
  <c r="Q104" i="1"/>
  <c r="R104" i="3"/>
  <c r="Q469" i="1"/>
  <c r="R469" i="3"/>
  <c r="Q475" i="1"/>
  <c r="F195" i="7"/>
  <c r="L116" i="2"/>
  <c r="L113" i="2"/>
  <c r="F192" i="7"/>
  <c r="F207" i="7"/>
  <c r="L128" i="2"/>
  <c r="F205" i="7"/>
  <c r="L126" i="2"/>
  <c r="L121" i="2"/>
  <c r="F200" i="7"/>
  <c r="F191" i="7"/>
  <c r="L112" i="2"/>
  <c r="F190" i="7"/>
  <c r="L111" i="2"/>
  <c r="E244" i="7"/>
  <c r="F119" i="2"/>
  <c r="E243" i="7"/>
  <c r="F118" i="2"/>
  <c r="E248" i="7"/>
  <c r="F123" i="2"/>
  <c r="E237" i="7"/>
  <c r="F112" i="2"/>
  <c r="E251" i="7"/>
  <c r="F126" i="2"/>
  <c r="F117" i="2"/>
  <c r="E242" i="7"/>
  <c r="E236" i="7"/>
  <c r="F111" i="2"/>
  <c r="E245" i="7"/>
  <c r="F120" i="2"/>
  <c r="G260" i="7"/>
  <c r="G275" i="7"/>
  <c r="G269" i="7"/>
  <c r="G270" i="7"/>
  <c r="G276" i="7"/>
  <c r="G265" i="7"/>
  <c r="G264" i="7"/>
  <c r="G268" i="7"/>
  <c r="G267" i="7"/>
  <c r="G272" i="7"/>
  <c r="G261" i="7"/>
  <c r="G273" i="7"/>
  <c r="G263" i="7"/>
  <c r="G266" i="7"/>
  <c r="G262" i="7"/>
  <c r="G259" i="7"/>
  <c r="G274" i="7"/>
  <c r="G271" i="7"/>
  <c r="E252" i="7"/>
  <c r="F127" i="2"/>
  <c r="E249" i="7"/>
  <c r="F124" i="2"/>
  <c r="K106" i="6"/>
  <c r="K106" i="4"/>
  <c r="K106" i="5"/>
  <c r="F296" i="7"/>
  <c r="F289" i="7"/>
  <c r="F291" i="7"/>
  <c r="F286" i="7"/>
  <c r="F295" i="7"/>
  <c r="F298" i="7"/>
  <c r="F290" i="7"/>
  <c r="F299" i="7"/>
  <c r="F288" i="7"/>
  <c r="F287" i="7"/>
  <c r="F292" i="7"/>
  <c r="F282" i="7"/>
  <c r="F283" i="7"/>
  <c r="F285" i="7"/>
  <c r="F284" i="7"/>
  <c r="F293" i="7"/>
  <c r="F297" i="7"/>
  <c r="F294" i="7"/>
  <c r="M476" i="1"/>
  <c r="N476" i="3"/>
  <c r="N476" i="4"/>
  <c r="N476" i="5"/>
  <c r="N475" i="3"/>
  <c r="L106" i="4"/>
  <c r="L106" i="5"/>
  <c r="L106" i="6"/>
  <c r="U106" i="6"/>
  <c r="U106" i="4"/>
  <c r="U106" i="5"/>
  <c r="C261" i="7"/>
  <c r="C262" i="7"/>
  <c r="C259" i="7"/>
  <c r="C274" i="7"/>
  <c r="C276" i="7"/>
  <c r="C269" i="7"/>
  <c r="C265" i="7"/>
  <c r="C267" i="7"/>
  <c r="C266" i="7"/>
  <c r="C268" i="7"/>
  <c r="C272" i="7"/>
  <c r="C273" i="7"/>
  <c r="C264" i="7"/>
  <c r="C263" i="7"/>
  <c r="C270" i="7"/>
  <c r="C275" i="7"/>
  <c r="C260" i="7"/>
  <c r="C271" i="7"/>
  <c r="V525" i="6"/>
  <c r="V525" i="4"/>
  <c r="V525" i="5"/>
  <c r="X78" i="2"/>
  <c r="Z51" i="2"/>
  <c r="K325" i="7"/>
  <c r="F106" i="6"/>
  <c r="F106" i="4"/>
  <c r="F106" i="5"/>
  <c r="T525" i="4"/>
  <c r="T525" i="5"/>
  <c r="T525" i="6"/>
  <c r="G282" i="7"/>
  <c r="G299" i="7"/>
  <c r="G295" i="7"/>
  <c r="G285" i="7"/>
  <c r="G286" i="7"/>
  <c r="G284" i="7"/>
  <c r="G283" i="7"/>
  <c r="G291" i="7"/>
  <c r="G296" i="7"/>
  <c r="G292" i="7"/>
  <c r="G298" i="7"/>
  <c r="G293" i="7"/>
  <c r="G289" i="7"/>
  <c r="G290" i="7"/>
  <c r="G297" i="7"/>
  <c r="G294" i="7"/>
  <c r="G288" i="7"/>
  <c r="G287" i="7"/>
  <c r="H203" i="7"/>
  <c r="N124" i="2"/>
  <c r="H180" i="7"/>
  <c r="R516" i="7"/>
  <c r="M440" i="7"/>
  <c r="R519" i="7"/>
  <c r="M461" i="7"/>
  <c r="M454" i="7"/>
  <c r="F203" i="7"/>
  <c r="L124" i="2"/>
  <c r="I67" i="2"/>
  <c r="M40" i="2"/>
  <c r="I63" i="2"/>
  <c r="M36" i="2"/>
  <c r="G103" i="3"/>
  <c r="F104" i="1"/>
  <c r="G104" i="3"/>
  <c r="F475" i="1"/>
  <c r="F469" i="1"/>
  <c r="G469" i="3"/>
  <c r="E106" i="4"/>
  <c r="E106" i="5"/>
  <c r="E106" i="6"/>
  <c r="P516" i="7"/>
  <c r="K440" i="7"/>
  <c r="T106" i="4"/>
  <c r="T106" i="5"/>
  <c r="T106" i="6"/>
  <c r="I71" i="2"/>
  <c r="M44" i="2"/>
  <c r="O106" i="6"/>
  <c r="O106" i="4"/>
  <c r="O106" i="5"/>
  <c r="I70" i="2"/>
  <c r="M43" i="2"/>
  <c r="L104" i="1"/>
  <c r="M104" i="3"/>
  <c r="M103" i="3"/>
  <c r="L469" i="1"/>
  <c r="M469" i="3"/>
  <c r="L475" i="1"/>
  <c r="J539" i="4"/>
  <c r="J539" i="5"/>
  <c r="J539" i="6"/>
  <c r="E91" i="2"/>
  <c r="I77" i="2"/>
  <c r="M50" i="2"/>
  <c r="N126" i="2"/>
  <c r="H182" i="7"/>
  <c r="H205" i="7"/>
  <c r="N118" i="2"/>
  <c r="H174" i="7"/>
  <c r="H197" i="7"/>
  <c r="H190" i="7"/>
  <c r="N111" i="2"/>
  <c r="H167" i="7"/>
  <c r="N123" i="2"/>
  <c r="H179" i="7"/>
  <c r="H202" i="7"/>
  <c r="N125" i="2"/>
  <c r="H181" i="7"/>
  <c r="H204" i="7"/>
  <c r="N115" i="2"/>
  <c r="H171" i="7"/>
  <c r="H194" i="7"/>
  <c r="H525" i="6"/>
  <c r="H525" i="4"/>
  <c r="H525" i="5"/>
  <c r="Z62" i="2"/>
  <c r="C19" i="7"/>
  <c r="R106" i="6"/>
  <c r="R106" i="4"/>
  <c r="R106" i="5"/>
  <c r="F202" i="7"/>
  <c r="L123" i="2"/>
  <c r="F198" i="7"/>
  <c r="L119" i="2"/>
  <c r="L120" i="2"/>
  <c r="F199" i="7"/>
  <c r="L114" i="2"/>
  <c r="F193" i="7"/>
  <c r="L118" i="2"/>
  <c r="F197" i="7"/>
  <c r="L117" i="2"/>
  <c r="F196" i="7"/>
  <c r="L115" i="2"/>
  <c r="F194" i="7"/>
  <c r="E241" i="7"/>
  <c r="F116" i="2"/>
  <c r="F121" i="2"/>
  <c r="E246" i="7"/>
  <c r="E253" i="7"/>
  <c r="F128" i="2"/>
  <c r="E247" i="7"/>
  <c r="F122" i="2"/>
  <c r="F115" i="2"/>
  <c r="E240" i="7"/>
  <c r="E250" i="7"/>
  <c r="F125" i="2"/>
  <c r="F114" i="2"/>
  <c r="E239" i="7"/>
  <c r="K113" i="2"/>
  <c r="E192" i="7"/>
  <c r="E206" i="7"/>
  <c r="K127" i="2"/>
  <c r="K114" i="2"/>
  <c r="E193" i="7"/>
  <c r="E202" i="7"/>
  <c r="K123" i="2"/>
  <c r="E207" i="7"/>
  <c r="K128" i="2"/>
  <c r="K111" i="2"/>
  <c r="K93" i="2"/>
  <c r="K87" i="2"/>
  <c r="M64" i="2"/>
  <c r="O37" i="2"/>
  <c r="O46" i="2"/>
  <c r="M73" i="2"/>
  <c r="E194" i="7"/>
  <c r="K115" i="2"/>
  <c r="O34" i="2"/>
  <c r="M61" i="2"/>
  <c r="K97" i="2"/>
  <c r="K96" i="2"/>
  <c r="K104" i="2"/>
  <c r="K129" i="2"/>
  <c r="K101" i="2"/>
  <c r="K100" i="2"/>
  <c r="K95" i="2"/>
  <c r="K92" i="2"/>
  <c r="K94" i="2"/>
  <c r="K91" i="2"/>
  <c r="O41" i="2"/>
  <c r="M62" i="2"/>
  <c r="C33" i="7"/>
  <c r="AC49" i="2"/>
  <c r="AC76" i="2"/>
  <c r="Z76" i="2"/>
  <c r="D203" i="7"/>
  <c r="J124" i="2"/>
  <c r="J115" i="2"/>
  <c r="M75" i="2"/>
  <c r="O48" i="2"/>
  <c r="D95" i="2"/>
  <c r="D87" i="2"/>
  <c r="D86" i="2"/>
  <c r="D97" i="2"/>
  <c r="D88" i="2"/>
  <c r="D94" i="2"/>
  <c r="D98" i="2"/>
  <c r="D96" i="2"/>
  <c r="D104" i="2"/>
  <c r="D129" i="2"/>
  <c r="D99" i="2"/>
  <c r="D92" i="2"/>
  <c r="D102" i="2"/>
  <c r="D103" i="2"/>
  <c r="D89" i="2"/>
  <c r="D93" i="2"/>
  <c r="D100" i="2"/>
  <c r="D101" i="2"/>
  <c r="O518" i="7"/>
  <c r="J460" i="7"/>
  <c r="J462" i="7"/>
  <c r="J458" i="7"/>
  <c r="C452" i="7"/>
  <c r="L453" i="7"/>
  <c r="N539" i="4"/>
  <c r="N539" i="5"/>
  <c r="N539" i="6"/>
  <c r="I469" i="4"/>
  <c r="I469" i="5"/>
  <c r="I469" i="6"/>
  <c r="I103" i="6"/>
  <c r="I103" i="4"/>
  <c r="I103" i="5"/>
  <c r="D91" i="2"/>
  <c r="H121" i="2"/>
  <c r="G237" i="7"/>
  <c r="H112" i="2"/>
  <c r="G244" i="7"/>
  <c r="H122" i="2"/>
  <c r="G236" i="7"/>
  <c r="H111" i="2"/>
  <c r="H127" i="2"/>
  <c r="G242" i="7"/>
  <c r="H117" i="2"/>
  <c r="G253" i="7"/>
  <c r="H128" i="2"/>
  <c r="J111" i="2"/>
  <c r="D190" i="7"/>
  <c r="D202" i="7"/>
  <c r="J123" i="2"/>
  <c r="D199" i="7"/>
  <c r="J120" i="2"/>
  <c r="J116" i="2"/>
  <c r="D195" i="7"/>
  <c r="D206" i="7"/>
  <c r="J127" i="2"/>
  <c r="J119" i="2"/>
  <c r="D198" i="7"/>
  <c r="J118" i="2"/>
  <c r="D197" i="7"/>
  <c r="S475" i="4"/>
  <c r="S475" i="5"/>
  <c r="S543" i="5"/>
  <c r="S475" i="6"/>
  <c r="L525" i="4"/>
  <c r="L525" i="5"/>
  <c r="L525" i="6"/>
  <c r="X68" i="2"/>
  <c r="Z41" i="2"/>
  <c r="X52" i="2"/>
  <c r="X79" i="2"/>
  <c r="D90" i="2"/>
  <c r="J475" i="3"/>
  <c r="I476" i="1"/>
  <c r="J476" i="3"/>
  <c r="J469" i="4"/>
  <c r="J469" i="5"/>
  <c r="J469" i="6"/>
  <c r="D169" i="7"/>
  <c r="G325" i="7"/>
  <c r="H476" i="6"/>
  <c r="P476" i="4"/>
  <c r="P476" i="5"/>
  <c r="Q476" i="6"/>
  <c r="V476" i="4"/>
  <c r="V476" i="5"/>
  <c r="P476" i="6"/>
  <c r="D476" i="4"/>
  <c r="D476" i="5"/>
  <c r="D476" i="6"/>
  <c r="Q476" i="4"/>
  <c r="Q476" i="5"/>
  <c r="H476" i="4"/>
  <c r="H476" i="5"/>
  <c r="L440" i="7"/>
  <c r="C440" i="7"/>
  <c r="S498" i="7"/>
  <c r="L441" i="7"/>
  <c r="C456" i="7"/>
  <c r="S514" i="7"/>
  <c r="L456" i="7"/>
  <c r="G240" i="7"/>
  <c r="C89" i="2"/>
  <c r="C114" i="2"/>
  <c r="C94" i="2"/>
  <c r="C119" i="2"/>
  <c r="C86" i="2"/>
  <c r="C111" i="2"/>
  <c r="C104" i="2"/>
  <c r="C99" i="2"/>
  <c r="C124" i="2"/>
  <c r="C87" i="2"/>
  <c r="C112" i="2"/>
  <c r="C96" i="2"/>
  <c r="C121" i="2"/>
  <c r="C103" i="2"/>
  <c r="C128" i="2"/>
  <c r="C93" i="2"/>
  <c r="C118" i="2"/>
  <c r="C98" i="2"/>
  <c r="C123" i="2"/>
  <c r="C91" i="2"/>
  <c r="C116" i="2"/>
  <c r="C97" i="2"/>
  <c r="C122" i="2"/>
  <c r="C101" i="2"/>
  <c r="C126" i="2"/>
  <c r="C95" i="2"/>
  <c r="C120" i="2"/>
  <c r="C88" i="2"/>
  <c r="C113" i="2"/>
  <c r="C102" i="2"/>
  <c r="C127" i="2"/>
  <c r="C100" i="2"/>
  <c r="C125" i="2"/>
  <c r="C454" i="7"/>
  <c r="L454" i="7"/>
  <c r="S512" i="7"/>
  <c r="C450" i="7"/>
  <c r="L450" i="7"/>
  <c r="S508" i="7"/>
  <c r="S506" i="7"/>
  <c r="C448" i="7"/>
  <c r="L448" i="7"/>
  <c r="N525" i="4"/>
  <c r="N525" i="5"/>
  <c r="N525" i="6"/>
  <c r="Z43" i="2"/>
  <c r="X70" i="2"/>
  <c r="H476" i="1"/>
  <c r="I476" i="3"/>
  <c r="I475" i="3"/>
  <c r="I104" i="4"/>
  <c r="I104" i="5"/>
  <c r="I104" i="6"/>
  <c r="L446" i="7"/>
  <c r="C444" i="7"/>
  <c r="J122" i="2"/>
  <c r="O47" i="2"/>
  <c r="M74" i="2"/>
  <c r="H114" i="2"/>
  <c r="G239" i="7"/>
  <c r="H126" i="2"/>
  <c r="G251" i="7"/>
  <c r="H123" i="2"/>
  <c r="G248" i="7"/>
  <c r="H116" i="2"/>
  <c r="G241" i="7"/>
  <c r="H118" i="2"/>
  <c r="G243" i="7"/>
  <c r="G249" i="7"/>
  <c r="H124" i="2"/>
  <c r="H125" i="2"/>
  <c r="G250" i="7"/>
  <c r="H113" i="2"/>
  <c r="G238" i="7"/>
  <c r="G245" i="7"/>
  <c r="H120" i="2"/>
  <c r="C92" i="2"/>
  <c r="C117" i="2"/>
  <c r="J117" i="2"/>
  <c r="D196" i="7"/>
  <c r="D204" i="7"/>
  <c r="J112" i="2"/>
  <c r="D191" i="7"/>
  <c r="J128" i="2"/>
  <c r="J126" i="2"/>
  <c r="D205" i="7"/>
  <c r="J121" i="2"/>
  <c r="D193" i="7"/>
  <c r="J114" i="2"/>
  <c r="O38" i="2"/>
  <c r="M65" i="2"/>
  <c r="S476" i="4"/>
  <c r="S476" i="5"/>
  <c r="S476" i="6"/>
  <c r="L539" i="4"/>
  <c r="L539" i="5"/>
  <c r="L539" i="6"/>
  <c r="T96" i="2"/>
  <c r="T101" i="2"/>
  <c r="T95" i="2"/>
  <c r="T88" i="2"/>
  <c r="T103" i="2"/>
  <c r="T94" i="2"/>
  <c r="T97" i="2"/>
  <c r="T93" i="2"/>
  <c r="T91" i="2"/>
  <c r="T104" i="2"/>
  <c r="T92" i="2"/>
  <c r="T86" i="2"/>
  <c r="T99" i="2"/>
  <c r="T90" i="2"/>
  <c r="T89" i="2"/>
  <c r="T87" i="2"/>
  <c r="T102" i="2"/>
  <c r="T100" i="2"/>
  <c r="T98" i="2"/>
  <c r="J104" i="4"/>
  <c r="J104" i="5"/>
  <c r="J104" i="6"/>
  <c r="J103" i="6"/>
  <c r="J103" i="4"/>
  <c r="J103" i="5"/>
  <c r="L457" i="7"/>
  <c r="S515" i="7"/>
  <c r="C457" i="7"/>
  <c r="L451" i="7"/>
  <c r="D475" i="6"/>
  <c r="P475" i="4"/>
  <c r="P475" i="5"/>
  <c r="P543" i="5"/>
  <c r="H475" i="4"/>
  <c r="H475" i="5"/>
  <c r="H543" i="5"/>
  <c r="D475" i="4"/>
  <c r="D475" i="5"/>
  <c r="D543" i="5"/>
  <c r="Q475" i="4"/>
  <c r="Q475" i="5"/>
  <c r="Q543" i="5"/>
  <c r="V475" i="4"/>
  <c r="V475" i="5"/>
  <c r="V543" i="5"/>
  <c r="N475" i="6"/>
  <c r="Q475" i="6"/>
  <c r="H475" i="6"/>
  <c r="P475" i="6"/>
  <c r="N475" i="4"/>
  <c r="N475" i="5"/>
  <c r="O39" i="2"/>
  <c r="M66" i="2"/>
  <c r="I458" i="7"/>
  <c r="N518" i="7"/>
  <c r="I460" i="7"/>
  <c r="I462" i="7"/>
  <c r="L449" i="7"/>
  <c r="C446" i="7"/>
  <c r="C445" i="7"/>
  <c r="L447" i="7"/>
  <c r="L455" i="7"/>
  <c r="H276" i="7"/>
  <c r="S500" i="7"/>
  <c r="L444" i="7"/>
  <c r="Q519" i="7"/>
  <c r="C453" i="7"/>
  <c r="C455" i="7"/>
  <c r="K124" i="2"/>
  <c r="N543" i="5"/>
  <c r="N476" i="6"/>
  <c r="H273" i="7"/>
  <c r="M52" i="2"/>
  <c r="H271" i="7"/>
  <c r="L443" i="7"/>
  <c r="L445" i="7"/>
  <c r="C449" i="7"/>
  <c r="C447" i="7"/>
  <c r="L452" i="7"/>
  <c r="Q516" i="7"/>
  <c r="L458" i="7"/>
  <c r="S509" i="7"/>
  <c r="N451" i="7"/>
  <c r="L442" i="7"/>
  <c r="C441" i="7"/>
  <c r="H260" i="7"/>
  <c r="H270" i="7"/>
  <c r="H264" i="7"/>
  <c r="H272" i="7"/>
  <c r="H266" i="7"/>
  <c r="H265" i="7"/>
  <c r="H259" i="7"/>
  <c r="H261" i="7"/>
  <c r="S501" i="7"/>
  <c r="N443" i="7"/>
  <c r="H275" i="7"/>
  <c r="H263" i="7"/>
  <c r="H268" i="7"/>
  <c r="H267" i="7"/>
  <c r="H269" i="7"/>
  <c r="H274" i="7"/>
  <c r="H262" i="7"/>
  <c r="H284" i="7"/>
  <c r="H290" i="7"/>
  <c r="H295" i="7"/>
  <c r="H291" i="7"/>
  <c r="H285" i="7"/>
  <c r="H292" i="7"/>
  <c r="H288" i="7"/>
  <c r="F223" i="7"/>
  <c r="L333" i="7"/>
  <c r="L327" i="7"/>
  <c r="F217" i="7"/>
  <c r="F222" i="7"/>
  <c r="L332" i="7"/>
  <c r="O51" i="2"/>
  <c r="M78" i="2"/>
  <c r="F218" i="7"/>
  <c r="L328" i="7"/>
  <c r="F224" i="7"/>
  <c r="L334" i="7"/>
  <c r="F227" i="7"/>
  <c r="L337" i="7"/>
  <c r="F219" i="7"/>
  <c r="L329" i="7"/>
  <c r="H293" i="7"/>
  <c r="H282" i="7"/>
  <c r="H299" i="7"/>
  <c r="H286" i="7"/>
  <c r="H289" i="7"/>
  <c r="H297" i="7"/>
  <c r="H298" i="7"/>
  <c r="H287" i="7"/>
  <c r="H296" i="7"/>
  <c r="H294" i="7"/>
  <c r="H283" i="7"/>
  <c r="C31" i="7"/>
  <c r="Z74" i="2"/>
  <c r="L336" i="7"/>
  <c r="F226" i="7"/>
  <c r="L335" i="7"/>
  <c r="F225" i="7"/>
  <c r="L326" i="7"/>
  <c r="F216" i="7"/>
  <c r="F229" i="7"/>
  <c r="L339" i="7"/>
  <c r="F215" i="7"/>
  <c r="L325" i="7"/>
  <c r="L340" i="7"/>
  <c r="F230" i="7"/>
  <c r="F221" i="7"/>
  <c r="L331" i="7"/>
  <c r="F213" i="7"/>
  <c r="L323" i="7"/>
  <c r="L324" i="7"/>
  <c r="F214" i="7"/>
  <c r="F220" i="7"/>
  <c r="L330" i="7"/>
  <c r="K326" i="7"/>
  <c r="E216" i="7"/>
  <c r="K327" i="7"/>
  <c r="E217" i="7"/>
  <c r="K333" i="7"/>
  <c r="E223" i="7"/>
  <c r="F171" i="7"/>
  <c r="I327" i="7"/>
  <c r="F173" i="7"/>
  <c r="I329" i="7"/>
  <c r="I330" i="7"/>
  <c r="F174" i="7"/>
  <c r="I326" i="7"/>
  <c r="F170" i="7"/>
  <c r="F176" i="7"/>
  <c r="I332" i="7"/>
  <c r="M77" i="2"/>
  <c r="O50" i="2"/>
  <c r="D241" i="7"/>
  <c r="E116" i="2"/>
  <c r="D218" i="7"/>
  <c r="M469" i="6"/>
  <c r="M469" i="4"/>
  <c r="M469" i="5"/>
  <c r="M104" i="6"/>
  <c r="M104" i="4"/>
  <c r="M104" i="5"/>
  <c r="P518" i="7"/>
  <c r="K460" i="7"/>
  <c r="K462" i="7"/>
  <c r="K458" i="7"/>
  <c r="G475" i="3"/>
  <c r="F476" i="1"/>
  <c r="G476" i="3"/>
  <c r="G103" i="6"/>
  <c r="G103" i="4"/>
  <c r="G103" i="5"/>
  <c r="M458" i="7"/>
  <c r="R518" i="7"/>
  <c r="M460" i="7"/>
  <c r="M462" i="7"/>
  <c r="E226" i="7"/>
  <c r="K336" i="7"/>
  <c r="E229" i="7"/>
  <c r="K339" i="7"/>
  <c r="E219" i="7"/>
  <c r="K329" i="7"/>
  <c r="F177" i="7"/>
  <c r="I333" i="7"/>
  <c r="F169" i="7"/>
  <c r="I325" i="7"/>
  <c r="R469" i="6"/>
  <c r="R469" i="4"/>
  <c r="R469" i="5"/>
  <c r="R103" i="4"/>
  <c r="R103" i="5"/>
  <c r="R103" i="6"/>
  <c r="E127" i="2"/>
  <c r="D229" i="7"/>
  <c r="D252" i="7"/>
  <c r="D247" i="7"/>
  <c r="E122" i="2"/>
  <c r="D224" i="7"/>
  <c r="D236" i="7"/>
  <c r="E111" i="2"/>
  <c r="D213" i="7"/>
  <c r="D242" i="7"/>
  <c r="E117" i="2"/>
  <c r="D219" i="7"/>
  <c r="D251" i="7"/>
  <c r="E126" i="2"/>
  <c r="D228" i="7"/>
  <c r="D249" i="7"/>
  <c r="E124" i="2"/>
  <c r="D226" i="7"/>
  <c r="D248" i="7"/>
  <c r="E123" i="2"/>
  <c r="D225" i="7"/>
  <c r="D238" i="7"/>
  <c r="E113" i="2"/>
  <c r="D215" i="7"/>
  <c r="O104" i="4"/>
  <c r="O104" i="5"/>
  <c r="O104" i="6"/>
  <c r="O103" i="6"/>
  <c r="O103" i="4"/>
  <c r="O103" i="5"/>
  <c r="T469" i="4"/>
  <c r="T469" i="5"/>
  <c r="T469" i="6"/>
  <c r="T104" i="4"/>
  <c r="T104" i="5"/>
  <c r="T104" i="6"/>
  <c r="I79" i="2"/>
  <c r="I95" i="2"/>
  <c r="E55" i="2"/>
  <c r="E469" i="6"/>
  <c r="E469" i="4"/>
  <c r="E469" i="5"/>
  <c r="E104" i="4"/>
  <c r="E104" i="5"/>
  <c r="E104" i="6"/>
  <c r="F475" i="3"/>
  <c r="E476" i="1"/>
  <c r="F476" i="3"/>
  <c r="F104" i="6"/>
  <c r="F104" i="4"/>
  <c r="F104" i="5"/>
  <c r="T476" i="1"/>
  <c r="U476" i="3"/>
  <c r="U475" i="3"/>
  <c r="U104" i="6"/>
  <c r="U104" i="4"/>
  <c r="U104" i="5"/>
  <c r="L469" i="4"/>
  <c r="L469" i="5"/>
  <c r="L469" i="6"/>
  <c r="L104" i="4"/>
  <c r="L104" i="5"/>
  <c r="L104" i="6"/>
  <c r="AC45" i="2"/>
  <c r="AC72" i="2"/>
  <c r="D29" i="7"/>
  <c r="E29" i="7"/>
  <c r="O72" i="2"/>
  <c r="O42" i="2"/>
  <c r="M69" i="2"/>
  <c r="K469" i="4"/>
  <c r="K469" i="5"/>
  <c r="K469" i="6"/>
  <c r="K104" i="6"/>
  <c r="K104" i="4"/>
  <c r="K104" i="5"/>
  <c r="F181" i="7"/>
  <c r="I337" i="7"/>
  <c r="K337" i="7"/>
  <c r="E227" i="7"/>
  <c r="K334" i="7"/>
  <c r="E224" i="7"/>
  <c r="K340" i="7"/>
  <c r="E230" i="7"/>
  <c r="E218" i="7"/>
  <c r="K328" i="7"/>
  <c r="I331" i="7"/>
  <c r="F175" i="7"/>
  <c r="I335" i="7"/>
  <c r="F179" i="7"/>
  <c r="I102" i="2"/>
  <c r="L476" i="1"/>
  <c r="M476" i="3"/>
  <c r="M475" i="3"/>
  <c r="M103" i="4"/>
  <c r="M103" i="5"/>
  <c r="M103" i="6"/>
  <c r="O43" i="2"/>
  <c r="M70" i="2"/>
  <c r="O44" i="2"/>
  <c r="M71" i="2"/>
  <c r="G469" i="6"/>
  <c r="G469" i="4"/>
  <c r="G469" i="5"/>
  <c r="G104" i="6"/>
  <c r="G104" i="4"/>
  <c r="G104" i="5"/>
  <c r="M63" i="2"/>
  <c r="O36" i="2"/>
  <c r="M67" i="2"/>
  <c r="O40" i="2"/>
  <c r="I336" i="7"/>
  <c r="F180" i="7"/>
  <c r="Z78" i="2"/>
  <c r="C35" i="7"/>
  <c r="E222" i="7"/>
  <c r="K332" i="7"/>
  <c r="K323" i="7"/>
  <c r="E213" i="7"/>
  <c r="K338" i="7"/>
  <c r="E228" i="7"/>
  <c r="K324" i="7"/>
  <c r="E214" i="7"/>
  <c r="K335" i="7"/>
  <c r="E225" i="7"/>
  <c r="E220" i="7"/>
  <c r="K330" i="7"/>
  <c r="K331" i="7"/>
  <c r="E221" i="7"/>
  <c r="F167" i="7"/>
  <c r="I323" i="7"/>
  <c r="I324" i="7"/>
  <c r="F168" i="7"/>
  <c r="I338" i="7"/>
  <c r="F182" i="7"/>
  <c r="I340" i="7"/>
  <c r="F184" i="7"/>
  <c r="F172" i="7"/>
  <c r="I328" i="7"/>
  <c r="R475" i="3"/>
  <c r="Q476" i="1"/>
  <c r="R476" i="3"/>
  <c r="R104" i="4"/>
  <c r="R104" i="5"/>
  <c r="R104" i="6"/>
  <c r="Z64" i="2"/>
  <c r="C21" i="7"/>
  <c r="D250" i="7"/>
  <c r="E125" i="2"/>
  <c r="D227" i="7"/>
  <c r="D246" i="7"/>
  <c r="E121" i="2"/>
  <c r="D223" i="7"/>
  <c r="E114" i="2"/>
  <c r="D216" i="7"/>
  <c r="D239" i="7"/>
  <c r="E119" i="2"/>
  <c r="D221" i="7"/>
  <c r="D244" i="7"/>
  <c r="D253" i="7"/>
  <c r="E128" i="2"/>
  <c r="D230" i="7"/>
  <c r="D237" i="7"/>
  <c r="E112" i="2"/>
  <c r="D214" i="7"/>
  <c r="E118" i="2"/>
  <c r="D220" i="7"/>
  <c r="D243" i="7"/>
  <c r="D240" i="7"/>
  <c r="E115" i="2"/>
  <c r="D217" i="7"/>
  <c r="C23" i="7"/>
  <c r="Z66" i="2"/>
  <c r="O469" i="6"/>
  <c r="O469" i="4"/>
  <c r="O469" i="5"/>
  <c r="O475" i="3"/>
  <c r="N476" i="1"/>
  <c r="O476" i="3"/>
  <c r="S476" i="1"/>
  <c r="T476" i="3"/>
  <c r="T475" i="3"/>
  <c r="T103" i="4"/>
  <c r="T103" i="5"/>
  <c r="T103" i="6"/>
  <c r="I86" i="2"/>
  <c r="D476" i="1"/>
  <c r="E476" i="3"/>
  <c r="E475" i="3"/>
  <c r="E103" i="4"/>
  <c r="E103" i="5"/>
  <c r="E103" i="6"/>
  <c r="F469" i="6"/>
  <c r="F469" i="4"/>
  <c r="F469" i="5"/>
  <c r="F103" i="6"/>
  <c r="F103" i="4"/>
  <c r="F103" i="5"/>
  <c r="O76" i="2"/>
  <c r="D33" i="7"/>
  <c r="E33" i="7"/>
  <c r="U469" i="6"/>
  <c r="U469" i="4"/>
  <c r="U469" i="5"/>
  <c r="U103" i="4"/>
  <c r="U103" i="5"/>
  <c r="U103" i="6"/>
  <c r="K476" i="1"/>
  <c r="L476" i="3"/>
  <c r="L475" i="3"/>
  <c r="L103" i="6"/>
  <c r="L103" i="4"/>
  <c r="L103" i="5"/>
  <c r="I94" i="2"/>
  <c r="J476" i="1"/>
  <c r="K476" i="3"/>
  <c r="K475" i="3"/>
  <c r="K103" i="6"/>
  <c r="K103" i="4"/>
  <c r="K103" i="5"/>
  <c r="D25" i="7"/>
  <c r="O68" i="2"/>
  <c r="K116" i="2"/>
  <c r="E195" i="7"/>
  <c r="K117" i="2"/>
  <c r="E196" i="7"/>
  <c r="E204" i="7"/>
  <c r="K125" i="2"/>
  <c r="E201" i="7"/>
  <c r="K122" i="2"/>
  <c r="M79" i="2"/>
  <c r="M99" i="2"/>
  <c r="E56" i="2"/>
  <c r="E171" i="7"/>
  <c r="H327" i="7"/>
  <c r="D30" i="7"/>
  <c r="E30" i="7"/>
  <c r="O73" i="2"/>
  <c r="AC46" i="2"/>
  <c r="AC73" i="2"/>
  <c r="M89" i="2"/>
  <c r="E197" i="7"/>
  <c r="K118" i="2"/>
  <c r="H323" i="7"/>
  <c r="E167" i="7"/>
  <c r="H340" i="7"/>
  <c r="E184" i="7"/>
  <c r="E179" i="7"/>
  <c r="H335" i="7"/>
  <c r="D19" i="7"/>
  <c r="E19" i="7"/>
  <c r="AC35" i="2"/>
  <c r="AC62" i="2"/>
  <c r="O62" i="2"/>
  <c r="E198" i="7"/>
  <c r="K119" i="2"/>
  <c r="E199" i="7"/>
  <c r="K120" i="2"/>
  <c r="E205" i="7"/>
  <c r="K126" i="2"/>
  <c r="E200" i="7"/>
  <c r="K121" i="2"/>
  <c r="M86" i="2"/>
  <c r="D18" i="7"/>
  <c r="E18" i="7"/>
  <c r="AC34" i="2"/>
  <c r="O61" i="2"/>
  <c r="M98" i="2"/>
  <c r="O64" i="2"/>
  <c r="D21" i="7"/>
  <c r="AC37" i="2"/>
  <c r="AC64" i="2"/>
  <c r="K112" i="2"/>
  <c r="E191" i="7"/>
  <c r="H326" i="7"/>
  <c r="E170" i="7"/>
  <c r="E183" i="7"/>
  <c r="H339" i="7"/>
  <c r="H325" i="7"/>
  <c r="E169" i="7"/>
  <c r="AC39" i="2"/>
  <c r="AC66" i="2"/>
  <c r="D23" i="7"/>
  <c r="O66" i="2"/>
  <c r="D443" i="7"/>
  <c r="N457" i="7"/>
  <c r="D457" i="7"/>
  <c r="AD98" i="2"/>
  <c r="F156" i="7"/>
  <c r="T123" i="2"/>
  <c r="C156" i="7"/>
  <c r="AD102" i="2"/>
  <c r="F160" i="7"/>
  <c r="T127" i="2"/>
  <c r="C160" i="7"/>
  <c r="AD89" i="2"/>
  <c r="F147" i="7"/>
  <c r="C147" i="7"/>
  <c r="T114" i="2"/>
  <c r="AD99" i="2"/>
  <c r="F157" i="7"/>
  <c r="C157" i="7"/>
  <c r="T124" i="2"/>
  <c r="T117" i="2"/>
  <c r="AD92" i="2"/>
  <c r="F150" i="7"/>
  <c r="C150" i="7"/>
  <c r="T116" i="2"/>
  <c r="AD91" i="2"/>
  <c r="F149" i="7"/>
  <c r="C149" i="7"/>
  <c r="AD97" i="2"/>
  <c r="F155" i="7"/>
  <c r="C155" i="7"/>
  <c r="T122" i="2"/>
  <c r="AD103" i="2"/>
  <c r="F161" i="7"/>
  <c r="T128" i="2"/>
  <c r="C161" i="7"/>
  <c r="T120" i="2"/>
  <c r="AD95" i="2"/>
  <c r="F153" i="7"/>
  <c r="C153" i="7"/>
  <c r="C154" i="7"/>
  <c r="AD96" i="2"/>
  <c r="F154" i="7"/>
  <c r="T121" i="2"/>
  <c r="O65" i="2"/>
  <c r="D22" i="7"/>
  <c r="E22" i="7"/>
  <c r="AC38" i="2"/>
  <c r="AC65" i="2"/>
  <c r="G333" i="7"/>
  <c r="D177" i="7"/>
  <c r="D182" i="7"/>
  <c r="G338" i="7"/>
  <c r="G340" i="7"/>
  <c r="D184" i="7"/>
  <c r="G324" i="7"/>
  <c r="D168" i="7"/>
  <c r="D173" i="7"/>
  <c r="G329" i="7"/>
  <c r="M325" i="7"/>
  <c r="G215" i="7"/>
  <c r="M337" i="7"/>
  <c r="G227" i="7"/>
  <c r="M330" i="7"/>
  <c r="G220" i="7"/>
  <c r="G218" i="7"/>
  <c r="M328" i="7"/>
  <c r="M335" i="7"/>
  <c r="G225" i="7"/>
  <c r="G228" i="7"/>
  <c r="M338" i="7"/>
  <c r="G216" i="7"/>
  <c r="M326" i="7"/>
  <c r="D31" i="7"/>
  <c r="AC47" i="2"/>
  <c r="AC74" i="2"/>
  <c r="O74" i="2"/>
  <c r="N444" i="7"/>
  <c r="D444" i="7"/>
  <c r="N446" i="7"/>
  <c r="D446" i="7"/>
  <c r="I476" i="4"/>
  <c r="I476" i="5"/>
  <c r="I476" i="6"/>
  <c r="D450" i="7"/>
  <c r="N450" i="7"/>
  <c r="Q517" i="7"/>
  <c r="L459" i="7"/>
  <c r="C458" i="7"/>
  <c r="N447" i="7"/>
  <c r="D447" i="7"/>
  <c r="J475" i="6"/>
  <c r="J475" i="4"/>
  <c r="J475" i="5"/>
  <c r="J543" i="5"/>
  <c r="X102" i="2"/>
  <c r="X127" i="2"/>
  <c r="X98" i="2"/>
  <c r="X123" i="2"/>
  <c r="X94" i="2"/>
  <c r="X119" i="2"/>
  <c r="X90" i="2"/>
  <c r="X115" i="2"/>
  <c r="X101" i="2"/>
  <c r="X126" i="2"/>
  <c r="X97" i="2"/>
  <c r="X122" i="2"/>
  <c r="X93" i="2"/>
  <c r="X118" i="2"/>
  <c r="X88" i="2"/>
  <c r="X113" i="2"/>
  <c r="X89" i="2"/>
  <c r="X114" i="2"/>
  <c r="X104" i="2"/>
  <c r="X129" i="2"/>
  <c r="X100" i="2"/>
  <c r="X125" i="2"/>
  <c r="X96" i="2"/>
  <c r="X121" i="2"/>
  <c r="X92" i="2"/>
  <c r="X117" i="2"/>
  <c r="X103" i="2"/>
  <c r="X128" i="2"/>
  <c r="X99" i="2"/>
  <c r="X124" i="2"/>
  <c r="X95" i="2"/>
  <c r="X120" i="2"/>
  <c r="X91" i="2"/>
  <c r="X116" i="2"/>
  <c r="X86" i="2"/>
  <c r="X111" i="2"/>
  <c r="X87" i="2"/>
  <c r="X112" i="2"/>
  <c r="D174" i="7"/>
  <c r="G330" i="7"/>
  <c r="D175" i="7"/>
  <c r="G331" i="7"/>
  <c r="G328" i="7"/>
  <c r="D172" i="7"/>
  <c r="G323" i="7"/>
  <c r="D167" i="7"/>
  <c r="G221" i="7"/>
  <c r="M331" i="7"/>
  <c r="N453" i="7"/>
  <c r="D453" i="7"/>
  <c r="D455" i="7"/>
  <c r="N455" i="7"/>
  <c r="D125" i="2"/>
  <c r="C250" i="7"/>
  <c r="D114" i="2"/>
  <c r="C239" i="7"/>
  <c r="C252" i="7"/>
  <c r="D127" i="2"/>
  <c r="C249" i="7"/>
  <c r="D124" i="2"/>
  <c r="C246" i="7"/>
  <c r="D121" i="2"/>
  <c r="D119" i="2"/>
  <c r="C244" i="7"/>
  <c r="D122" i="2"/>
  <c r="C247" i="7"/>
  <c r="C237" i="7"/>
  <c r="D112" i="2"/>
  <c r="AC48" i="2"/>
  <c r="AC75" i="2"/>
  <c r="D32" i="7"/>
  <c r="E32" i="7"/>
  <c r="O75" i="2"/>
  <c r="G327" i="7"/>
  <c r="D171" i="7"/>
  <c r="G336" i="7"/>
  <c r="D180" i="7"/>
  <c r="D451" i="7"/>
  <c r="T125" i="2"/>
  <c r="AD100" i="2"/>
  <c r="F158" i="7"/>
  <c r="C158" i="7"/>
  <c r="T112" i="2"/>
  <c r="AD87" i="2"/>
  <c r="F145" i="7"/>
  <c r="C145" i="7"/>
  <c r="T115" i="2"/>
  <c r="AD90" i="2"/>
  <c r="F148" i="7"/>
  <c r="C148" i="7"/>
  <c r="T111" i="2"/>
  <c r="AD86" i="2"/>
  <c r="F144" i="7"/>
  <c r="C144" i="7"/>
  <c r="AD104" i="2"/>
  <c r="G63" i="7"/>
  <c r="T129" i="2"/>
  <c r="AF129" i="2"/>
  <c r="AD93" i="2"/>
  <c r="F151" i="7"/>
  <c r="C151" i="7"/>
  <c r="T118" i="2"/>
  <c r="AD94" i="2"/>
  <c r="F152" i="7"/>
  <c r="C152" i="7"/>
  <c r="T119" i="2"/>
  <c r="C146" i="7"/>
  <c r="AD88" i="2"/>
  <c r="F146" i="7"/>
  <c r="T113" i="2"/>
  <c r="C159" i="7"/>
  <c r="AD101" i="2"/>
  <c r="F159" i="7"/>
  <c r="T126" i="2"/>
  <c r="D170" i="7"/>
  <c r="G326" i="7"/>
  <c r="D181" i="7"/>
  <c r="G337" i="7"/>
  <c r="G222" i="7"/>
  <c r="M332" i="7"/>
  <c r="G226" i="7"/>
  <c r="M336" i="7"/>
  <c r="G334" i="7"/>
  <c r="D178" i="7"/>
  <c r="D445" i="7"/>
  <c r="N445" i="7"/>
  <c r="D442" i="7"/>
  <c r="N442" i="7"/>
  <c r="N449" i="7"/>
  <c r="D449" i="7"/>
  <c r="I475" i="6"/>
  <c r="I475" i="4"/>
  <c r="I475" i="5"/>
  <c r="I543" i="5"/>
  <c r="C27" i="7"/>
  <c r="Z70" i="2"/>
  <c r="AC43" i="2"/>
  <c r="AC70" i="2"/>
  <c r="N448" i="7"/>
  <c r="D448" i="7"/>
  <c r="S519" i="7"/>
  <c r="D454" i="7"/>
  <c r="N454" i="7"/>
  <c r="C461" i="7"/>
  <c r="L461" i="7"/>
  <c r="C129" i="2"/>
  <c r="M327" i="7"/>
  <c r="G217" i="7"/>
  <c r="N456" i="7"/>
  <c r="D456" i="7"/>
  <c r="D441" i="7"/>
  <c r="N441" i="7"/>
  <c r="N440" i="7"/>
  <c r="D440" i="7"/>
  <c r="J476" i="6"/>
  <c r="J476" i="4"/>
  <c r="J476" i="5"/>
  <c r="D115" i="2"/>
  <c r="C240" i="7"/>
  <c r="Z68" i="2"/>
  <c r="C25" i="7"/>
  <c r="AC41" i="2"/>
  <c r="AC68" i="2"/>
  <c r="Z52" i="2"/>
  <c r="D183" i="7"/>
  <c r="G339" i="7"/>
  <c r="D176" i="7"/>
  <c r="G332" i="7"/>
  <c r="D179" i="7"/>
  <c r="G335" i="7"/>
  <c r="G230" i="7"/>
  <c r="M340" i="7"/>
  <c r="G219" i="7"/>
  <c r="M329" i="7"/>
  <c r="G229" i="7"/>
  <c r="M339" i="7"/>
  <c r="G213" i="7"/>
  <c r="M323" i="7"/>
  <c r="G224" i="7"/>
  <c r="M334" i="7"/>
  <c r="M324" i="7"/>
  <c r="G214" i="7"/>
  <c r="G223" i="7"/>
  <c r="M333" i="7"/>
  <c r="D116" i="2"/>
  <c r="C241" i="7"/>
  <c r="D452" i="7"/>
  <c r="N452" i="7"/>
  <c r="C251" i="7"/>
  <c r="D126" i="2"/>
  <c r="C243" i="7"/>
  <c r="D118" i="2"/>
  <c r="D128" i="2"/>
  <c r="C253" i="7"/>
  <c r="D117" i="2"/>
  <c r="C242" i="7"/>
  <c r="C248" i="7"/>
  <c r="D123" i="2"/>
  <c r="D113" i="2"/>
  <c r="C238" i="7"/>
  <c r="D111" i="2"/>
  <c r="C236" i="7"/>
  <c r="D120" i="2"/>
  <c r="C245" i="7"/>
  <c r="H245" i="7"/>
  <c r="H236" i="7"/>
  <c r="H238" i="7"/>
  <c r="H242" i="7"/>
  <c r="H241" i="7"/>
  <c r="E25" i="7"/>
  <c r="H336" i="7"/>
  <c r="E180" i="7"/>
  <c r="O52" i="2"/>
  <c r="M100" i="2"/>
  <c r="M124" i="2"/>
  <c r="G180" i="7"/>
  <c r="G203" i="7"/>
  <c r="M93" i="2"/>
  <c r="H249" i="7"/>
  <c r="H240" i="7"/>
  <c r="S516" i="7"/>
  <c r="S518" i="7"/>
  <c r="H250" i="7"/>
  <c r="Q518" i="7"/>
  <c r="L460" i="7"/>
  <c r="H253" i="7"/>
  <c r="H237" i="7"/>
  <c r="H246" i="7"/>
  <c r="H252" i="7"/>
  <c r="E31" i="7"/>
  <c r="H248" i="7"/>
  <c r="H243" i="7"/>
  <c r="H251" i="7"/>
  <c r="H247" i="7"/>
  <c r="H244" i="7"/>
  <c r="H239" i="7"/>
  <c r="E23" i="7"/>
  <c r="E21" i="7"/>
  <c r="AC51" i="2"/>
  <c r="AC78" i="2"/>
  <c r="O78" i="2"/>
  <c r="D35" i="7"/>
  <c r="E35" i="7"/>
  <c r="F33" i="7"/>
  <c r="I120" i="2"/>
  <c r="C199" i="7"/>
  <c r="K475" i="6"/>
  <c r="K475" i="4"/>
  <c r="K475" i="5"/>
  <c r="K543" i="5"/>
  <c r="I119" i="2"/>
  <c r="C198" i="7"/>
  <c r="L476" i="6"/>
  <c r="L476" i="4"/>
  <c r="L476" i="5"/>
  <c r="E475" i="4"/>
  <c r="E475" i="5"/>
  <c r="E543" i="5"/>
  <c r="E475" i="6"/>
  <c r="I111" i="2"/>
  <c r="C190" i="7"/>
  <c r="T476" i="6"/>
  <c r="T476" i="4"/>
  <c r="T476" i="5"/>
  <c r="O475" i="4"/>
  <c r="O475" i="5"/>
  <c r="O543" i="5"/>
  <c r="O475" i="6"/>
  <c r="R475" i="4"/>
  <c r="R475" i="5"/>
  <c r="R543" i="5"/>
  <c r="R475" i="6"/>
  <c r="AC40" i="2"/>
  <c r="AC67" i="2"/>
  <c r="O67" i="2"/>
  <c r="D24" i="7"/>
  <c r="E24" i="7"/>
  <c r="D20" i="7"/>
  <c r="E20" i="7"/>
  <c r="O63" i="2"/>
  <c r="AC36" i="2"/>
  <c r="AC63" i="2"/>
  <c r="M475" i="4"/>
  <c r="M475" i="5"/>
  <c r="M543" i="5"/>
  <c r="M475" i="6"/>
  <c r="I127" i="2"/>
  <c r="C206" i="7"/>
  <c r="U475" i="4"/>
  <c r="U475" i="5"/>
  <c r="U543" i="5"/>
  <c r="U475" i="6"/>
  <c r="F476" i="4"/>
  <c r="F476" i="5"/>
  <c r="F476" i="6"/>
  <c r="I88" i="2"/>
  <c r="G475" i="6"/>
  <c r="G475" i="4"/>
  <c r="G475" i="5"/>
  <c r="G543" i="5"/>
  <c r="K476" i="4"/>
  <c r="K476" i="5"/>
  <c r="K476" i="6"/>
  <c r="L475" i="4"/>
  <c r="L475" i="5"/>
  <c r="L543" i="5"/>
  <c r="L475" i="6"/>
  <c r="E476" i="6"/>
  <c r="E476" i="4"/>
  <c r="E476" i="5"/>
  <c r="T475" i="4"/>
  <c r="T475" i="5"/>
  <c r="T543" i="5"/>
  <c r="T475" i="6"/>
  <c r="O476" i="6"/>
  <c r="O476" i="4"/>
  <c r="O476" i="5"/>
  <c r="R476" i="4"/>
  <c r="R476" i="5"/>
  <c r="R476" i="6"/>
  <c r="O71" i="2"/>
  <c r="AC44" i="2"/>
  <c r="AC71" i="2"/>
  <c r="D28" i="7"/>
  <c r="E28" i="7"/>
  <c r="D27" i="7"/>
  <c r="E27" i="7"/>
  <c r="O70" i="2"/>
  <c r="M476" i="4"/>
  <c r="M476" i="5"/>
  <c r="M476" i="6"/>
  <c r="D26" i="7"/>
  <c r="E26" i="7"/>
  <c r="O69" i="2"/>
  <c r="AC42" i="2"/>
  <c r="AC69" i="2"/>
  <c r="F29" i="7"/>
  <c r="U476" i="4"/>
  <c r="U476" i="5"/>
  <c r="U476" i="6"/>
  <c r="F475" i="6"/>
  <c r="F475" i="4"/>
  <c r="F475" i="5"/>
  <c r="F543" i="5"/>
  <c r="I104" i="2"/>
  <c r="I129" i="2"/>
  <c r="I97" i="2"/>
  <c r="I98" i="2"/>
  <c r="I103" i="2"/>
  <c r="I89" i="2"/>
  <c r="I90" i="2"/>
  <c r="I100" i="2"/>
  <c r="I101" i="2"/>
  <c r="I93" i="2"/>
  <c r="I99" i="2"/>
  <c r="I91" i="2"/>
  <c r="I87" i="2"/>
  <c r="I92" i="2"/>
  <c r="G476" i="6"/>
  <c r="G476" i="4"/>
  <c r="G476" i="5"/>
  <c r="I96" i="2"/>
  <c r="O77" i="2"/>
  <c r="D34" i="7"/>
  <c r="E34" i="7"/>
  <c r="AC50" i="2"/>
  <c r="AC77" i="2"/>
  <c r="F18" i="7"/>
  <c r="M111" i="2"/>
  <c r="G167" i="7"/>
  <c r="G190" i="7"/>
  <c r="F19" i="7"/>
  <c r="E174" i="7"/>
  <c r="H330" i="7"/>
  <c r="M96" i="2"/>
  <c r="M104" i="2"/>
  <c r="M129" i="2"/>
  <c r="M97" i="2"/>
  <c r="M101" i="2"/>
  <c r="M95" i="2"/>
  <c r="M92" i="2"/>
  <c r="M94" i="2"/>
  <c r="M103" i="2"/>
  <c r="M102" i="2"/>
  <c r="M88" i="2"/>
  <c r="H329" i="7"/>
  <c r="E173" i="7"/>
  <c r="H328" i="7"/>
  <c r="E172" i="7"/>
  <c r="M87" i="2"/>
  <c r="M90" i="2"/>
  <c r="E168" i="7"/>
  <c r="H324" i="7"/>
  <c r="M123" i="2"/>
  <c r="G179" i="7"/>
  <c r="G202" i="7"/>
  <c r="O79" i="2"/>
  <c r="O93" i="2"/>
  <c r="D36" i="7"/>
  <c r="AC61" i="2"/>
  <c r="H333" i="7"/>
  <c r="E177" i="7"/>
  <c r="H338" i="7"/>
  <c r="E182" i="7"/>
  <c r="H332" i="7"/>
  <c r="E176" i="7"/>
  <c r="H331" i="7"/>
  <c r="E175" i="7"/>
  <c r="M118" i="2"/>
  <c r="G174" i="7"/>
  <c r="G197" i="7"/>
  <c r="M114" i="2"/>
  <c r="G170" i="7"/>
  <c r="G193" i="7"/>
  <c r="F30" i="7"/>
  <c r="E178" i="7"/>
  <c r="H334" i="7"/>
  <c r="E181" i="7"/>
  <c r="H337" i="7"/>
  <c r="M91" i="2"/>
  <c r="J330" i="7"/>
  <c r="C220" i="7"/>
  <c r="J338" i="7"/>
  <c r="C228" i="7"/>
  <c r="Z79" i="2"/>
  <c r="C36" i="7"/>
  <c r="F25" i="7"/>
  <c r="AF126" i="2"/>
  <c r="F136" i="7"/>
  <c r="C136" i="7"/>
  <c r="AF119" i="2"/>
  <c r="F129" i="7"/>
  <c r="C129" i="7"/>
  <c r="AF111" i="2"/>
  <c r="F121" i="7"/>
  <c r="C121" i="7"/>
  <c r="AF112" i="2"/>
  <c r="F122" i="7"/>
  <c r="C122" i="7"/>
  <c r="F32" i="7"/>
  <c r="J334" i="7"/>
  <c r="C224" i="7"/>
  <c r="J331" i="7"/>
  <c r="C221" i="7"/>
  <c r="J326" i="7"/>
  <c r="C216" i="7"/>
  <c r="J337" i="7"/>
  <c r="C227" i="7"/>
  <c r="AF121" i="2"/>
  <c r="F131" i="7"/>
  <c r="C131" i="7"/>
  <c r="AF116" i="2"/>
  <c r="F126" i="7"/>
  <c r="C126" i="7"/>
  <c r="AF124" i="2"/>
  <c r="F134" i="7"/>
  <c r="C134" i="7"/>
  <c r="AF123" i="2"/>
  <c r="F133" i="7"/>
  <c r="C133" i="7"/>
  <c r="C225" i="7"/>
  <c r="J335" i="7"/>
  <c r="J332" i="7"/>
  <c r="C222" i="7"/>
  <c r="J323" i="7"/>
  <c r="C213" i="7"/>
  <c r="C215" i="7"/>
  <c r="J325" i="7"/>
  <c r="C219" i="7"/>
  <c r="J329" i="7"/>
  <c r="C230" i="7"/>
  <c r="J340" i="7"/>
  <c r="J328" i="7"/>
  <c r="C218" i="7"/>
  <c r="J327" i="7"/>
  <c r="C217" i="7"/>
  <c r="N458" i="7"/>
  <c r="D461" i="7"/>
  <c r="N461" i="7"/>
  <c r="AF113" i="2"/>
  <c r="F123" i="7"/>
  <c r="C123" i="7"/>
  <c r="AF118" i="2"/>
  <c r="F128" i="7"/>
  <c r="C128" i="7"/>
  <c r="AF115" i="2"/>
  <c r="F125" i="7"/>
  <c r="C125" i="7"/>
  <c r="AF125" i="2"/>
  <c r="F135" i="7"/>
  <c r="C135" i="7"/>
  <c r="C214" i="7"/>
  <c r="J324" i="7"/>
  <c r="C223" i="7"/>
  <c r="J333" i="7"/>
  <c r="J336" i="7"/>
  <c r="C226" i="7"/>
  <c r="C229" i="7"/>
  <c r="J339" i="7"/>
  <c r="F22" i="7"/>
  <c r="AF120" i="2"/>
  <c r="F130" i="7"/>
  <c r="C130" i="7"/>
  <c r="C138" i="7"/>
  <c r="AF128" i="2"/>
  <c r="F138" i="7"/>
  <c r="AF122" i="2"/>
  <c r="F132" i="7"/>
  <c r="C132" i="7"/>
  <c r="AF117" i="2"/>
  <c r="F127" i="7"/>
  <c r="C127" i="7"/>
  <c r="C124" i="7"/>
  <c r="AF114" i="2"/>
  <c r="F124" i="7"/>
  <c r="AF127" i="2"/>
  <c r="F137" i="7"/>
  <c r="C137" i="7"/>
  <c r="G204" i="7"/>
  <c r="M125" i="2"/>
  <c r="G181" i="7"/>
  <c r="D458" i="7"/>
  <c r="C460" i="7"/>
  <c r="E487" i="7"/>
  <c r="I487" i="7"/>
  <c r="AC52" i="2"/>
  <c r="AC79" i="2"/>
  <c r="F21" i="7"/>
  <c r="C489" i="7"/>
  <c r="C431" i="7"/>
  <c r="C487" i="7"/>
  <c r="C429" i="7"/>
  <c r="F31" i="7"/>
  <c r="F23" i="7"/>
  <c r="L462" i="7"/>
  <c r="F35" i="7"/>
  <c r="F27" i="7"/>
  <c r="F34" i="7"/>
  <c r="I117" i="2"/>
  <c r="C196" i="7"/>
  <c r="C195" i="7"/>
  <c r="I116" i="2"/>
  <c r="I118" i="2"/>
  <c r="C197" i="7"/>
  <c r="I125" i="2"/>
  <c r="C204" i="7"/>
  <c r="C193" i="7"/>
  <c r="I114" i="2"/>
  <c r="C202" i="7"/>
  <c r="I123" i="2"/>
  <c r="F26" i="7"/>
  <c r="I113" i="2"/>
  <c r="C192" i="7"/>
  <c r="C183" i="7"/>
  <c r="H229" i="7"/>
  <c r="F339" i="7"/>
  <c r="H213" i="7"/>
  <c r="F323" i="7"/>
  <c r="C167" i="7"/>
  <c r="H221" i="7"/>
  <c r="F331" i="7"/>
  <c r="C175" i="7"/>
  <c r="I121" i="2"/>
  <c r="C200" i="7"/>
  <c r="I112" i="2"/>
  <c r="C191" i="7"/>
  <c r="I124" i="2"/>
  <c r="C203" i="7"/>
  <c r="C205" i="7"/>
  <c r="I126" i="2"/>
  <c r="C194" i="7"/>
  <c r="I115" i="2"/>
  <c r="C207" i="7"/>
  <c r="I128" i="2"/>
  <c r="I122" i="2"/>
  <c r="C201" i="7"/>
  <c r="F28" i="7"/>
  <c r="F20" i="7"/>
  <c r="F24" i="7"/>
  <c r="C176" i="7"/>
  <c r="H222" i="7"/>
  <c r="F332" i="7"/>
  <c r="G195" i="7"/>
  <c r="M116" i="2"/>
  <c r="G172" i="7"/>
  <c r="O104" i="2"/>
  <c r="O96" i="2"/>
  <c r="O97" i="2"/>
  <c r="O95" i="2"/>
  <c r="O101" i="2"/>
  <c r="O92" i="2"/>
  <c r="O88" i="2"/>
  <c r="O94" i="2"/>
  <c r="O102" i="2"/>
  <c r="O103" i="2"/>
  <c r="O89" i="2"/>
  <c r="G191" i="7"/>
  <c r="M112" i="2"/>
  <c r="G168" i="7"/>
  <c r="G206" i="7"/>
  <c r="M127" i="2"/>
  <c r="G183" i="7"/>
  <c r="M119" i="2"/>
  <c r="G175" i="7"/>
  <c r="G198" i="7"/>
  <c r="G199" i="7"/>
  <c r="M120" i="2"/>
  <c r="G176" i="7"/>
  <c r="M122" i="2"/>
  <c r="G178" i="7"/>
  <c r="G201" i="7"/>
  <c r="M121" i="2"/>
  <c r="G177" i="7"/>
  <c r="G200" i="7"/>
  <c r="O90" i="2"/>
  <c r="O100" i="2"/>
  <c r="O118" i="2"/>
  <c r="I197" i="7"/>
  <c r="H52" i="7"/>
  <c r="M115" i="2"/>
  <c r="G171" i="7"/>
  <c r="G194" i="7"/>
  <c r="M113" i="2"/>
  <c r="G169" i="7"/>
  <c r="G192" i="7"/>
  <c r="M128" i="2"/>
  <c r="G184" i="7"/>
  <c r="G207" i="7"/>
  <c r="M117" i="2"/>
  <c r="G173" i="7"/>
  <c r="G196" i="7"/>
  <c r="M126" i="2"/>
  <c r="G182" i="7"/>
  <c r="G205" i="7"/>
  <c r="O98" i="2"/>
  <c r="O87" i="2"/>
  <c r="O86" i="2"/>
  <c r="O91" i="2"/>
  <c r="O99" i="2"/>
  <c r="C66" i="13"/>
  <c r="D460" i="7"/>
  <c r="F489" i="7"/>
  <c r="N460" i="7"/>
  <c r="N462" i="7"/>
  <c r="E471" i="7"/>
  <c r="E481" i="7"/>
  <c r="E482" i="7"/>
  <c r="E485" i="7"/>
  <c r="E475" i="7"/>
  <c r="Z86" i="2"/>
  <c r="Z90" i="2"/>
  <c r="Z94" i="2"/>
  <c r="Z119" i="2"/>
  <c r="Z98" i="2"/>
  <c r="Z102" i="2"/>
  <c r="Z89" i="2"/>
  <c r="Z93" i="2"/>
  <c r="Z97" i="2"/>
  <c r="Z101" i="2"/>
  <c r="Z104" i="2"/>
  <c r="Z88" i="2"/>
  <c r="Z92" i="2"/>
  <c r="Z96" i="2"/>
  <c r="Z100" i="2"/>
  <c r="Z87" i="2"/>
  <c r="Z91" i="2"/>
  <c r="Z95" i="2"/>
  <c r="Z99" i="2"/>
  <c r="Z103" i="2"/>
  <c r="D489" i="7"/>
  <c r="D431" i="7"/>
  <c r="C488" i="7"/>
  <c r="C430" i="7"/>
  <c r="C480" i="7"/>
  <c r="C422" i="7"/>
  <c r="C473" i="7"/>
  <c r="C415" i="7"/>
  <c r="C483" i="7"/>
  <c r="C425" i="7"/>
  <c r="C485" i="7"/>
  <c r="C427" i="7"/>
  <c r="C474" i="7"/>
  <c r="C416" i="7"/>
  <c r="C475" i="7"/>
  <c r="C417" i="7"/>
  <c r="C477" i="7"/>
  <c r="C419" i="7"/>
  <c r="C476" i="7"/>
  <c r="C418" i="7"/>
  <c r="C484" i="7"/>
  <c r="C426" i="7"/>
  <c r="C471" i="7"/>
  <c r="C413" i="7"/>
  <c r="C478" i="7"/>
  <c r="C420" i="7"/>
  <c r="C472" i="7"/>
  <c r="C414" i="7"/>
  <c r="C486" i="7"/>
  <c r="C428" i="7"/>
  <c r="C479" i="7"/>
  <c r="C421" i="7"/>
  <c r="C470" i="7"/>
  <c r="C412" i="7"/>
  <c r="C469" i="7"/>
  <c r="C411" i="7"/>
  <c r="C482" i="7"/>
  <c r="C424" i="7"/>
  <c r="C481" i="7"/>
  <c r="C423" i="7"/>
  <c r="E489" i="7"/>
  <c r="H66" i="7"/>
  <c r="I66" i="7"/>
  <c r="E36" i="7"/>
  <c r="E484" i="7"/>
  <c r="E479" i="7"/>
  <c r="C58" i="13"/>
  <c r="E486" i="7"/>
  <c r="E470" i="7"/>
  <c r="C49" i="13"/>
  <c r="E488" i="7"/>
  <c r="E478" i="7"/>
  <c r="E420" i="7"/>
  <c r="E469" i="7"/>
  <c r="E483" i="7"/>
  <c r="E425" i="7"/>
  <c r="E472" i="7"/>
  <c r="E473" i="7"/>
  <c r="E415" i="7"/>
  <c r="E480" i="7"/>
  <c r="E476" i="7"/>
  <c r="I476" i="7"/>
  <c r="E477" i="7"/>
  <c r="E474" i="7"/>
  <c r="E416" i="7"/>
  <c r="E429" i="7"/>
  <c r="D487" i="7"/>
  <c r="D429" i="7"/>
  <c r="F487" i="7"/>
  <c r="F429" i="7"/>
  <c r="C178" i="7"/>
  <c r="H224" i="7"/>
  <c r="F334" i="7"/>
  <c r="H226" i="7"/>
  <c r="F336" i="7"/>
  <c r="C180" i="7"/>
  <c r="C168" i="7"/>
  <c r="H214" i="7"/>
  <c r="F324" i="7"/>
  <c r="H223" i="7"/>
  <c r="F333" i="7"/>
  <c r="C177" i="7"/>
  <c r="C169" i="7"/>
  <c r="H215" i="7"/>
  <c r="F325" i="7"/>
  <c r="H225" i="7"/>
  <c r="F335" i="7"/>
  <c r="C179" i="7"/>
  <c r="C170" i="7"/>
  <c r="H216" i="7"/>
  <c r="F326" i="7"/>
  <c r="H218" i="7"/>
  <c r="F328" i="7"/>
  <c r="C172" i="7"/>
  <c r="H230" i="7"/>
  <c r="F340" i="7"/>
  <c r="C184" i="7"/>
  <c r="H217" i="7"/>
  <c r="F327" i="7"/>
  <c r="C171" i="7"/>
  <c r="H228" i="7"/>
  <c r="F338" i="7"/>
  <c r="C182" i="7"/>
  <c r="C181" i="7"/>
  <c r="H227" i="7"/>
  <c r="F337" i="7"/>
  <c r="H220" i="7"/>
  <c r="F330" i="7"/>
  <c r="C174" i="7"/>
  <c r="H219" i="7"/>
  <c r="F329" i="7"/>
  <c r="C173" i="7"/>
  <c r="I195" i="7"/>
  <c r="O116" i="2"/>
  <c r="H50" i="7"/>
  <c r="H46" i="7"/>
  <c r="O112" i="2"/>
  <c r="I191" i="7"/>
  <c r="D52" i="7"/>
  <c r="E330" i="7"/>
  <c r="I174" i="7"/>
  <c r="H49" i="7"/>
  <c r="I194" i="7"/>
  <c r="O115" i="2"/>
  <c r="O128" i="2"/>
  <c r="H62" i="7"/>
  <c r="I207" i="7"/>
  <c r="I198" i="7"/>
  <c r="O119" i="2"/>
  <c r="H53" i="7"/>
  <c r="O117" i="2"/>
  <c r="I196" i="7"/>
  <c r="H51" i="7"/>
  <c r="O120" i="2"/>
  <c r="I199" i="7"/>
  <c r="H54" i="7"/>
  <c r="H55" i="7"/>
  <c r="O121" i="2"/>
  <c r="I200" i="7"/>
  <c r="I203" i="7"/>
  <c r="O124" i="2"/>
  <c r="H58" i="7"/>
  <c r="O111" i="2"/>
  <c r="I190" i="7"/>
  <c r="H45" i="7"/>
  <c r="H57" i="7"/>
  <c r="O123" i="2"/>
  <c r="I202" i="7"/>
  <c r="O125" i="2"/>
  <c r="I204" i="7"/>
  <c r="H59" i="7"/>
  <c r="H48" i="7"/>
  <c r="O114" i="2"/>
  <c r="I193" i="7"/>
  <c r="I206" i="7"/>
  <c r="O127" i="2"/>
  <c r="H61" i="7"/>
  <c r="I192" i="7"/>
  <c r="O113" i="2"/>
  <c r="H47" i="7"/>
  <c r="O126" i="2"/>
  <c r="H60" i="7"/>
  <c r="I205" i="7"/>
  <c r="I201" i="7"/>
  <c r="H56" i="7"/>
  <c r="O122" i="2"/>
  <c r="O129" i="2"/>
  <c r="D63" i="7"/>
  <c r="H63" i="7"/>
  <c r="I63" i="7"/>
  <c r="D68" i="13"/>
  <c r="F431" i="7"/>
  <c r="G62" i="7"/>
  <c r="AC103" i="2"/>
  <c r="Z128" i="2"/>
  <c r="I161" i="7"/>
  <c r="G54" i="7"/>
  <c r="AC95" i="2"/>
  <c r="Z120" i="2"/>
  <c r="I153" i="7"/>
  <c r="G46" i="7"/>
  <c r="I46" i="7"/>
  <c r="D9" i="13"/>
  <c r="K9" i="13"/>
  <c r="Z112" i="2"/>
  <c r="I145" i="7"/>
  <c r="AC87" i="2"/>
  <c r="I154" i="7"/>
  <c r="Z121" i="2"/>
  <c r="G55" i="7"/>
  <c r="I55" i="7"/>
  <c r="D18" i="13"/>
  <c r="K18" i="13"/>
  <c r="AC96" i="2"/>
  <c r="I146" i="7"/>
  <c r="Z113" i="2"/>
  <c r="G47" i="7"/>
  <c r="AC88" i="2"/>
  <c r="Z126" i="2"/>
  <c r="I159" i="7"/>
  <c r="AC101" i="2"/>
  <c r="G60" i="7"/>
  <c r="I60" i="7"/>
  <c r="D23" i="13"/>
  <c r="Z118" i="2"/>
  <c r="G52" i="7"/>
  <c r="I52" i="7"/>
  <c r="D15" i="13"/>
  <c r="K15" i="13"/>
  <c r="AC93" i="2"/>
  <c r="I151" i="7"/>
  <c r="Z127" i="2"/>
  <c r="G61" i="7"/>
  <c r="AC102" i="2"/>
  <c r="I160" i="7"/>
  <c r="G53" i="7"/>
  <c r="I152" i="7"/>
  <c r="AC94" i="2"/>
  <c r="Z111" i="2"/>
  <c r="I144" i="7"/>
  <c r="AC86" i="2"/>
  <c r="G45" i="7"/>
  <c r="C54" i="13"/>
  <c r="I475" i="7"/>
  <c r="E417" i="7"/>
  <c r="C63" i="13"/>
  <c r="I484" i="7"/>
  <c r="E426" i="7"/>
  <c r="C64" i="13"/>
  <c r="I485" i="7"/>
  <c r="E427" i="7"/>
  <c r="I479" i="7"/>
  <c r="C61" i="13"/>
  <c r="I482" i="7"/>
  <c r="E424" i="7"/>
  <c r="C65" i="13"/>
  <c r="E428" i="7"/>
  <c r="I486" i="7"/>
  <c r="C60" i="13"/>
  <c r="I481" i="7"/>
  <c r="E423" i="7"/>
  <c r="E412" i="7"/>
  <c r="C50" i="13"/>
  <c r="E413" i="7"/>
  <c r="I471" i="7"/>
  <c r="E430" i="7"/>
  <c r="C67" i="13"/>
  <c r="G66" i="13"/>
  <c r="I488" i="7"/>
  <c r="D488" i="7"/>
  <c r="D430" i="7"/>
  <c r="D481" i="7"/>
  <c r="D423" i="7"/>
  <c r="D477" i="7"/>
  <c r="D419" i="7"/>
  <c r="D482" i="7"/>
  <c r="D424" i="7"/>
  <c r="D475" i="7"/>
  <c r="D417" i="7"/>
  <c r="D470" i="7"/>
  <c r="D412" i="7"/>
  <c r="D483" i="7"/>
  <c r="D425" i="7"/>
  <c r="D471" i="7"/>
  <c r="D413" i="7"/>
  <c r="D485" i="7"/>
  <c r="D427" i="7"/>
  <c r="D484" i="7"/>
  <c r="D426" i="7"/>
  <c r="D476" i="7"/>
  <c r="D418" i="7"/>
  <c r="D473" i="7"/>
  <c r="D415" i="7"/>
  <c r="D469" i="7"/>
  <c r="D411" i="7"/>
  <c r="D478" i="7"/>
  <c r="D420" i="7"/>
  <c r="D474" i="7"/>
  <c r="D416" i="7"/>
  <c r="D480" i="7"/>
  <c r="D422" i="7"/>
  <c r="D479" i="7"/>
  <c r="D421" i="7"/>
  <c r="D472" i="7"/>
  <c r="D414" i="7"/>
  <c r="D486" i="7"/>
  <c r="D428" i="7"/>
  <c r="F36" i="7"/>
  <c r="E431" i="7"/>
  <c r="C68" i="13"/>
  <c r="I489" i="7"/>
  <c r="D66" i="13"/>
  <c r="Z124" i="2"/>
  <c r="I157" i="7"/>
  <c r="G58" i="7"/>
  <c r="I58" i="7"/>
  <c r="D21" i="13"/>
  <c r="K21" i="13"/>
  <c r="AC99" i="2"/>
  <c r="Z116" i="2"/>
  <c r="I149" i="7"/>
  <c r="G50" i="7"/>
  <c r="I50" i="7"/>
  <c r="D13" i="13"/>
  <c r="K13" i="13"/>
  <c r="AC91" i="2"/>
  <c r="Z125" i="2"/>
  <c r="G59" i="7"/>
  <c r="I158" i="7"/>
  <c r="AC100" i="2"/>
  <c r="Z117" i="2"/>
  <c r="G51" i="7"/>
  <c r="I150" i="7"/>
  <c r="AC92" i="2"/>
  <c r="AC104" i="2"/>
  <c r="Z129" i="2"/>
  <c r="C63" i="7"/>
  <c r="G56" i="7"/>
  <c r="Z122" i="2"/>
  <c r="I155" i="7"/>
  <c r="AC97" i="2"/>
  <c r="G48" i="7"/>
  <c r="I48" i="7"/>
  <c r="D11" i="13"/>
  <c r="K11" i="13"/>
  <c r="AC89" i="2"/>
  <c r="Z114" i="2"/>
  <c r="I147" i="7"/>
  <c r="I156" i="7"/>
  <c r="Z123" i="2"/>
  <c r="G57" i="7"/>
  <c r="I57" i="7"/>
  <c r="D20" i="13"/>
  <c r="K20" i="13"/>
  <c r="AC98" i="2"/>
  <c r="I148" i="7"/>
  <c r="Z115" i="2"/>
  <c r="G49" i="7"/>
  <c r="I49" i="7"/>
  <c r="D12" i="13"/>
  <c r="K12" i="13"/>
  <c r="AC90" i="2"/>
  <c r="C57" i="13"/>
  <c r="I478" i="7"/>
  <c r="C48" i="13"/>
  <c r="E411" i="7"/>
  <c r="I469" i="7"/>
  <c r="C62" i="13"/>
  <c r="I483" i="7"/>
  <c r="C51" i="13"/>
  <c r="I472" i="7"/>
  <c r="E414" i="7"/>
  <c r="C52" i="13"/>
  <c r="I473" i="7"/>
  <c r="C59" i="13"/>
  <c r="E422" i="7"/>
  <c r="I480" i="7"/>
  <c r="C55" i="13"/>
  <c r="E418" i="7"/>
  <c r="C56" i="13"/>
  <c r="E419" i="7"/>
  <c r="I477" i="7"/>
  <c r="C53" i="13"/>
  <c r="I474" i="7"/>
  <c r="F488" i="7"/>
  <c r="F470" i="7"/>
  <c r="F478" i="7"/>
  <c r="F474" i="7"/>
  <c r="F486" i="7"/>
  <c r="F481" i="7"/>
  <c r="F484" i="7"/>
  <c r="F476" i="7"/>
  <c r="F475" i="7"/>
  <c r="F469" i="7"/>
  <c r="F483" i="7"/>
  <c r="F471" i="7"/>
  <c r="F480" i="7"/>
  <c r="F479" i="7"/>
  <c r="F472" i="7"/>
  <c r="F485" i="7"/>
  <c r="F477" i="7"/>
  <c r="F482" i="7"/>
  <c r="F473" i="7"/>
  <c r="I470" i="7"/>
  <c r="E421" i="7"/>
  <c r="I53" i="7"/>
  <c r="D16" i="13"/>
  <c r="K16" i="13"/>
  <c r="I47" i="7"/>
  <c r="D10" i="13"/>
  <c r="K10" i="13"/>
  <c r="I54" i="7"/>
  <c r="D17" i="13"/>
  <c r="K17" i="13"/>
  <c r="I62" i="7"/>
  <c r="D25" i="13"/>
  <c r="I56" i="7"/>
  <c r="D19" i="13"/>
  <c r="K19" i="13"/>
  <c r="E63" i="7"/>
  <c r="C89" i="7"/>
  <c r="D114" i="7"/>
  <c r="E114" i="7"/>
  <c r="I51" i="7"/>
  <c r="D14" i="13"/>
  <c r="K14" i="13"/>
  <c r="I59" i="7"/>
  <c r="D22" i="13"/>
  <c r="I45" i="7"/>
  <c r="D8" i="13"/>
  <c r="K8" i="13"/>
  <c r="I61" i="7"/>
  <c r="D24" i="13"/>
  <c r="K22" i="13"/>
  <c r="D60" i="7"/>
  <c r="E338" i="7"/>
  <c r="I182" i="7"/>
  <c r="D47" i="7"/>
  <c r="E325" i="7"/>
  <c r="I169" i="7"/>
  <c r="D48" i="7"/>
  <c r="E326" i="7"/>
  <c r="I170" i="7"/>
  <c r="D59" i="7"/>
  <c r="E337" i="7"/>
  <c r="I181" i="7"/>
  <c r="I179" i="7"/>
  <c r="D57" i="7"/>
  <c r="E335" i="7"/>
  <c r="D45" i="7"/>
  <c r="E323" i="7"/>
  <c r="I167" i="7"/>
  <c r="D58" i="7"/>
  <c r="E336" i="7"/>
  <c r="I180" i="7"/>
  <c r="D51" i="7"/>
  <c r="E329" i="7"/>
  <c r="I173" i="7"/>
  <c r="D53" i="7"/>
  <c r="E331" i="7"/>
  <c r="I175" i="7"/>
  <c r="I184" i="7"/>
  <c r="D62" i="7"/>
  <c r="E340" i="7"/>
  <c r="D50" i="7"/>
  <c r="E328" i="7"/>
  <c r="I172" i="7"/>
  <c r="D56" i="7"/>
  <c r="E334" i="7"/>
  <c r="I178" i="7"/>
  <c r="D61" i="7"/>
  <c r="E339" i="7"/>
  <c r="I183" i="7"/>
  <c r="D55" i="7"/>
  <c r="E333" i="7"/>
  <c r="I177" i="7"/>
  <c r="D54" i="7"/>
  <c r="E332" i="7"/>
  <c r="I176" i="7"/>
  <c r="D49" i="7"/>
  <c r="E327" i="7"/>
  <c r="I171" i="7"/>
  <c r="I168" i="7"/>
  <c r="D46" i="7"/>
  <c r="E324" i="7"/>
  <c r="F427" i="7"/>
  <c r="D64" i="13"/>
  <c r="F413" i="7"/>
  <c r="D50" i="13"/>
  <c r="F418" i="7"/>
  <c r="D55" i="13"/>
  <c r="F416" i="7"/>
  <c r="D53" i="13"/>
  <c r="F412" i="7"/>
  <c r="D49" i="13"/>
  <c r="F415" i="7"/>
  <c r="D52" i="13"/>
  <c r="F419" i="7"/>
  <c r="D56" i="13"/>
  <c r="F414" i="7"/>
  <c r="D51" i="13"/>
  <c r="F422" i="7"/>
  <c r="D59" i="13"/>
  <c r="F425" i="7"/>
  <c r="D62" i="13"/>
  <c r="F417" i="7"/>
  <c r="D54" i="13"/>
  <c r="F426" i="7"/>
  <c r="D63" i="13"/>
  <c r="F428" i="7"/>
  <c r="D65" i="13"/>
  <c r="F420" i="7"/>
  <c r="D57" i="13"/>
  <c r="F430" i="7"/>
  <c r="D67" i="13"/>
  <c r="H66" i="13"/>
  <c r="I125" i="7"/>
  <c r="C49" i="7"/>
  <c r="AC115" i="2"/>
  <c r="I133" i="7"/>
  <c r="C57" i="7"/>
  <c r="AC123" i="2"/>
  <c r="I132" i="7"/>
  <c r="C56" i="7"/>
  <c r="AC122" i="2"/>
  <c r="E89" i="7"/>
  <c r="H89" i="7"/>
  <c r="C47" i="7"/>
  <c r="I123" i="7"/>
  <c r="AC113" i="2"/>
  <c r="C55" i="7"/>
  <c r="AC121" i="2"/>
  <c r="I131" i="7"/>
  <c r="C46" i="7"/>
  <c r="AC112" i="2"/>
  <c r="I122" i="7"/>
  <c r="F424" i="7"/>
  <c r="D61" i="13"/>
  <c r="F421" i="7"/>
  <c r="D58" i="13"/>
  <c r="F411" i="7"/>
  <c r="D48" i="13"/>
  <c r="F423" i="7"/>
  <c r="D60" i="13"/>
  <c r="I124" i="7"/>
  <c r="AC114" i="2"/>
  <c r="C48" i="7"/>
  <c r="C51" i="7"/>
  <c r="I127" i="7"/>
  <c r="AC117" i="2"/>
  <c r="C59" i="7"/>
  <c r="I135" i="7"/>
  <c r="AC125" i="2"/>
  <c r="C50" i="7"/>
  <c r="I126" i="7"/>
  <c r="AC116" i="2"/>
  <c r="I134" i="7"/>
  <c r="C58" i="7"/>
  <c r="AC124" i="2"/>
  <c r="I121" i="7"/>
  <c r="C45" i="7"/>
  <c r="AC111" i="2"/>
  <c r="C53" i="7"/>
  <c r="I129" i="7"/>
  <c r="AC119" i="2"/>
  <c r="C61" i="7"/>
  <c r="I137" i="7"/>
  <c r="AC127" i="2"/>
  <c r="C52" i="7"/>
  <c r="AC118" i="2"/>
  <c r="I128" i="7"/>
  <c r="I136" i="7"/>
  <c r="AC126" i="2"/>
  <c r="C60" i="7"/>
  <c r="I130" i="7"/>
  <c r="C54" i="7"/>
  <c r="AC120" i="2"/>
  <c r="AC128" i="2"/>
  <c r="I138" i="7"/>
  <c r="C62" i="7"/>
  <c r="J39" i="13"/>
  <c r="J37" i="13"/>
  <c r="J38" i="13"/>
  <c r="D340" i="7"/>
  <c r="E62" i="7"/>
  <c r="L54" i="7"/>
  <c r="AE120" i="2"/>
  <c r="L52" i="7"/>
  <c r="AE118" i="2"/>
  <c r="L61" i="7"/>
  <c r="AE127" i="2"/>
  <c r="D339" i="7"/>
  <c r="E61" i="7"/>
  <c r="L45" i="7"/>
  <c r="AE111" i="2"/>
  <c r="AC129" i="2"/>
  <c r="D336" i="7"/>
  <c r="E58" i="7"/>
  <c r="L51" i="7"/>
  <c r="AE117" i="2"/>
  <c r="D329" i="7"/>
  <c r="E51" i="7"/>
  <c r="L48" i="7"/>
  <c r="AE114" i="2"/>
  <c r="D324" i="7"/>
  <c r="E46" i="7"/>
  <c r="L55" i="7"/>
  <c r="AE121" i="2"/>
  <c r="L47" i="7"/>
  <c r="AE113" i="2"/>
  <c r="D325" i="7"/>
  <c r="E47" i="7"/>
  <c r="I306" i="7"/>
  <c r="E56" i="7"/>
  <c r="D334" i="7"/>
  <c r="L57" i="7"/>
  <c r="AE123" i="2"/>
  <c r="D327" i="7"/>
  <c r="E49" i="7"/>
  <c r="J306" i="7"/>
  <c r="L62" i="7"/>
  <c r="AE128" i="2"/>
  <c r="D338" i="7"/>
  <c r="E60" i="7"/>
  <c r="E54" i="7"/>
  <c r="D332" i="7"/>
  <c r="L60" i="7"/>
  <c r="AE126" i="2"/>
  <c r="E52" i="7"/>
  <c r="D330" i="7"/>
  <c r="L53" i="7"/>
  <c r="AE119" i="2"/>
  <c r="E53" i="7"/>
  <c r="G306" i="7"/>
  <c r="D331" i="7"/>
  <c r="E45" i="7"/>
  <c r="D323" i="7"/>
  <c r="L58" i="7"/>
  <c r="AE124" i="2"/>
  <c r="L50" i="7"/>
  <c r="AE116" i="2"/>
  <c r="D328" i="7"/>
  <c r="E50" i="7"/>
  <c r="L59" i="7"/>
  <c r="AE125" i="2"/>
  <c r="D337" i="7"/>
  <c r="E59" i="7"/>
  <c r="E48" i="7"/>
  <c r="F306" i="7"/>
  <c r="D326" i="7"/>
  <c r="L46" i="7"/>
  <c r="AE112" i="2"/>
  <c r="E55" i="7"/>
  <c r="H306" i="7"/>
  <c r="D333" i="7"/>
  <c r="L56" i="7"/>
  <c r="AE122" i="2"/>
  <c r="D335" i="7"/>
  <c r="E57" i="7"/>
  <c r="E306" i="7"/>
  <c r="L49" i="7"/>
  <c r="AE115" i="2"/>
  <c r="L13" i="13"/>
  <c r="M13" i="13"/>
  <c r="L21" i="13"/>
  <c r="M21" i="13"/>
  <c r="L9" i="13"/>
  <c r="M9" i="13"/>
  <c r="L24" i="13"/>
  <c r="D26" i="13"/>
  <c r="L20" i="13"/>
  <c r="M20" i="13"/>
  <c r="L10" i="13"/>
  <c r="M10" i="13"/>
  <c r="L8" i="13"/>
  <c r="M8" i="13"/>
  <c r="L22" i="13"/>
  <c r="M22" i="13"/>
  <c r="L25" i="13"/>
  <c r="D27" i="13"/>
  <c r="L15" i="13"/>
  <c r="M15" i="13"/>
  <c r="L18" i="13"/>
  <c r="M18" i="13"/>
  <c r="L19" i="13"/>
  <c r="M19" i="13"/>
  <c r="L12" i="13"/>
  <c r="M12" i="13"/>
  <c r="L11" i="13"/>
  <c r="M11" i="13"/>
  <c r="L14" i="13"/>
  <c r="M14" i="13"/>
  <c r="L16" i="13"/>
  <c r="M16" i="13"/>
  <c r="L17" i="13"/>
  <c r="M17" i="13"/>
  <c r="F57" i="7"/>
  <c r="F83" i="7"/>
  <c r="G108" i="7"/>
  <c r="H108" i="7"/>
  <c r="C335" i="7"/>
  <c r="D363" i="7"/>
  <c r="E307" i="7"/>
  <c r="C83" i="7"/>
  <c r="F55" i="7"/>
  <c r="F81" i="7"/>
  <c r="G106" i="7"/>
  <c r="H106" i="7"/>
  <c r="C333" i="7"/>
  <c r="D361" i="7"/>
  <c r="H307" i="7"/>
  <c r="C81" i="7"/>
  <c r="C74" i="7"/>
  <c r="F48" i="7"/>
  <c r="F74" i="7"/>
  <c r="G99" i="7"/>
  <c r="H99" i="7"/>
  <c r="C326" i="7"/>
  <c r="D354" i="7"/>
  <c r="F307" i="7"/>
  <c r="F53" i="7"/>
  <c r="F79" i="7"/>
  <c r="G104" i="7"/>
  <c r="H104" i="7"/>
  <c r="C331" i="7"/>
  <c r="D359" i="7"/>
  <c r="G307" i="7"/>
  <c r="C79" i="7"/>
  <c r="F56" i="7"/>
  <c r="F82" i="7"/>
  <c r="G107" i="7"/>
  <c r="H107" i="7"/>
  <c r="C334" i="7"/>
  <c r="D362" i="7"/>
  <c r="C82" i="7"/>
  <c r="F61" i="7"/>
  <c r="F87" i="7"/>
  <c r="G112" i="7"/>
  <c r="H112" i="7"/>
  <c r="C339" i="7"/>
  <c r="D367" i="7"/>
  <c r="C87" i="7"/>
  <c r="F62" i="7"/>
  <c r="F88" i="7"/>
  <c r="G113" i="7"/>
  <c r="H113" i="7"/>
  <c r="C340" i="7"/>
  <c r="D368" i="7"/>
  <c r="C88" i="7"/>
  <c r="C323" i="7"/>
  <c r="D351" i="7"/>
  <c r="C71" i="7"/>
  <c r="F45" i="7"/>
  <c r="F71" i="7"/>
  <c r="G96" i="7"/>
  <c r="H96" i="7"/>
  <c r="E64" i="7"/>
  <c r="F64" i="7"/>
  <c r="C78" i="7"/>
  <c r="F52" i="7"/>
  <c r="F78" i="7"/>
  <c r="G103" i="7"/>
  <c r="H103" i="7"/>
  <c r="C330" i="7"/>
  <c r="C80" i="7"/>
  <c r="F54" i="7"/>
  <c r="F80" i="7"/>
  <c r="G105" i="7"/>
  <c r="H105" i="7"/>
  <c r="C332" i="7"/>
  <c r="C85" i="7"/>
  <c r="F59" i="7"/>
  <c r="F85" i="7"/>
  <c r="G110" i="7"/>
  <c r="H110" i="7"/>
  <c r="C337" i="7"/>
  <c r="C76" i="7"/>
  <c r="F50" i="7"/>
  <c r="F76" i="7"/>
  <c r="G101" i="7"/>
  <c r="H101" i="7"/>
  <c r="C328" i="7"/>
  <c r="D356" i="7"/>
  <c r="D358" i="7"/>
  <c r="F60" i="7"/>
  <c r="F86" i="7"/>
  <c r="G111" i="7"/>
  <c r="H111" i="7"/>
  <c r="C338" i="7"/>
  <c r="C86" i="7"/>
  <c r="F49" i="7"/>
  <c r="F75" i="7"/>
  <c r="G100" i="7"/>
  <c r="H100" i="7"/>
  <c r="C327" i="7"/>
  <c r="C75" i="7"/>
  <c r="C73" i="7"/>
  <c r="F47" i="7"/>
  <c r="F73" i="7"/>
  <c r="G98" i="7"/>
  <c r="H98" i="7"/>
  <c r="C325" i="7"/>
  <c r="F46" i="7"/>
  <c r="F72" i="7"/>
  <c r="G97" i="7"/>
  <c r="H97" i="7"/>
  <c r="C324" i="7"/>
  <c r="D352" i="7"/>
  <c r="C72" i="7"/>
  <c r="C77" i="7"/>
  <c r="F51" i="7"/>
  <c r="F77" i="7"/>
  <c r="G102" i="7"/>
  <c r="H102" i="7"/>
  <c r="C329" i="7"/>
  <c r="C84" i="7"/>
  <c r="F58" i="7"/>
  <c r="F84" i="7"/>
  <c r="G109" i="7"/>
  <c r="H109" i="7"/>
  <c r="C336" i="7"/>
  <c r="D364" i="7"/>
  <c r="L63" i="7"/>
  <c r="AE129" i="2"/>
  <c r="O45" i="7"/>
  <c r="P45" i="7"/>
  <c r="P8" i="13"/>
  <c r="P12" i="13"/>
  <c r="P15" i="13"/>
  <c r="P16" i="13"/>
  <c r="K37" i="13"/>
  <c r="E72" i="7"/>
  <c r="H72" i="7"/>
  <c r="D97" i="7"/>
  <c r="E97" i="7"/>
  <c r="C355" i="7"/>
  <c r="L355" i="7"/>
  <c r="J312" i="7"/>
  <c r="H355" i="7"/>
  <c r="J315" i="7"/>
  <c r="I355" i="7"/>
  <c r="J316" i="7"/>
  <c r="K355" i="7"/>
  <c r="J311" i="7"/>
  <c r="F355" i="7"/>
  <c r="J309" i="7"/>
  <c r="M355" i="7"/>
  <c r="G355" i="7"/>
  <c r="J314" i="7"/>
  <c r="J355" i="7"/>
  <c r="J310" i="7"/>
  <c r="E355" i="7"/>
  <c r="J308" i="7"/>
  <c r="E86" i="7"/>
  <c r="H86" i="7"/>
  <c r="D111" i="7"/>
  <c r="E111" i="7"/>
  <c r="C365" i="7"/>
  <c r="K365" i="7"/>
  <c r="H365" i="7"/>
  <c r="I365" i="7"/>
  <c r="F365" i="7"/>
  <c r="L365" i="7"/>
  <c r="M365" i="7"/>
  <c r="G365" i="7"/>
  <c r="J365" i="7"/>
  <c r="E365" i="7"/>
  <c r="E85" i="7"/>
  <c r="H85" i="7"/>
  <c r="D110" i="7"/>
  <c r="E110" i="7"/>
  <c r="C360" i="7"/>
  <c r="H360" i="7"/>
  <c r="I360" i="7"/>
  <c r="L360" i="7"/>
  <c r="K360" i="7"/>
  <c r="E360" i="7"/>
  <c r="F360" i="7"/>
  <c r="G360" i="7"/>
  <c r="M360" i="7"/>
  <c r="J360" i="7"/>
  <c r="E80" i="7"/>
  <c r="H80" i="7"/>
  <c r="D105" i="7"/>
  <c r="E105" i="7"/>
  <c r="E71" i="7"/>
  <c r="H71" i="7"/>
  <c r="D96" i="7"/>
  <c r="E96" i="7"/>
  <c r="E88" i="7"/>
  <c r="H88" i="7"/>
  <c r="D113" i="7"/>
  <c r="E113" i="7"/>
  <c r="I367" i="7"/>
  <c r="H367" i="7"/>
  <c r="E367" i="7"/>
  <c r="C367" i="7"/>
  <c r="F367" i="7"/>
  <c r="K367" i="7"/>
  <c r="L367" i="7"/>
  <c r="M367" i="7"/>
  <c r="G367" i="7"/>
  <c r="J367" i="7"/>
  <c r="C362" i="7"/>
  <c r="F362" i="7"/>
  <c r="H362" i="7"/>
  <c r="I362" i="7"/>
  <c r="L362" i="7"/>
  <c r="K362" i="7"/>
  <c r="M362" i="7"/>
  <c r="G362" i="7"/>
  <c r="E362" i="7"/>
  <c r="J362" i="7"/>
  <c r="D355" i="7"/>
  <c r="J307" i="7"/>
  <c r="E79" i="7"/>
  <c r="H79" i="7"/>
  <c r="D104" i="7"/>
  <c r="E104" i="7"/>
  <c r="E81" i="7"/>
  <c r="H81" i="7"/>
  <c r="D106" i="7"/>
  <c r="E106" i="7"/>
  <c r="I363" i="7"/>
  <c r="E316" i="7"/>
  <c r="H363" i="7"/>
  <c r="E315" i="7"/>
  <c r="C363" i="7"/>
  <c r="F363" i="7"/>
  <c r="E309" i="7"/>
  <c r="L363" i="7"/>
  <c r="E312" i="7"/>
  <c r="K363" i="7"/>
  <c r="E311" i="7"/>
  <c r="E363" i="7"/>
  <c r="E308" i="7"/>
  <c r="M363" i="7"/>
  <c r="E313" i="7"/>
  <c r="G363" i="7"/>
  <c r="E314" i="7"/>
  <c r="J363" i="7"/>
  <c r="E310" i="7"/>
  <c r="C364" i="7"/>
  <c r="K364" i="7"/>
  <c r="I364" i="7"/>
  <c r="F364" i="7"/>
  <c r="L364" i="7"/>
  <c r="H364" i="7"/>
  <c r="G364" i="7"/>
  <c r="M364" i="7"/>
  <c r="J364" i="7"/>
  <c r="E364" i="7"/>
  <c r="E84" i="7"/>
  <c r="H84" i="7"/>
  <c r="D109" i="7"/>
  <c r="E109" i="7"/>
  <c r="C357" i="7"/>
  <c r="H357" i="7"/>
  <c r="I357" i="7"/>
  <c r="K357" i="7"/>
  <c r="L357" i="7"/>
  <c r="F357" i="7"/>
  <c r="G357" i="7"/>
  <c r="M357" i="7"/>
  <c r="J357" i="7"/>
  <c r="E357" i="7"/>
  <c r="E77" i="7"/>
  <c r="H77" i="7"/>
  <c r="D102" i="7"/>
  <c r="E102" i="7"/>
  <c r="I352" i="7"/>
  <c r="L352" i="7"/>
  <c r="H352" i="7"/>
  <c r="C352" i="7"/>
  <c r="E352" i="7"/>
  <c r="F352" i="7"/>
  <c r="K352" i="7"/>
  <c r="G352" i="7"/>
  <c r="M352" i="7"/>
  <c r="J352" i="7"/>
  <c r="C353" i="7"/>
  <c r="H353" i="7"/>
  <c r="I315" i="7"/>
  <c r="I353" i="7"/>
  <c r="I316" i="7"/>
  <c r="L353" i="7"/>
  <c r="I312" i="7"/>
  <c r="K353" i="7"/>
  <c r="I311" i="7"/>
  <c r="F353" i="7"/>
  <c r="I309" i="7"/>
  <c r="G353" i="7"/>
  <c r="I314" i="7"/>
  <c r="M353" i="7"/>
  <c r="E353" i="7"/>
  <c r="I308" i="7"/>
  <c r="J353" i="7"/>
  <c r="I310" i="7"/>
  <c r="E73" i="7"/>
  <c r="H73" i="7"/>
  <c r="D98" i="7"/>
  <c r="E98" i="7"/>
  <c r="D100" i="7"/>
  <c r="E100" i="7"/>
  <c r="E75" i="7"/>
  <c r="H75" i="7"/>
  <c r="I366" i="7"/>
  <c r="C366" i="7"/>
  <c r="H366" i="7"/>
  <c r="F366" i="7"/>
  <c r="E366" i="7"/>
  <c r="L366" i="7"/>
  <c r="K366" i="7"/>
  <c r="M366" i="7"/>
  <c r="G366" i="7"/>
  <c r="J366" i="7"/>
  <c r="D360" i="7"/>
  <c r="I356" i="7"/>
  <c r="H356" i="7"/>
  <c r="C356" i="7"/>
  <c r="L356" i="7"/>
  <c r="K356" i="7"/>
  <c r="F356" i="7"/>
  <c r="G356" i="7"/>
  <c r="M356" i="7"/>
  <c r="J356" i="7"/>
  <c r="E356" i="7"/>
  <c r="E76" i="7"/>
  <c r="H76" i="7"/>
  <c r="D101" i="7"/>
  <c r="E101" i="7"/>
  <c r="C358" i="7"/>
  <c r="I358" i="7"/>
  <c r="H358" i="7"/>
  <c r="L358" i="7"/>
  <c r="E358" i="7"/>
  <c r="F358" i="7"/>
  <c r="K358" i="7"/>
  <c r="G358" i="7"/>
  <c r="M358" i="7"/>
  <c r="J358" i="7"/>
  <c r="E78" i="7"/>
  <c r="H78" i="7"/>
  <c r="D103" i="7"/>
  <c r="E103" i="7"/>
  <c r="H351" i="7"/>
  <c r="E351" i="7"/>
  <c r="F351" i="7"/>
  <c r="K343" i="7"/>
  <c r="E343" i="7"/>
  <c r="J343" i="7"/>
  <c r="F343" i="7"/>
  <c r="C341" i="7"/>
  <c r="L343" i="7"/>
  <c r="H343" i="7"/>
  <c r="I343" i="7"/>
  <c r="I351" i="7"/>
  <c r="C351" i="7"/>
  <c r="D343" i="7"/>
  <c r="C343" i="7"/>
  <c r="K351" i="7"/>
  <c r="G343" i="7"/>
  <c r="M343" i="7"/>
  <c r="L351" i="7"/>
  <c r="M351" i="7"/>
  <c r="G351" i="7"/>
  <c r="J351" i="7"/>
  <c r="D365" i="7"/>
  <c r="I368" i="7"/>
  <c r="L368" i="7"/>
  <c r="H368" i="7"/>
  <c r="C368" i="7"/>
  <c r="E368" i="7"/>
  <c r="F368" i="7"/>
  <c r="K368" i="7"/>
  <c r="M368" i="7"/>
  <c r="G368" i="7"/>
  <c r="J368" i="7"/>
  <c r="E87" i="7"/>
  <c r="H87" i="7"/>
  <c r="D112" i="7"/>
  <c r="E112" i="7"/>
  <c r="D357" i="7"/>
  <c r="D353" i="7"/>
  <c r="I307" i="7"/>
  <c r="E82" i="7"/>
  <c r="H82" i="7"/>
  <c r="D107" i="7"/>
  <c r="E107" i="7"/>
  <c r="D366" i="7"/>
  <c r="I359" i="7"/>
  <c r="G316" i="7"/>
  <c r="C359" i="7"/>
  <c r="L359" i="7"/>
  <c r="G312" i="7"/>
  <c r="H359" i="7"/>
  <c r="G315" i="7"/>
  <c r="K359" i="7"/>
  <c r="G311" i="7"/>
  <c r="F359" i="7"/>
  <c r="G309" i="7"/>
  <c r="G359" i="7"/>
  <c r="G314" i="7"/>
  <c r="M359" i="7"/>
  <c r="E359" i="7"/>
  <c r="G308" i="7"/>
  <c r="J359" i="7"/>
  <c r="G310" i="7"/>
  <c r="E354" i="7"/>
  <c r="F308" i="7"/>
  <c r="I354" i="7"/>
  <c r="F316" i="7"/>
  <c r="L354" i="7"/>
  <c r="F312" i="7"/>
  <c r="K354" i="7"/>
  <c r="F311" i="7"/>
  <c r="H354" i="7"/>
  <c r="F315" i="7"/>
  <c r="C354" i="7"/>
  <c r="F354" i="7"/>
  <c r="F309" i="7"/>
  <c r="G354" i="7"/>
  <c r="F314" i="7"/>
  <c r="M354" i="7"/>
  <c r="F313" i="7"/>
  <c r="J354" i="7"/>
  <c r="F310" i="7"/>
  <c r="E74" i="7"/>
  <c r="H74" i="7"/>
  <c r="D99" i="7"/>
  <c r="E99" i="7"/>
  <c r="I361" i="7"/>
  <c r="H316" i="7"/>
  <c r="C361" i="7"/>
  <c r="H361" i="7"/>
  <c r="H315" i="7"/>
  <c r="F361" i="7"/>
  <c r="H309" i="7"/>
  <c r="E361" i="7"/>
  <c r="H308" i="7"/>
  <c r="K361" i="7"/>
  <c r="H311" i="7"/>
  <c r="L361" i="7"/>
  <c r="H312" i="7"/>
  <c r="G361" i="7"/>
  <c r="H314" i="7"/>
  <c r="M361" i="7"/>
  <c r="J361" i="7"/>
  <c r="H310" i="7"/>
  <c r="E83" i="7"/>
  <c r="H83" i="7"/>
  <c r="D108" i="7"/>
  <c r="E108" i="7"/>
  <c r="P13" i="13"/>
  <c r="K38" i="13"/>
  <c r="M342" i="7"/>
  <c r="M346" i="7"/>
  <c r="D342" i="7"/>
  <c r="D346" i="7"/>
  <c r="H346" i="7"/>
  <c r="H342" i="7"/>
  <c r="J342" i="7"/>
  <c r="J346" i="7"/>
  <c r="K346" i="7"/>
  <c r="K342" i="7"/>
  <c r="G342" i="7"/>
  <c r="G346" i="7"/>
  <c r="C342" i="7"/>
  <c r="C345" i="7"/>
  <c r="C346" i="7"/>
  <c r="I342" i="7"/>
  <c r="I345" i="7"/>
  <c r="I346" i="7"/>
  <c r="L346" i="7"/>
  <c r="L342" i="7"/>
  <c r="F346" i="7"/>
  <c r="C309" i="7"/>
  <c r="F342" i="7"/>
  <c r="E346" i="7"/>
  <c r="E342" i="7"/>
  <c r="E345" i="7"/>
  <c r="E369" i="7"/>
  <c r="F345" i="7"/>
  <c r="F369" i="7"/>
  <c r="L345" i="7"/>
  <c r="C312" i="7"/>
  <c r="K345" i="7"/>
  <c r="H345" i="7"/>
  <c r="C316" i="7"/>
  <c r="I369" i="7"/>
  <c r="G345" i="7"/>
  <c r="J345" i="7"/>
  <c r="D345" i="7"/>
  <c r="M345" i="7"/>
  <c r="L369" i="7"/>
  <c r="C308" i="7"/>
  <c r="C307" i="7"/>
  <c r="D369" i="7"/>
  <c r="C313" i="7"/>
  <c r="M369" i="7"/>
  <c r="J369" i="7"/>
  <c r="C310" i="7"/>
  <c r="C315" i="7"/>
  <c r="H369" i="7"/>
  <c r="G369" i="7"/>
  <c r="C314" i="7"/>
  <c r="K369" i="7"/>
  <c r="C311" i="7"/>
</calcChain>
</file>

<file path=xl/sharedStrings.xml><?xml version="1.0" encoding="utf-8"?>
<sst xmlns="http://schemas.openxmlformats.org/spreadsheetml/2006/main" count="5123" uniqueCount="1206">
  <si>
    <t xml:space="preserve">   1.5. Otros servicios de interés general</t>
  </si>
  <si>
    <t>2.3. Infraestructuras y transporte</t>
  </si>
  <si>
    <t>SALDO RELATIVO TOTAL, INGRESOS Y GASTOS</t>
  </si>
  <si>
    <t>3.1. Pensiones, desempleo y otras prestaciones económicas</t>
  </si>
  <si>
    <t>3.2. Servicios Sociales</t>
  </si>
  <si>
    <t xml:space="preserve">   e. Transferencias a o de las ccaa forales:</t>
  </si>
  <si>
    <t xml:space="preserve"> 2.5d. Vivienda y urbanismo</t>
  </si>
  <si>
    <t>G: TOTAL GASTO</t>
  </si>
  <si>
    <t>G1 + G2 + G3+ G4 = gasto antes de intereses de la deuda públcia</t>
  </si>
  <si>
    <t>Andalucía</t>
  </si>
  <si>
    <t>Aragón</t>
  </si>
  <si>
    <t>Asturias</t>
  </si>
  <si>
    <t>Canarias</t>
  </si>
  <si>
    <t>Cantabria</t>
  </si>
  <si>
    <t>Castilla y León</t>
  </si>
  <si>
    <t>Cast. - La Mancha</t>
  </si>
  <si>
    <t>Cataluña</t>
  </si>
  <si>
    <t>Valencia</t>
  </si>
  <si>
    <t>Extremadura</t>
  </si>
  <si>
    <t>Galicia</t>
  </si>
  <si>
    <t>Madrid</t>
  </si>
  <si>
    <t xml:space="preserve">   1.7. Organismos reguladores económicos</t>
  </si>
  <si>
    <t>2.5. Otro gasto territorializable</t>
  </si>
  <si>
    <t>2.3. Infraestructuras productivas y medioambientales, transporte y comunicaciones</t>
  </si>
  <si>
    <t>C-M</t>
  </si>
  <si>
    <t xml:space="preserve">   1.6. Investigación básica, estudios y estadística</t>
  </si>
  <si>
    <t>2.2 Financiación de las Corporaciones Locales</t>
  </si>
  <si>
    <t>TOTAL GASTO</t>
  </si>
  <si>
    <t>2.5a. Sanidad y consumo</t>
  </si>
  <si>
    <t xml:space="preserve">   g. Sobreesfuerzo fiscal regional:</t>
  </si>
  <si>
    <t xml:space="preserve">   1.4. Gestión financiera, tributaria y presupuestaria</t>
  </si>
  <si>
    <t>Baleares</t>
  </si>
  <si>
    <t xml:space="preserve">    1.1. Alta dirección del Estado y del Gobierno</t>
  </si>
  <si>
    <t>Na</t>
  </si>
  <si>
    <t>PV</t>
  </si>
  <si>
    <t xml:space="preserve">   1.3. Defensa</t>
  </si>
  <si>
    <t xml:space="preserve">   b. Ajuste por competencias no homogéneas de las CCAARC</t>
  </si>
  <si>
    <t>Ma</t>
  </si>
  <si>
    <t>Mu</t>
  </si>
  <si>
    <t>G1. Administración General y Bienes y Servicios Públicos de Ámbito Nacional</t>
  </si>
  <si>
    <t>2. Gasto per cápita, euros</t>
  </si>
  <si>
    <t>3. Saldo relativo per capita, euros</t>
  </si>
  <si>
    <t xml:space="preserve">    + Sobreesfuerzo fiscal regional:</t>
  </si>
  <si>
    <t>2.1. Financiación Regional a competencias homogéneas</t>
  </si>
  <si>
    <t>gasto territorializable a igual esfuerzo fiscal</t>
  </si>
  <si>
    <t>2.5.e. Cultura y deportes</t>
  </si>
  <si>
    <t>Cat</t>
  </si>
  <si>
    <t xml:space="preserve">   1.2. Acción exterior del Estado</t>
  </si>
  <si>
    <t>Ba</t>
  </si>
  <si>
    <t>Cana</t>
  </si>
  <si>
    <t>Cnt</t>
  </si>
  <si>
    <t>CyL</t>
  </si>
  <si>
    <t xml:space="preserve">   f. Ajustes por competencias atípicas forales</t>
  </si>
  <si>
    <t>miles de euros</t>
  </si>
  <si>
    <t xml:space="preserve">  a. Financiación de las provincias y entes asimilados:</t>
  </si>
  <si>
    <t>2.4. Ayudas regionales</t>
  </si>
  <si>
    <t>As</t>
  </si>
  <si>
    <t>Subtotal: Financiación regional a competencias homogéneas e igual esfuerzo fiscal</t>
  </si>
  <si>
    <t>2.5.b. Educación y formación</t>
  </si>
  <si>
    <t>2.2. Financiación de las Corporaciones Locales</t>
  </si>
  <si>
    <t>Murcia</t>
  </si>
  <si>
    <t>Navarra</t>
  </si>
  <si>
    <t>País Vasco</t>
  </si>
  <si>
    <t>La Rioja</t>
  </si>
  <si>
    <t>Ceuta y Melilla</t>
  </si>
  <si>
    <t>G4. Regulación y promoción económica</t>
  </si>
  <si>
    <t>An</t>
  </si>
  <si>
    <t>Ar</t>
  </si>
  <si>
    <t>G3. Protección social</t>
  </si>
  <si>
    <t>5. Intereses de la deuda pública</t>
  </si>
  <si>
    <t xml:space="preserve">   c. Ajustes Ceuta y Melilla:</t>
  </si>
  <si>
    <t>Gasto total, miles de euros</t>
  </si>
  <si>
    <t>Va</t>
  </si>
  <si>
    <t>Ex</t>
  </si>
  <si>
    <t>Ga</t>
  </si>
  <si>
    <t>4.2. Agricultura, ganadería y pesca</t>
  </si>
  <si>
    <t>2.5c. Justicia, prisiones y seguridad ciudadana y vial</t>
  </si>
  <si>
    <t>G2. Gasto Territorializable</t>
  </si>
  <si>
    <t>* = neto de sobreesfuerzo fiscal regional</t>
  </si>
  <si>
    <t>G2" Gasto Territorializable a igual esfuerzo fiscal</t>
  </si>
  <si>
    <t>G* total gasto a igual esfuerzo fiscal</t>
  </si>
  <si>
    <t xml:space="preserve">  </t>
  </si>
  <si>
    <t>4.1. Asuntos generales de economía y empleo</t>
  </si>
  <si>
    <t>G1. Administración General y Bienes y Servicios Públicos de Ámbito Nacional e Interés General</t>
  </si>
  <si>
    <t>total</t>
  </si>
  <si>
    <t>Ingresos totales, miles de euros</t>
  </si>
  <si>
    <t>I1. Ingresos tributarios no municip a igual esfuerzo fiscal</t>
  </si>
  <si>
    <t xml:space="preserve">    1.1. Impuestos directos homogeneizados</t>
  </si>
  <si>
    <t>Ri</t>
  </si>
  <si>
    <t>CyMel</t>
  </si>
  <si>
    <t>Saldo relativo por habitante, euros</t>
  </si>
  <si>
    <t>diferencia con el promedio nacional en gasto por habitante</t>
  </si>
  <si>
    <t>Saldo relativo total, millones de euros</t>
  </si>
  <si>
    <t xml:space="preserve">saldo relativo por habitante * población </t>
  </si>
  <si>
    <t>Subtotal: ingresos tributarios totales</t>
  </si>
  <si>
    <t>5. Otros ingresos de la administración central</t>
  </si>
  <si>
    <t>total ingresos reales</t>
  </si>
  <si>
    <t>total ingresos a igual esfuerzo fiscal</t>
  </si>
  <si>
    <t>Gasto por habitante, euros</t>
  </si>
  <si>
    <t>2.1* Financiación regional a competencias homogéneas e igual esfuerzo fiscal</t>
  </si>
  <si>
    <t>el signo es negativo si la región recibe menos o paga más por habitante que el promedio nacional</t>
  </si>
  <si>
    <t>Gasto por habitante, índices con promedio = 100</t>
  </si>
  <si>
    <t>I4. Cotizaciones sociales</t>
  </si>
  <si>
    <t>I3. Impuestos municipales</t>
  </si>
  <si>
    <t>promedio</t>
  </si>
  <si>
    <t>I5. Otros ingresos de la Adm. Central</t>
  </si>
  <si>
    <t>Total ingresos a igual esfuerzo fiscal</t>
  </si>
  <si>
    <t xml:space="preserve">    + Sobreesfuerzo fiscal regional y rebajas fiscales Canarias y CyMel</t>
  </si>
  <si>
    <t>TOTAL INGRESO</t>
  </si>
  <si>
    <t xml:space="preserve">  1.2. Impuestos indirectos homogeneizados</t>
  </si>
  <si>
    <t>b. Financiación de los municipios</t>
  </si>
  <si>
    <t>SALDO FISCAL relativo agregado, total</t>
  </si>
  <si>
    <t>4. Saldo relativo total, millones de euros</t>
  </si>
  <si>
    <t>4.3. Industria, energía, comercio, turismo y otros</t>
  </si>
  <si>
    <t>111M</t>
  </si>
  <si>
    <t>111O</t>
  </si>
  <si>
    <t>111P</t>
  </si>
  <si>
    <t>911M</t>
  </si>
  <si>
    <t>911N</t>
  </si>
  <si>
    <t>Actividad legislativa</t>
  </si>
  <si>
    <t>911O</t>
  </si>
  <si>
    <t>911P</t>
  </si>
  <si>
    <t>911Q</t>
  </si>
  <si>
    <t>912M</t>
  </si>
  <si>
    <t>912N</t>
  </si>
  <si>
    <t>912O</t>
  </si>
  <si>
    <t>912P</t>
  </si>
  <si>
    <t>921Q</t>
  </si>
  <si>
    <t>Cobertura informativa</t>
  </si>
  <si>
    <t>141M</t>
  </si>
  <si>
    <t>142A</t>
  </si>
  <si>
    <t>142B</t>
  </si>
  <si>
    <t>143A</t>
  </si>
  <si>
    <t>Cooperación para el desarrollo</t>
  </si>
  <si>
    <t>144A</t>
  </si>
  <si>
    <t>Cooperación, promoción y difusión cultural en el exterior</t>
  </si>
  <si>
    <t>322F</t>
  </si>
  <si>
    <t>Educación en el exterior</t>
  </si>
  <si>
    <t>923P</t>
  </si>
  <si>
    <t>943N</t>
  </si>
  <si>
    <t>121M</t>
  </si>
  <si>
    <t>121N</t>
  </si>
  <si>
    <t>121O</t>
  </si>
  <si>
    <t>Personal en reserva</t>
  </si>
  <si>
    <t>122A</t>
  </si>
  <si>
    <t>122B</t>
  </si>
  <si>
    <t>Programas especiales de modernización</t>
  </si>
  <si>
    <t>122M</t>
  </si>
  <si>
    <t>122N</t>
  </si>
  <si>
    <t>312A</t>
  </si>
  <si>
    <t>464A</t>
  </si>
  <si>
    <t>Apoyo a la innovación tecnológica en el sector de la defensa</t>
  </si>
  <si>
    <t>912Q</t>
  </si>
  <si>
    <t>922N</t>
  </si>
  <si>
    <t>923N</t>
  </si>
  <si>
    <t>Formación del personal de economía y hacienda</t>
  </si>
  <si>
    <t>931N</t>
  </si>
  <si>
    <t>Política presupuestaria</t>
  </si>
  <si>
    <t>931O</t>
  </si>
  <si>
    <t>Política tributaria</t>
  </si>
  <si>
    <t>931P</t>
  </si>
  <si>
    <t>932A</t>
  </si>
  <si>
    <t>932M</t>
  </si>
  <si>
    <t>932N</t>
  </si>
  <si>
    <t>113M</t>
  </si>
  <si>
    <t>131P</t>
  </si>
  <si>
    <t>135M</t>
  </si>
  <si>
    <t>495B</t>
  </si>
  <si>
    <t>Meteorología</t>
  </si>
  <si>
    <t>495C</t>
  </si>
  <si>
    <t>921N</t>
  </si>
  <si>
    <t>921P</t>
  </si>
  <si>
    <t>921R</t>
  </si>
  <si>
    <t>Publicidad de las normas legales</t>
  </si>
  <si>
    <t>921S</t>
  </si>
  <si>
    <t>921T</t>
  </si>
  <si>
    <t>921V</t>
  </si>
  <si>
    <t>922M</t>
  </si>
  <si>
    <t>924M</t>
  </si>
  <si>
    <t>462M</t>
  </si>
  <si>
    <t>Investigación y estudios sociológicos y constitucionales</t>
  </si>
  <si>
    <t>462N</t>
  </si>
  <si>
    <t>Investigación y estudios estadísticos y económicos</t>
  </si>
  <si>
    <t>463A</t>
  </si>
  <si>
    <t>Investigación científica</t>
  </si>
  <si>
    <t>463B</t>
  </si>
  <si>
    <t>465A</t>
  </si>
  <si>
    <t>467A</t>
  </si>
  <si>
    <t>467D</t>
  </si>
  <si>
    <t>467E</t>
  </si>
  <si>
    <t>467F</t>
  </si>
  <si>
    <t>Investigación geológico-minera y medioambiental</t>
  </si>
  <si>
    <t>467H</t>
  </si>
  <si>
    <t>495A</t>
  </si>
  <si>
    <t>923C</t>
  </si>
  <si>
    <t>Elaboración y difusión estadística</t>
  </si>
  <si>
    <t>493M</t>
  </si>
  <si>
    <t>Dirección, control y gestión de seguros</t>
  </si>
  <si>
    <t>493O</t>
  </si>
  <si>
    <t>FP001</t>
  </si>
  <si>
    <t>Comisión Nacional del Mercado de las Telecomunicaciones</t>
  </si>
  <si>
    <t>FP002</t>
  </si>
  <si>
    <t>Comisión Nacional de Energía</t>
  </si>
  <si>
    <t>FP003</t>
  </si>
  <si>
    <t>Comisión Nacional del Mercado de Valores</t>
  </si>
  <si>
    <t>FP004</t>
  </si>
  <si>
    <t>Banco de España</t>
  </si>
  <si>
    <t>a. Ingresos homogeneizados de las comunidades de régimen común (CCAARC)</t>
  </si>
  <si>
    <t>FP008</t>
  </si>
  <si>
    <t>FP009</t>
  </si>
  <si>
    <t>FP011</t>
  </si>
  <si>
    <t>FP013</t>
  </si>
  <si>
    <t>Participación de las CCAARC en el impuesto sobre la electricidad</t>
  </si>
  <si>
    <t>Tasas sobre el juego, ingresos homogeneizados de las CCAARC</t>
  </si>
  <si>
    <t xml:space="preserve">Educación infantil y primaria, gasto directo del Estado en Ceuta y Melilla  </t>
  </si>
  <si>
    <t>Enseñanzas artísticas, gasto directo del Estado en Ceuta y Melilla</t>
  </si>
  <si>
    <t>Educación compensatoria, gasto directo del Estado en Ceuta y Melilla</t>
  </si>
  <si>
    <t>Servicios complementarios de la enseñanza, gasto directo del Estado en Ceuta y Melilla</t>
  </si>
  <si>
    <t>Administración y Servicios Generales de Servicios Sociales, gasto directo del IMSERSO en Ceuta y Melilla</t>
  </si>
  <si>
    <t>FP053</t>
  </si>
  <si>
    <t>d. Ingresos homogeneizados de las comunidades forales por impuestos concertados:</t>
  </si>
  <si>
    <t>FP042</t>
  </si>
  <si>
    <t>FP043</t>
  </si>
  <si>
    <t>FP045</t>
  </si>
  <si>
    <t>Otras transferencias a CCAA: Compensaciones financieras al País Vasco por IE sobre las labores de tabaco</t>
  </si>
  <si>
    <t>FP052</t>
  </si>
  <si>
    <t>gestión tributaria (prog. 932A)</t>
  </si>
  <si>
    <t>Gestión del catastro inmobiliario (programa 932M)</t>
  </si>
  <si>
    <t>Pensiones no contributivas y otras prestaciones económicas (sección 3.1)</t>
  </si>
  <si>
    <t>AF04</t>
  </si>
  <si>
    <t>AF05</t>
  </si>
  <si>
    <t>"Normalización" lingüística (programa CS06)</t>
  </si>
  <si>
    <t>AF14</t>
  </si>
  <si>
    <t>AF16</t>
  </si>
  <si>
    <t>ITP y AJD, sobreesfuerzo fiscal de las CCAARC</t>
  </si>
  <si>
    <t>Tasas sobre el juego, sobreesfuerzo fiscal de las CCAARC</t>
  </si>
  <si>
    <t>IRPF, sobreesfuerzo fiscal de las comunidades forales</t>
  </si>
  <si>
    <t>FP054</t>
  </si>
  <si>
    <t>CS02</t>
  </si>
  <si>
    <t>CS12</t>
  </si>
  <si>
    <t>FP028</t>
  </si>
  <si>
    <t>Participación de las provincias en el IRPF, IVA e Impuestos Especiales</t>
  </si>
  <si>
    <t>Recursos REF de los cabildos canarios</t>
  </si>
  <si>
    <t>FP029</t>
  </si>
  <si>
    <t>Recargo provincial sobre el IAE</t>
  </si>
  <si>
    <t>Ajuste por competencias atípicas forales: financiación provincias</t>
  </si>
  <si>
    <t>FP030</t>
  </si>
  <si>
    <t>FP031</t>
  </si>
  <si>
    <t>FP032</t>
  </si>
  <si>
    <t>Recursos REF de los municipios canarios</t>
  </si>
  <si>
    <t>Otras aportaciones a Corporaciones Locales, compensaciones por beneficios fiscales</t>
  </si>
  <si>
    <t>942A</t>
  </si>
  <si>
    <t>Ajuste por competencias atípicas forales: financiación municipios</t>
  </si>
  <si>
    <t>414A</t>
  </si>
  <si>
    <t>441M</t>
  </si>
  <si>
    <t>451M</t>
  </si>
  <si>
    <t>451N</t>
  </si>
  <si>
    <t>452A</t>
  </si>
  <si>
    <t>452M</t>
  </si>
  <si>
    <t>453A</t>
  </si>
  <si>
    <t>453B</t>
  </si>
  <si>
    <t>Creación de infraestructura de carreteras + AF06/1</t>
  </si>
  <si>
    <t>453C</t>
  </si>
  <si>
    <t>Conservación y explotación de carreteras + AF07</t>
  </si>
  <si>
    <t>453M</t>
  </si>
  <si>
    <t>454M</t>
  </si>
  <si>
    <t>455M</t>
  </si>
  <si>
    <t>456A</t>
  </si>
  <si>
    <t>Calidad del agua</t>
  </si>
  <si>
    <t>456B</t>
  </si>
  <si>
    <t>Protección y mejora del medio ambiente</t>
  </si>
  <si>
    <t>456C</t>
  </si>
  <si>
    <t>Protección y mejora del medio natural + AF09</t>
  </si>
  <si>
    <t>456D</t>
  </si>
  <si>
    <t>Actuación en la costa</t>
  </si>
  <si>
    <t>456M</t>
  </si>
  <si>
    <t>467B</t>
  </si>
  <si>
    <t>491N</t>
  </si>
  <si>
    <t>Otras aportaciones a Corporaciones Locales, transferencias a corporaciones locales para financiar los servicios de transporte colectivo urbano</t>
  </si>
  <si>
    <t>CS07</t>
  </si>
  <si>
    <t>CS13</t>
  </si>
  <si>
    <t>CS16</t>
  </si>
  <si>
    <t>Parques Nacionales</t>
  </si>
  <si>
    <t>FP060</t>
  </si>
  <si>
    <t>FP061</t>
  </si>
  <si>
    <t>FP062</t>
  </si>
  <si>
    <t>FP063</t>
  </si>
  <si>
    <t>Autopistas de peaje</t>
  </si>
  <si>
    <t>FP064</t>
  </si>
  <si>
    <t>FP065</t>
  </si>
  <si>
    <t>FP066</t>
  </si>
  <si>
    <t>FP067</t>
  </si>
  <si>
    <t>Infraestructuras de carreteras, SEITT + AF06/2</t>
  </si>
  <si>
    <t>FP068</t>
  </si>
  <si>
    <t>"Y" ferroviaria vasca, parte financiada mediante descuento del cupo</t>
  </si>
  <si>
    <t>422A</t>
  </si>
  <si>
    <t>423M</t>
  </si>
  <si>
    <t>441N</t>
  </si>
  <si>
    <t>441O</t>
  </si>
  <si>
    <t>441P</t>
  </si>
  <si>
    <t>457M</t>
  </si>
  <si>
    <t>941N</t>
  </si>
  <si>
    <t>CS10</t>
  </si>
  <si>
    <t>CS11</t>
  </si>
  <si>
    <t>FP070</t>
  </si>
  <si>
    <t>231A</t>
  </si>
  <si>
    <t>311M</t>
  </si>
  <si>
    <t>311O</t>
  </si>
  <si>
    <t>312E</t>
  </si>
  <si>
    <t>Asistencia sanitaria del mutualismo administrativo</t>
  </si>
  <si>
    <t>313A</t>
  </si>
  <si>
    <t>313B</t>
  </si>
  <si>
    <t>313C</t>
  </si>
  <si>
    <t>313D</t>
  </si>
  <si>
    <t>492O</t>
  </si>
  <si>
    <t>Atención Primaria de Salud, ISM</t>
  </si>
  <si>
    <t xml:space="preserve">Medicina Marítima </t>
  </si>
  <si>
    <t>CS03</t>
  </si>
  <si>
    <t>ISM sanidad transferida</t>
  </si>
  <si>
    <t>466A</t>
  </si>
  <si>
    <t>CS01</t>
  </si>
  <si>
    <t>Profesores de religión</t>
  </si>
  <si>
    <t>111N</t>
  </si>
  <si>
    <t>111Q</t>
  </si>
  <si>
    <t>111R</t>
  </si>
  <si>
    <t>Formación de la carrera fiscal</t>
  </si>
  <si>
    <t>112A</t>
  </si>
  <si>
    <t>131M</t>
  </si>
  <si>
    <t>131N</t>
  </si>
  <si>
    <t>131O</t>
  </si>
  <si>
    <t>132A</t>
  </si>
  <si>
    <t>Seguridad ciudadana</t>
  </si>
  <si>
    <t>132B</t>
  </si>
  <si>
    <t>132C</t>
  </si>
  <si>
    <t>Actuaciones policiales en materia de droga</t>
  </si>
  <si>
    <t>133A</t>
  </si>
  <si>
    <t>133B</t>
  </si>
  <si>
    <t>134M</t>
  </si>
  <si>
    <t>Otras transferencias a Comunidades Autónomas: Transferencias a PV para prejubilaciones policía autónoma</t>
  </si>
  <si>
    <t>CS04</t>
  </si>
  <si>
    <t>Administración de Justicia + AF13</t>
  </si>
  <si>
    <t>CS05</t>
  </si>
  <si>
    <t>CS08</t>
  </si>
  <si>
    <t>261N</t>
  </si>
  <si>
    <t>261P</t>
  </si>
  <si>
    <t>332A</t>
  </si>
  <si>
    <t>Archivos</t>
  </si>
  <si>
    <t>332B</t>
  </si>
  <si>
    <t>333A</t>
  </si>
  <si>
    <t>Museos</t>
  </si>
  <si>
    <t>333B</t>
  </si>
  <si>
    <t>334A</t>
  </si>
  <si>
    <t>Promoción y cooperación cultural</t>
  </si>
  <si>
    <t>334B</t>
  </si>
  <si>
    <t>Promoción del libro y publicaciones culturales</t>
  </si>
  <si>
    <t>334C</t>
  </si>
  <si>
    <t>Fomento de las industrias culturales</t>
  </si>
  <si>
    <t>335A</t>
  </si>
  <si>
    <t>335B</t>
  </si>
  <si>
    <t>Teatro</t>
  </si>
  <si>
    <t>335C</t>
  </si>
  <si>
    <t>Cinematografía</t>
  </si>
  <si>
    <t>Fomento y apoyo de las actividades deportivas</t>
  </si>
  <si>
    <t>337A</t>
  </si>
  <si>
    <t>337B</t>
  </si>
  <si>
    <t>Conservación y restauración de bienes culturales + AF17/1</t>
  </si>
  <si>
    <t>337C</t>
  </si>
  <si>
    <t>Dirección y Servicios Generales de Economía y Hacienda, transferencias a RTVE</t>
  </si>
  <si>
    <t>CS06</t>
  </si>
  <si>
    <t>FP080</t>
  </si>
  <si>
    <t>211N</t>
  </si>
  <si>
    <t>211O</t>
  </si>
  <si>
    <t>212M</t>
  </si>
  <si>
    <t>212N</t>
  </si>
  <si>
    <t>219N</t>
  </si>
  <si>
    <t>222M</t>
  </si>
  <si>
    <t>Prestaciones económicas del mutualismo administrativo</t>
  </si>
  <si>
    <t>223M</t>
  </si>
  <si>
    <t>224M</t>
  </si>
  <si>
    <t>Prestaciones económicas por cese de actividad</t>
  </si>
  <si>
    <t>323M</t>
  </si>
  <si>
    <t>Pensiones contributivas de la Seguridad Social</t>
  </si>
  <si>
    <t>Protección familiar y otras prestaciones no contributivas de la Seg Social</t>
  </si>
  <si>
    <t>SS13</t>
  </si>
  <si>
    <t>231B</t>
  </si>
  <si>
    <t>231F</t>
  </si>
  <si>
    <t>231G</t>
  </si>
  <si>
    <t>231H</t>
  </si>
  <si>
    <t>232A</t>
  </si>
  <si>
    <t>232B</t>
  </si>
  <si>
    <t>232C</t>
  </si>
  <si>
    <t>Otros Servicios Sociales, ISM</t>
  </si>
  <si>
    <t>3.3. Servicios de apoyo y gastos generales de seguridad y  protección social</t>
  </si>
  <si>
    <t>291A</t>
  </si>
  <si>
    <t>291M</t>
  </si>
  <si>
    <t>Gestión del Patrimonio, TGSS</t>
  </si>
  <si>
    <t>SS44</t>
  </si>
  <si>
    <t>SS46</t>
  </si>
  <si>
    <t>SS47</t>
  </si>
  <si>
    <t>CS17</t>
  </si>
  <si>
    <t>CS18</t>
  </si>
  <si>
    <t>241A</t>
  </si>
  <si>
    <t>241N</t>
  </si>
  <si>
    <t>421N</t>
  </si>
  <si>
    <t>433M</t>
  </si>
  <si>
    <t>494M</t>
  </si>
  <si>
    <t>CS15</t>
  </si>
  <si>
    <t>412M</t>
  </si>
  <si>
    <t>413A</t>
  </si>
  <si>
    <t>414B</t>
  </si>
  <si>
    <t>Desarrollo del medio rural  + AF22/4</t>
  </si>
  <si>
    <t>414C</t>
  </si>
  <si>
    <t>415A</t>
  </si>
  <si>
    <t>415B</t>
  </si>
  <si>
    <t>Mejora de estructuras y mercados pesqueros</t>
  </si>
  <si>
    <t>416A</t>
  </si>
  <si>
    <t>Previsión de riesgos en las producciones agrarias y pesqueras</t>
  </si>
  <si>
    <t>421M</t>
  </si>
  <si>
    <t>421O</t>
  </si>
  <si>
    <t>422B</t>
  </si>
  <si>
    <t>422M</t>
  </si>
  <si>
    <t>424M</t>
  </si>
  <si>
    <t>431A</t>
  </si>
  <si>
    <t>Promoción comercial e internacionalización de la empresa</t>
  </si>
  <si>
    <t>431N</t>
  </si>
  <si>
    <t>Ordenación del comercio exterior</t>
  </si>
  <si>
    <t>431O</t>
  </si>
  <si>
    <t>432A</t>
  </si>
  <si>
    <t>Coordinación y promoción del turismo + AF24</t>
  </si>
  <si>
    <t>467G</t>
  </si>
  <si>
    <t>467I</t>
  </si>
  <si>
    <t>Innovación tecnológica de las telecomunicaciones</t>
  </si>
  <si>
    <t>491M</t>
  </si>
  <si>
    <t>492N</t>
  </si>
  <si>
    <t>921U</t>
  </si>
  <si>
    <t xml:space="preserve">   2. Sobreesfuerzo fiscal</t>
  </si>
  <si>
    <t>3. Impuestos y tasas municipales y provinciales</t>
  </si>
  <si>
    <t>4. Cotizaciones sociales y cuotas de derechos pasivos</t>
  </si>
  <si>
    <t>I111</t>
  </si>
  <si>
    <t>I112</t>
  </si>
  <si>
    <t>I113</t>
  </si>
  <si>
    <t>Impuesto sobre sucesiones y donaciones, ing. homog.</t>
  </si>
  <si>
    <t>I114</t>
  </si>
  <si>
    <t>I121</t>
  </si>
  <si>
    <t>I122</t>
  </si>
  <si>
    <t>I123</t>
  </si>
  <si>
    <t>I124</t>
  </si>
  <si>
    <t xml:space="preserve">Tráfico exterior </t>
  </si>
  <si>
    <t>I125</t>
  </si>
  <si>
    <t>I126</t>
  </si>
  <si>
    <t>Transmisiones patrim. y actos jurídicos documentados, ing. homog.</t>
  </si>
  <si>
    <t>I127</t>
  </si>
  <si>
    <t>I128</t>
  </si>
  <si>
    <t>I129</t>
  </si>
  <si>
    <t>I130</t>
  </si>
  <si>
    <t>IPSI, Ceuta y Melilla</t>
  </si>
  <si>
    <t>I131</t>
  </si>
  <si>
    <t>IRPF, sobreesfuerzo fiscal</t>
  </si>
  <si>
    <t>I211</t>
  </si>
  <si>
    <t>Sociedades, sobreesfuerzo fiscal</t>
  </si>
  <si>
    <t>I212</t>
  </si>
  <si>
    <t>I214</t>
  </si>
  <si>
    <t>ITP y AJD, sobreesfuerzo fiscal</t>
  </si>
  <si>
    <t>I227</t>
  </si>
  <si>
    <t>I228</t>
  </si>
  <si>
    <t>Tasas sobre el juego, sobreesfuerzo fiscal</t>
  </si>
  <si>
    <t>I229</t>
  </si>
  <si>
    <t>I230</t>
  </si>
  <si>
    <t>I231</t>
  </si>
  <si>
    <t>I232</t>
  </si>
  <si>
    <t>I250</t>
  </si>
  <si>
    <t>I521</t>
  </si>
  <si>
    <t>I502</t>
  </si>
  <si>
    <t>I503</t>
  </si>
  <si>
    <t>Tasas, CNMV</t>
  </si>
  <si>
    <t>I504</t>
  </si>
  <si>
    <t>I522</t>
  </si>
  <si>
    <t xml:space="preserve">   b. Financiación de los municipios</t>
  </si>
  <si>
    <t>Ingresos totales, millones de euros</t>
  </si>
  <si>
    <t>I3. Impuestos y tasas municipales</t>
  </si>
  <si>
    <t>PIB</t>
  </si>
  <si>
    <t>496M</t>
  </si>
  <si>
    <t>412C</t>
  </si>
  <si>
    <t>Competitividad y calidad de la producción y los mercados agrarios + AF22/1</t>
  </si>
  <si>
    <t>412D</t>
  </si>
  <si>
    <t>Gestión de la formación continua + AF20/3</t>
  </si>
  <si>
    <t>FP015</t>
  </si>
  <si>
    <t>FP016</t>
  </si>
  <si>
    <t>Prestaciones y farmacia</t>
  </si>
  <si>
    <t>Donación y trasplante de órganos, tejidos y células</t>
  </si>
  <si>
    <t>Ordenación y fomento de la edificación, actuaciones relacionadas con el 1% cultural</t>
  </si>
  <si>
    <t>Otros Servicios Sociales, formación y gestión del empleo y del desempleo, ISM</t>
  </si>
  <si>
    <t>Ingresos totales</t>
  </si>
  <si>
    <t>Gastos totales</t>
  </si>
  <si>
    <t>Saldo absoluto total/PIB</t>
  </si>
  <si>
    <t>Total</t>
  </si>
  <si>
    <t>Saldos totales, millones de euros</t>
  </si>
  <si>
    <t>Saldos per capita, euros</t>
  </si>
  <si>
    <t xml:space="preserve">Ingresos fiscales </t>
  </si>
  <si>
    <t>Gasto público</t>
  </si>
  <si>
    <t>Total/PIB</t>
  </si>
  <si>
    <t>C. - La Mancha</t>
  </si>
  <si>
    <t xml:space="preserve"> España</t>
  </si>
  <si>
    <t>Suma positivos</t>
  </si>
  <si>
    <t>Millones de euros</t>
  </si>
  <si>
    <t>% del PIB</t>
  </si>
  <si>
    <t>UE</t>
  </si>
  <si>
    <t>Adm Española</t>
  </si>
  <si>
    <t>Porcentajes del PIB</t>
  </si>
  <si>
    <t>Variación</t>
  </si>
  <si>
    <t>Tributos estatales y auton. a igual esf. fiscal</t>
  </si>
  <si>
    <t>Cotiza-ciones sociales</t>
  </si>
  <si>
    <t>Tasas y otros ingresos</t>
  </si>
  <si>
    <t xml:space="preserve">Subtotal a igual esfuerzo fiscal </t>
  </si>
  <si>
    <t>Tributos municipales</t>
  </si>
  <si>
    <t>Sobreesfuerzo fiscal y rebajas tribut. indirecta</t>
  </si>
  <si>
    <t>Total ingresos tributarios</t>
  </si>
  <si>
    <t>Protección social</t>
  </si>
  <si>
    <t>Regulación y promoción económica</t>
  </si>
  <si>
    <t>Intereses</t>
  </si>
  <si>
    <t>Total gasto a igual esfuerzo fiscal</t>
  </si>
  <si>
    <t>Sobre-esfuerzo fiscal</t>
  </si>
  <si>
    <t>Total gasto</t>
  </si>
  <si>
    <t>C.- La Mancha</t>
  </si>
  <si>
    <t>Financ. regional a comps. homog. e igual esfuerzo fiscal</t>
  </si>
  <si>
    <t>Infraes- tructuras</t>
  </si>
  <si>
    <t>Ayudas regionales</t>
  </si>
  <si>
    <t>Otro gasto territoria-lizable</t>
  </si>
  <si>
    <t>Total, gasto territ. a igual esf fiscal</t>
  </si>
  <si>
    <t>Sanidad y consumo</t>
  </si>
  <si>
    <t>Educación</t>
  </si>
  <si>
    <t>Justicia, prisiones y seguridad</t>
  </si>
  <si>
    <t>Vivienda y urbanismo</t>
  </si>
  <si>
    <t>Cultura y deportes</t>
  </si>
  <si>
    <t>Total otro gasto territoria-lizable</t>
  </si>
  <si>
    <t xml:space="preserve">media </t>
  </si>
  <si>
    <t>Ingresos fiscales</t>
  </si>
  <si>
    <t>Gasto territorializable</t>
  </si>
  <si>
    <t>Financiación regional*</t>
  </si>
  <si>
    <t>Infraestructuras y transporte</t>
  </si>
  <si>
    <t>Resto gasto territorializable</t>
  </si>
  <si>
    <t>Intereses de la deuda</t>
  </si>
  <si>
    <t>Promedio agregado y algunas regiones seleccionadas</t>
  </si>
  <si>
    <t>5. Saldo Sub-Balanza UE</t>
  </si>
  <si>
    <t>saldo bruto, no neutralizado</t>
  </si>
  <si>
    <t>gasto medio per capita</t>
  </si>
  <si>
    <t>saldo relataivo per capita euros</t>
  </si>
  <si>
    <t>saldo relativo total, miles</t>
  </si>
  <si>
    <t>saldo en millones</t>
  </si>
  <si>
    <t>a igual esf fiscal</t>
  </si>
  <si>
    <t>fin reg a comps homog e igual esf fiscal</t>
  </si>
  <si>
    <t>infraesructuras</t>
  </si>
  <si>
    <t>ayudas regionales</t>
  </si>
  <si>
    <t>otro gasto territorializable</t>
  </si>
  <si>
    <t>ingresos</t>
  </si>
  <si>
    <t>gastos</t>
  </si>
  <si>
    <t>suma positivos</t>
  </si>
  <si>
    <t>suma negativos</t>
  </si>
  <si>
    <t>peso en posit</t>
  </si>
  <si>
    <t>peso en neg</t>
  </si>
  <si>
    <t xml:space="preserve">     Gasto territorializable</t>
  </si>
  <si>
    <t xml:space="preserve">     Protección sociall</t>
  </si>
  <si>
    <t xml:space="preserve">     Regulación y promoción económica</t>
  </si>
  <si>
    <t xml:space="preserve">     Intereses de la deuda</t>
  </si>
  <si>
    <t xml:space="preserve">         Financ. regional a comp. homog e igual esf fiscal</t>
  </si>
  <si>
    <t xml:space="preserve">         Infraestructuras</t>
  </si>
  <si>
    <t xml:space="preserve">         Ayudas regionales</t>
  </si>
  <si>
    <t xml:space="preserve">        Resto gasto territ.</t>
  </si>
  <si>
    <t xml:space="preserve"> media ponderada</t>
  </si>
  <si>
    <t>G2. Gasto Territorializable a igual esfuerzo fiscal</t>
  </si>
  <si>
    <t>G5. Intereses deuda</t>
  </si>
  <si>
    <t>Cálculos para el Cuadro 12</t>
  </si>
  <si>
    <t>[1]</t>
  </si>
  <si>
    <t>[2]</t>
  </si>
  <si>
    <t>[3]</t>
  </si>
  <si>
    <t>[4]</t>
  </si>
  <si>
    <t>[5]</t>
  </si>
  <si>
    <t>[6]</t>
  </si>
  <si>
    <t>+</t>
  </si>
  <si>
    <t>Cupo, aportación y otras transferencias a/de las com. forales</t>
  </si>
  <si>
    <t xml:space="preserve">+ </t>
  </si>
  <si>
    <t>Ajustes por competencias no homogéneas</t>
  </si>
  <si>
    <t>Cast.- Mancha</t>
  </si>
  <si>
    <t>España</t>
  </si>
  <si>
    <t>Régimen Común*</t>
  </si>
  <si>
    <t>Comunid. forales</t>
  </si>
  <si>
    <t>=</t>
  </si>
  <si>
    <t>Financiación observada a competencias homogéneas</t>
  </si>
  <si>
    <t>Fin per cápita a igual esfuerzo fiscal</t>
  </si>
  <si>
    <t>Financiación observada per cápita</t>
  </si>
  <si>
    <t>Fin por hab ajustado a igual esfuerzo fiscal</t>
  </si>
  <si>
    <t>Financ. observada por habitante ajustado</t>
  </si>
  <si>
    <t>Reg. común sin Ceuta y Melilla</t>
  </si>
  <si>
    <t>Comunidades forales</t>
  </si>
  <si>
    <t>Total España</t>
  </si>
  <si>
    <t>Total Forales</t>
  </si>
  <si>
    <t>Ingresos homogeneizados</t>
  </si>
  <si>
    <t>Cálculos y cuadros financiación autonómica</t>
  </si>
  <si>
    <t>resumen</t>
  </si>
  <si>
    <t>totales, miles de euros</t>
  </si>
  <si>
    <t xml:space="preserve">   d. Ingresos homogeneizados de las comunidades forales por impuestos concertados</t>
  </si>
  <si>
    <t>h. Financiación total a competencias homogéneas</t>
  </si>
  <si>
    <t>ingresos homogeneizados</t>
  </si>
  <si>
    <t xml:space="preserve"> + cupo, aportación y otras transferencias a/de forales</t>
  </si>
  <si>
    <t xml:space="preserve"> + ajustes por competencias no homogéneas</t>
  </si>
  <si>
    <t xml:space="preserve"> = Subtotal: Financiación regional a competencias homogéneas e igual esfuerzo fiscal</t>
  </si>
  <si>
    <t xml:space="preserve">  +  Sobreesfuerzo fiscal regional:</t>
  </si>
  <si>
    <t xml:space="preserve"> = Financiación total a competencias homogéneas</t>
  </si>
  <si>
    <t>sin CyMel</t>
  </si>
  <si>
    <t>total reg comun</t>
  </si>
  <si>
    <t>total reg comun sin Cy Mel</t>
  </si>
  <si>
    <t>sin ceuta y Melilla</t>
  </si>
  <si>
    <t>total forales</t>
  </si>
  <si>
    <t>euros por habitante ajustado</t>
  </si>
  <si>
    <t>euros per capita</t>
  </si>
  <si>
    <t>dividir por pob real</t>
  </si>
  <si>
    <t>(dividir por población real)</t>
  </si>
  <si>
    <t>Financiación total a competencias homogéneas por hab ajustado</t>
  </si>
  <si>
    <t>media reg comun sin CyMel</t>
  </si>
  <si>
    <t>medial forales</t>
  </si>
  <si>
    <t>media españa = 100</t>
  </si>
  <si>
    <t>media España</t>
  </si>
  <si>
    <t xml:space="preserve">   c. Ajustes CeyM:</t>
  </si>
  <si>
    <t>"Gasto o ing total" datos de hoja resumen resultados SCPT, importes totales</t>
  </si>
  <si>
    <t>I400</t>
  </si>
  <si>
    <t>I300</t>
  </si>
  <si>
    <t>Cotizaciones sociales</t>
  </si>
  <si>
    <t>1.1. Alta dirección del Estado y del Gobierno</t>
  </si>
  <si>
    <t>1.3. Defensa</t>
  </si>
  <si>
    <t>1.4. Gestión financiera, tributaria y presupuestaria</t>
  </si>
  <si>
    <t>923A</t>
  </si>
  <si>
    <t>1.5. Otros servicios de interés general</t>
  </si>
  <si>
    <t>FP072</t>
  </si>
  <si>
    <t>SS23</t>
  </si>
  <si>
    <t>FP071</t>
  </si>
  <si>
    <t>SS41</t>
  </si>
  <si>
    <t>951M</t>
  </si>
  <si>
    <t>951N</t>
  </si>
  <si>
    <t>Dirección y Servicios Generales de la Educación, gasto directo en Ceuta y Melilla</t>
  </si>
  <si>
    <t xml:space="preserve">Deporte en edad escolar y en la universidad, gasto directo del Estado en Ceuta y Melilla  </t>
  </si>
  <si>
    <t>Otras enseñanzas y actividades educativas, gasto directo en Ceuta y Melilla</t>
  </si>
  <si>
    <t>251M_2</t>
  </si>
  <si>
    <t>423N_1</t>
  </si>
  <si>
    <t>923M_3</t>
  </si>
  <si>
    <t>941O_2</t>
  </si>
  <si>
    <t>Sobrecostes sistemas eléctricos extrapeninsulares</t>
  </si>
  <si>
    <t>Compensación Fondo Cohesión Sanitaria, extrapresupuestario</t>
  </si>
  <si>
    <t xml:space="preserve">Deporte en edad escolar y en la universidad, neto del gasto directo del Estado en Ceuta y Melilla  </t>
  </si>
  <si>
    <t xml:space="preserve">Otras enseñanzas y actividades educativas, neto del gasto directo del Estado en Ceuta y Melilla  </t>
  </si>
  <si>
    <t>321M_1</t>
  </si>
  <si>
    <t>321N_1</t>
  </si>
  <si>
    <t>322A_1</t>
  </si>
  <si>
    <t>322B_1</t>
  </si>
  <si>
    <t>322C_1</t>
  </si>
  <si>
    <t>322E_1</t>
  </si>
  <si>
    <t>322G_1</t>
  </si>
  <si>
    <t>322K_1</t>
  </si>
  <si>
    <t>322L_1</t>
  </si>
  <si>
    <t>324M_1</t>
  </si>
  <si>
    <t>921O_2</t>
  </si>
  <si>
    <t>321M_3</t>
  </si>
  <si>
    <t>Dirección y servicios generales de Cultura</t>
  </si>
  <si>
    <t>I115</t>
  </si>
  <si>
    <t>Impuesto sobre el patrimonio, recaudación real</t>
  </si>
  <si>
    <t>I215</t>
  </si>
  <si>
    <t>I501</t>
  </si>
  <si>
    <t>Competitividad y calidad de la sanidad agraria + AF22/2</t>
  </si>
  <si>
    <t>Codigo_Programas</t>
  </si>
  <si>
    <t xml:space="preserve"> Total</t>
  </si>
  <si>
    <t>Gobierno del poder judicial</t>
  </si>
  <si>
    <t>Selección y formación de jueces</t>
  </si>
  <si>
    <t>Documentación y publicaciones judiciales</t>
  </si>
  <si>
    <t>Jefatura del estado</t>
  </si>
  <si>
    <t>Control externo del sector público</t>
  </si>
  <si>
    <t>Control constitucional</t>
  </si>
  <si>
    <t>Apoyo a la gestión administrativa de la jefatura del estado</t>
  </si>
  <si>
    <t>Presidencia del gobierno</t>
  </si>
  <si>
    <t>Alto asesoramiento del estado</t>
  </si>
  <si>
    <t>Relaciones con las cortes generales, secretariado del gobierno y apoyo a la alta dirección</t>
  </si>
  <si>
    <t>Asesoramiento del gobierno en materia social, económica y laboral</t>
  </si>
  <si>
    <t>Importe total de la sección</t>
  </si>
  <si>
    <t>1.2. Acción Exterior del Estado</t>
  </si>
  <si>
    <t>Dirección y servicios generales de asuntos exteriores</t>
  </si>
  <si>
    <t>Acción del estado en el exterior</t>
  </si>
  <si>
    <t>Acción diplomática ante la unión europea</t>
  </si>
  <si>
    <t>Relaciones con los organismos financieros multilaterales</t>
  </si>
  <si>
    <t>Transferencias al presupuesto general de la unión europea</t>
  </si>
  <si>
    <t>Administración y servicios generales de defensa</t>
  </si>
  <si>
    <t>Formación del personal de las fuerzas armadas</t>
  </si>
  <si>
    <t>Modernización de las fuerzas armadas</t>
  </si>
  <si>
    <t>Gastos operativos de las fuerzas armadas</t>
  </si>
  <si>
    <t>Apoyo logístico</t>
  </si>
  <si>
    <t>Asistencia hospitalaria en las fuerzas armadas</t>
  </si>
  <si>
    <t>Investigación y estudios de las fuerzas armadas</t>
  </si>
  <si>
    <t>Coordinación y relaciones financieras con los entes territoriales</t>
  </si>
  <si>
    <t>Gestión del patrimonio del estado</t>
  </si>
  <si>
    <t>923M_1</t>
  </si>
  <si>
    <t>Dirección y servicios generales de hacienda y administraciones públicas</t>
  </si>
  <si>
    <t>923O_1</t>
  </si>
  <si>
    <t>Gestión de la deuda y de la tesorería del estado</t>
  </si>
  <si>
    <t>931M_1</t>
  </si>
  <si>
    <t>Previsión y política económica</t>
  </si>
  <si>
    <t>Control interno y contabilidad pública</t>
  </si>
  <si>
    <t>Aplicación del sistema tributario estatal +  AF01: ajuste forales, gestión tributaria</t>
  </si>
  <si>
    <t>Gestión del catastro inmobiliario + AF02: corrección forales, catastro</t>
  </si>
  <si>
    <t>Resolución de reclamaciones económico-administrativas</t>
  </si>
  <si>
    <t>Registros vinculados con la fe pública</t>
  </si>
  <si>
    <t>Derecho de asilo y apátridas</t>
  </si>
  <si>
    <t>Protección de datos de carácter personal</t>
  </si>
  <si>
    <t>Metrología</t>
  </si>
  <si>
    <t>Dirección y organización de la administración pública</t>
  </si>
  <si>
    <t>921O_1</t>
  </si>
  <si>
    <t>Formación del personal de las administraciones públicas</t>
  </si>
  <si>
    <t>Administración periférica del estado</t>
  </si>
  <si>
    <t>Asesoramiento y defensa intereses del estado</t>
  </si>
  <si>
    <t>Servicios de transportes de ministerios</t>
  </si>
  <si>
    <t>Evaluación de políticas y programas públicos, calidad de los servicios e impacto normativo</t>
  </si>
  <si>
    <t>Organización territorial del estado y desarrollo de sus sistemas de colaboración</t>
  </si>
  <si>
    <t>Elecciones y partidos políticos</t>
  </si>
  <si>
    <t>1.6. Investigación básica, otros estudios y estadística</t>
  </si>
  <si>
    <t>Fomento y coordinación de la investigación científica y técnica</t>
  </si>
  <si>
    <t>Investigación sanitaria</t>
  </si>
  <si>
    <t>Astronomía y astrofísica</t>
  </si>
  <si>
    <t>467C_1</t>
  </si>
  <si>
    <t>Investigación y desarrollo tecnológico-industrial</t>
  </si>
  <si>
    <t>Investigación y experimentación agraria</t>
  </si>
  <si>
    <t>Investigación oceanográfica y pesquera</t>
  </si>
  <si>
    <t>Investigación energética, medioambiental y tecnológica</t>
  </si>
  <si>
    <t>Desarrollo y aplicación de la información geográfica española</t>
  </si>
  <si>
    <t>1.7. Organismos de regulación económica</t>
  </si>
  <si>
    <t>Regulación contable y de auditorias</t>
  </si>
  <si>
    <t>Regulación del juego</t>
  </si>
  <si>
    <t>Comisión Nacional de la Competencia</t>
  </si>
  <si>
    <t>2.2.a.Provincias</t>
  </si>
  <si>
    <t>336A_2</t>
  </si>
  <si>
    <t>942M_2</t>
  </si>
  <si>
    <t xml:space="preserve">Transferencias a CC.LL. por participación en ingresos Estado, participación de las provincias y entes asimilados  </t>
  </si>
  <si>
    <t>Otros flujos de financiación local, reintegros parciales de saldos pendientes</t>
  </si>
  <si>
    <t>Hospitales provinciales asumidos por CCAA</t>
  </si>
  <si>
    <t>Participación provincial en ingresos del Estado integrada en Fondo de Suficiencia</t>
  </si>
  <si>
    <t>FP027_2</t>
  </si>
  <si>
    <t>2.b.Municipios</t>
  </si>
  <si>
    <t>942M_1</t>
  </si>
  <si>
    <t xml:space="preserve">Transferencias a CC.LL. por participación en ingresos Estado, parte correspondiente a los municipios (excluyendo provincias y entes asimilados) </t>
  </si>
  <si>
    <t>Otros flujos de financiación local, para reintegros parciales saldos pendientes</t>
  </si>
  <si>
    <t>Participacón de los municipios en el IRPF, IVA e Impuestos Especiales</t>
  </si>
  <si>
    <t>Impuestos municipales</t>
  </si>
  <si>
    <t>Tasas municipales</t>
  </si>
  <si>
    <t>FP027_3</t>
  </si>
  <si>
    <t>942N_1</t>
  </si>
  <si>
    <t xml:space="preserve">Cooperación económica local del Estado </t>
  </si>
  <si>
    <t xml:space="preserve">2.3. Infraestructuras </t>
  </si>
  <si>
    <t>Gestión de recursos hídricos para el regadío</t>
  </si>
  <si>
    <t>Subvenciones y apoyo al transporte terrestre</t>
  </si>
  <si>
    <t>Estudios y servicios de asistencia técnica en obras públicas y urbanismo</t>
  </si>
  <si>
    <t>Dirección y servicios generales de fomento</t>
  </si>
  <si>
    <t>451O_1</t>
  </si>
  <si>
    <t>Dirección y Servicios Generales de Agricultura, Alimentación y Medio Ambiente</t>
  </si>
  <si>
    <t>Gestión e infraestructuras del agua</t>
  </si>
  <si>
    <t>Normativa y ordenac. territorial recursos hídricos</t>
  </si>
  <si>
    <t>Infraestructura del transporte ferroviario + AF10 (no se ha hecho)</t>
  </si>
  <si>
    <t>Ordenac. e inspección del transporte terrestre</t>
  </si>
  <si>
    <t>Seguridad tráfico marítimo y vigilancia costera</t>
  </si>
  <si>
    <t>Regulación y supervisción de la aviación civil</t>
  </si>
  <si>
    <t>Actuac. prevención contaminac. y cambio climático</t>
  </si>
  <si>
    <t>Investigación, desarrollo y experimentación en transporte e infraestructuras</t>
  </si>
  <si>
    <t>Servicio postal universal</t>
  </si>
  <si>
    <t>497M</t>
  </si>
  <si>
    <t>Salvamento y lucha contra la contaminación en la mar</t>
  </si>
  <si>
    <t>942N_2</t>
  </si>
  <si>
    <t>942N_4</t>
  </si>
  <si>
    <t>Otras aportaciones a Corporaciones Locales, mejoras suminstro agua CyMel</t>
  </si>
  <si>
    <t>Obras hidráulicas</t>
  </si>
  <si>
    <t>Confederaciones hidrográficas, Andalucía</t>
  </si>
  <si>
    <t>Infraestructuras ferroviarias, ADIF y Renfe</t>
  </si>
  <si>
    <t>Infraestructuras aeroportuarias, AENA</t>
  </si>
  <si>
    <t xml:space="preserve">Infraestructuras portuarias, Puertos del Estado </t>
  </si>
  <si>
    <t>Excedente bruto de AENA</t>
  </si>
  <si>
    <t>Excedene bruto de puertos del Estado</t>
  </si>
  <si>
    <t>Excedente bruto de los concesionarios de autopistas de peaje</t>
  </si>
  <si>
    <t>Ajuste forales, ayudas al transporte colectivo urbano</t>
  </si>
  <si>
    <t>Subsidio y renta para eventuales agrarios en Andalucía y Extremadura</t>
  </si>
  <si>
    <t>Incentivos regionales a la localización industrial</t>
  </si>
  <si>
    <t>Desarrollo alternativo de las comarcas mineras del carbón</t>
  </si>
  <si>
    <t>Explotación minera</t>
  </si>
  <si>
    <t>Subvenciones y apoyo al transporte marítimo</t>
  </si>
  <si>
    <t>Subvenciones y apoyo al transporte aéreo</t>
  </si>
  <si>
    <t>Subvenciones al transporte extrapeninsular de mercancías</t>
  </si>
  <si>
    <t>Infraestructuras en comarcas mineras del carbón</t>
  </si>
  <si>
    <t>Direc. y serv. grales. de hacienda y admones. Públicas, transferencias a la ZEC</t>
  </si>
  <si>
    <t>Transfer. a cc.aa. por fondos de compens. intert.</t>
  </si>
  <si>
    <t>Otras transferencias a Comunidades Autónomas: Transferencias de capital a Aragón para proyectos de inversión en Teruel y a la CA de Extremadura para proyectos de inversión.</t>
  </si>
  <si>
    <t>Infraestructuras REF Canarias</t>
  </si>
  <si>
    <t>Transporte interinsular Canarias</t>
  </si>
  <si>
    <t>Ayudas de la UE gestionadas por las comunidades autónomas, excepto FEOGA Garantía</t>
  </si>
  <si>
    <t>Plan nacional sobre drogas + AF 11/1</t>
  </si>
  <si>
    <t>Direc. y serv. grales. de sanidad, serv. soc. e igualdad</t>
  </si>
  <si>
    <t>Políticas de salud y ordenación profesional</t>
  </si>
  <si>
    <t>Salud pública, sanidad exterior y calidad + AF11/2</t>
  </si>
  <si>
    <t>Seguridad alimentaria y nutrición</t>
  </si>
  <si>
    <t>Protec. y promoc. de derechos de consum. y usuar.</t>
  </si>
  <si>
    <t>SS21_2</t>
  </si>
  <si>
    <t>SS21_3</t>
  </si>
  <si>
    <t xml:space="preserve">Medicina Ambulatoria de Mutuas de Accidentes de Trabajo, mutuas de enfermedades profesionales y accidentes de trabajo de la Seguridad Social </t>
  </si>
  <si>
    <t>SS21_4</t>
  </si>
  <si>
    <t>Atenció Primaria de Salud INGESA neto de Ceuta y Melilla</t>
  </si>
  <si>
    <t>SS22_2</t>
  </si>
  <si>
    <t>Atención Especializada, INGESA neto de Ceuta y Melilla</t>
  </si>
  <si>
    <t>SS22_3</t>
  </si>
  <si>
    <t>Atención Especializada, ISM</t>
  </si>
  <si>
    <t>SS22_4</t>
  </si>
  <si>
    <t>Atención Especializada, mutuas de la Seg. Social</t>
  </si>
  <si>
    <t>SS25_2</t>
  </si>
  <si>
    <t>Admón.,Ser.Grales.y Cont.Int.Asist.San., neto CyMel</t>
  </si>
  <si>
    <t>SS26_2</t>
  </si>
  <si>
    <t>Formación del Personal Sanitario, neto de CyMel</t>
  </si>
  <si>
    <t>CS09_1</t>
  </si>
  <si>
    <t>ISM transf. antes de 2002, sanidad</t>
  </si>
  <si>
    <t>2.5b. Educación y Formación</t>
  </si>
  <si>
    <t xml:space="preserve">Dirección y servicios generales de la educación,cultura y deporte, neto del gasto directo del Estado en Ceuta y Melilla </t>
  </si>
  <si>
    <t xml:space="preserve">Formac. permanente del profesorado de educación, neto del gasto directo del Estado en Ceuta y Melilla </t>
  </si>
  <si>
    <t>Educación infantil y primaria +AF12/1</t>
  </si>
  <si>
    <t xml:space="preserve">Educ. secund., formac. profesional y EEOO Idiomas, neto del gasto directo del Estado en Ceuta y Melilla </t>
  </si>
  <si>
    <t>Enseñanzas universitarias, neto del gasto directo del Estado en Ceuta y Melilla</t>
  </si>
  <si>
    <t xml:space="preserve">Enseñanzas artísticas, neto del gasto directo del Estado en Ceuta y Melilla </t>
  </si>
  <si>
    <t>Educación compensatoria,neto del gasto directo del Estado en Ceuta y Melilla  +AF12/2</t>
  </si>
  <si>
    <t xml:space="preserve">Servicios complementarios de la enseñanza, neto del gasto directo del Estado en Ceuta y Melilla  </t>
  </si>
  <si>
    <t>Investigación y evaluación educativa</t>
  </si>
  <si>
    <t>Formación del personal de las administraciones públicas + AF12/3</t>
  </si>
  <si>
    <t>Dirección y servicios generales de justicia</t>
  </si>
  <si>
    <t>Formación del personal de la administración de justicia</t>
  </si>
  <si>
    <t>Tribunales de justicia y ministerio fiscal</t>
  </si>
  <si>
    <t>Dirección y serv. grales. seguridad y protecc. civil</t>
  </si>
  <si>
    <t>Formac. fuerzas y cuerpos de segur. del estado</t>
  </si>
  <si>
    <t>Fuerzas y cuerpos en reserva</t>
  </si>
  <si>
    <t>Seguridad vial</t>
  </si>
  <si>
    <t>Centros e instituciones penitenciarias</t>
  </si>
  <si>
    <t>Trabajo, formación y asistencia a reclusos</t>
  </si>
  <si>
    <t>Protección civil</t>
  </si>
  <si>
    <t>941O_3</t>
  </si>
  <si>
    <t>Instituciones Penitenciarias transferidas, Cataluña</t>
  </si>
  <si>
    <t>Policía áutonómica catalana y tráfico</t>
  </si>
  <si>
    <t>Ajuste forales, seguridad ciudadana y vial</t>
  </si>
  <si>
    <t>2.5d. Vivienda, transporte y comunicaciones</t>
  </si>
  <si>
    <t>261O_1</t>
  </si>
  <si>
    <t>Ordenación y fomento de la edificación, neto de actuaciones relacionadas con el 1% cultural</t>
  </si>
  <si>
    <t>Suelo y políticas urbanas</t>
  </si>
  <si>
    <t>2.5e. Cultura y deportes</t>
  </si>
  <si>
    <t>Bibliotecas</t>
  </si>
  <si>
    <t>Exposiciones</t>
  </si>
  <si>
    <t>Música y danza</t>
  </si>
  <si>
    <t>336A_1</t>
  </si>
  <si>
    <t>Administración del patrimonio histórico-nacional</t>
  </si>
  <si>
    <t>Protección del patrimonio histórico + AF17/2</t>
  </si>
  <si>
    <t>923M_2</t>
  </si>
  <si>
    <t>Normalización lingüística + AF08</t>
  </si>
  <si>
    <t>Aportación a la Iglesia Católica ligadas a la casilla del IRPF</t>
  </si>
  <si>
    <t>261O_2</t>
  </si>
  <si>
    <t>Pensiones de clases pasivas</t>
  </si>
  <si>
    <t>Otras pensiones y prestac. de clases pasivas</t>
  </si>
  <si>
    <t>Pensiones no contrib. y prestac. asistenciales</t>
  </si>
  <si>
    <t>Pensiones de guerra</t>
  </si>
  <si>
    <t>Gestión de pensiones de clases pasivas</t>
  </si>
  <si>
    <t>Prestaciones de garantía salarial</t>
  </si>
  <si>
    <t>251M_1</t>
  </si>
  <si>
    <t>Prestaciones a los desempleados, neto de renta y subsidio agrarios</t>
  </si>
  <si>
    <t>Becas y ayudas a estudiantes + AF03/1</t>
  </si>
  <si>
    <t>923O_2</t>
  </si>
  <si>
    <t xml:space="preserve"> Gestión de la Deuda y de la Tesorería del Estado, indemnizaciones síndrome tóxico</t>
  </si>
  <si>
    <t>SS11_1</t>
  </si>
  <si>
    <t>SS11_2</t>
  </si>
  <si>
    <t>Otras prestaciones contributivas de la Seguridad Social + AF03/2</t>
  </si>
  <si>
    <t>SS11_3</t>
  </si>
  <si>
    <t>Prestaciones económicas contributivas, Mutuas</t>
  </si>
  <si>
    <t>SS12_1</t>
  </si>
  <si>
    <t>Pensiones no contributivas de la Seg Soc + AF03/3</t>
  </si>
  <si>
    <t>SS12_2</t>
  </si>
  <si>
    <t xml:space="preserve"> Admón. y Servicios Generales prestaciones economicas</t>
  </si>
  <si>
    <t xml:space="preserve">Acciones en favor de los emigrantes </t>
  </si>
  <si>
    <t>Otros servicios sociales del estado + AF19/1</t>
  </si>
  <si>
    <t>Atención a la infancia y a las familias</t>
  </si>
  <si>
    <t>Acciones en favor de los inmigrantes</t>
  </si>
  <si>
    <t>Promoción y servicios a la juventud</t>
  </si>
  <si>
    <t>Igualdad oportunidades entre mujeres y hombres</t>
  </si>
  <si>
    <t>Actuaciones para la prevención integral de la violencia de género + AF19/2</t>
  </si>
  <si>
    <t>SS31_1</t>
  </si>
  <si>
    <t>Servicios Sociales Generales, neto de gasto directo del Estado en Ceuta y Melilla + AF19/3</t>
  </si>
  <si>
    <t>SS34_1</t>
  </si>
  <si>
    <t>SS34_2</t>
  </si>
  <si>
    <t>Otros Servicios Sociales, Mutuas</t>
  </si>
  <si>
    <t>SS35_1</t>
  </si>
  <si>
    <t>Admón.y Serv.Generales de Servicios Sociales, IMSERSO + AF19/4</t>
  </si>
  <si>
    <t>CS14_2</t>
  </si>
  <si>
    <t>ISM formación y servicios sociales + AF19/5</t>
  </si>
  <si>
    <t xml:space="preserve"> 4.1. Asuntos generales de economía y empleo</t>
  </si>
  <si>
    <t>Fomento de la inserción y estabilidad laboral+ AF20/1</t>
  </si>
  <si>
    <t>Desarrollo de la economía social y del Fondo Social Europeo</t>
  </si>
  <si>
    <t>Regulación y protección de la propiedad industrial</t>
  </si>
  <si>
    <t>Apoyo a la pequeña y mediana empresa</t>
  </si>
  <si>
    <t>Administración de las relaciones laborales y condiciones de trabajo</t>
  </si>
  <si>
    <t>931M_2</t>
  </si>
  <si>
    <t xml:space="preserve"> Previsión y política económica, subvenciones a préstamos ICO </t>
  </si>
  <si>
    <t>SS34_3</t>
  </si>
  <si>
    <t>CS14_1 + CS09_2</t>
  </si>
  <si>
    <t>ISM, formación  + AF20/2</t>
  </si>
  <si>
    <t>Regulación de los mercados agrarios</t>
  </si>
  <si>
    <t>Competitividad industria agroalimentaria y calidad alimentaria + AF22/3</t>
  </si>
  <si>
    <t>Programa de desarrollo rural sostenible</t>
  </si>
  <si>
    <t>Protección de los recursos pesqueros y desarrollo sostenible</t>
  </si>
  <si>
    <t>451O_2</t>
  </si>
  <si>
    <t>Direc. y serv. grales. de agric., aliment. y medio amb., Medio Rural y Marino</t>
  </si>
  <si>
    <t>Dirección y servicios generales de industria y energía</t>
  </si>
  <si>
    <t>Calidad y seguridad industrial</t>
  </si>
  <si>
    <t>Desarrollo industrial</t>
  </si>
  <si>
    <t>Reconversión y reindustrialización</t>
  </si>
  <si>
    <t>423N_2</t>
  </si>
  <si>
    <t xml:space="preserve"> Explotación minera. Parte ejecutada por la Dirección Gral. De Política Energética y Minas.  </t>
  </si>
  <si>
    <t>Seguridad nuclear y protección radiológica</t>
  </si>
  <si>
    <t>Ordenación y modernización de las estructuras comerciales + AF23</t>
  </si>
  <si>
    <t>467C_2</t>
  </si>
  <si>
    <t>Investig. y desarrollo tecnolog-industrial.Secretaría general de ciencia, tecnología e innovación</t>
  </si>
  <si>
    <t>Investigación y desarrollo de la sociedad de la información</t>
  </si>
  <si>
    <t>Ordenación y promoción de las telecomunicaciones y de la sociedad de la información</t>
  </si>
  <si>
    <t>Regulación y vigilancia de la competencia en el mercado de tabacos</t>
  </si>
  <si>
    <t>Publicaciones</t>
  </si>
  <si>
    <t>Amortización y gastos financieros de la deuda pública en moneda nacional</t>
  </si>
  <si>
    <t>Amortización y gastos financieros de la deuda pública en moneda extranjera</t>
  </si>
  <si>
    <t>1.1. Impuestos directos homogeneizados</t>
  </si>
  <si>
    <t>IRPF, ingresos homogeneizados</t>
  </si>
  <si>
    <t>Impuesto sobre sociedades, ingresos homogéneos</t>
  </si>
  <si>
    <t>Impuesto sobre la renta de no residentes</t>
  </si>
  <si>
    <t>IVA</t>
  </si>
  <si>
    <t>Impuestos especiales* (sin electricidad ni matriculación)</t>
  </si>
  <si>
    <t>Electricidad</t>
  </si>
  <si>
    <t>Determinados medios de transporte, homogeneizado</t>
  </si>
  <si>
    <t>Impuesto sobre las primas de seguros</t>
  </si>
  <si>
    <t>Venta Minorista de Hidrocarburos, ingr. Homog.</t>
  </si>
  <si>
    <t>Tasas sobre el juego, ingresos homogeneizados</t>
  </si>
  <si>
    <t>REF Canarias (bruto de comp IGTE e incl. Parte ccll), rec. Homog.</t>
  </si>
  <si>
    <t>2. Sobreesfuerzo fiscal</t>
  </si>
  <si>
    <t>Sucesiones y donaciones, sobreesfuerzo fiscal</t>
  </si>
  <si>
    <t>Patrimonio, sobreesfuerzo fiscal</t>
  </si>
  <si>
    <t>IVMH, sobreesfuerzo fiscal</t>
  </si>
  <si>
    <t>Canarias, sobreesfuerzo fiscal consumo</t>
  </si>
  <si>
    <t>Ceuta y Melilla, sobreesfuerzo fiscal consumo</t>
  </si>
  <si>
    <t>Impuesto de matriculación, sobreesfuerzo fiscal</t>
  </si>
  <si>
    <t>Impuestos propios de las CCAA</t>
  </si>
  <si>
    <t xml:space="preserve">    1.3, 1.4 y 1.5. Cotizaaciones, impuetos y otros ingresos</t>
  </si>
  <si>
    <t>Impuestos y tasas municipales</t>
  </si>
  <si>
    <t>Tasas, precios públicos e ingresos procedentes de la venta de bienes y servicios de la AC</t>
  </si>
  <si>
    <t>Tasas, Comisión del Mercado de Telecomunicaciones, CMT</t>
  </si>
  <si>
    <t>Tasas, Comisión Nacional de la Energía, CME</t>
  </si>
  <si>
    <t>Ingresos financieros, patrimoniales y similares de la Administración Central</t>
  </si>
  <si>
    <t>Ingresos del Banco de España, BdE</t>
  </si>
  <si>
    <t>TOTAL GASTO a igual esfuerzo fiscal</t>
  </si>
  <si>
    <t>AÑO</t>
  </si>
  <si>
    <t>Pob_CCAA</t>
  </si>
  <si>
    <t>6. Operaciones Finacieras</t>
  </si>
  <si>
    <t>1. Gasto total por categorías, resumen</t>
  </si>
  <si>
    <t>FP010_1</t>
  </si>
  <si>
    <t>FP021_1</t>
  </si>
  <si>
    <t>FP023_1</t>
  </si>
  <si>
    <t>FP024_1</t>
  </si>
  <si>
    <t>FP025_1</t>
  </si>
  <si>
    <t>FP026_1</t>
  </si>
  <si>
    <t>FP027_1</t>
  </si>
  <si>
    <t>941M_2</t>
  </si>
  <si>
    <t>321M_2</t>
  </si>
  <si>
    <t>321N_2</t>
  </si>
  <si>
    <t>322A_2</t>
  </si>
  <si>
    <t>322B_2</t>
  </si>
  <si>
    <t>322C_2</t>
  </si>
  <si>
    <t>322E_2</t>
  </si>
  <si>
    <t>322G_2</t>
  </si>
  <si>
    <t>322K_2</t>
  </si>
  <si>
    <t>322L_2</t>
  </si>
  <si>
    <t>324M_2</t>
  </si>
  <si>
    <t>SS25_1</t>
  </si>
  <si>
    <t>SS26_1</t>
  </si>
  <si>
    <t>SS31_2</t>
  </si>
  <si>
    <t>SS35_2</t>
  </si>
  <si>
    <t>942N_3</t>
  </si>
  <si>
    <t>FP040_1</t>
  </si>
  <si>
    <t>FP041_1</t>
  </si>
  <si>
    <t>FP046_1</t>
  </si>
  <si>
    <t>FP049_1</t>
  </si>
  <si>
    <t>FP050_1</t>
  </si>
  <si>
    <t>941O_1</t>
  </si>
  <si>
    <t>FP010_2</t>
  </si>
  <si>
    <t>FP021_2</t>
  </si>
  <si>
    <t>FP023_2</t>
  </si>
  <si>
    <t>FP024_2</t>
  </si>
  <si>
    <t>FP025_2</t>
  </si>
  <si>
    <t>FP026_2</t>
  </si>
  <si>
    <t>FP040_2</t>
  </si>
  <si>
    <t>FP041_2</t>
  </si>
  <si>
    <t>FP046_2</t>
  </si>
  <si>
    <t>FP049_2</t>
  </si>
  <si>
    <t>FP050_2</t>
  </si>
  <si>
    <t>SS42_1</t>
  </si>
  <si>
    <t>SS43_1</t>
  </si>
  <si>
    <t>SS45_1</t>
  </si>
  <si>
    <t>SS45_2</t>
  </si>
  <si>
    <t xml:space="preserve">    + Sobreesfuerzo fiscal regional</t>
  </si>
  <si>
    <t>(*) neto de sobreesfuerzo fiscal regional</t>
  </si>
  <si>
    <t>2.1 Financiación regional a competencias homogéneas e igual esfuerzo fiscal (*)</t>
  </si>
  <si>
    <t>941M</t>
  </si>
  <si>
    <t>SS21_1</t>
  </si>
  <si>
    <t>SS22_1</t>
  </si>
  <si>
    <t>FP051</t>
  </si>
  <si>
    <t>3.3. Servicios de apoyo y gastos generales de Seguridad y protección social</t>
  </si>
  <si>
    <t>Inspección y control de seguridad y protección social</t>
  </si>
  <si>
    <t>Dirección y servicios generales de seguridad social y protección social</t>
  </si>
  <si>
    <t>Gestión de Cotización y Recaudación</t>
  </si>
  <si>
    <t>Gestión Financiera, neta de aportación al Fondo de Reserva</t>
  </si>
  <si>
    <t xml:space="preserve"> Sistema Integrado de Informática de la Seguridad Social</t>
  </si>
  <si>
    <t xml:space="preserve"> Admón. y Servic. Generales, TGSS e ISM</t>
  </si>
  <si>
    <t>Admón. y Servic. Generales, Mutuas</t>
  </si>
  <si>
    <t xml:space="preserve"> Control Interno y Contabilidad</t>
  </si>
  <si>
    <t xml:space="preserve"> Direcc. y Coord. Asist.Jurídica Admón. de la Seg.Soc.</t>
  </si>
  <si>
    <t>Autorizaciones iniciales trabajo</t>
  </si>
  <si>
    <t xml:space="preserve"> Inspección de trabajo</t>
  </si>
  <si>
    <t xml:space="preserve">    + I2.Sobreesfuerzo fiscal regional y rebajas fiscales Canarias y CyMel</t>
  </si>
  <si>
    <t>Saldo fiscal bruto
 (no neturalizado)</t>
  </si>
  <si>
    <t>Saldo fiscal bruto 
(no neturalizado)</t>
  </si>
  <si>
    <t>1. Ingresos totales</t>
  </si>
  <si>
    <t>2. Ingresos per capita, euros</t>
  </si>
  <si>
    <t>Subtotal a igual esf fiscal (sin impuestos municipales)</t>
  </si>
  <si>
    <t xml:space="preserve">población media (padrón) </t>
  </si>
  <si>
    <t>Población media padrón</t>
  </si>
  <si>
    <r>
      <t xml:space="preserve">saldo generado por programas de </t>
    </r>
    <r>
      <rPr>
        <b/>
        <sz val="10"/>
        <color theme="3"/>
        <rFont val="Palatino"/>
        <family val="1"/>
      </rPr>
      <t>REDISTRIBUCIÓN PERSONAL</t>
    </r>
  </si>
  <si>
    <t>Ver fichero: K:\Ape\COMUN\SCPT\Balanza_Fiscal_2013\Imputacion\Sub_Balanza_UE\sub-balanza_UE 13vf.xlsx (hoja: Total)</t>
  </si>
  <si>
    <r>
      <t xml:space="preserve">   - Nota:</t>
    </r>
    <r>
      <rPr>
        <sz val="10"/>
        <rFont val="Palatino"/>
        <family val="1"/>
      </rPr>
      <t xml:space="preserve"> Saldo absoluto = gastos - ingresos</t>
    </r>
  </si>
  <si>
    <r>
      <t>(*)</t>
    </r>
    <r>
      <rPr>
        <sz val="10"/>
        <color indexed="8"/>
        <rFont val="Palatino"/>
        <family val="1"/>
      </rPr>
      <t xml:space="preserve"> a competencias homogéneas e igual esfuerzo fiscal.</t>
    </r>
  </si>
  <si>
    <r>
      <t>- Nota:</t>
    </r>
    <r>
      <rPr>
        <sz val="10"/>
        <rFont val="Palatino"/>
        <family val="1"/>
      </rPr>
      <t xml:space="preserve"> (*) No incluye Ceuta y Melilla</t>
    </r>
  </si>
  <si>
    <r>
      <t>- Nota:</t>
    </r>
    <r>
      <rPr>
        <sz val="10"/>
        <rFont val="Palatino"/>
        <family val="1"/>
      </rPr>
      <t xml:space="preserve"> El Índice de Financiación Observada por Habitante Ajustado consignado en este Cuadro se calcula con una metodología diferente de la prevista en el Artículo 23 de la Ley 22/2009, de 18 de diciembre.</t>
    </r>
  </si>
  <si>
    <t>Gasto territorializable a igual esf. fiscal</t>
  </si>
  <si>
    <t xml:space="preserve"> Sobreesfuerzo fiscal regional</t>
  </si>
  <si>
    <t xml:space="preserve">   a. Ingresos homogeneizados de las comunidades de régimen común</t>
  </si>
  <si>
    <t>Cálculos para el Cuadro 14</t>
  </si>
  <si>
    <t>Financiación regional a competencias homogéneas e igual esfuerzo fiscal por hab ajustado</t>
  </si>
  <si>
    <t>Fin per capita a igual esfuerzo fiscal</t>
  </si>
  <si>
    <t xml:space="preserve">Fin observada per capita </t>
  </si>
  <si>
    <t>Fin observada por hab ajustado</t>
  </si>
  <si>
    <t>reg comun sin Cy Mel</t>
  </si>
  <si>
    <t>forales</t>
  </si>
  <si>
    <t>Índices de financiación a competencias homogéneas por habitante y por habitante ajustado</t>
  </si>
  <si>
    <r>
      <t>Población ajustada</t>
    </r>
    <r>
      <rPr>
        <vertAlign val="superscript"/>
        <sz val="10"/>
        <rFont val="Palatino"/>
        <family val="1"/>
      </rPr>
      <t xml:space="preserve"> (i)</t>
    </r>
  </si>
  <si>
    <t>CUADROS INFORME CORTO</t>
  </si>
  <si>
    <t>Financiación provincias</t>
  </si>
  <si>
    <t>Financiación municipios</t>
  </si>
  <si>
    <t xml:space="preserve">construcción de carreteras </t>
  </si>
  <si>
    <t>conservación de carreteras (programa 453C)</t>
  </si>
  <si>
    <t>medio ambiente</t>
  </si>
  <si>
    <t>sanidad y consumo</t>
  </si>
  <si>
    <t>Educación y formación</t>
  </si>
  <si>
    <t>Administración de Justicia</t>
  </si>
  <si>
    <t>Seguridad Ciudadana y Vial</t>
  </si>
  <si>
    <t>Ayudas a la vivienda</t>
  </si>
  <si>
    <t>ajuste forales, ayudas al transporte colectivo urbano</t>
  </si>
  <si>
    <t>Conservación patrimonio artístico y cultural</t>
  </si>
  <si>
    <t>Servicios Sociales</t>
  </si>
  <si>
    <t>Fomento y gestiòn del empleo, incluyendo ISM</t>
  </si>
  <si>
    <t>Agricultura</t>
  </si>
  <si>
    <t>Turismo</t>
  </si>
  <si>
    <t>Transferencias a Comunidades Autónomas por participación en ingresos del Estado</t>
  </si>
  <si>
    <t>Transferencias al Estado por Fondos de Suficiencia negativos</t>
  </si>
  <si>
    <t>Otros Flujos de financiación regional, en parte extrapresupuestarios</t>
  </si>
  <si>
    <t>Participación CCAARC en IRPF, sin ejercicio de la capacidad normativa</t>
  </si>
  <si>
    <t>Participación CCAARC en el IVA</t>
  </si>
  <si>
    <t>Sucesiones y donaciones, ingresos homogeneizados de las CCAARC</t>
  </si>
  <si>
    <t>ITP y AJD, ingresos homogeneizados de las CCAARC</t>
  </si>
  <si>
    <t>Impuesto sobre la venta minorista de hidrocarburos (IVMH),  sin ejercicio capacidad normativa</t>
  </si>
  <si>
    <t>Impuesto de matriculación, ingresos de las CCAARC sin ej cap normativa</t>
  </si>
  <si>
    <t>Recursos REF de la comunidad autónoma de Canarias, neto de compensación por supresión del IGTE</t>
  </si>
  <si>
    <t>Financiación para competencias no homogéneas de las comunidades de régimen común (caja)</t>
  </si>
  <si>
    <t>Formación permanente del profesorado de Educación, gasto directo del Estado en Ceuta y Melilla</t>
  </si>
  <si>
    <t>Educ. secundaria, formación profesional y EE.OO de Idiomas, gasto directo del Estado en Ceuta y Melilla</t>
  </si>
  <si>
    <t>Enseñanzas universitarias, gasto directo del Estado en Ceuta y Melilla</t>
  </si>
  <si>
    <t xml:space="preserve">Atención Primaria de Salud, INGESA, Ceuta y Melilla </t>
  </si>
  <si>
    <t>Atención Especializada, gasto directo del INGESA en Ceuta y Melilla</t>
  </si>
  <si>
    <t>Admón.,Ser.Grales.y Cont.Int.Asist.San, gasto directo del INGESA en Ceuta y Melila</t>
  </si>
  <si>
    <t>Servicios Sociales Generales, gasto directo del IMSERSO en Ceuta y Melilla</t>
  </si>
  <si>
    <t>Recaudación IPSI</t>
  </si>
  <si>
    <t xml:space="preserve">Otras aportaciones a Corporaciones Locales, compensaciones IPSI Ceuta y Melilla </t>
  </si>
  <si>
    <t>IRPF, ingresos homogeneizados de las comunidades forales</t>
  </si>
  <si>
    <t>Sociedades, ingresos homogeneizados de las comunidades forales</t>
  </si>
  <si>
    <t>No residentes, ingresos comunidades forales</t>
  </si>
  <si>
    <t>Primas de seguross, ingresos comunidades forales</t>
  </si>
  <si>
    <t>Sucesiones y donaciones, ingresos homogeneizados de las comunidades forales</t>
  </si>
  <si>
    <t>Venta minorista de hidrocarburos, ingresos de las comunidades forales</t>
  </si>
  <si>
    <t>ITP y AJD, ingresos homogeneizados de las comunidades forales</t>
  </si>
  <si>
    <t>Tasas juego, ingresos homogeneizados de las comunidades forales</t>
  </si>
  <si>
    <t xml:space="preserve"> Cupo y aportación, antes descuento por Y vasca</t>
  </si>
  <si>
    <t>compensaciones financieras IE bebidas alcohólicas e hidrocarburos</t>
  </si>
  <si>
    <t>Participación CCAARC en IRPF, sobreesfuerzo fiscal regional</t>
  </si>
  <si>
    <t>Impuesto sucesiones y donac, sobreesfuerzo fiscal de las CCAARC</t>
  </si>
  <si>
    <t>IVMH, sobreesfuerzo fiscal de las CCAARC</t>
  </si>
  <si>
    <t>Impuesto de matriculación, sobreesfuerzo fiscal de las CCAARC</t>
  </si>
  <si>
    <t>Sociedades, sobreesfuerzo fiscal de las comunidades forales</t>
  </si>
  <si>
    <t>Sucesiones y donaciones, sobreesfuerzo fiscal de las comunidades forales</t>
  </si>
  <si>
    <t>IVMH,sobreesfuerzo fiscal de las comunidades forales</t>
  </si>
  <si>
    <t>ITP y AJD, sobreesfuerzo fiscal de las comunidades forales</t>
  </si>
  <si>
    <t>Tasas juego, sobreesfuerzo fiscal de las comunidades forales</t>
  </si>
  <si>
    <t xml:space="preserve"> Ingresos por tributos propios de las comunidades autónomas y patrimonio</t>
  </si>
  <si>
    <t>Cáculos para el cuadro 13</t>
  </si>
  <si>
    <t>Total CCRC (menos CyMe)</t>
  </si>
  <si>
    <t>FP048_2</t>
  </si>
  <si>
    <t>IVMH, sobreesfuerzo fiscal de las comunidades forales</t>
  </si>
  <si>
    <t>FP048_1</t>
  </si>
  <si>
    <t>G6_Operacfinanc</t>
  </si>
  <si>
    <t>Total de operaciones financieras (millones de €)</t>
  </si>
  <si>
    <t>saldo relativo como % del PIB</t>
  </si>
  <si>
    <t>subtotal a igual esf fiscal ( sin impuestos municipales)</t>
  </si>
  <si>
    <t>FIN</t>
  </si>
  <si>
    <t>PIB_CCAA</t>
  </si>
  <si>
    <t>2.1. Financiación regional</t>
  </si>
  <si>
    <t>FP012_1</t>
  </si>
  <si>
    <t>Participación de las CCAARC en los impuestos especiales (excluyendo electricidad), sin ejercicio de la capacidad normativa en el IH</t>
  </si>
  <si>
    <t>FP044_1</t>
  </si>
  <si>
    <t>FP012_2</t>
  </si>
  <si>
    <t>Participación CCAARC en IH, sobreesfuerzo fiscal regional</t>
  </si>
  <si>
    <t>FP044_2</t>
  </si>
  <si>
    <t>IH, sobreesfuerso fiscal de las comunidades forales</t>
  </si>
  <si>
    <t>1.2. Impuestos indirectos homogeneizados</t>
  </si>
  <si>
    <t>I222</t>
  </si>
  <si>
    <t>IH, sobreesfuerzo fiscal</t>
  </si>
  <si>
    <t>AAF01</t>
  </si>
  <si>
    <t>AAF02</t>
  </si>
  <si>
    <t>AAF03</t>
  </si>
  <si>
    <t>AAF04</t>
  </si>
  <si>
    <t>AAF05</t>
  </si>
  <si>
    <t>AAF06</t>
  </si>
  <si>
    <t>AAF07</t>
  </si>
  <si>
    <t>AAF08</t>
  </si>
  <si>
    <t>AAF09</t>
  </si>
  <si>
    <t>AAF11</t>
  </si>
  <si>
    <t>AAF12</t>
  </si>
  <si>
    <t>AAF13</t>
  </si>
  <si>
    <t>AAF14</t>
  </si>
  <si>
    <t>AAF15</t>
  </si>
  <si>
    <t>AAF16</t>
  </si>
  <si>
    <t>AAF17</t>
  </si>
  <si>
    <t>AAF19</t>
  </si>
  <si>
    <t>AAF20</t>
  </si>
  <si>
    <t>AAF22</t>
  </si>
  <si>
    <t>AAF24</t>
  </si>
  <si>
    <t>AAF10</t>
  </si>
  <si>
    <t>AAF18</t>
  </si>
  <si>
    <t>AAF21</t>
  </si>
  <si>
    <t>AAF23</t>
  </si>
  <si>
    <t>G6_Operacfinancpoblac</t>
  </si>
  <si>
    <t>Total de operaciones financieras por población (millones de €)</t>
  </si>
  <si>
    <t>PIB (miles de €)</t>
  </si>
  <si>
    <t>SALDO RELATIVO TOTAL, INGRESOS Y GASTOS (millones de €)</t>
  </si>
  <si>
    <t>Población</t>
  </si>
  <si>
    <t>PIB per cápita</t>
  </si>
  <si>
    <t>Flujos de salida/PIB</t>
  </si>
  <si>
    <t>Flujos de entrada/PIB</t>
  </si>
  <si>
    <t>miles de €</t>
  </si>
  <si>
    <t xml:space="preserve">PIB </t>
  </si>
  <si>
    <t>millones de €</t>
  </si>
  <si>
    <t xml:space="preserve">Saldo relativo total, 
ingresos y gastos </t>
  </si>
  <si>
    <t>Regiones receptoras netas</t>
  </si>
  <si>
    <t>Regiones contribuyentes netas</t>
  </si>
  <si>
    <t>Saldo relativo per cápita, euros</t>
  </si>
  <si>
    <t xml:space="preserve">punto </t>
  </si>
  <si>
    <t>CC.AA.</t>
  </si>
  <si>
    <t>Nota: estos dos cuadros se utilizan para calcular resultados del texto, pero no se incluyen en el mismo</t>
  </si>
  <si>
    <t>PIB per cápita promedio España</t>
  </si>
  <si>
    <t>Saldo absoluto total (millones de €)</t>
  </si>
  <si>
    <t>Financiación local</t>
  </si>
  <si>
    <t>Residuo</t>
  </si>
  <si>
    <t>Suma errores al cuadrado</t>
  </si>
  <si>
    <t>Error estándar pendiente</t>
  </si>
  <si>
    <t>Estadístico t pendiente</t>
  </si>
  <si>
    <t>Error estándar constante</t>
  </si>
  <si>
    <t>Estadístico t constante</t>
  </si>
  <si>
    <t>Regresión</t>
  </si>
  <si>
    <t>Estadísticos t</t>
  </si>
  <si>
    <t>Constante</t>
  </si>
  <si>
    <t>Pendiente</t>
  </si>
  <si>
    <t>R2</t>
  </si>
  <si>
    <t xml:space="preserve">Máximo </t>
  </si>
  <si>
    <t>Mínimo</t>
  </si>
  <si>
    <t>Saldo relativo per cápita previsto</t>
  </si>
  <si>
    <t>Financiación por habitante ajustado a igual esfuerzo fiscal</t>
  </si>
  <si>
    <t>Formación del Personal Sanitario, gasto directo del INGESA en Ceuta y Melilla</t>
  </si>
  <si>
    <t>425A_2</t>
  </si>
  <si>
    <t>Promoción, administración y ayudas para rehabilitación y acceso a vivienda+AF15</t>
  </si>
  <si>
    <t>425A_1</t>
  </si>
  <si>
    <t>Financiación observada por habitante ajustado</t>
  </si>
  <si>
    <t>media forales</t>
  </si>
  <si>
    <t>Saldo fiscal agregado</t>
  </si>
  <si>
    <r>
      <t>- Nota:</t>
    </r>
    <r>
      <rPr>
        <sz val="10"/>
        <rFont val="Palatino"/>
        <family val="1"/>
      </rPr>
      <t xml:space="preserve"> Un signo negativo indica que el saldo parcial generado por la partida de interés tiene distinto signo que el saldo fiscal agregado de la región. Para analizar el desglose véase el cuadro 6.</t>
    </r>
  </si>
  <si>
    <t>Variable dependiente</t>
  </si>
  <si>
    <t>Gráfico 2: Financiación por habitante ajustado a competencias homogéneas, 2013</t>
  </si>
  <si>
    <t>Suma desviaciones PIB per cápita al cuadrado</t>
  </si>
  <si>
    <t>Suma PIB per cápita al cuadrado</t>
  </si>
  <si>
    <t>Financiación regional a competencias homogéneas e igual esfuerzo fiscal /Gasto territorializable</t>
  </si>
  <si>
    <t>Financiación regional a competencias homogéneas e igual esfuerzo fiscal /Gasto total</t>
  </si>
  <si>
    <t>Normativa y desarrollo energético, neto de subvenciones a sistemas eléctricos insulares y extrapeninsulares</t>
  </si>
  <si>
    <t>Gráfico 1: Saldo relativo total per cápita vs PIB per cápita, euros, 2013</t>
  </si>
  <si>
    <t xml:space="preserve"> IVA, ingresos comunidades forales</t>
  </si>
  <si>
    <t>Imp. Especiales (incl. Matriculación y electricidad),  sin ejercicio de la capacidad normativa en el IH</t>
  </si>
  <si>
    <t>Sin forales y CyM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</si>
</sst>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
    <numFmt numFmtId="165" formatCode="#,##0.0"/>
    <numFmt numFmtId="166" formatCode="#,##0.0000"/>
    <numFmt numFmtId="167" formatCode="#,##0.000"/>
    <numFmt numFmtId="168" formatCode="0.0"/>
  </numFmts>
  <fonts count="60">
    <font>
      <sz val="10"/>
      <name val="Verdana"/>
    </font>
    <font>
      <sz val="11"/>
      <color theme="1"/>
      <name val="Calibri"/>
      <family val="2"/>
      <scheme val="minor"/>
    </font>
    <font>
      <b/>
      <sz val="10"/>
      <name val="Verdana"/>
      <family val="2"/>
    </font>
    <font>
      <b/>
      <i/>
      <sz val="10"/>
      <name val="Verdana"/>
      <family val="2"/>
    </font>
    <font>
      <sz val="10"/>
      <name val="Verdana"/>
      <family val="2"/>
    </font>
    <font>
      <b/>
      <sz val="10"/>
      <name val="Palatino"/>
      <family val="1"/>
    </font>
    <font>
      <b/>
      <i/>
      <sz val="10"/>
      <name val="Palatino"/>
      <family val="1"/>
    </font>
    <font>
      <sz val="8"/>
      <name val="Verdana"/>
      <family val="2"/>
    </font>
    <font>
      <sz val="10"/>
      <color indexed="8"/>
      <name val="Palatino"/>
      <family val="1"/>
    </font>
    <font>
      <sz val="10"/>
      <name val="Palatino"/>
      <family val="1"/>
    </font>
    <font>
      <i/>
      <sz val="10"/>
      <name val="Palatino"/>
      <family val="1"/>
    </font>
    <font>
      <sz val="10"/>
      <name val="Palatino"/>
      <family val="1"/>
    </font>
    <font>
      <b/>
      <sz val="10"/>
      <name val="Palatino"/>
      <family val="1"/>
    </font>
    <font>
      <i/>
      <sz val="10"/>
      <name val="Palatino"/>
      <family val="1"/>
    </font>
    <font>
      <b/>
      <i/>
      <sz val="10"/>
      <name val="Palatino"/>
      <family val="1"/>
    </font>
    <font>
      <b/>
      <sz val="10"/>
      <color indexed="8"/>
      <name val="Palatino"/>
      <family val="1"/>
    </font>
    <font>
      <sz val="10"/>
      <color rgb="FF000000"/>
      <name val="Palatino"/>
      <family val="1"/>
    </font>
    <font>
      <i/>
      <sz val="10"/>
      <color rgb="FF000000"/>
      <name val="Palatino"/>
      <family val="1"/>
    </font>
    <font>
      <sz val="10"/>
      <color theme="1"/>
      <name val="Palatino"/>
      <family val="1"/>
    </font>
    <font>
      <b/>
      <sz val="10"/>
      <color rgb="FF000000"/>
      <name val="Palatino"/>
      <family val="1"/>
    </font>
    <font>
      <i/>
      <sz val="10"/>
      <color theme="1"/>
      <name val="Palatino"/>
      <family val="1"/>
    </font>
    <font>
      <b/>
      <i/>
      <sz val="10"/>
      <color rgb="FF000000"/>
      <name val="Palatino"/>
      <family val="1"/>
    </font>
    <font>
      <sz val="10"/>
      <color theme="3"/>
      <name val="Verdana"/>
      <family val="2"/>
    </font>
    <font>
      <b/>
      <sz val="10"/>
      <color theme="3"/>
      <name val="Verdana"/>
      <family val="2"/>
    </font>
    <font>
      <b/>
      <i/>
      <sz val="10"/>
      <color theme="3"/>
      <name val="Verdana"/>
      <family val="2"/>
    </font>
    <font>
      <b/>
      <sz val="10"/>
      <color theme="3"/>
      <name val="Palatino"/>
      <family val="1"/>
    </font>
    <font>
      <b/>
      <i/>
      <sz val="10"/>
      <color theme="3"/>
      <name val="Palatino"/>
      <family val="1"/>
    </font>
    <font>
      <sz val="10"/>
      <color theme="3"/>
      <name val="Palatino"/>
      <family val="1"/>
    </font>
    <font>
      <i/>
      <sz val="10"/>
      <color theme="3"/>
      <name val="Palatino"/>
      <family val="1"/>
    </font>
    <font>
      <i/>
      <sz val="10"/>
      <color theme="3"/>
      <name val="Verdana"/>
      <family val="2"/>
    </font>
    <font>
      <sz val="12"/>
      <color theme="3"/>
      <name val="Times New Roman"/>
      <family val="1"/>
    </font>
    <font>
      <b/>
      <u/>
      <sz val="10"/>
      <name val="Palatino"/>
      <family val="1"/>
    </font>
    <font>
      <b/>
      <sz val="10"/>
      <color theme="1"/>
      <name val="Palatino"/>
      <family val="1"/>
    </font>
    <font>
      <sz val="12"/>
      <color theme="3"/>
      <name val="Palatino"/>
      <family val="1"/>
    </font>
    <font>
      <b/>
      <i/>
      <sz val="10"/>
      <color theme="1"/>
      <name val="Palatino"/>
      <family val="1"/>
    </font>
    <font>
      <i/>
      <sz val="10"/>
      <name val="Verdana"/>
      <family val="2"/>
    </font>
    <font>
      <b/>
      <u/>
      <sz val="14"/>
      <name val="Palatino"/>
      <family val="1"/>
    </font>
    <font>
      <b/>
      <u/>
      <sz val="11"/>
      <name val="Palatino"/>
      <family val="1"/>
    </font>
    <font>
      <sz val="9"/>
      <name val="Palatino"/>
      <family val="1"/>
    </font>
    <font>
      <i/>
      <sz val="9"/>
      <color theme="1"/>
      <name val="Palatino"/>
      <family val="1"/>
    </font>
    <font>
      <b/>
      <sz val="10"/>
      <color rgb="FFFF0000"/>
      <name val="Palatino"/>
      <family val="1"/>
    </font>
    <font>
      <b/>
      <u/>
      <sz val="11"/>
      <color rgb="FFFF0000"/>
      <name val="Palatino"/>
      <family val="1"/>
    </font>
    <font>
      <vertAlign val="superscript"/>
      <sz val="10"/>
      <name val="Palatino"/>
      <family val="1"/>
    </font>
    <font>
      <sz val="10"/>
      <name val="Arial"/>
      <family val="2"/>
    </font>
    <font>
      <b/>
      <sz val="22"/>
      <name val="Palatino"/>
      <family val="1"/>
    </font>
    <font>
      <sz val="10"/>
      <color theme="5" tint="0.39997558519241921"/>
      <name val="Palatino"/>
      <family val="1"/>
    </font>
    <font>
      <sz val="10"/>
      <color rgb="FFFF0000"/>
      <name val="Verdana"/>
      <family val="2"/>
    </font>
    <font>
      <b/>
      <sz val="10"/>
      <color rgb="FFFF0000"/>
      <name val="Verdana"/>
      <family val="2"/>
    </font>
    <font>
      <sz val="10"/>
      <color rgb="FFFF0000"/>
      <name val="Palatino"/>
      <family val="1"/>
    </font>
    <font>
      <b/>
      <sz val="12"/>
      <color rgb="FFFF0000"/>
      <name val="Palatino"/>
    </font>
    <font>
      <b/>
      <sz val="20"/>
      <color rgb="FFFF0000"/>
      <name val="Palatino"/>
    </font>
    <font>
      <b/>
      <sz val="10"/>
      <name val="Palatino"/>
    </font>
    <font>
      <b/>
      <u/>
      <sz val="14"/>
      <color rgb="FF595959"/>
      <name val="Verdana"/>
      <family val="2"/>
    </font>
    <font>
      <sz val="10"/>
      <color rgb="FF000000"/>
      <name val="Palatino"/>
    </font>
    <font>
      <b/>
      <sz val="10"/>
      <name val="Times New Roman"/>
      <family val="1"/>
    </font>
    <font>
      <sz val="10"/>
      <name val="Verdana"/>
      <family val="2"/>
    </font>
    <font>
      <sz val="10"/>
      <name val="Palatino"/>
    </font>
    <font>
      <b/>
      <sz val="10"/>
      <color rgb="FF000000"/>
      <name val="Palatino"/>
    </font>
    <font>
      <i/>
      <sz val="10"/>
      <name val="Palatino"/>
    </font>
    <font>
      <b/>
      <i/>
      <sz val="10"/>
      <name val="Palatino"/>
    </font>
  </fonts>
  <fills count="10">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3" tint="0.79998168889431442"/>
        <bgColor indexed="64"/>
      </patternFill>
    </fill>
    <fill>
      <patternFill patternType="solid">
        <fgColor theme="6"/>
        <bgColor indexed="64"/>
      </patternFill>
    </fill>
    <fill>
      <patternFill patternType="solid">
        <fgColor theme="0" tint="-0.34998626667073579"/>
        <bgColor indexed="64"/>
      </patternFill>
    </fill>
    <fill>
      <patternFill patternType="solid">
        <fgColor rgb="FF9BBB59"/>
        <bgColor indexed="64"/>
      </patternFill>
    </fill>
    <fill>
      <patternFill patternType="solid">
        <fgColor rgb="FFFFFF00"/>
        <bgColor indexed="64"/>
      </patternFill>
    </fill>
  </fills>
  <borders count="18">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7">
    <xf numFmtId="0" fontId="0" fillId="0" borderId="0"/>
    <xf numFmtId="9" fontId="4" fillId="0" borderId="0" applyFont="0" applyFill="0" applyBorder="0" applyAlignment="0" applyProtection="0"/>
    <xf numFmtId="0" fontId="1" fillId="0" borderId="0"/>
    <xf numFmtId="0" fontId="1" fillId="0" borderId="0"/>
    <xf numFmtId="9" fontId="4" fillId="0" borderId="0" applyFont="0" applyFill="0" applyBorder="0" applyAlignment="0" applyProtection="0"/>
    <xf numFmtId="0" fontId="43" fillId="0" borderId="0"/>
    <xf numFmtId="43" fontId="55" fillId="0" borderId="0" applyFont="0" applyFill="0" applyBorder="0" applyAlignment="0" applyProtection="0"/>
  </cellStyleXfs>
  <cellXfs count="460">
    <xf numFmtId="0" fontId="0" fillId="0" borderId="0" xfId="0"/>
    <xf numFmtId="0" fontId="2" fillId="0" borderId="0" xfId="0" applyFont="1"/>
    <xf numFmtId="3" fontId="0" fillId="0" borderId="0" xfId="0" applyNumberFormat="1"/>
    <xf numFmtId="0" fontId="8" fillId="0" borderId="0" xfId="0" applyFont="1"/>
    <xf numFmtId="3" fontId="3" fillId="0" borderId="0" xfId="0" applyNumberFormat="1" applyFont="1"/>
    <xf numFmtId="0" fontId="9" fillId="0" borderId="0" xfId="0" applyFont="1" applyAlignment="1">
      <alignment horizontal="justify"/>
    </xf>
    <xf numFmtId="0" fontId="9" fillId="0" borderId="0" xfId="0" applyFont="1" applyAlignment="1">
      <alignment horizontal="justify" vertical="center"/>
    </xf>
    <xf numFmtId="0" fontId="5" fillId="0" borderId="0" xfId="0" applyFont="1" applyAlignment="1">
      <alignment horizontal="justify" vertical="center"/>
    </xf>
    <xf numFmtId="0" fontId="10" fillId="0" borderId="0" xfId="0" applyFont="1" applyAlignment="1">
      <alignment horizontal="justify" vertical="center"/>
    </xf>
    <xf numFmtId="0" fontId="9" fillId="0" borderId="0" xfId="0" applyFont="1"/>
    <xf numFmtId="3" fontId="0" fillId="0" borderId="0" xfId="0" applyNumberFormat="1" applyFill="1"/>
    <xf numFmtId="0" fontId="5" fillId="0" borderId="0" xfId="0" applyFont="1" applyAlignment="1">
      <alignment horizontal="justify"/>
    </xf>
    <xf numFmtId="3" fontId="9" fillId="0" borderId="0" xfId="0" applyNumberFormat="1" applyFont="1"/>
    <xf numFmtId="0" fontId="9" fillId="0" borderId="0" xfId="0" applyFont="1" applyFill="1" applyAlignment="1">
      <alignment vertical="center"/>
    </xf>
    <xf numFmtId="0" fontId="9" fillId="0" borderId="0" xfId="0" applyFont="1" applyFill="1"/>
    <xf numFmtId="0" fontId="0" fillId="0" borderId="0" xfId="0" applyFill="1"/>
    <xf numFmtId="0" fontId="0" fillId="0" borderId="0" xfId="0" applyAlignment="1">
      <alignment wrapText="1"/>
    </xf>
    <xf numFmtId="0" fontId="5" fillId="0" borderId="0" xfId="0" applyFont="1" applyFill="1" applyAlignment="1">
      <alignment horizontal="justify" vertical="center"/>
    </xf>
    <xf numFmtId="0" fontId="8" fillId="0" borderId="0" xfId="0" applyFont="1" applyFill="1" applyAlignment="1">
      <alignment horizontal="justify"/>
    </xf>
    <xf numFmtId="165" fontId="2" fillId="0" borderId="0" xfId="0" applyNumberFormat="1" applyFont="1"/>
    <xf numFmtId="165" fontId="0" fillId="0" borderId="0" xfId="0" applyNumberFormat="1" applyFont="1"/>
    <xf numFmtId="0" fontId="0" fillId="0" borderId="0" xfId="0" applyFill="1" applyAlignment="1"/>
    <xf numFmtId="0" fontId="9" fillId="0" borderId="0" xfId="0" applyFont="1" applyFill="1" applyAlignment="1"/>
    <xf numFmtId="0" fontId="8" fillId="0" borderId="0" xfId="0" applyFont="1" applyFill="1" applyAlignment="1">
      <alignment vertical="center"/>
    </xf>
    <xf numFmtId="3" fontId="3" fillId="0" borderId="0" xfId="0" applyNumberFormat="1" applyFont="1" applyFill="1"/>
    <xf numFmtId="0" fontId="5" fillId="0" borderId="0" xfId="0" applyFont="1"/>
    <xf numFmtId="0" fontId="5" fillId="0" borderId="0" xfId="0" applyFont="1" applyFill="1"/>
    <xf numFmtId="165" fontId="0" fillId="0" borderId="0" xfId="0" applyNumberFormat="1"/>
    <xf numFmtId="0" fontId="9" fillId="0" borderId="0" xfId="0" applyFont="1" applyAlignment="1">
      <alignment wrapText="1"/>
    </xf>
    <xf numFmtId="0" fontId="11" fillId="0" borderId="0" xfId="0" applyFont="1"/>
    <xf numFmtId="0" fontId="12" fillId="0" borderId="0" xfId="0" applyFont="1" applyFill="1"/>
    <xf numFmtId="0" fontId="11" fillId="0" borderId="0" xfId="0" applyFont="1" applyFill="1"/>
    <xf numFmtId="3" fontId="13" fillId="0" borderId="0" xfId="0" applyNumberFormat="1" applyFont="1" applyAlignment="1">
      <alignment horizontal="center" wrapText="1"/>
    </xf>
    <xf numFmtId="3" fontId="11" fillId="0" borderId="0" xfId="0" applyNumberFormat="1" applyFont="1" applyAlignment="1">
      <alignment wrapText="1"/>
    </xf>
    <xf numFmtId="0" fontId="11" fillId="0" borderId="0" xfId="0" applyFont="1" applyAlignment="1">
      <alignment wrapText="1"/>
    </xf>
    <xf numFmtId="3" fontId="11" fillId="0" borderId="0" xfId="0" applyNumberFormat="1" applyFont="1"/>
    <xf numFmtId="3" fontId="13" fillId="0" borderId="0" xfId="0" applyNumberFormat="1" applyFont="1"/>
    <xf numFmtId="10" fontId="11" fillId="0" borderId="0" xfId="0" applyNumberFormat="1" applyFont="1"/>
    <xf numFmtId="0" fontId="12" fillId="0" borderId="0" xfId="0" applyFont="1"/>
    <xf numFmtId="165" fontId="11" fillId="0" borderId="0" xfId="0" applyNumberFormat="1" applyFont="1"/>
    <xf numFmtId="3" fontId="14" fillId="0" borderId="0" xfId="0" applyNumberFormat="1" applyFont="1"/>
    <xf numFmtId="0" fontId="11" fillId="0" borderId="0" xfId="0" applyFont="1" applyAlignment="1">
      <alignment horizontal="justify" vertical="center"/>
    </xf>
    <xf numFmtId="3" fontId="14" fillId="0" borderId="0" xfId="0" applyNumberFormat="1" applyFont="1" applyAlignment="1">
      <alignment horizontal="right" vertical="center"/>
    </xf>
    <xf numFmtId="0" fontId="11" fillId="0" borderId="0" xfId="0" applyFont="1" applyAlignment="1">
      <alignment horizontal="justify"/>
    </xf>
    <xf numFmtId="3" fontId="11" fillId="0" borderId="0" xfId="0" applyNumberFormat="1" applyFont="1" applyFill="1"/>
    <xf numFmtId="0" fontId="11" fillId="0" borderId="0" xfId="0" applyFont="1" applyFill="1" applyAlignment="1"/>
    <xf numFmtId="0" fontId="11" fillId="0" borderId="0" xfId="0" applyFont="1" applyFill="1" applyAlignment="1">
      <alignment vertical="center"/>
    </xf>
    <xf numFmtId="0" fontId="18" fillId="0" borderId="0" xfId="0" applyFont="1"/>
    <xf numFmtId="9" fontId="18" fillId="0" borderId="0" xfId="1" applyFont="1"/>
    <xf numFmtId="0" fontId="17" fillId="0" borderId="0" xfId="0" applyFont="1" applyAlignment="1">
      <alignment vertical="center"/>
    </xf>
    <xf numFmtId="3" fontId="16" fillId="0" borderId="0" xfId="0" applyNumberFormat="1" applyFont="1" applyAlignment="1">
      <alignment horizontal="right" vertical="center"/>
    </xf>
    <xf numFmtId="10" fontId="16" fillId="0" borderId="0" xfId="0" applyNumberFormat="1" applyFont="1" applyAlignment="1">
      <alignment horizontal="right" vertical="center"/>
    </xf>
    <xf numFmtId="0" fontId="10" fillId="0" borderId="3" xfId="0" applyFont="1" applyBorder="1" applyAlignment="1">
      <alignment vertical="center"/>
    </xf>
    <xf numFmtId="10" fontId="19" fillId="0" borderId="0" xfId="0" applyNumberFormat="1" applyFont="1" applyAlignment="1">
      <alignment horizontal="right" vertical="center"/>
    </xf>
    <xf numFmtId="0" fontId="17" fillId="0" borderId="3" xfId="0" applyFont="1" applyBorder="1" applyAlignment="1">
      <alignment vertical="center"/>
    </xf>
    <xf numFmtId="0" fontId="5" fillId="0" borderId="0" xfId="0" applyFont="1" applyAlignment="1">
      <alignment horizontal="left" vertical="center"/>
    </xf>
    <xf numFmtId="0" fontId="19" fillId="0" borderId="0" xfId="0" applyFont="1" applyAlignment="1">
      <alignment vertical="center"/>
    </xf>
    <xf numFmtId="0" fontId="16" fillId="0" borderId="0" xfId="0" applyFont="1" applyAlignment="1">
      <alignment horizontal="left" vertical="center" indent="1"/>
    </xf>
    <xf numFmtId="3" fontId="18" fillId="0" borderId="0" xfId="0" applyNumberFormat="1" applyFont="1"/>
    <xf numFmtId="3" fontId="16" fillId="0" borderId="2" xfId="0" applyNumberFormat="1" applyFont="1" applyBorder="1" applyAlignment="1">
      <alignment horizontal="right" vertical="center"/>
    </xf>
    <xf numFmtId="10" fontId="16" fillId="0" borderId="0" xfId="0" applyNumberFormat="1" applyFont="1" applyBorder="1" applyAlignment="1">
      <alignment horizontal="right" vertical="center"/>
    </xf>
    <xf numFmtId="3" fontId="9" fillId="0" borderId="0" xfId="0" applyNumberFormat="1" applyFont="1" applyBorder="1"/>
    <xf numFmtId="164" fontId="16" fillId="0" borderId="0" xfId="0" applyNumberFormat="1" applyFont="1" applyBorder="1" applyAlignment="1">
      <alignment horizontal="right" vertical="center"/>
    </xf>
    <xf numFmtId="166" fontId="16" fillId="0" borderId="0" xfId="0" applyNumberFormat="1" applyFont="1" applyBorder="1" applyAlignment="1">
      <alignment horizontal="right" vertical="center"/>
    </xf>
    <xf numFmtId="3" fontId="16" fillId="0" borderId="0" xfId="0" applyNumberFormat="1" applyFont="1" applyBorder="1" applyAlignment="1">
      <alignment horizontal="right" vertical="center"/>
    </xf>
    <xf numFmtId="0" fontId="17" fillId="0" borderId="0" xfId="0" applyFont="1" applyFill="1" applyBorder="1" applyAlignment="1">
      <alignment vertical="center"/>
    </xf>
    <xf numFmtId="0" fontId="17" fillId="0" borderId="2" xfId="0" applyFont="1" applyBorder="1" applyAlignment="1">
      <alignment horizontal="right" vertical="center"/>
    </xf>
    <xf numFmtId="3" fontId="16" fillId="0" borderId="0" xfId="0" applyNumberFormat="1" applyFont="1" applyAlignment="1">
      <alignment horizontal="right" vertical="center" indent="1"/>
    </xf>
    <xf numFmtId="3" fontId="16" fillId="0" borderId="2" xfId="0" applyNumberFormat="1" applyFont="1" applyBorder="1" applyAlignment="1">
      <alignment horizontal="right" vertical="center" indent="1"/>
    </xf>
    <xf numFmtId="3" fontId="9" fillId="0" borderId="0" xfId="0" applyNumberFormat="1" applyFont="1" applyBorder="1" applyAlignment="1">
      <alignment horizontal="right" vertical="center"/>
    </xf>
    <xf numFmtId="3" fontId="9" fillId="0" borderId="2" xfId="0" applyNumberFormat="1" applyFont="1" applyBorder="1" applyAlignment="1">
      <alignment horizontal="right" vertical="center"/>
    </xf>
    <xf numFmtId="3" fontId="5" fillId="0" borderId="0" xfId="0" applyNumberFormat="1" applyFont="1" applyBorder="1" applyAlignment="1">
      <alignment horizontal="right" vertical="center"/>
    </xf>
    <xf numFmtId="1" fontId="9" fillId="0" borderId="0" xfId="0" applyNumberFormat="1" applyFont="1" applyBorder="1" applyAlignment="1">
      <alignment horizontal="right" vertical="center"/>
    </xf>
    <xf numFmtId="1" fontId="16" fillId="0" borderId="0" xfId="0" applyNumberFormat="1" applyFont="1" applyBorder="1" applyAlignment="1">
      <alignment horizontal="right" vertical="center"/>
    </xf>
    <xf numFmtId="1" fontId="9" fillId="0" borderId="2" xfId="0" applyNumberFormat="1" applyFont="1" applyBorder="1" applyAlignment="1">
      <alignment horizontal="right" vertical="center"/>
    </xf>
    <xf numFmtId="1" fontId="16" fillId="0" borderId="2" xfId="0" applyNumberFormat="1" applyFont="1" applyBorder="1" applyAlignment="1">
      <alignment horizontal="right" vertical="center"/>
    </xf>
    <xf numFmtId="164" fontId="19" fillId="0" borderId="0" xfId="0" applyNumberFormat="1" applyFont="1" applyAlignment="1">
      <alignment horizontal="right" vertical="center"/>
    </xf>
    <xf numFmtId="164" fontId="19" fillId="0" borderId="0" xfId="0" applyNumberFormat="1" applyFont="1" applyFill="1" applyAlignment="1">
      <alignment horizontal="right" vertical="center"/>
    </xf>
    <xf numFmtId="164" fontId="17" fillId="0" borderId="0" xfId="0" applyNumberFormat="1" applyFont="1" applyAlignment="1">
      <alignment horizontal="right" vertical="center"/>
    </xf>
    <xf numFmtId="164" fontId="16" fillId="0" borderId="0" xfId="0" applyNumberFormat="1" applyFont="1" applyFill="1" applyAlignment="1">
      <alignment horizontal="right" vertical="center"/>
    </xf>
    <xf numFmtId="164" fontId="16" fillId="0" borderId="0" xfId="0" applyNumberFormat="1" applyFont="1" applyAlignment="1">
      <alignment horizontal="right" vertical="center"/>
    </xf>
    <xf numFmtId="164" fontId="17" fillId="0" borderId="0" xfId="0" applyNumberFormat="1" applyFont="1" applyFill="1" applyAlignment="1">
      <alignment horizontal="right" vertical="center"/>
    </xf>
    <xf numFmtId="0" fontId="17" fillId="0" borderId="4" xfId="0" applyFont="1" applyBorder="1" applyAlignme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0" fillId="0" borderId="0" xfId="0" applyFont="1" applyAlignment="1">
      <alignment vertical="center"/>
    </xf>
    <xf numFmtId="0" fontId="10" fillId="0" borderId="0" xfId="0" applyFont="1" applyAlignment="1">
      <alignment horizontal="left" vertical="center"/>
    </xf>
    <xf numFmtId="0" fontId="10" fillId="0" borderId="3" xfId="0" applyFont="1" applyBorder="1" applyAlignment="1">
      <alignment horizontal="left" vertical="center"/>
    </xf>
    <xf numFmtId="0" fontId="9" fillId="0" borderId="1" xfId="0" applyFont="1" applyBorder="1"/>
    <xf numFmtId="10" fontId="9" fillId="0" borderId="0" xfId="1" applyNumberFormat="1" applyFont="1"/>
    <xf numFmtId="0" fontId="10" fillId="0" borderId="0" xfId="0" applyFont="1" applyBorder="1" applyAlignment="1">
      <alignment vertical="center"/>
    </xf>
    <xf numFmtId="0" fontId="9" fillId="0" borderId="0" xfId="0" applyFont="1" applyFill="1" applyBorder="1"/>
    <xf numFmtId="9" fontId="9" fillId="0" borderId="0" xfId="1" applyFont="1" applyBorder="1"/>
    <xf numFmtId="165" fontId="8" fillId="0" borderId="0" xfId="0" applyNumberFormat="1" applyFont="1" applyAlignment="1">
      <alignment wrapText="1"/>
    </xf>
    <xf numFmtId="165" fontId="9" fillId="0" borderId="0" xfId="0" applyNumberFormat="1" applyFont="1" applyAlignment="1">
      <alignment wrapText="1"/>
    </xf>
    <xf numFmtId="164" fontId="9" fillId="0" borderId="0" xfId="0" applyNumberFormat="1" applyFont="1"/>
    <xf numFmtId="164" fontId="9" fillId="0" borderId="0" xfId="0" applyNumberFormat="1" applyFont="1" applyFill="1"/>
    <xf numFmtId="165" fontId="9" fillId="0" borderId="0" xfId="0" applyNumberFormat="1" applyFont="1"/>
    <xf numFmtId="165" fontId="9" fillId="0" borderId="0" xfId="0" applyNumberFormat="1" applyFont="1" applyAlignment="1">
      <alignment horizontal="right" vertical="center"/>
    </xf>
    <xf numFmtId="3" fontId="10" fillId="0" borderId="0" xfId="0" applyNumberFormat="1" applyFont="1" applyAlignment="1">
      <alignment horizontal="right" vertical="center"/>
    </xf>
    <xf numFmtId="0" fontId="5" fillId="0" borderId="0" xfId="0" applyFont="1" applyAlignment="1">
      <alignment horizontal="left"/>
    </xf>
    <xf numFmtId="0" fontId="4" fillId="0" borderId="0" xfId="0" applyFont="1"/>
    <xf numFmtId="0" fontId="22" fillId="0" borderId="0" xfId="0" applyFont="1"/>
    <xf numFmtId="0" fontId="23" fillId="0" borderId="0" xfId="0" applyFont="1"/>
    <xf numFmtId="0" fontId="22" fillId="0" borderId="0" xfId="0" applyFont="1" applyFill="1"/>
    <xf numFmtId="3" fontId="22" fillId="0" borderId="0" xfId="0" applyNumberFormat="1" applyFont="1"/>
    <xf numFmtId="0" fontId="23" fillId="0" borderId="0" xfId="0" applyFont="1" applyAlignment="1">
      <alignment horizontal="center"/>
    </xf>
    <xf numFmtId="3" fontId="23" fillId="0" borderId="0" xfId="0" applyNumberFormat="1" applyFont="1" applyAlignment="1">
      <alignment horizontal="center"/>
    </xf>
    <xf numFmtId="3" fontId="24" fillId="0" borderId="0" xfId="0" applyNumberFormat="1" applyFont="1" applyAlignment="1">
      <alignment horizontal="center"/>
    </xf>
    <xf numFmtId="0" fontId="25" fillId="0" borderId="0" xfId="0" applyFont="1" applyAlignment="1"/>
    <xf numFmtId="165" fontId="23" fillId="0" borderId="0" xfId="0" applyNumberFormat="1" applyFont="1"/>
    <xf numFmtId="3" fontId="23" fillId="0" borderId="0" xfId="0" applyNumberFormat="1" applyFont="1"/>
    <xf numFmtId="0" fontId="26" fillId="0" borderId="0" xfId="0" applyFont="1"/>
    <xf numFmtId="165" fontId="24" fillId="0" borderId="0" xfId="0" applyNumberFormat="1" applyFont="1"/>
    <xf numFmtId="3" fontId="24" fillId="0" borderId="0" xfId="0" applyNumberFormat="1" applyFont="1"/>
    <xf numFmtId="0" fontId="27" fillId="0" borderId="0" xfId="0" applyFont="1"/>
    <xf numFmtId="165" fontId="22" fillId="0" borderId="0" xfId="0" applyNumberFormat="1" applyFont="1"/>
    <xf numFmtId="0" fontId="26" fillId="0" borderId="0" xfId="0" applyFont="1" applyAlignment="1">
      <alignment horizontal="justify"/>
    </xf>
    <xf numFmtId="3" fontId="24" fillId="0" borderId="0" xfId="0" applyNumberFormat="1" applyFont="1" applyAlignment="1">
      <alignment horizontal="right"/>
    </xf>
    <xf numFmtId="0" fontId="27" fillId="0" borderId="0" xfId="0" applyFont="1" applyFill="1"/>
    <xf numFmtId="0" fontId="22" fillId="0" borderId="0" xfId="0" applyFont="1" applyAlignment="1">
      <alignment wrapText="1"/>
    </xf>
    <xf numFmtId="0" fontId="23" fillId="0" borderId="0" xfId="0" applyFont="1" applyAlignment="1">
      <alignment wrapText="1"/>
    </xf>
    <xf numFmtId="3" fontId="22" fillId="0" borderId="0" xfId="0" applyNumberFormat="1" applyFont="1" applyFill="1"/>
    <xf numFmtId="0" fontId="23" fillId="0" borderId="0" xfId="0" applyFont="1" applyAlignment="1">
      <alignment horizontal="center" wrapText="1"/>
    </xf>
    <xf numFmtId="3" fontId="23" fillId="0" borderId="0" xfId="0" applyNumberFormat="1" applyFont="1" applyFill="1" applyAlignment="1">
      <alignment horizontal="center"/>
    </xf>
    <xf numFmtId="3" fontId="23" fillId="0" borderId="0" xfId="0" applyNumberFormat="1" applyFont="1" applyFill="1"/>
    <xf numFmtId="3" fontId="24" fillId="0" borderId="0" xfId="0" applyNumberFormat="1" applyFont="1" applyFill="1"/>
    <xf numFmtId="3" fontId="24" fillId="0" borderId="0" xfId="0" applyNumberFormat="1" applyFont="1" applyFill="1" applyAlignment="1">
      <alignment horizontal="right"/>
    </xf>
    <xf numFmtId="0" fontId="26" fillId="0" borderId="0" xfId="0" applyFont="1" applyAlignment="1">
      <alignment horizontal="justify" vertical="center"/>
    </xf>
    <xf numFmtId="0" fontId="27" fillId="0" borderId="0" xfId="0" applyFont="1" applyAlignment="1">
      <alignment horizontal="justify" vertical="center"/>
    </xf>
    <xf numFmtId="3" fontId="24" fillId="0" borderId="0" xfId="0" applyNumberFormat="1" applyFont="1" applyAlignment="1">
      <alignment horizontal="right" vertical="center"/>
    </xf>
    <xf numFmtId="3" fontId="24" fillId="0" borderId="0" xfId="0" applyNumberFormat="1" applyFont="1" applyFill="1" applyAlignment="1">
      <alignment horizontal="right" vertical="center"/>
    </xf>
    <xf numFmtId="0" fontId="27" fillId="0" borderId="0" xfId="0" applyFont="1" applyFill="1" applyAlignment="1">
      <alignment horizontal="justify" vertical="center"/>
    </xf>
    <xf numFmtId="0" fontId="27" fillId="0" borderId="0" xfId="0" applyFont="1" applyAlignment="1">
      <alignment vertical="center"/>
    </xf>
    <xf numFmtId="0" fontId="25" fillId="0" borderId="0" xfId="0" applyFont="1" applyAlignment="1">
      <alignment horizontal="justify" vertical="center"/>
    </xf>
    <xf numFmtId="164" fontId="22" fillId="0" borderId="0" xfId="0" applyNumberFormat="1" applyFont="1"/>
    <xf numFmtId="164" fontId="24" fillId="0" borderId="0" xfId="0" applyNumberFormat="1" applyFont="1"/>
    <xf numFmtId="0" fontId="25" fillId="0" borderId="0" xfId="0" applyFont="1"/>
    <xf numFmtId="0" fontId="25" fillId="0" borderId="0" xfId="0" applyFont="1" applyFill="1" applyAlignment="1">
      <alignment horizontal="justify" vertical="center"/>
    </xf>
    <xf numFmtId="3" fontId="29" fillId="0" borderId="0" xfId="0" applyNumberFormat="1" applyFont="1" applyFill="1"/>
    <xf numFmtId="0" fontId="27" fillId="0" borderId="0" xfId="0" applyFont="1" applyAlignment="1">
      <alignment horizontal="justify"/>
    </xf>
    <xf numFmtId="0" fontId="27" fillId="0" borderId="0" xfId="0" applyFont="1" applyAlignment="1">
      <alignment horizontal="justify" wrapText="1"/>
    </xf>
    <xf numFmtId="0" fontId="27" fillId="0" borderId="0" xfId="0" applyFont="1" applyFill="1" applyAlignment="1">
      <alignment horizontal="justify"/>
    </xf>
    <xf numFmtId="164" fontId="22" fillId="0" borderId="0" xfId="0" applyNumberFormat="1" applyFont="1" applyFill="1"/>
    <xf numFmtId="3" fontId="29" fillId="0" borderId="0" xfId="0" applyNumberFormat="1" applyFont="1"/>
    <xf numFmtId="0" fontId="27" fillId="0" borderId="0" xfId="0" applyFont="1" applyFill="1" applyAlignment="1"/>
    <xf numFmtId="0" fontId="27" fillId="0" borderId="0" xfId="0" applyFont="1" applyFill="1" applyAlignment="1">
      <alignment vertical="center"/>
    </xf>
    <xf numFmtId="0" fontId="25" fillId="0" borderId="0" xfId="0" applyFont="1" applyAlignment="1">
      <alignment horizontal="justify"/>
    </xf>
    <xf numFmtId="3" fontId="27" fillId="0" borderId="0" xfId="0" applyNumberFormat="1" applyFont="1"/>
    <xf numFmtId="0" fontId="25" fillId="0" borderId="0" xfId="0" applyFont="1" applyFill="1" applyAlignment="1">
      <alignment vertical="center"/>
    </xf>
    <xf numFmtId="0" fontId="30" fillId="0" borderId="0" xfId="0" applyFont="1"/>
    <xf numFmtId="0" fontId="25" fillId="0" borderId="0" xfId="0" applyFont="1" applyAlignment="1">
      <alignment vertical="center"/>
    </xf>
    <xf numFmtId="3" fontId="23" fillId="0" borderId="0" xfId="0" applyNumberFormat="1" applyFont="1" applyFill="1" applyAlignment="1">
      <alignment horizontal="right"/>
    </xf>
    <xf numFmtId="0" fontId="25" fillId="0" borderId="0" xfId="0" applyFont="1" applyAlignment="1">
      <alignment horizontal="center" wrapText="1"/>
    </xf>
    <xf numFmtId="0" fontId="25" fillId="0" borderId="0" xfId="0" applyFont="1" applyFill="1"/>
    <xf numFmtId="0" fontId="22" fillId="0" borderId="0" xfId="0" applyFont="1" applyFill="1" applyAlignment="1"/>
    <xf numFmtId="0" fontId="26" fillId="0" borderId="0" xfId="0" applyFont="1" applyFill="1" applyAlignment="1">
      <alignment vertical="center"/>
    </xf>
    <xf numFmtId="3" fontId="9" fillId="0" borderId="0" xfId="0" applyNumberFormat="1" applyFont="1" applyFill="1"/>
    <xf numFmtId="3" fontId="13" fillId="0" borderId="3" xfId="0" applyNumberFormat="1" applyFont="1" applyBorder="1" applyAlignment="1">
      <alignment horizontal="center" wrapText="1"/>
    </xf>
    <xf numFmtId="0" fontId="12" fillId="0" borderId="3" xfId="0" applyFont="1" applyBorder="1" applyAlignment="1">
      <alignment wrapText="1"/>
    </xf>
    <xf numFmtId="3" fontId="11" fillId="0" borderId="3" xfId="0" applyNumberFormat="1" applyFont="1" applyBorder="1" applyAlignment="1">
      <alignment wrapText="1"/>
    </xf>
    <xf numFmtId="0" fontId="12" fillId="0" borderId="3" xfId="0" applyFont="1" applyBorder="1" applyAlignment="1">
      <alignment horizontal="justify" wrapText="1"/>
    </xf>
    <xf numFmtId="3" fontId="12" fillId="0" borderId="3" xfId="0" applyNumberFormat="1" applyFont="1" applyBorder="1" applyAlignment="1">
      <alignment wrapText="1"/>
    </xf>
    <xf numFmtId="3" fontId="5" fillId="0" borderId="3" xfId="0" applyNumberFormat="1" applyFont="1" applyBorder="1" applyAlignment="1">
      <alignment wrapText="1"/>
    </xf>
    <xf numFmtId="0" fontId="11" fillId="0" borderId="0" xfId="0" applyFont="1" applyBorder="1"/>
    <xf numFmtId="3" fontId="9" fillId="0" borderId="0" xfId="0" applyNumberFormat="1" applyFont="1" applyFill="1" applyBorder="1"/>
    <xf numFmtId="0" fontId="13" fillId="0" borderId="3" xfId="0" applyFont="1" applyBorder="1"/>
    <xf numFmtId="3" fontId="10" fillId="0" borderId="3" xfId="0" applyNumberFormat="1" applyFont="1" applyFill="1" applyBorder="1"/>
    <xf numFmtId="0" fontId="9" fillId="5" borderId="5" xfId="0" applyFont="1" applyFill="1" applyBorder="1"/>
    <xf numFmtId="0" fontId="9" fillId="0" borderId="5" xfId="0" applyFont="1" applyBorder="1"/>
    <xf numFmtId="0" fontId="12" fillId="4" borderId="5" xfId="0" applyFont="1" applyFill="1" applyBorder="1"/>
    <xf numFmtId="0" fontId="11" fillId="0" borderId="3" xfId="0" applyFont="1" applyBorder="1" applyAlignment="1">
      <alignment wrapText="1"/>
    </xf>
    <xf numFmtId="3" fontId="9" fillId="0" borderId="3" xfId="0" applyNumberFormat="1" applyFont="1" applyFill="1" applyBorder="1"/>
    <xf numFmtId="0" fontId="11" fillId="0" borderId="3" xfId="0" applyFont="1" applyBorder="1"/>
    <xf numFmtId="0" fontId="13" fillId="0" borderId="0" xfId="0" applyFont="1" applyBorder="1"/>
    <xf numFmtId="3" fontId="11" fillId="0" borderId="0" xfId="0" applyNumberFormat="1" applyFont="1" applyBorder="1"/>
    <xf numFmtId="0" fontId="31" fillId="0" borderId="0" xfId="0" applyFont="1"/>
    <xf numFmtId="3" fontId="5" fillId="0" borderId="0" xfId="0" applyNumberFormat="1" applyFont="1" applyFill="1"/>
    <xf numFmtId="3" fontId="6" fillId="0" borderId="3" xfId="0" applyNumberFormat="1" applyFont="1" applyFill="1" applyBorder="1"/>
    <xf numFmtId="3" fontId="22" fillId="3" borderId="0" xfId="0" applyNumberFormat="1" applyFont="1" applyFill="1"/>
    <xf numFmtId="3" fontId="13" fillId="6" borderId="6" xfId="0" applyNumberFormat="1" applyFont="1" applyFill="1" applyBorder="1" applyAlignment="1">
      <alignment horizontal="center" wrapText="1"/>
    </xf>
    <xf numFmtId="0" fontId="23" fillId="0" borderId="0" xfId="0" applyFont="1" applyFill="1"/>
    <xf numFmtId="0" fontId="26" fillId="0" borderId="0" xfId="0" applyFont="1" applyFill="1" applyAlignment="1">
      <alignment horizontal="justify"/>
    </xf>
    <xf numFmtId="165" fontId="24" fillId="0" borderId="0" xfId="0" applyNumberFormat="1" applyFont="1" applyFill="1"/>
    <xf numFmtId="3" fontId="25" fillId="0" borderId="0" xfId="0" applyNumberFormat="1" applyFont="1" applyAlignment="1"/>
    <xf numFmtId="3" fontId="9" fillId="0" borderId="3" xfId="0" applyNumberFormat="1" applyFont="1" applyBorder="1" applyAlignment="1">
      <alignment wrapText="1"/>
    </xf>
    <xf numFmtId="3" fontId="22" fillId="2" borderId="0" xfId="0" applyNumberFormat="1" applyFont="1" applyFill="1"/>
    <xf numFmtId="0" fontId="12" fillId="0" borderId="3" xfId="0" applyFont="1" applyBorder="1" applyAlignment="1">
      <alignment horizontal="justify" vertical="center" wrapText="1"/>
    </xf>
    <xf numFmtId="0" fontId="11" fillId="0" borderId="0" xfId="0" applyFont="1" applyFill="1" applyAlignment="1">
      <alignment wrapText="1"/>
    </xf>
    <xf numFmtId="3" fontId="11" fillId="0" borderId="0" xfId="0" applyNumberFormat="1" applyFont="1" applyFill="1" applyAlignment="1">
      <alignment wrapText="1"/>
    </xf>
    <xf numFmtId="0" fontId="11" fillId="0" borderId="3" xfId="0" applyFont="1" applyFill="1" applyBorder="1" applyAlignment="1">
      <alignment wrapText="1"/>
    </xf>
    <xf numFmtId="0" fontId="10" fillId="0" borderId="3" xfId="0" applyFont="1" applyFill="1" applyBorder="1"/>
    <xf numFmtId="0" fontId="13" fillId="0" borderId="3" xfId="0" applyFont="1" applyFill="1" applyBorder="1"/>
    <xf numFmtId="0" fontId="12" fillId="0" borderId="3" xfId="0" applyFont="1" applyFill="1" applyBorder="1" applyAlignment="1">
      <alignment wrapText="1"/>
    </xf>
    <xf numFmtId="3" fontId="9" fillId="0" borderId="3" xfId="0" applyNumberFormat="1" applyFont="1" applyFill="1" applyBorder="1" applyAlignment="1">
      <alignment wrapText="1"/>
    </xf>
    <xf numFmtId="3" fontId="11" fillId="0" borderId="3" xfId="0" applyNumberFormat="1" applyFont="1" applyFill="1" applyBorder="1" applyAlignment="1">
      <alignment wrapText="1"/>
    </xf>
    <xf numFmtId="0" fontId="12" fillId="0" borderId="3" xfId="0" applyFont="1" applyFill="1" applyBorder="1" applyAlignment="1">
      <alignment horizontal="justify" vertical="center" wrapText="1"/>
    </xf>
    <xf numFmtId="0" fontId="12" fillId="0" borderId="3" xfId="0" applyFont="1" applyFill="1" applyBorder="1" applyAlignment="1">
      <alignment horizontal="justify" wrapText="1"/>
    </xf>
    <xf numFmtId="3" fontId="12" fillId="0" borderId="3" xfId="0" applyNumberFormat="1" applyFont="1" applyFill="1" applyBorder="1" applyAlignment="1">
      <alignment wrapText="1"/>
    </xf>
    <xf numFmtId="3" fontId="9" fillId="0" borderId="0" xfId="0" applyNumberFormat="1" applyFont="1" applyBorder="1" applyAlignment="1">
      <alignment wrapText="1"/>
    </xf>
    <xf numFmtId="0" fontId="11" fillId="0" borderId="0" xfId="0" applyFont="1" applyFill="1" applyBorder="1"/>
    <xf numFmtId="10" fontId="11" fillId="0" borderId="0" xfId="0" applyNumberFormat="1" applyFont="1" applyBorder="1"/>
    <xf numFmtId="10" fontId="11" fillId="0" borderId="3" xfId="0" applyNumberFormat="1" applyFont="1" applyBorder="1"/>
    <xf numFmtId="167" fontId="22" fillId="0" borderId="0" xfId="0" applyNumberFormat="1" applyFont="1"/>
    <xf numFmtId="3" fontId="18" fillId="0" borderId="0" xfId="0" applyNumberFormat="1" applyFont="1" applyFill="1"/>
    <xf numFmtId="3" fontId="32" fillId="0" borderId="0" xfId="0" applyNumberFormat="1" applyFont="1" applyFill="1"/>
    <xf numFmtId="3" fontId="18" fillId="0" borderId="3" xfId="0" applyNumberFormat="1" applyFont="1" applyFill="1" applyBorder="1"/>
    <xf numFmtId="1" fontId="9" fillId="0" borderId="0" xfId="0" applyNumberFormat="1" applyFont="1" applyFill="1"/>
    <xf numFmtId="1" fontId="9" fillId="0" borderId="3" xfId="0" applyNumberFormat="1" applyFont="1" applyFill="1" applyBorder="1"/>
    <xf numFmtId="0" fontId="17" fillId="0" borderId="0" xfId="0" applyFont="1" applyBorder="1" applyAlignment="1">
      <alignment vertical="center"/>
    </xf>
    <xf numFmtId="0" fontId="17" fillId="0" borderId="2" xfId="0" applyFont="1" applyBorder="1" applyAlignment="1">
      <alignment vertical="center"/>
    </xf>
    <xf numFmtId="0" fontId="9" fillId="0" borderId="0" xfId="0" applyFont="1" applyBorder="1"/>
    <xf numFmtId="0" fontId="9" fillId="0" borderId="3" xfId="0" applyFont="1" applyBorder="1" applyAlignment="1">
      <alignment wrapText="1"/>
    </xf>
    <xf numFmtId="3" fontId="11" fillId="0" borderId="0" xfId="0" applyNumberFormat="1" applyFont="1" applyFill="1" applyBorder="1"/>
    <xf numFmtId="3" fontId="11" fillId="0" borderId="3" xfId="0" applyNumberFormat="1" applyFont="1" applyFill="1" applyBorder="1"/>
    <xf numFmtId="0" fontId="9" fillId="0" borderId="0" xfId="0" applyFont="1" applyBorder="1"/>
    <xf numFmtId="165" fontId="25" fillId="0" borderId="0" xfId="0" applyNumberFormat="1" applyFont="1"/>
    <xf numFmtId="3" fontId="25" fillId="0" borderId="0" xfId="0" applyNumberFormat="1" applyFont="1"/>
    <xf numFmtId="165" fontId="27" fillId="0" borderId="0" xfId="0" applyNumberFormat="1" applyFont="1"/>
    <xf numFmtId="165" fontId="26" fillId="0" borderId="0" xfId="0" applyNumberFormat="1" applyFont="1"/>
    <xf numFmtId="3" fontId="26" fillId="0" borderId="0" xfId="0" applyNumberFormat="1" applyFont="1"/>
    <xf numFmtId="0" fontId="23" fillId="3" borderId="0" xfId="0" applyFont="1" applyFill="1" applyAlignment="1">
      <alignment wrapText="1"/>
    </xf>
    <xf numFmtId="0" fontId="33" fillId="0" borderId="0" xfId="0" applyFont="1" applyFill="1"/>
    <xf numFmtId="3" fontId="3" fillId="0" borderId="0" xfId="0" applyNumberFormat="1" applyFont="1" applyAlignment="1">
      <alignment horizontal="center"/>
    </xf>
    <xf numFmtId="0" fontId="11" fillId="0" borderId="5" xfId="0" applyFont="1" applyBorder="1"/>
    <xf numFmtId="0" fontId="25" fillId="0" borderId="0" xfId="0" applyFont="1" applyAlignment="1">
      <alignment horizontal="center"/>
    </xf>
    <xf numFmtId="3" fontId="25" fillId="0" borderId="0" xfId="0" applyNumberFormat="1" applyFont="1" applyAlignment="1">
      <alignment horizontal="center"/>
    </xf>
    <xf numFmtId="3" fontId="26" fillId="0" borderId="0" xfId="0" applyNumberFormat="1" applyFont="1" applyAlignment="1">
      <alignment horizontal="center"/>
    </xf>
    <xf numFmtId="3" fontId="26" fillId="0" borderId="0" xfId="0" applyNumberFormat="1" applyFont="1" applyAlignment="1">
      <alignment horizontal="right"/>
    </xf>
    <xf numFmtId="3" fontId="26" fillId="0" borderId="0" xfId="0" applyNumberFormat="1" applyFont="1" applyAlignment="1">
      <alignment horizontal="right" vertical="center"/>
    </xf>
    <xf numFmtId="3" fontId="28" fillId="0" borderId="0" xfId="0" applyNumberFormat="1" applyFont="1"/>
    <xf numFmtId="3" fontId="27" fillId="0" borderId="0" xfId="0" applyNumberFormat="1" applyFont="1" applyFill="1"/>
    <xf numFmtId="1" fontId="27" fillId="0" borderId="0" xfId="0" applyNumberFormat="1" applyFont="1"/>
    <xf numFmtId="0" fontId="25" fillId="0" borderId="0" xfId="0" applyFont="1" applyAlignment="1">
      <alignment wrapText="1"/>
    </xf>
    <xf numFmtId="3" fontId="3" fillId="0" borderId="5" xfId="0" applyNumberFormat="1" applyFont="1" applyBorder="1" applyAlignment="1">
      <alignment horizontal="center"/>
    </xf>
    <xf numFmtId="3" fontId="5" fillId="0" borderId="3" xfId="0" applyNumberFormat="1" applyFont="1" applyFill="1" applyBorder="1" applyAlignment="1">
      <alignment wrapText="1"/>
    </xf>
    <xf numFmtId="3" fontId="18" fillId="0" borderId="0" xfId="0" applyNumberFormat="1" applyFont="1" applyBorder="1"/>
    <xf numFmtId="3" fontId="18" fillId="0" borderId="3" xfId="0" applyNumberFormat="1" applyFont="1" applyBorder="1"/>
    <xf numFmtId="0" fontId="5" fillId="0" borderId="3" xfId="0" applyFont="1" applyBorder="1"/>
    <xf numFmtId="3" fontId="6" fillId="6" borderId="3" xfId="0" applyNumberFormat="1" applyFont="1" applyFill="1" applyBorder="1" applyAlignment="1">
      <alignment horizontal="center" wrapText="1"/>
    </xf>
    <xf numFmtId="0" fontId="34" fillId="0" borderId="3" xfId="0" applyFont="1" applyBorder="1" applyAlignment="1">
      <alignment horizontal="center" vertical="center" wrapText="1"/>
    </xf>
    <xf numFmtId="0" fontId="32" fillId="0" borderId="3" xfId="0" applyFont="1" applyBorder="1" applyAlignment="1">
      <alignment horizontal="center" vertical="center" wrapText="1"/>
    </xf>
    <xf numFmtId="3" fontId="35" fillId="0" borderId="0" xfId="0" applyNumberFormat="1" applyFont="1" applyAlignment="1">
      <alignment horizontal="center" wrapText="1"/>
    </xf>
    <xf numFmtId="3" fontId="35" fillId="0" borderId="0" xfId="0" applyNumberFormat="1" applyFont="1"/>
    <xf numFmtId="0" fontId="10" fillId="0" borderId="0" xfId="0" applyFont="1" applyBorder="1"/>
    <xf numFmtId="3" fontId="18" fillId="4" borderId="3" xfId="0" applyNumberFormat="1" applyFont="1" applyFill="1" applyBorder="1"/>
    <xf numFmtId="0" fontId="9" fillId="0" borderId="0" xfId="0" applyFont="1" applyAlignment="1">
      <alignment vertical="center"/>
    </xf>
    <xf numFmtId="0" fontId="32" fillId="0" borderId="0" xfId="0" applyFont="1"/>
    <xf numFmtId="0" fontId="8" fillId="0" borderId="0" xfId="0" applyFont="1" applyFill="1"/>
    <xf numFmtId="164" fontId="15" fillId="0" borderId="0" xfId="0" applyNumberFormat="1" applyFont="1"/>
    <xf numFmtId="0" fontId="20" fillId="0" borderId="0" xfId="0" applyFont="1"/>
    <xf numFmtId="164" fontId="20" fillId="0" borderId="0" xfId="0" applyNumberFormat="1" applyFont="1"/>
    <xf numFmtId="165" fontId="15" fillId="0" borderId="0" xfId="0" applyNumberFormat="1" applyFont="1"/>
    <xf numFmtId="3" fontId="16" fillId="0" borderId="3" xfId="0" applyNumberFormat="1" applyFont="1" applyBorder="1" applyAlignment="1">
      <alignment horizontal="right" vertical="center"/>
    </xf>
    <xf numFmtId="10" fontId="9" fillId="0" borderId="3" xfId="1" applyNumberFormat="1" applyFont="1" applyBorder="1"/>
    <xf numFmtId="10" fontId="16" fillId="0" borderId="3" xfId="0" applyNumberFormat="1" applyFont="1" applyBorder="1" applyAlignment="1">
      <alignment horizontal="right" vertical="center"/>
    </xf>
    <xf numFmtId="0" fontId="21" fillId="3" borderId="6" xfId="0" applyFont="1" applyFill="1" applyBorder="1" applyAlignment="1">
      <alignment horizontal="center" vertical="center" wrapText="1"/>
    </xf>
    <xf numFmtId="0" fontId="21" fillId="2" borderId="6" xfId="0" applyFont="1" applyFill="1" applyBorder="1" applyAlignment="1">
      <alignment vertical="center"/>
    </xf>
    <xf numFmtId="0" fontId="21" fillId="2" borderId="6" xfId="0" applyFont="1" applyFill="1" applyBorder="1" applyAlignment="1">
      <alignment horizontal="center" vertical="center" wrapText="1"/>
    </xf>
    <xf numFmtId="0" fontId="36" fillId="0" borderId="0" xfId="0" applyFont="1" applyFill="1" applyBorder="1" applyAlignment="1">
      <alignment vertical="center"/>
    </xf>
    <xf numFmtId="0" fontId="10" fillId="0" borderId="0" xfId="0" applyFont="1" applyBorder="1" applyAlignment="1">
      <alignment horizontal="justify" vertical="center"/>
    </xf>
    <xf numFmtId="0" fontId="5" fillId="0" borderId="3" xfId="0" applyFont="1" applyFill="1" applyBorder="1" applyAlignment="1"/>
    <xf numFmtId="0" fontId="21" fillId="3" borderId="3" xfId="0" applyFont="1" applyFill="1" applyBorder="1" applyAlignment="1">
      <alignment horizontal="center" vertical="center"/>
    </xf>
    <xf numFmtId="0" fontId="5" fillId="2" borderId="4" xfId="0" applyFont="1" applyFill="1" applyBorder="1"/>
    <xf numFmtId="0" fontId="21" fillId="2" borderId="4" xfId="0" applyFont="1" applyFill="1" applyBorder="1" applyAlignment="1">
      <alignment horizontal="center" vertical="center"/>
    </xf>
    <xf numFmtId="0" fontId="5" fillId="2" borderId="3" xfId="0" applyFont="1" applyFill="1" applyBorder="1"/>
    <xf numFmtId="0" fontId="21" fillId="2" borderId="3" xfId="0" applyFont="1" applyFill="1" applyBorder="1" applyAlignment="1">
      <alignment horizontal="center" vertical="center"/>
    </xf>
    <xf numFmtId="0" fontId="17" fillId="0" borderId="0" xfId="0" applyFont="1" applyBorder="1" applyAlignment="1">
      <alignment horizontal="right" vertical="center"/>
    </xf>
    <xf numFmtId="0" fontId="5" fillId="2" borderId="7" xfId="0" applyFont="1" applyFill="1" applyBorder="1" applyAlignment="1">
      <alignment wrapText="1"/>
    </xf>
    <xf numFmtId="0" fontId="21" fillId="2" borderId="7" xfId="0" applyFont="1" applyFill="1" applyBorder="1" applyAlignment="1">
      <alignment horizontal="center" vertical="center" wrapText="1"/>
    </xf>
    <xf numFmtId="3" fontId="16" fillId="0" borderId="0" xfId="0" applyNumberFormat="1" applyFont="1" applyBorder="1" applyAlignment="1">
      <alignment horizontal="right" vertical="center" indent="1"/>
    </xf>
    <xf numFmtId="0" fontId="21" fillId="3" borderId="7" xfId="0" applyFont="1" applyFill="1" applyBorder="1" applyAlignment="1">
      <alignment horizontal="center" vertical="center" wrapText="1"/>
    </xf>
    <xf numFmtId="0" fontId="5" fillId="2" borderId="6" xfId="0" applyFont="1" applyFill="1" applyBorder="1" applyAlignment="1">
      <alignment wrapText="1"/>
    </xf>
    <xf numFmtId="3" fontId="9" fillId="0" borderId="3" xfId="0" applyNumberFormat="1" applyFont="1" applyBorder="1" applyAlignment="1">
      <alignment horizontal="right" vertical="center"/>
    </xf>
    <xf numFmtId="0" fontId="6" fillId="2" borderId="7" xfId="0" applyFont="1" applyFill="1" applyBorder="1" applyAlignment="1">
      <alignment wrapText="1"/>
    </xf>
    <xf numFmtId="0" fontId="6" fillId="0" borderId="0" xfId="0" applyFont="1"/>
    <xf numFmtId="0" fontId="21" fillId="2" borderId="6" xfId="0" applyFont="1" applyFill="1" applyBorder="1" applyAlignment="1">
      <alignment vertical="center" wrapText="1"/>
    </xf>
    <xf numFmtId="0" fontId="6" fillId="2" borderId="6" xfId="0" applyFont="1" applyFill="1" applyBorder="1" applyAlignment="1">
      <alignment wrapText="1"/>
    </xf>
    <xf numFmtId="0" fontId="17" fillId="2" borderId="1" xfId="0" applyFont="1" applyFill="1" applyBorder="1" applyAlignment="1">
      <alignment vertical="center"/>
    </xf>
    <xf numFmtId="0" fontId="9" fillId="2" borderId="1" xfId="0" applyFont="1" applyFill="1" applyBorder="1"/>
    <xf numFmtId="3" fontId="17" fillId="0" borderId="3" xfId="0" applyNumberFormat="1" applyFont="1" applyFill="1" applyBorder="1" applyAlignment="1">
      <alignment vertical="center"/>
    </xf>
    <xf numFmtId="0" fontId="9" fillId="0" borderId="3" xfId="0" applyFont="1" applyBorder="1"/>
    <xf numFmtId="0" fontId="5" fillId="7" borderId="6" xfId="0" applyFont="1" applyFill="1" applyBorder="1" applyAlignment="1">
      <alignment wrapText="1"/>
    </xf>
    <xf numFmtId="0" fontId="21" fillId="7" borderId="6" xfId="0" applyFont="1" applyFill="1" applyBorder="1" applyAlignment="1">
      <alignment horizontal="center" vertical="center" wrapText="1"/>
    </xf>
    <xf numFmtId="0" fontId="5" fillId="2" borderId="3" xfId="0" applyFont="1" applyFill="1" applyBorder="1"/>
    <xf numFmtId="0" fontId="9" fillId="7" borderId="3" xfId="0" applyFont="1" applyFill="1" applyBorder="1"/>
    <xf numFmtId="0" fontId="9" fillId="7" borderId="3" xfId="0" applyNumberFormat="1" applyFont="1" applyFill="1" applyBorder="1"/>
    <xf numFmtId="0" fontId="5" fillId="7" borderId="3" xfId="0" applyFont="1" applyFill="1" applyBorder="1" applyAlignment="1">
      <alignment horizontal="justify" vertical="center" wrapText="1"/>
    </xf>
    <xf numFmtId="0" fontId="5" fillId="7" borderId="3" xfId="0" applyFont="1" applyFill="1" applyBorder="1" applyAlignment="1">
      <alignment horizontal="justify" wrapText="1"/>
    </xf>
    <xf numFmtId="3" fontId="5" fillId="7" borderId="3" xfId="0" applyNumberFormat="1" applyFont="1" applyFill="1" applyBorder="1" applyAlignment="1">
      <alignment wrapText="1"/>
    </xf>
    <xf numFmtId="3" fontId="9" fillId="7" borderId="3" xfId="0" applyNumberFormat="1" applyFont="1" applyFill="1" applyBorder="1" applyAlignment="1">
      <alignment wrapText="1"/>
    </xf>
    <xf numFmtId="3" fontId="9" fillId="0" borderId="3" xfId="0" applyNumberFormat="1" applyFont="1" applyBorder="1"/>
    <xf numFmtId="3" fontId="9" fillId="0" borderId="1" xfId="0" applyNumberFormat="1" applyFont="1" applyBorder="1"/>
    <xf numFmtId="164" fontId="9" fillId="0" borderId="1" xfId="0" applyNumberFormat="1" applyFont="1" applyBorder="1"/>
    <xf numFmtId="164" fontId="9" fillId="0" borderId="0" xfId="0" applyNumberFormat="1" applyFont="1" applyBorder="1"/>
    <xf numFmtId="164" fontId="9" fillId="0" borderId="3" xfId="0" applyNumberFormat="1" applyFont="1" applyBorder="1"/>
    <xf numFmtId="0" fontId="37" fillId="0" borderId="0" xfId="0" applyFont="1" applyFill="1" applyBorder="1" applyAlignment="1">
      <alignment vertical="center"/>
    </xf>
    <xf numFmtId="0" fontId="8" fillId="0" borderId="0" xfId="0" applyFont="1" applyBorder="1"/>
    <xf numFmtId="0" fontId="38" fillId="0" borderId="0" xfId="0" applyFont="1"/>
    <xf numFmtId="0" fontId="39" fillId="0" borderId="3" xfId="0" applyFont="1" applyBorder="1"/>
    <xf numFmtId="164" fontId="39" fillId="0" borderId="3" xfId="0" applyNumberFormat="1" applyFont="1" applyBorder="1"/>
    <xf numFmtId="0" fontId="21" fillId="0" borderId="0" xfId="0" applyFont="1" applyBorder="1" applyAlignment="1">
      <alignment horizontal="center" vertical="center" wrapText="1"/>
    </xf>
    <xf numFmtId="0" fontId="21" fillId="2" borderId="3" xfId="0" applyFont="1" applyFill="1" applyBorder="1" applyAlignment="1">
      <alignment vertical="center"/>
    </xf>
    <xf numFmtId="0" fontId="21" fillId="2" borderId="3" xfId="0" applyFont="1" applyFill="1" applyBorder="1" applyAlignment="1">
      <alignment horizontal="center" wrapText="1"/>
    </xf>
    <xf numFmtId="0" fontId="10" fillId="0" borderId="0" xfId="0" applyFont="1" applyAlignment="1">
      <alignment horizontal="center" wrapText="1"/>
    </xf>
    <xf numFmtId="0" fontId="3" fillId="0" borderId="0" xfId="0" applyFont="1"/>
    <xf numFmtId="1" fontId="22" fillId="0" borderId="0" xfId="0" applyNumberFormat="1" applyFont="1"/>
    <xf numFmtId="3" fontId="9" fillId="0" borderId="0" xfId="0" applyNumberFormat="1" applyFont="1" applyFill="1" applyAlignment="1">
      <alignment horizontal="right" vertical="center"/>
    </xf>
    <xf numFmtId="0" fontId="9" fillId="0" borderId="0" xfId="0" applyFont="1" applyFill="1" applyAlignment="1">
      <alignment horizontal="right" vertical="center"/>
    </xf>
    <xf numFmtId="1" fontId="9" fillId="0" borderId="0" xfId="0" applyNumberFormat="1" applyFont="1"/>
    <xf numFmtId="0" fontId="10" fillId="0" borderId="0" xfId="0" applyFont="1" applyBorder="1" applyAlignment="1">
      <alignment horizontal="left" vertical="center"/>
    </xf>
    <xf numFmtId="0" fontId="21" fillId="2" borderId="3" xfId="0" applyFont="1" applyFill="1" applyBorder="1" applyAlignment="1">
      <alignment vertical="center" wrapText="1"/>
    </xf>
    <xf numFmtId="0" fontId="21" fillId="2" borderId="3" xfId="0" applyFont="1" applyFill="1" applyBorder="1" applyAlignment="1">
      <alignment horizontal="center" vertical="center" wrapText="1"/>
    </xf>
    <xf numFmtId="0" fontId="37" fillId="0" borderId="0" xfId="0" applyFont="1" applyFill="1" applyBorder="1" applyAlignment="1"/>
    <xf numFmtId="0" fontId="5" fillId="2" borderId="3" xfId="0" applyFont="1" applyFill="1" applyBorder="1" applyAlignment="1">
      <alignment wrapText="1"/>
    </xf>
    <xf numFmtId="0" fontId="5" fillId="2" borderId="3" xfId="0" applyFont="1" applyFill="1" applyBorder="1" applyAlignment="1">
      <alignment horizontal="left" vertical="center" wrapText="1"/>
    </xf>
    <xf numFmtId="0" fontId="10" fillId="0" borderId="3" xfId="0" applyFont="1" applyBorder="1"/>
    <xf numFmtId="0" fontId="40" fillId="0" borderId="0" xfId="0" applyFont="1" applyAlignment="1">
      <alignment horizontal="left"/>
    </xf>
    <xf numFmtId="0" fontId="41" fillId="0" borderId="0" xfId="0" applyFont="1" applyFill="1" applyBorder="1" applyAlignment="1">
      <alignment horizontal="left" vertical="center"/>
    </xf>
    <xf numFmtId="165" fontId="9" fillId="0" borderId="0" xfId="0" applyNumberFormat="1" applyFont="1" applyBorder="1"/>
    <xf numFmtId="165" fontId="9" fillId="0" borderId="3" xfId="0" applyNumberFormat="1" applyFont="1" applyBorder="1"/>
    <xf numFmtId="0" fontId="15" fillId="2" borderId="3" xfId="0" applyFont="1" applyFill="1" applyBorder="1" applyAlignment="1">
      <alignment wrapText="1"/>
    </xf>
    <xf numFmtId="3" fontId="6" fillId="2" borderId="3" xfId="0" applyNumberFormat="1" applyFont="1" applyFill="1" applyBorder="1" applyAlignment="1">
      <alignment horizontal="center" wrapText="1"/>
    </xf>
    <xf numFmtId="0" fontId="9" fillId="2" borderId="3" xfId="0" applyFont="1" applyFill="1" applyBorder="1" applyAlignment="1">
      <alignment wrapText="1"/>
    </xf>
    <xf numFmtId="0" fontId="40" fillId="2" borderId="3" xfId="0" applyFont="1" applyFill="1" applyBorder="1" applyAlignment="1">
      <alignment horizontal="center" vertical="center" wrapText="1"/>
    </xf>
    <xf numFmtId="3" fontId="4" fillId="0" borderId="0" xfId="0" applyNumberFormat="1" applyFont="1" applyAlignment="1">
      <alignment horizontal="left"/>
    </xf>
    <xf numFmtId="3" fontId="9" fillId="3" borderId="0" xfId="0" applyNumberFormat="1" applyFont="1" applyFill="1"/>
    <xf numFmtId="3" fontId="11" fillId="4" borderId="0" xfId="0" applyNumberFormat="1" applyFont="1" applyFill="1"/>
    <xf numFmtId="3" fontId="11" fillId="4" borderId="3" xfId="0" applyNumberFormat="1" applyFont="1" applyFill="1" applyBorder="1"/>
    <xf numFmtId="0" fontId="40" fillId="2" borderId="3" xfId="0" applyFont="1" applyFill="1" applyBorder="1" applyAlignment="1">
      <alignment horizontal="center" vertical="center"/>
    </xf>
    <xf numFmtId="0" fontId="15" fillId="2" borderId="3" xfId="0" applyFont="1" applyFill="1" applyBorder="1" applyAlignment="1">
      <alignment horizontal="left" vertical="center" wrapText="1"/>
    </xf>
    <xf numFmtId="0" fontId="44" fillId="6" borderId="8" xfId="0" applyFont="1" applyFill="1" applyBorder="1"/>
    <xf numFmtId="0" fontId="9" fillId="6" borderId="9" xfId="0" applyFont="1" applyFill="1" applyBorder="1"/>
    <xf numFmtId="0" fontId="27" fillId="3" borderId="0" xfId="0" applyFont="1" applyFill="1"/>
    <xf numFmtId="0" fontId="27" fillId="3" borderId="0" xfId="0" applyFont="1" applyFill="1" applyAlignment="1">
      <alignment wrapText="1"/>
    </xf>
    <xf numFmtId="0" fontId="27" fillId="2" borderId="0" xfId="0" applyFont="1" applyFill="1"/>
    <xf numFmtId="165" fontId="22" fillId="3" borderId="0" xfId="0" applyNumberFormat="1" applyFont="1" applyFill="1"/>
    <xf numFmtId="165" fontId="29" fillId="3" borderId="0" xfId="0" applyNumberFormat="1" applyFont="1" applyFill="1"/>
    <xf numFmtId="165" fontId="22" fillId="2" borderId="0" xfId="0" applyNumberFormat="1" applyFont="1" applyFill="1"/>
    <xf numFmtId="0" fontId="27" fillId="2" borderId="0" xfId="0" applyFont="1" applyFill="1" applyAlignment="1">
      <alignment wrapText="1"/>
    </xf>
    <xf numFmtId="165" fontId="27" fillId="3" borderId="0" xfId="0" applyNumberFormat="1" applyFont="1" applyFill="1"/>
    <xf numFmtId="165" fontId="27" fillId="2" borderId="0" xfId="0" applyNumberFormat="1" applyFont="1" applyFill="1"/>
    <xf numFmtId="165" fontId="28" fillId="3" borderId="0" xfId="0" applyNumberFormat="1" applyFont="1" applyFill="1"/>
    <xf numFmtId="3" fontId="45" fillId="0" borderId="0" xfId="0" applyNumberFormat="1" applyFont="1" applyFill="1" applyAlignment="1">
      <alignment horizontal="right" vertical="center"/>
    </xf>
    <xf numFmtId="3" fontId="9" fillId="0" borderId="3" xfId="0" applyNumberFormat="1" applyFont="1" applyFill="1" applyBorder="1" applyAlignment="1">
      <alignment horizontal="right" vertical="center"/>
    </xf>
    <xf numFmtId="0" fontId="10" fillId="2" borderId="3" xfId="0" applyFont="1" applyFill="1" applyBorder="1" applyAlignment="1">
      <alignment horizontal="left" vertical="center"/>
    </xf>
    <xf numFmtId="0" fontId="6" fillId="2" borderId="3" xfId="0" applyFont="1" applyFill="1" applyBorder="1" applyAlignment="1">
      <alignment horizontal="left" vertical="center"/>
    </xf>
    <xf numFmtId="0" fontId="6" fillId="2" borderId="3" xfId="0" applyFont="1" applyFill="1" applyBorder="1" applyAlignment="1">
      <alignment horizontal="left" vertical="center" wrapText="1"/>
    </xf>
    <xf numFmtId="0" fontId="6" fillId="2" borderId="3" xfId="0" applyFont="1" applyFill="1" applyBorder="1" applyAlignment="1">
      <alignment horizontal="justify" vertical="center" wrapText="1"/>
    </xf>
    <xf numFmtId="0" fontId="6" fillId="2" borderId="3" xfId="0" applyFont="1" applyFill="1" applyBorder="1" applyAlignment="1">
      <alignment horizontal="center" vertical="center" wrapText="1"/>
    </xf>
    <xf numFmtId="2" fontId="5" fillId="0" borderId="0" xfId="0" applyNumberFormat="1" applyFont="1" applyAlignment="1">
      <alignment horizontal="center" wrapText="1"/>
    </xf>
    <xf numFmtId="2" fontId="5" fillId="7" borderId="3" xfId="0" applyNumberFormat="1" applyFont="1" applyFill="1" applyBorder="1" applyAlignment="1">
      <alignment horizontal="center" wrapText="1"/>
    </xf>
    <xf numFmtId="0" fontId="34" fillId="7" borderId="3" xfId="0" applyFont="1" applyFill="1" applyBorder="1" applyAlignment="1">
      <alignment horizontal="center" wrapText="1"/>
    </xf>
    <xf numFmtId="0" fontId="46" fillId="0" borderId="0" xfId="0" applyFont="1"/>
    <xf numFmtId="0" fontId="47" fillId="0" borderId="0" xfId="0" applyFont="1" applyAlignment="1">
      <alignment horizontal="center"/>
    </xf>
    <xf numFmtId="0" fontId="46" fillId="3" borderId="0" xfId="0" applyFont="1" applyFill="1"/>
    <xf numFmtId="0" fontId="48" fillId="0" borderId="0" xfId="0" applyFont="1"/>
    <xf numFmtId="3" fontId="18" fillId="5" borderId="5" xfId="0" applyNumberFormat="1" applyFont="1" applyFill="1" applyBorder="1"/>
    <xf numFmtId="0" fontId="32" fillId="8" borderId="10" xfId="0" applyFont="1" applyFill="1" applyBorder="1" applyAlignment="1">
      <alignment horizontal="center" vertical="center" wrapText="1"/>
    </xf>
    <xf numFmtId="3" fontId="18" fillId="4" borderId="0" xfId="0" applyNumberFormat="1" applyFont="1" applyFill="1"/>
    <xf numFmtId="0" fontId="9" fillId="0" borderId="3" xfId="0" applyFont="1" applyFill="1" applyBorder="1" applyAlignment="1">
      <alignment wrapText="1"/>
    </xf>
    <xf numFmtId="0" fontId="49" fillId="0" borderId="0" xfId="0" applyFont="1"/>
    <xf numFmtId="3" fontId="11" fillId="4" borderId="0" xfId="0" applyNumberFormat="1" applyFont="1" applyFill="1" applyBorder="1"/>
    <xf numFmtId="0" fontId="18" fillId="5" borderId="5" xfId="0" applyFont="1" applyFill="1" applyBorder="1"/>
    <xf numFmtId="0" fontId="46" fillId="0" borderId="0" xfId="0" applyFont="1" applyFill="1"/>
    <xf numFmtId="3" fontId="9" fillId="4" borderId="0" xfId="0" applyNumberFormat="1" applyFont="1" applyFill="1"/>
    <xf numFmtId="3" fontId="9" fillId="4" borderId="0" xfId="0" applyNumberFormat="1" applyFont="1" applyFill="1" applyBorder="1"/>
    <xf numFmtId="3" fontId="9" fillId="4" borderId="3" xfId="0" applyNumberFormat="1" applyFont="1" applyFill="1" applyBorder="1"/>
    <xf numFmtId="0" fontId="50" fillId="0" borderId="0" xfId="0" applyFont="1"/>
    <xf numFmtId="0" fontId="10" fillId="0" borderId="0" xfId="0" applyFont="1" applyBorder="1" applyAlignment="1">
      <alignment horizontal="justify" vertical="center"/>
    </xf>
    <xf numFmtId="3" fontId="16" fillId="0" borderId="0" xfId="0" applyNumberFormat="1" applyFont="1" applyFill="1" applyBorder="1" applyAlignment="1">
      <alignment horizontal="right" vertical="center"/>
    </xf>
    <xf numFmtId="10" fontId="11" fillId="0" borderId="0" xfId="1" applyNumberFormat="1" applyFont="1"/>
    <xf numFmtId="0" fontId="9" fillId="8" borderId="3" xfId="0" applyFont="1" applyFill="1" applyBorder="1" applyAlignment="1">
      <alignment wrapText="1"/>
    </xf>
    <xf numFmtId="0" fontId="5" fillId="0" borderId="0" xfId="0" applyFont="1" applyAlignment="1">
      <alignment horizontal="center"/>
    </xf>
    <xf numFmtId="10" fontId="51" fillId="0" borderId="3" xfId="1" applyNumberFormat="1" applyFont="1" applyFill="1" applyBorder="1"/>
    <xf numFmtId="3" fontId="16" fillId="0" borderId="3" xfId="0" applyNumberFormat="1" applyFont="1" applyFill="1" applyBorder="1" applyAlignment="1">
      <alignment horizontal="right" vertical="center"/>
    </xf>
    <xf numFmtId="0" fontId="9" fillId="2" borderId="1" xfId="0" applyFont="1" applyFill="1" applyBorder="1" applyAlignment="1">
      <alignment horizontal="center"/>
    </xf>
    <xf numFmtId="164" fontId="9" fillId="0" borderId="7" xfId="1" applyNumberFormat="1" applyFont="1" applyBorder="1" applyAlignment="1">
      <alignment horizontal="center"/>
    </xf>
    <xf numFmtId="3" fontId="0" fillId="0" borderId="0" xfId="0" applyNumberFormat="1" applyBorder="1"/>
    <xf numFmtId="3" fontId="0" fillId="0" borderId="3" xfId="0" applyNumberFormat="1" applyBorder="1"/>
    <xf numFmtId="0" fontId="52" fillId="0" borderId="0" xfId="0" applyFont="1" applyAlignment="1">
      <alignment horizontal="left" vertical="center" readingOrder="1"/>
    </xf>
    <xf numFmtId="0" fontId="0" fillId="2" borderId="0" xfId="0" applyFill="1"/>
    <xf numFmtId="0" fontId="0" fillId="2" borderId="3" xfId="0" applyFill="1" applyBorder="1"/>
    <xf numFmtId="165" fontId="16" fillId="0" borderId="0" xfId="0" applyNumberFormat="1" applyFont="1" applyAlignment="1">
      <alignment horizontal="right" vertical="center"/>
    </xf>
    <xf numFmtId="165" fontId="16" fillId="0" borderId="0" xfId="0" applyNumberFormat="1" applyFont="1" applyBorder="1" applyAlignment="1">
      <alignment horizontal="right" vertical="center"/>
    </xf>
    <xf numFmtId="165" fontId="16" fillId="0" borderId="3" xfId="0" applyNumberFormat="1" applyFont="1" applyBorder="1" applyAlignment="1">
      <alignment horizontal="right" vertical="center"/>
    </xf>
    <xf numFmtId="0" fontId="54" fillId="0" borderId="0" xfId="0" applyFont="1" applyAlignment="1">
      <alignment horizontal="center" vertical="center"/>
    </xf>
    <xf numFmtId="1" fontId="21" fillId="2" borderId="6" xfId="0" applyNumberFormat="1" applyFont="1" applyFill="1" applyBorder="1" applyAlignment="1">
      <alignment horizontal="right" vertical="center" wrapText="1"/>
    </xf>
    <xf numFmtId="1" fontId="0" fillId="0" borderId="0" xfId="0" applyNumberFormat="1"/>
    <xf numFmtId="3" fontId="0" fillId="4" borderId="0" xfId="0" applyNumberFormat="1" applyFill="1"/>
    <xf numFmtId="3" fontId="0" fillId="4" borderId="0" xfId="0" applyNumberFormat="1" applyFill="1" applyBorder="1"/>
    <xf numFmtId="0" fontId="47" fillId="0" borderId="0" xfId="0" applyFont="1"/>
    <xf numFmtId="164" fontId="17" fillId="0" borderId="0" xfId="0" applyNumberFormat="1" applyFont="1" applyBorder="1" applyAlignment="1">
      <alignment horizontal="right" vertical="center"/>
    </xf>
    <xf numFmtId="164" fontId="17" fillId="0" borderId="0" xfId="0" applyNumberFormat="1" applyFont="1" applyFill="1" applyBorder="1" applyAlignment="1">
      <alignment horizontal="right" vertical="center"/>
    </xf>
    <xf numFmtId="164" fontId="17" fillId="0" borderId="2" xfId="0" applyNumberFormat="1" applyFont="1" applyBorder="1" applyAlignment="1">
      <alignment horizontal="right" vertical="center"/>
    </xf>
    <xf numFmtId="164" fontId="17" fillId="0" borderId="2" xfId="0" applyNumberFormat="1" applyFont="1" applyFill="1" applyBorder="1" applyAlignment="1">
      <alignment horizontal="right" vertical="center"/>
    </xf>
    <xf numFmtId="10" fontId="10" fillId="0" borderId="0" xfId="1" applyNumberFormat="1" applyFont="1" applyBorder="1" applyAlignment="1">
      <alignment horizontal="left" vertical="center"/>
    </xf>
    <xf numFmtId="0" fontId="5" fillId="0" borderId="5" xfId="0" applyFont="1" applyBorder="1"/>
    <xf numFmtId="0" fontId="32" fillId="0" borderId="11" xfId="0" applyFont="1" applyBorder="1" applyAlignment="1">
      <alignment wrapText="1"/>
    </xf>
    <xf numFmtId="0" fontId="32" fillId="0" borderId="12" xfId="0" applyFont="1" applyBorder="1"/>
    <xf numFmtId="0" fontId="5" fillId="0" borderId="13" xfId="0" applyFont="1" applyBorder="1"/>
    <xf numFmtId="2" fontId="18" fillId="0" borderId="0" xfId="0" applyNumberFormat="1" applyFont="1" applyBorder="1"/>
    <xf numFmtId="2" fontId="18" fillId="0" borderId="14" xfId="0" applyNumberFormat="1" applyFont="1" applyBorder="1"/>
    <xf numFmtId="0" fontId="5" fillId="0" borderId="15" xfId="0" applyFont="1" applyBorder="1"/>
    <xf numFmtId="2" fontId="18" fillId="0" borderId="2" xfId="0" applyNumberFormat="1" applyFont="1" applyBorder="1"/>
    <xf numFmtId="2" fontId="18" fillId="0" borderId="16" xfId="0" applyNumberFormat="1" applyFont="1" applyBorder="1"/>
    <xf numFmtId="168" fontId="0" fillId="0" borderId="0" xfId="0" applyNumberFormat="1"/>
    <xf numFmtId="3" fontId="9" fillId="9" borderId="0" xfId="0" applyNumberFormat="1" applyFont="1" applyFill="1" applyAlignment="1">
      <alignment horizontal="right" vertical="center"/>
    </xf>
    <xf numFmtId="3" fontId="9" fillId="9" borderId="2" xfId="0" applyNumberFormat="1" applyFont="1" applyFill="1" applyBorder="1" applyAlignment="1">
      <alignment horizontal="right" vertical="center"/>
    </xf>
    <xf numFmtId="10" fontId="16" fillId="9" borderId="0" xfId="0" applyNumberFormat="1" applyFont="1" applyFill="1" applyBorder="1" applyAlignment="1">
      <alignment horizontal="right" vertical="center"/>
    </xf>
    <xf numFmtId="0" fontId="17" fillId="9" borderId="2" xfId="0" applyFont="1" applyFill="1" applyBorder="1" applyAlignment="1">
      <alignment horizontal="right" vertical="center"/>
    </xf>
    <xf numFmtId="3" fontId="16" fillId="9" borderId="0" xfId="0" applyNumberFormat="1" applyFont="1" applyFill="1" applyAlignment="1">
      <alignment horizontal="right" vertical="center" wrapText="1"/>
    </xf>
    <xf numFmtId="3" fontId="16" fillId="9" borderId="2" xfId="0" applyNumberFormat="1" applyFont="1" applyFill="1" applyBorder="1" applyAlignment="1">
      <alignment horizontal="right" vertical="center" wrapText="1"/>
    </xf>
    <xf numFmtId="3" fontId="16" fillId="9" borderId="0" xfId="0" applyNumberFormat="1" applyFont="1" applyFill="1" applyBorder="1" applyAlignment="1">
      <alignment horizontal="right" vertical="center" wrapText="1"/>
    </xf>
    <xf numFmtId="3" fontId="16" fillId="9" borderId="3" xfId="0" applyNumberFormat="1" applyFont="1" applyFill="1" applyBorder="1" applyAlignment="1">
      <alignment horizontal="right" vertical="center" wrapText="1"/>
    </xf>
    <xf numFmtId="3" fontId="53" fillId="9" borderId="0" xfId="0" applyNumberFormat="1" applyFont="1" applyFill="1" applyBorder="1" applyAlignment="1">
      <alignment horizontal="right" vertical="center" wrapText="1"/>
    </xf>
    <xf numFmtId="3" fontId="53" fillId="9" borderId="3" xfId="0" applyNumberFormat="1" applyFont="1" applyFill="1" applyBorder="1" applyAlignment="1">
      <alignment horizontal="right" vertical="center" wrapText="1"/>
    </xf>
    <xf numFmtId="1" fontId="16" fillId="9" borderId="0" xfId="0" applyNumberFormat="1" applyFont="1" applyFill="1" applyBorder="1" applyAlignment="1">
      <alignment horizontal="right" vertical="center" wrapText="1"/>
    </xf>
    <xf numFmtId="1" fontId="16" fillId="9" borderId="2" xfId="0" applyNumberFormat="1" applyFont="1" applyFill="1" applyBorder="1" applyAlignment="1">
      <alignment horizontal="right" vertical="center" wrapText="1"/>
    </xf>
    <xf numFmtId="164" fontId="19" fillId="9" borderId="0" xfId="0" applyNumberFormat="1" applyFont="1" applyFill="1" applyAlignment="1">
      <alignment horizontal="right" vertical="center"/>
    </xf>
    <xf numFmtId="164" fontId="17" fillId="9" borderId="0" xfId="0" applyNumberFormat="1" applyFont="1" applyFill="1" applyAlignment="1">
      <alignment horizontal="right" vertical="center"/>
    </xf>
    <xf numFmtId="164" fontId="16" fillId="9" borderId="0" xfId="0" applyNumberFormat="1" applyFont="1" applyFill="1" applyAlignment="1">
      <alignment horizontal="right" vertical="center"/>
    </xf>
    <xf numFmtId="164" fontId="17" fillId="9" borderId="0" xfId="0" applyNumberFormat="1" applyFont="1" applyFill="1" applyBorder="1" applyAlignment="1">
      <alignment horizontal="right" vertical="center"/>
    </xf>
    <xf numFmtId="164" fontId="17" fillId="9" borderId="2" xfId="0" applyNumberFormat="1" applyFont="1" applyFill="1" applyBorder="1" applyAlignment="1">
      <alignment horizontal="right" vertical="center"/>
    </xf>
    <xf numFmtId="0" fontId="0" fillId="0" borderId="2" xfId="0" applyBorder="1"/>
    <xf numFmtId="3" fontId="0" fillId="0" borderId="2" xfId="0" applyNumberFormat="1" applyBorder="1"/>
    <xf numFmtId="168" fontId="0" fillId="0" borderId="2" xfId="0" applyNumberFormat="1" applyBorder="1"/>
    <xf numFmtId="0" fontId="0" fillId="0" borderId="1" xfId="0" applyBorder="1"/>
    <xf numFmtId="3" fontId="0" fillId="0" borderId="1" xfId="0" applyNumberFormat="1" applyBorder="1"/>
    <xf numFmtId="168" fontId="0" fillId="0" borderId="1" xfId="0" applyNumberFormat="1" applyBorder="1"/>
    <xf numFmtId="3" fontId="9" fillId="0" borderId="4" xfId="0" applyNumberFormat="1" applyFont="1" applyBorder="1" applyAlignment="1">
      <alignment horizontal="right" vertical="center"/>
    </xf>
    <xf numFmtId="3" fontId="16" fillId="9" borderId="4" xfId="0" applyNumberFormat="1" applyFont="1" applyFill="1" applyBorder="1" applyAlignment="1">
      <alignment horizontal="right" vertical="center" wrapText="1"/>
    </xf>
    <xf numFmtId="166" fontId="9" fillId="0" borderId="0" xfId="0" applyNumberFormat="1" applyFont="1" applyFill="1"/>
    <xf numFmtId="0" fontId="11" fillId="0" borderId="11" xfId="0" applyFont="1" applyBorder="1"/>
    <xf numFmtId="0" fontId="11" fillId="0" borderId="12" xfId="0" applyFont="1" applyBorder="1"/>
    <xf numFmtId="0" fontId="51" fillId="0" borderId="17" xfId="0" applyFont="1" applyBorder="1"/>
    <xf numFmtId="10" fontId="56" fillId="0" borderId="5" xfId="0" applyNumberFormat="1" applyFont="1" applyBorder="1"/>
    <xf numFmtId="10" fontId="56" fillId="0" borderId="5" xfId="1" applyNumberFormat="1" applyFont="1" applyBorder="1"/>
    <xf numFmtId="10" fontId="9" fillId="0" borderId="0" xfId="0" applyNumberFormat="1" applyFont="1" applyBorder="1" applyAlignment="1">
      <alignment horizontal="right" vertical="center"/>
    </xf>
    <xf numFmtId="9" fontId="9" fillId="0" borderId="0" xfId="1" applyFont="1"/>
    <xf numFmtId="0" fontId="10" fillId="0" borderId="0" xfId="0" applyFont="1" applyBorder="1" applyAlignment="1">
      <alignment horizontal="justify" vertical="center"/>
    </xf>
    <xf numFmtId="10" fontId="57" fillId="0" borderId="0" xfId="0" applyNumberFormat="1" applyFont="1" applyAlignment="1">
      <alignment horizontal="right" vertical="center"/>
    </xf>
    <xf numFmtId="10" fontId="53" fillId="0" borderId="0" xfId="0" applyNumberFormat="1" applyFont="1" applyAlignment="1">
      <alignment horizontal="right" vertical="center"/>
    </xf>
    <xf numFmtId="3" fontId="58" fillId="0" borderId="0" xfId="0" applyNumberFormat="1" applyFont="1" applyFill="1" applyAlignment="1">
      <alignment horizontal="right" vertical="center"/>
    </xf>
    <xf numFmtId="3" fontId="59" fillId="0" borderId="0" xfId="0" applyNumberFormat="1" applyFont="1" applyFill="1" applyAlignment="1">
      <alignment horizontal="right" vertical="center"/>
    </xf>
    <xf numFmtId="43" fontId="0" fillId="0" borderId="5" xfId="6" applyFont="1" applyBorder="1"/>
    <xf numFmtId="168" fontId="0" fillId="0" borderId="5" xfId="0" applyNumberFormat="1" applyBorder="1"/>
    <xf numFmtId="0" fontId="0" fillId="2" borderId="5" xfId="0" applyFill="1" applyBorder="1"/>
    <xf numFmtId="0" fontId="0" fillId="2" borderId="5" xfId="0" applyFill="1" applyBorder="1" applyAlignment="1">
      <alignment wrapText="1"/>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17" fillId="2" borderId="1" xfId="0" applyFont="1" applyFill="1" applyBorder="1" applyAlignment="1">
      <alignment horizontal="center" vertical="center"/>
    </xf>
    <xf numFmtId="0" fontId="5" fillId="2" borderId="4" xfId="0" applyFont="1" applyFill="1" applyBorder="1"/>
    <xf numFmtId="0" fontId="5" fillId="2" borderId="3" xfId="0" applyFont="1" applyFill="1" applyBorder="1"/>
    <xf numFmtId="0" fontId="10" fillId="0" borderId="0" xfId="0" quotePrefix="1" applyFont="1" applyBorder="1" applyAlignment="1">
      <alignment horizontal="justify" vertical="center"/>
    </xf>
    <xf numFmtId="0" fontId="10" fillId="0" borderId="0" xfId="0" applyFont="1" applyBorder="1" applyAlignment="1">
      <alignment horizontal="justify" vertical="center"/>
    </xf>
    <xf numFmtId="0" fontId="9" fillId="0" borderId="0" xfId="0" applyFont="1" applyAlignment="1">
      <alignment vertical="center"/>
    </xf>
    <xf numFmtId="0" fontId="21" fillId="2" borderId="4" xfId="0" applyFont="1" applyFill="1" applyBorder="1" applyAlignment="1">
      <alignment horizontal="center" vertical="center"/>
    </xf>
    <xf numFmtId="0" fontId="21" fillId="2" borderId="3" xfId="0" applyFont="1" applyFill="1" applyBorder="1" applyAlignment="1">
      <alignment horizontal="center" vertical="center"/>
    </xf>
    <xf numFmtId="0" fontId="10" fillId="0" borderId="4" xfId="0" applyFont="1" applyBorder="1" applyAlignment="1">
      <alignment horizontal="left" vertical="center"/>
    </xf>
  </cellXfs>
  <cellStyles count="7">
    <cellStyle name="Millares" xfId="6" builtinId="3"/>
    <cellStyle name="Normal" xfId="0" builtinId="0"/>
    <cellStyle name="Normal 10" xfId="3"/>
    <cellStyle name="Normal 2" xfId="2"/>
    <cellStyle name="Normal 5 4" xfId="5"/>
    <cellStyle name="Porcentaje" xfId="1" builtinId="5"/>
    <cellStyle name="Porcentaje 2" xfId="4"/>
  </cellStyles>
  <dxfs count="1">
    <dxf>
      <fill>
        <patternFill>
          <bgColor theme="3" tint="0.39994506668294322"/>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BBB59"/>
      <rgbColor rgb="00003366"/>
      <rgbColor rgb="00339966"/>
      <rgbColor rgb="00003300"/>
      <rgbColor rgb="00333300"/>
      <rgbColor rgb="00993300"/>
      <rgbColor rgb="00993366"/>
      <rgbColor rgb="00333399"/>
      <rgbColor rgb="00333333"/>
    </indexedColors>
    <mruColors>
      <color rgb="FFFFFFCC"/>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96047654393131E-2"/>
          <c:y val="5.5925565910194076E-2"/>
          <c:w val="0.88985819444553482"/>
          <c:h val="0.85940472712503291"/>
        </c:manualLayout>
      </c:layout>
      <c:scatterChart>
        <c:scatterStyle val="lineMarker"/>
        <c:varyColors val="0"/>
        <c:ser>
          <c:idx val="0"/>
          <c:order val="0"/>
          <c:tx>
            <c:strRef>
              <c:f>Gráficos!$D$7</c:f>
              <c:strCache>
                <c:ptCount val="1"/>
                <c:pt idx="0">
                  <c:v>Saldo relativo per cápita, euros</c:v>
                </c:pt>
              </c:strCache>
            </c:strRef>
          </c:tx>
          <c:spPr>
            <a:ln w="28575" cap="rnd">
              <a:noFill/>
              <a:round/>
            </a:ln>
            <a:effectLst/>
          </c:spPr>
          <c:marker>
            <c:symbol val="circle"/>
            <c:size val="5"/>
            <c:spPr>
              <a:solidFill>
                <a:schemeClr val="accent1"/>
              </a:solidFill>
              <a:ln w="9525">
                <a:solidFill>
                  <a:schemeClr val="accent1"/>
                </a:solidFill>
              </a:ln>
              <a:effectLst/>
            </c:spPr>
          </c:marker>
          <c:dPt>
            <c:idx val="18"/>
            <c:marker>
              <c:symbol val="x"/>
              <c:size val="5"/>
              <c:spPr>
                <a:solidFill>
                  <a:schemeClr val="accent1"/>
                </a:solidFill>
                <a:ln w="9525">
                  <a:solidFill>
                    <a:schemeClr val="accent1"/>
                  </a:solidFill>
                </a:ln>
                <a:effectLst/>
              </c:spPr>
            </c:marker>
            <c:bubble3D val="0"/>
          </c:dPt>
          <c:dPt>
            <c:idx val="19"/>
            <c:marker>
              <c:symbol val="x"/>
              <c:size val="5"/>
              <c:spPr>
                <a:solidFill>
                  <a:schemeClr val="accent1"/>
                </a:solidFill>
                <a:ln w="9525">
                  <a:solidFill>
                    <a:schemeClr val="accent1"/>
                  </a:solidFill>
                </a:ln>
                <a:effectLst/>
              </c:spPr>
            </c:marker>
            <c:bubble3D val="0"/>
          </c:dPt>
          <c:dLbls>
            <c:dLbl>
              <c:idx val="0"/>
              <c:tx>
                <c:rich>
                  <a:bodyPr/>
                  <a:lstStyle/>
                  <a:p>
                    <a:r>
                      <a:rPr lang="en-US"/>
                      <a:t>Andalucía</a:t>
                    </a:r>
                  </a:p>
                </c:rich>
              </c:tx>
              <c:showLegendKey val="0"/>
              <c:showVal val="1"/>
              <c:showCatName val="0"/>
              <c:showSerName val="0"/>
              <c:showPercent val="0"/>
              <c:showBubbleSize val="0"/>
              <c:extLst>
                <c:ext xmlns:c15="http://schemas.microsoft.com/office/drawing/2012/chart" uri="{CE6537A1-D6FC-4f65-9D91-7224C49458BB}"/>
              </c:extLst>
            </c:dLbl>
            <c:dLbl>
              <c:idx val="1"/>
              <c:tx>
                <c:rich>
                  <a:bodyPr/>
                  <a:lstStyle/>
                  <a:p>
                    <a:r>
                      <a:rPr lang="en-US"/>
                      <a:t>Aragón</a:t>
                    </a:r>
                  </a:p>
                </c:rich>
              </c:tx>
              <c:showLegendKey val="0"/>
              <c:showVal val="1"/>
              <c:showCatName val="0"/>
              <c:showSerName val="0"/>
              <c:showPercent val="0"/>
              <c:showBubbleSize val="0"/>
              <c:extLst>
                <c:ext xmlns:c15="http://schemas.microsoft.com/office/drawing/2012/chart" uri="{CE6537A1-D6FC-4f65-9D91-7224C49458BB}"/>
              </c:extLst>
            </c:dLbl>
            <c:dLbl>
              <c:idx val="2"/>
              <c:tx>
                <c:rich>
                  <a:bodyPr/>
                  <a:lstStyle/>
                  <a:p>
                    <a:r>
                      <a:rPr lang="en-US"/>
                      <a:t>Asturias</a:t>
                    </a:r>
                  </a:p>
                </c:rich>
              </c:tx>
              <c:showLegendKey val="0"/>
              <c:showVal val="1"/>
              <c:showCatName val="0"/>
              <c:showSerName val="0"/>
              <c:showPercent val="0"/>
              <c:showBubbleSize val="0"/>
              <c:extLst>
                <c:ext xmlns:c15="http://schemas.microsoft.com/office/drawing/2012/chart" uri="{CE6537A1-D6FC-4f65-9D91-7224C49458BB}"/>
              </c:extLst>
            </c:dLbl>
            <c:dLbl>
              <c:idx val="3"/>
              <c:tx>
                <c:rich>
                  <a:bodyPr/>
                  <a:lstStyle/>
                  <a:p>
                    <a:r>
                      <a:rPr lang="en-US"/>
                      <a:t>Baleares</a:t>
                    </a:r>
                  </a:p>
                </c:rich>
              </c:tx>
              <c:showLegendKey val="0"/>
              <c:showVal val="1"/>
              <c:showCatName val="0"/>
              <c:showSerName val="0"/>
              <c:showPercent val="0"/>
              <c:showBubbleSize val="0"/>
              <c:extLst>
                <c:ext xmlns:c15="http://schemas.microsoft.com/office/drawing/2012/chart" uri="{CE6537A1-D6FC-4f65-9D91-7224C49458BB}"/>
              </c:extLst>
            </c:dLbl>
            <c:dLbl>
              <c:idx val="4"/>
              <c:tx>
                <c:rich>
                  <a:bodyPr/>
                  <a:lstStyle/>
                  <a:p>
                    <a:r>
                      <a:rPr lang="en-US"/>
                      <a:t>Canarias</a:t>
                    </a:r>
                  </a:p>
                </c:rich>
              </c:tx>
              <c:showLegendKey val="0"/>
              <c:showVal val="1"/>
              <c:showCatName val="0"/>
              <c:showSerName val="0"/>
              <c:showPercent val="0"/>
              <c:showBubbleSize val="0"/>
              <c:extLst>
                <c:ext xmlns:c15="http://schemas.microsoft.com/office/drawing/2012/chart" uri="{CE6537A1-D6FC-4f65-9D91-7224C49458BB}"/>
              </c:extLst>
            </c:dLbl>
            <c:dLbl>
              <c:idx val="5"/>
              <c:layout>
                <c:manualLayout>
                  <c:x val="-8.5067057050141372E-3"/>
                  <c:y val="-2.5917993021136902E-2"/>
                </c:manualLayout>
              </c:layout>
              <c:tx>
                <c:rich>
                  <a:bodyPr/>
                  <a:lstStyle/>
                  <a:p>
                    <a:r>
                      <a:rPr lang="en-US"/>
                      <a:t>Cantabria</a:t>
                    </a:r>
                  </a:p>
                </c:rich>
              </c:tx>
              <c:showLegendKey val="0"/>
              <c:showVal val="1"/>
              <c:showCatName val="0"/>
              <c:showSerName val="0"/>
              <c:showPercent val="0"/>
              <c:showBubbleSize val="0"/>
              <c:extLst>
                <c:ext xmlns:c15="http://schemas.microsoft.com/office/drawing/2012/chart" uri="{CE6537A1-D6FC-4f65-9D91-7224C49458BB}"/>
              </c:extLst>
            </c:dLbl>
            <c:dLbl>
              <c:idx val="6"/>
              <c:layout>
                <c:manualLayout>
                  <c:x val="-3.6643173679698937E-2"/>
                  <c:y val="-4.6134085958145547E-2"/>
                </c:manualLayout>
              </c:layout>
              <c:tx>
                <c:rich>
                  <a:bodyPr/>
                  <a:lstStyle/>
                  <a:p>
                    <a:r>
                      <a:rPr lang="en-US"/>
                      <a:t>Castilla y León</a:t>
                    </a:r>
                  </a:p>
                </c:rich>
              </c:tx>
              <c:showLegendKey val="0"/>
              <c:showVal val="1"/>
              <c:showCatName val="0"/>
              <c:showSerName val="0"/>
              <c:showPercent val="0"/>
              <c:showBubbleSize val="0"/>
              <c:extLst>
                <c:ext xmlns:c15="http://schemas.microsoft.com/office/drawing/2012/chart" uri="{CE6537A1-D6FC-4f65-9D91-7224C49458BB}"/>
              </c:extLst>
            </c:dLbl>
            <c:dLbl>
              <c:idx val="7"/>
              <c:layout>
                <c:manualLayout>
                  <c:x val="-0.11544192910268419"/>
                  <c:y val="2.78488913503918E-3"/>
                </c:manualLayout>
              </c:layout>
              <c:tx>
                <c:rich>
                  <a:bodyPr/>
                  <a:lstStyle/>
                  <a:p>
                    <a:r>
                      <a:rPr lang="en-US"/>
                      <a:t>C. - La Mancha</a:t>
                    </a:r>
                  </a:p>
                </c:rich>
              </c:tx>
              <c:showLegendKey val="0"/>
              <c:showVal val="1"/>
              <c:showCatName val="0"/>
              <c:showSerName val="0"/>
              <c:showPercent val="0"/>
              <c:showBubbleSize val="0"/>
              <c:extLst>
                <c:ext xmlns:c15="http://schemas.microsoft.com/office/drawing/2012/chart" uri="{CE6537A1-D6FC-4f65-9D91-7224C49458BB}"/>
              </c:extLst>
            </c:dLbl>
            <c:dLbl>
              <c:idx val="8"/>
              <c:tx>
                <c:rich>
                  <a:bodyPr/>
                  <a:lstStyle/>
                  <a:p>
                    <a:r>
                      <a:rPr lang="en-US"/>
                      <a:t>Cataluña</a:t>
                    </a:r>
                  </a:p>
                </c:rich>
              </c:tx>
              <c:showLegendKey val="0"/>
              <c:showVal val="1"/>
              <c:showCatName val="0"/>
              <c:showSerName val="0"/>
              <c:showPercent val="0"/>
              <c:showBubbleSize val="0"/>
              <c:extLst>
                <c:ext xmlns:c15="http://schemas.microsoft.com/office/drawing/2012/chart" uri="{CE6537A1-D6FC-4f65-9D91-7224C49458BB}"/>
              </c:extLst>
            </c:dLbl>
            <c:dLbl>
              <c:idx val="9"/>
              <c:tx>
                <c:rich>
                  <a:bodyPr/>
                  <a:lstStyle/>
                  <a:p>
                    <a:r>
                      <a:rPr lang="en-US"/>
                      <a:t>Valencia</a:t>
                    </a:r>
                  </a:p>
                </c:rich>
              </c:tx>
              <c:showLegendKey val="0"/>
              <c:showVal val="1"/>
              <c:showCatName val="0"/>
              <c:showSerName val="0"/>
              <c:showPercent val="0"/>
              <c:showBubbleSize val="0"/>
              <c:extLst>
                <c:ext xmlns:c15="http://schemas.microsoft.com/office/drawing/2012/chart" uri="{CE6537A1-D6FC-4f65-9D91-7224C49458BB}"/>
              </c:extLst>
            </c:dLbl>
            <c:dLbl>
              <c:idx val="10"/>
              <c:tx>
                <c:rich>
                  <a:bodyPr/>
                  <a:lstStyle/>
                  <a:p>
                    <a:r>
                      <a:rPr lang="en-US"/>
                      <a:t>Extremadura</a:t>
                    </a:r>
                  </a:p>
                </c:rich>
              </c:tx>
              <c:showLegendKey val="0"/>
              <c:showVal val="1"/>
              <c:showCatName val="0"/>
              <c:showSerName val="0"/>
              <c:showPercent val="0"/>
              <c:showBubbleSize val="0"/>
              <c:extLst>
                <c:ext xmlns:c15="http://schemas.microsoft.com/office/drawing/2012/chart" uri="{CE6537A1-D6FC-4f65-9D91-7224C49458BB}"/>
              </c:extLst>
            </c:dLbl>
            <c:dLbl>
              <c:idx val="11"/>
              <c:tx>
                <c:rich>
                  <a:bodyPr/>
                  <a:lstStyle/>
                  <a:p>
                    <a:r>
                      <a:rPr lang="en-US"/>
                      <a:t>Galicia</a:t>
                    </a:r>
                  </a:p>
                </c:rich>
              </c:tx>
              <c:showLegendKey val="0"/>
              <c:showVal val="1"/>
              <c:showCatName val="0"/>
              <c:showSerName val="0"/>
              <c:showPercent val="0"/>
              <c:showBubbleSize val="0"/>
              <c:extLst>
                <c:ext xmlns:c15="http://schemas.microsoft.com/office/drawing/2012/chart" uri="{CE6537A1-D6FC-4f65-9D91-7224C49458BB}"/>
              </c:extLst>
            </c:dLbl>
            <c:dLbl>
              <c:idx val="12"/>
              <c:tx>
                <c:rich>
                  <a:bodyPr/>
                  <a:lstStyle/>
                  <a:p>
                    <a:r>
                      <a:rPr lang="en-US"/>
                      <a:t>Madrid</a:t>
                    </a:r>
                  </a:p>
                </c:rich>
              </c:tx>
              <c:showLegendKey val="0"/>
              <c:showVal val="1"/>
              <c:showCatName val="0"/>
              <c:showSerName val="0"/>
              <c:showPercent val="0"/>
              <c:showBubbleSize val="0"/>
              <c:extLst>
                <c:ext xmlns:c15="http://schemas.microsoft.com/office/drawing/2012/chart" uri="{CE6537A1-D6FC-4f65-9D91-7224C49458BB}"/>
              </c:extLst>
            </c:dLbl>
            <c:dLbl>
              <c:idx val="13"/>
              <c:tx>
                <c:rich>
                  <a:bodyPr/>
                  <a:lstStyle/>
                  <a:p>
                    <a:r>
                      <a:rPr lang="en-US"/>
                      <a:t>Murcia</a:t>
                    </a:r>
                  </a:p>
                </c:rich>
              </c:tx>
              <c:showLegendKey val="0"/>
              <c:showVal val="1"/>
              <c:showCatName val="0"/>
              <c:showSerName val="0"/>
              <c:showPercent val="0"/>
              <c:showBubbleSize val="0"/>
              <c:extLst>
                <c:ext xmlns:c15="http://schemas.microsoft.com/office/drawing/2012/chart" uri="{CE6537A1-D6FC-4f65-9D91-7224C49458BB}"/>
              </c:extLst>
            </c:dLbl>
            <c:dLbl>
              <c:idx val="14"/>
              <c:tx>
                <c:rich>
                  <a:bodyPr/>
                  <a:lstStyle/>
                  <a:p>
                    <a:r>
                      <a:rPr lang="en-US"/>
                      <a:t>Navarra</a:t>
                    </a:r>
                  </a:p>
                </c:rich>
              </c:tx>
              <c:showLegendKey val="0"/>
              <c:showVal val="1"/>
              <c:showCatName val="0"/>
              <c:showSerName val="0"/>
              <c:showPercent val="0"/>
              <c:showBubbleSize val="0"/>
              <c:extLst>
                <c:ext xmlns:c15="http://schemas.microsoft.com/office/drawing/2012/chart" uri="{CE6537A1-D6FC-4f65-9D91-7224C49458BB}"/>
              </c:extLst>
            </c:dLbl>
            <c:dLbl>
              <c:idx val="15"/>
              <c:tx>
                <c:rich>
                  <a:bodyPr/>
                  <a:lstStyle/>
                  <a:p>
                    <a:r>
                      <a:rPr lang="en-US"/>
                      <a:t>País Vasco</a:t>
                    </a:r>
                  </a:p>
                </c:rich>
              </c:tx>
              <c:showLegendKey val="0"/>
              <c:showVal val="1"/>
              <c:showCatName val="0"/>
              <c:showSerName val="0"/>
              <c:showPercent val="0"/>
              <c:showBubbleSize val="0"/>
              <c:extLst>
                <c:ext xmlns:c15="http://schemas.microsoft.com/office/drawing/2012/chart" uri="{CE6537A1-D6FC-4f65-9D91-7224C49458BB}"/>
              </c:extLst>
            </c:dLbl>
            <c:dLbl>
              <c:idx val="16"/>
              <c:tx>
                <c:rich>
                  <a:bodyPr/>
                  <a:lstStyle/>
                  <a:p>
                    <a:r>
                      <a:rPr lang="en-US"/>
                      <a:t>La Rioja</a:t>
                    </a:r>
                  </a:p>
                </c:rich>
              </c:tx>
              <c:showLegendKey val="0"/>
              <c:showVal val="1"/>
              <c:showCatName val="0"/>
              <c:showSerName val="0"/>
              <c:showPercent val="0"/>
              <c:showBubbleSize val="0"/>
              <c:extLst>
                <c:ext xmlns:c15="http://schemas.microsoft.com/office/drawing/2012/chart" uri="{CE6537A1-D6FC-4f65-9D91-7224C49458BB}"/>
              </c:extLst>
            </c:dLbl>
            <c:dLbl>
              <c:idx val="17"/>
              <c:tx>
                <c:rich>
                  <a:bodyPr/>
                  <a:lstStyle/>
                  <a:p>
                    <a:r>
                      <a:rPr lang="en-US"/>
                      <a:t>Ceuta y Melilla</a:t>
                    </a:r>
                  </a:p>
                </c:rich>
              </c:tx>
              <c:showLegendKey val="0"/>
              <c:showVal val="1"/>
              <c:showCatName val="0"/>
              <c:showSerName val="0"/>
              <c:showPercent val="0"/>
              <c:showBubbleSize val="0"/>
              <c:extLst>
                <c:ext xmlns:c15="http://schemas.microsoft.com/office/drawing/2012/chart" uri="{CE6537A1-D6FC-4f65-9D91-7224C49458BB}"/>
              </c:extLst>
            </c:dLbl>
            <c:dLbl>
              <c:idx val="18"/>
              <c:delete val="1"/>
              <c:extLst>
                <c:ext xmlns:c15="http://schemas.microsoft.com/office/drawing/2012/chart" uri="{CE6537A1-D6FC-4f65-9D91-7224C49458BB}"/>
              </c:extLst>
            </c:dLbl>
            <c:dLbl>
              <c:idx val="19"/>
              <c:delete val="1"/>
              <c:extLs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200" b="1" i="0" u="none" strike="noStrike" kern="1200" baseline="0">
                    <a:solidFill>
                      <a:schemeClr val="accent2">
                        <a:lumMod val="5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Gráficos!$C$8:$C$27</c:f>
              <c:numCache>
                <c:formatCode>#,##0</c:formatCode>
                <c:ptCount val="20"/>
                <c:pt idx="0">
                  <c:v>16470.593217771002</c:v>
                </c:pt>
                <c:pt idx="1">
                  <c:v>24461.060110250659</c:v>
                </c:pt>
                <c:pt idx="2">
                  <c:v>19472.109233436342</c:v>
                </c:pt>
                <c:pt idx="3">
                  <c:v>23348.8288603041</c:v>
                </c:pt>
                <c:pt idx="4">
                  <c:v>18951.386979592367</c:v>
                </c:pt>
                <c:pt idx="5">
                  <c:v>19935.064918190699</c:v>
                </c:pt>
                <c:pt idx="6">
                  <c:v>20800.644251526912</c:v>
                </c:pt>
                <c:pt idx="7">
                  <c:v>17642.120819456366</c:v>
                </c:pt>
                <c:pt idx="8">
                  <c:v>25799.890953734975</c:v>
                </c:pt>
                <c:pt idx="9">
                  <c:v>18968.246158602175</c:v>
                </c:pt>
                <c:pt idx="10">
                  <c:v>15297.811139232717</c:v>
                </c:pt>
                <c:pt idx="11">
                  <c:v>19564.318659991954</c:v>
                </c:pt>
                <c:pt idx="12">
                  <c:v>29961.494219143809</c:v>
                </c:pt>
                <c:pt idx="13">
                  <c:v>18154.381411946932</c:v>
                </c:pt>
                <c:pt idx="14">
                  <c:v>27182.834250632837</c:v>
                </c:pt>
                <c:pt idx="15">
                  <c:v>28566.750119427812</c:v>
                </c:pt>
                <c:pt idx="16">
                  <c:v>23659.498165630841</c:v>
                </c:pt>
                <c:pt idx="17">
                  <c:v>17621.763511521003</c:v>
                </c:pt>
                <c:pt idx="18">
                  <c:v>29961.494219143809</c:v>
                </c:pt>
                <c:pt idx="19">
                  <c:v>15297.811139232717</c:v>
                </c:pt>
              </c:numCache>
            </c:numRef>
          </c:xVal>
          <c:yVal>
            <c:numRef>
              <c:f>Gráficos!$D$8:$D$27</c:f>
              <c:numCache>
                <c:formatCode>#,##0</c:formatCode>
                <c:ptCount val="20"/>
                <c:pt idx="0">
                  <c:v>730.74350454761861</c:v>
                </c:pt>
                <c:pt idx="1">
                  <c:v>571.09438158766079</c:v>
                </c:pt>
                <c:pt idx="2">
                  <c:v>1934.5693211061789</c:v>
                </c:pt>
                <c:pt idx="3">
                  <c:v>-1363.879732147846</c:v>
                </c:pt>
                <c:pt idx="4">
                  <c:v>1690.2595762892406</c:v>
                </c:pt>
                <c:pt idx="5">
                  <c:v>783.62066008695547</c:v>
                </c:pt>
                <c:pt idx="6">
                  <c:v>1839.2266205394699</c:v>
                </c:pt>
                <c:pt idx="7">
                  <c:v>1179.4330382674225</c:v>
                </c:pt>
                <c:pt idx="8">
                  <c:v>-1167.6989121306924</c:v>
                </c:pt>
                <c:pt idx="9">
                  <c:v>-279.95027996775934</c:v>
                </c:pt>
                <c:pt idx="10">
                  <c:v>2477.7701983893312</c:v>
                </c:pt>
                <c:pt idx="11">
                  <c:v>1325.5115807328339</c:v>
                </c:pt>
                <c:pt idx="12">
                  <c:v>-2716.7377569735054</c:v>
                </c:pt>
                <c:pt idx="13">
                  <c:v>118.75764057739434</c:v>
                </c:pt>
                <c:pt idx="14">
                  <c:v>-273.26967379817688</c:v>
                </c:pt>
                <c:pt idx="15">
                  <c:v>970.83062272697498</c:v>
                </c:pt>
                <c:pt idx="16">
                  <c:v>212.04038238035264</c:v>
                </c:pt>
                <c:pt idx="17">
                  <c:v>3878.8142581954889</c:v>
                </c:pt>
                <c:pt idx="18">
                  <c:v>-2076.2726953955607</c:v>
                </c:pt>
                <c:pt idx="19">
                  <c:v>2044.2357124980208</c:v>
                </c:pt>
              </c:numCache>
            </c:numRef>
          </c:yVal>
          <c:smooth val="0"/>
        </c:ser>
        <c:ser>
          <c:idx val="1"/>
          <c:order val="1"/>
          <c:tx>
            <c:strRef>
              <c:f>Gráficos!$G$8:$G$12</c:f>
              <c:strCache>
                <c:ptCount val="5"/>
                <c:pt idx="0">
                  <c:v>8.421.303</c:v>
                </c:pt>
                <c:pt idx="1">
                  <c:v>1.336.268</c:v>
                </c:pt>
                <c:pt idx="2">
                  <c:v>1.064.961</c:v>
                </c:pt>
                <c:pt idx="3">
                  <c:v>1.107.558</c:v>
                </c:pt>
                <c:pt idx="4">
                  <c:v>2.111.747</c:v>
                </c:pt>
              </c:strCache>
            </c:strRef>
          </c:tx>
          <c:spPr>
            <a:ln w="25400" cap="rnd">
              <a:noFill/>
              <a:round/>
            </a:ln>
            <a:effectLst/>
          </c:spPr>
          <c:marker>
            <c:symbol val="circle"/>
            <c:size val="5"/>
            <c:spPr>
              <a:solidFill>
                <a:schemeClr val="accent2"/>
              </a:solidFill>
              <a:ln w="9525">
                <a:solidFill>
                  <a:schemeClr val="accent2"/>
                </a:solidFill>
              </a:ln>
              <a:effectLst/>
            </c:spPr>
          </c:marker>
          <c:yVal>
            <c:numRef>
              <c:f>Gráficos!$G$8:$G$25</c:f>
              <c:numCache>
                <c:formatCode>General</c:formatCode>
                <c:ptCount val="18"/>
              </c:numCache>
            </c:numRef>
          </c:yVal>
          <c:smooth val="0"/>
        </c:ser>
        <c:dLbls>
          <c:showLegendKey val="0"/>
          <c:showVal val="0"/>
          <c:showCatName val="0"/>
          <c:showSerName val="0"/>
          <c:showPercent val="0"/>
          <c:showBubbleSize val="0"/>
        </c:dLbls>
        <c:axId val="623130416"/>
        <c:axId val="623128064"/>
      </c:scatterChart>
      <c:valAx>
        <c:axId val="623130416"/>
        <c:scaling>
          <c:orientation val="minMax"/>
          <c:max val="31000"/>
          <c:min val="14000"/>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t>PIB per cápita</a:t>
                </a:r>
              </a:p>
            </c:rich>
          </c:tx>
          <c:layout>
            <c:manualLayout>
              <c:xMode val="edge"/>
              <c:yMode val="edge"/>
              <c:x val="0.48417553787498718"/>
              <c:y val="0.95438554866083924"/>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ES"/>
            </a:p>
          </c:txPr>
        </c:title>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ES"/>
          </a:p>
        </c:txPr>
        <c:crossAx val="623128064"/>
        <c:crossesAt val="-4000"/>
        <c:crossBetween val="midCat"/>
        <c:majorUnit val="2000"/>
      </c:valAx>
      <c:valAx>
        <c:axId val="623128064"/>
        <c:scaling>
          <c:orientation val="minMax"/>
          <c:max val="4500"/>
          <c:min val="-4000"/>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t>Saldo per cápita</a:t>
                </a:r>
              </a:p>
            </c:rich>
          </c:tx>
          <c:layout>
            <c:manualLayout>
              <c:xMode val="edge"/>
              <c:yMode val="edge"/>
              <c:x val="3.5334791173823196E-2"/>
              <c:y val="0.38928067916716214"/>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ES"/>
            </a:p>
          </c:txPr>
        </c:title>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ES"/>
          </a:p>
        </c:txPr>
        <c:crossAx val="623130416"/>
        <c:crossesAt val="21965.061890000004"/>
        <c:crossBetween val="midCat"/>
        <c:majorUnit val="1000"/>
      </c:valAx>
      <c:spPr>
        <a:noFill/>
        <a:ln w="3175">
          <a:solidFill>
            <a:schemeClr val="bg1">
              <a:lumMod val="8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1100" b="1"/>
      </a:pPr>
      <a:endParaRPr lang="es-E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1"/>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Gráficos!$G$47</c:f>
              <c:strCache>
                <c:ptCount val="1"/>
                <c:pt idx="0">
                  <c:v>Financiación por habitante ajustado a igual esfuerzo fiscal</c:v>
                </c:pt>
              </c:strCache>
            </c:strRef>
          </c:tx>
          <c:spPr>
            <a:solidFill>
              <a:schemeClr val="accent1"/>
            </a:solidFill>
            <a:ln>
              <a:noFill/>
            </a:ln>
            <a:effectLst/>
          </c:spPr>
          <c:invertIfNegative val="0"/>
          <c:cat>
            <c:strRef>
              <c:f>Gráficos!$F$48:$F$64</c:f>
              <c:strCache>
                <c:ptCount val="17"/>
                <c:pt idx="0">
                  <c:v>Valencia</c:v>
                </c:pt>
                <c:pt idx="1">
                  <c:v>Murcia</c:v>
                </c:pt>
                <c:pt idx="2">
                  <c:v>Madrid</c:v>
                </c:pt>
                <c:pt idx="3">
                  <c:v>Andalucía</c:v>
                </c:pt>
                <c:pt idx="4">
                  <c:v>Cataluña</c:v>
                </c:pt>
                <c:pt idx="5">
                  <c:v>Cast. - La Mancha</c:v>
                </c:pt>
                <c:pt idx="6">
                  <c:v>Baleares</c:v>
                </c:pt>
                <c:pt idx="7">
                  <c:v>Canarias</c:v>
                </c:pt>
                <c:pt idx="8">
                  <c:v>Aragón</c:v>
                </c:pt>
                <c:pt idx="9">
                  <c:v>Asturias</c:v>
                </c:pt>
                <c:pt idx="10">
                  <c:v>Galicia</c:v>
                </c:pt>
                <c:pt idx="11">
                  <c:v>Castilla y León</c:v>
                </c:pt>
                <c:pt idx="12">
                  <c:v>Extremadura</c:v>
                </c:pt>
                <c:pt idx="13">
                  <c:v>La Rioja</c:v>
                </c:pt>
                <c:pt idx="14">
                  <c:v>Cantabria</c:v>
                </c:pt>
                <c:pt idx="15">
                  <c:v>Navarra</c:v>
                </c:pt>
                <c:pt idx="16">
                  <c:v>País Vasco</c:v>
                </c:pt>
              </c:strCache>
            </c:strRef>
          </c:cat>
          <c:val>
            <c:numRef>
              <c:f>Gráficos!$G$48:$G$64</c:f>
              <c:numCache>
                <c:formatCode>#,##0</c:formatCode>
                <c:ptCount val="17"/>
                <c:pt idx="0">
                  <c:v>93.00441515964016</c:v>
                </c:pt>
                <c:pt idx="1">
                  <c:v>94.632215420783609</c:v>
                </c:pt>
                <c:pt idx="2">
                  <c:v>96.201482869871228</c:v>
                </c:pt>
                <c:pt idx="3">
                  <c:v>96.602571284784332</c:v>
                </c:pt>
                <c:pt idx="4">
                  <c:v>98.840464632284139</c:v>
                </c:pt>
                <c:pt idx="5">
                  <c:v>100.87342787446981</c:v>
                </c:pt>
                <c:pt idx="6">
                  <c:v>101.35273215111464</c:v>
                </c:pt>
                <c:pt idx="7">
                  <c:v>102.55233039143701</c:v>
                </c:pt>
                <c:pt idx="8">
                  <c:v>105.67430758860074</c:v>
                </c:pt>
                <c:pt idx="9">
                  <c:v>106.0671075107015</c:v>
                </c:pt>
                <c:pt idx="10">
                  <c:v>106.57967737641424</c:v>
                </c:pt>
                <c:pt idx="11">
                  <c:v>109.33869198578306</c:v>
                </c:pt>
                <c:pt idx="12">
                  <c:v>110.41157142243466</c:v>
                </c:pt>
                <c:pt idx="13">
                  <c:v>118.37690598423852</c:v>
                </c:pt>
                <c:pt idx="14">
                  <c:v>124.26311283470748</c:v>
                </c:pt>
                <c:pt idx="15">
                  <c:v>161.30599083443849</c:v>
                </c:pt>
                <c:pt idx="16">
                  <c:v>202.25741338111618</c:v>
                </c:pt>
              </c:numCache>
            </c:numRef>
          </c:val>
        </c:ser>
        <c:ser>
          <c:idx val="1"/>
          <c:order val="1"/>
          <c:tx>
            <c:strRef>
              <c:f>Gráficos!$H$47</c:f>
              <c:strCache>
                <c:ptCount val="1"/>
                <c:pt idx="0">
                  <c:v>Financiación observada por habitante ajustado</c:v>
                </c:pt>
              </c:strCache>
            </c:strRef>
          </c:tx>
          <c:spPr>
            <a:solidFill>
              <a:schemeClr val="accent2"/>
            </a:solidFill>
            <a:ln>
              <a:noFill/>
            </a:ln>
            <a:effectLst/>
          </c:spPr>
          <c:invertIfNegative val="0"/>
          <c:cat>
            <c:strRef>
              <c:f>Gráficos!$F$48:$F$64</c:f>
              <c:strCache>
                <c:ptCount val="17"/>
                <c:pt idx="0">
                  <c:v>Valencia</c:v>
                </c:pt>
                <c:pt idx="1">
                  <c:v>Murcia</c:v>
                </c:pt>
                <c:pt idx="2">
                  <c:v>Madrid</c:v>
                </c:pt>
                <c:pt idx="3">
                  <c:v>Andalucía</c:v>
                </c:pt>
                <c:pt idx="4">
                  <c:v>Cataluña</c:v>
                </c:pt>
                <c:pt idx="5">
                  <c:v>Cast. - La Mancha</c:v>
                </c:pt>
                <c:pt idx="6">
                  <c:v>Baleares</c:v>
                </c:pt>
                <c:pt idx="7">
                  <c:v>Canarias</c:v>
                </c:pt>
                <c:pt idx="8">
                  <c:v>Aragón</c:v>
                </c:pt>
                <c:pt idx="9">
                  <c:v>Asturias</c:v>
                </c:pt>
                <c:pt idx="10">
                  <c:v>Galicia</c:v>
                </c:pt>
                <c:pt idx="11">
                  <c:v>Castilla y León</c:v>
                </c:pt>
                <c:pt idx="12">
                  <c:v>Extremadura</c:v>
                </c:pt>
                <c:pt idx="13">
                  <c:v>La Rioja</c:v>
                </c:pt>
                <c:pt idx="14">
                  <c:v>Cantabria</c:v>
                </c:pt>
                <c:pt idx="15">
                  <c:v>Navarra</c:v>
                </c:pt>
                <c:pt idx="16">
                  <c:v>País Vasco</c:v>
                </c:pt>
              </c:strCache>
            </c:strRef>
          </c:cat>
          <c:val>
            <c:numRef>
              <c:f>Gráficos!$H$48:$H$64</c:f>
              <c:numCache>
                <c:formatCode>#,##0</c:formatCode>
                <c:ptCount val="17"/>
                <c:pt idx="0">
                  <c:v>93.616738208339399</c:v>
                </c:pt>
                <c:pt idx="1">
                  <c:v>95.433009453909648</c:v>
                </c:pt>
                <c:pt idx="2">
                  <c:v>90.919733053021119</c:v>
                </c:pt>
                <c:pt idx="3">
                  <c:v>97.324457991540257</c:v>
                </c:pt>
                <c:pt idx="4">
                  <c:v>103.80298147423299</c:v>
                </c:pt>
                <c:pt idx="5">
                  <c:v>95.006296269803585</c:v>
                </c:pt>
                <c:pt idx="6">
                  <c:v>105.06153095610253</c:v>
                </c:pt>
                <c:pt idx="7">
                  <c:v>99.877963638180304</c:v>
                </c:pt>
                <c:pt idx="8">
                  <c:v>105.26506269150889</c:v>
                </c:pt>
                <c:pt idx="9">
                  <c:v>109.82456174331688</c:v>
                </c:pt>
                <c:pt idx="10">
                  <c:v>104.75874861342996</c:v>
                </c:pt>
                <c:pt idx="11">
                  <c:v>107.88999637052628</c:v>
                </c:pt>
                <c:pt idx="12">
                  <c:v>115.587994033317</c:v>
                </c:pt>
                <c:pt idx="13">
                  <c:v>116.48755893765824</c:v>
                </c:pt>
                <c:pt idx="14">
                  <c:v>125.83542457744234</c:v>
                </c:pt>
                <c:pt idx="15">
                  <c:v>129.28504926235584</c:v>
                </c:pt>
                <c:pt idx="16">
                  <c:v>176.79888301217437</c:v>
                </c:pt>
              </c:numCache>
            </c:numRef>
          </c:val>
        </c:ser>
        <c:dLbls>
          <c:showLegendKey val="0"/>
          <c:showVal val="0"/>
          <c:showCatName val="0"/>
          <c:showSerName val="0"/>
          <c:showPercent val="0"/>
          <c:showBubbleSize val="0"/>
        </c:dLbls>
        <c:gapWidth val="150"/>
        <c:axId val="623133160"/>
        <c:axId val="623128456"/>
      </c:barChart>
      <c:catAx>
        <c:axId val="623133160"/>
        <c:scaling>
          <c:orientation val="minMax"/>
        </c:scaling>
        <c:delete val="0"/>
        <c:axPos val="b"/>
        <c:numFmt formatCode="General" sourceLinked="1"/>
        <c:majorTickMark val="in"/>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s-ES"/>
          </a:p>
        </c:txPr>
        <c:crossAx val="623128456"/>
        <c:crosses val="autoZero"/>
        <c:auto val="1"/>
        <c:lblAlgn val="ctr"/>
        <c:lblOffset val="100"/>
        <c:noMultiLvlLbl val="0"/>
      </c:catAx>
      <c:valAx>
        <c:axId val="623128456"/>
        <c:scaling>
          <c:orientation val="minMax"/>
          <c:min val="80"/>
        </c:scaling>
        <c:delete val="0"/>
        <c:axPos val="l"/>
        <c:majorGridlines>
          <c:spPr>
            <a:ln w="9525" cap="flat" cmpd="sng" algn="ctr">
              <a:solidFill>
                <a:schemeClr val="bg1">
                  <a:lumMod val="7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s-ES"/>
          </a:p>
        </c:txPr>
        <c:crossAx val="623133160"/>
        <c:crosses val="autoZero"/>
        <c:crossBetween val="between"/>
      </c:valAx>
      <c:spPr>
        <a:noFill/>
        <a:ln>
          <a:solidFill>
            <a:schemeClr val="bg1">
              <a:lumMod val="50000"/>
            </a:schemeClr>
          </a:solid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534950</xdr:colOff>
      <xdr:row>10</xdr:row>
      <xdr:rowOff>14424</xdr:rowOff>
    </xdr:from>
    <xdr:to>
      <xdr:col>29</xdr:col>
      <xdr:colOff>277773</xdr:colOff>
      <xdr:row>45</xdr:row>
      <xdr:rowOff>5804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395493</xdr:colOff>
      <xdr:row>46</xdr:row>
      <xdr:rowOff>97318</xdr:rowOff>
    </xdr:from>
    <xdr:to>
      <xdr:col>16</xdr:col>
      <xdr:colOff>64189</xdr:colOff>
      <xdr:row>66</xdr:row>
      <xdr:rowOff>438150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0.14739</cdr:x>
      <cdr:y>0.30261</cdr:y>
    </cdr:from>
    <cdr:to>
      <cdr:x>0.9225</cdr:x>
      <cdr:y>0.72469</cdr:y>
    </cdr:to>
    <cdr:sp macro="" textlink="">
      <cdr:nvSpPr>
        <cdr:cNvPr id="4" name="Line 1"/>
        <cdr:cNvSpPr>
          <a:spLocks xmlns:a="http://schemas.openxmlformats.org/drawingml/2006/main" noChangeShapeType="1"/>
        </cdr:cNvSpPr>
      </cdr:nvSpPr>
      <cdr:spPr bwMode="auto">
        <a:xfrm xmlns:a="http://schemas.openxmlformats.org/drawingml/2006/main">
          <a:off x="1448568" y="1753955"/>
          <a:ext cx="7617872" cy="2446387"/>
        </a:xfrm>
        <a:prstGeom xmlns:a="http://schemas.openxmlformats.org/drawingml/2006/main" prst="line">
          <a:avLst/>
        </a:prstGeom>
        <a:noFill xmlns:a="http://schemas.openxmlformats.org/drawingml/2006/main"/>
        <a:ln xmlns:a="http://schemas.openxmlformats.org/drawingml/2006/main" w="15875">
          <a:solidFill>
            <a:schemeClr val="accent1"/>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s-ES"/>
        </a:p>
      </cdr:txBody>
    </cdr:sp>
  </cdr:relSizeAnchor>
  <cdr:relSizeAnchor xmlns:cdr="http://schemas.openxmlformats.org/drawingml/2006/chartDrawing">
    <cdr:from>
      <cdr:x>0.08014</cdr:x>
      <cdr:y>0.50709</cdr:y>
    </cdr:from>
    <cdr:to>
      <cdr:x>0.97354</cdr:x>
      <cdr:y>0.50793</cdr:y>
    </cdr:to>
    <cdr:sp macro="" textlink="">
      <cdr:nvSpPr>
        <cdr:cNvPr id="2" name="Line 1"/>
        <cdr:cNvSpPr>
          <a:spLocks xmlns:a="http://schemas.openxmlformats.org/drawingml/2006/main" noChangeShapeType="1"/>
        </cdr:cNvSpPr>
      </cdr:nvSpPr>
      <cdr:spPr bwMode="auto">
        <a:xfrm xmlns:a="http://schemas.openxmlformats.org/drawingml/2006/main">
          <a:off x="787627" y="2939126"/>
          <a:ext cx="8780440" cy="4869"/>
        </a:xfrm>
        <a:prstGeom xmlns:a="http://schemas.openxmlformats.org/drawingml/2006/main" prst="line">
          <a:avLst/>
        </a:prstGeom>
        <a:noFill xmlns:a="http://schemas.openxmlformats.org/drawingml/2006/main"/>
        <a:ln xmlns:a="http://schemas.openxmlformats.org/drawingml/2006/main" w="12700">
          <a:solidFill>
            <a:schemeClr val="bg1">
              <a:lumMod val="65000"/>
            </a:schemeClr>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s-ES"/>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C8:W484"/>
  <sheetViews>
    <sheetView workbookViewId="0">
      <pane xSplit="4" ySplit="8" topLeftCell="E437" activePane="bottomRight" state="frozen"/>
      <selection activeCell="B34" sqref="B34"/>
      <selection pane="topRight" activeCell="B34" sqref="B34"/>
      <selection pane="bottomLeft" activeCell="B34" sqref="B34"/>
      <selection pane="bottomRight" activeCell="C8" sqref="C8"/>
    </sheetView>
  </sheetViews>
  <sheetFormatPr baseColWidth="10" defaultColWidth="10" defaultRowHeight="12.55"/>
  <cols>
    <col min="1" max="3" width="10" style="15"/>
    <col min="4" max="4" width="24" style="15" customWidth="1"/>
    <col min="5" max="22" width="10" style="15"/>
    <col min="23" max="23" width="12.59765625" style="15" customWidth="1"/>
    <col min="24" max="16384" width="10" style="15"/>
  </cols>
  <sheetData>
    <row r="8" spans="3:23">
      <c r="C8" s="10" t="s">
        <v>667</v>
      </c>
      <c r="D8" s="10" t="s">
        <v>627</v>
      </c>
      <c r="E8" s="10" t="s">
        <v>9</v>
      </c>
      <c r="F8" s="10" t="s">
        <v>10</v>
      </c>
      <c r="G8" s="10" t="s">
        <v>11</v>
      </c>
      <c r="H8" s="10" t="s">
        <v>31</v>
      </c>
      <c r="I8" s="10" t="s">
        <v>12</v>
      </c>
      <c r="J8" s="10" t="s">
        <v>13</v>
      </c>
      <c r="K8" s="10" t="s">
        <v>14</v>
      </c>
      <c r="L8" s="10" t="s">
        <v>15</v>
      </c>
      <c r="M8" s="10" t="s">
        <v>16</v>
      </c>
      <c r="N8" s="10" t="s">
        <v>17</v>
      </c>
      <c r="O8" s="10" t="s">
        <v>18</v>
      </c>
      <c r="P8" s="10" t="s">
        <v>19</v>
      </c>
      <c r="Q8" s="10" t="s">
        <v>20</v>
      </c>
      <c r="R8" s="10" t="s">
        <v>60</v>
      </c>
      <c r="S8" s="10" t="s">
        <v>61</v>
      </c>
      <c r="T8" s="10" t="s">
        <v>62</v>
      </c>
      <c r="U8" s="10" t="s">
        <v>63</v>
      </c>
      <c r="V8" s="10" t="s">
        <v>64</v>
      </c>
      <c r="W8" s="10" t="s">
        <v>668</v>
      </c>
    </row>
    <row r="9" spans="3:23">
      <c r="C9" s="10" t="s">
        <v>114</v>
      </c>
      <c r="D9" s="10" t="s">
        <v>669</v>
      </c>
      <c r="E9" s="10">
        <v>5190.0217002889049</v>
      </c>
      <c r="F9" s="10">
        <v>823.53737113597379</v>
      </c>
      <c r="G9" s="10">
        <v>656.33173786959003</v>
      </c>
      <c r="H9" s="10">
        <v>682.58444039132655</v>
      </c>
      <c r="I9" s="10">
        <v>1301.4628978735766</v>
      </c>
      <c r="J9" s="10">
        <v>363.78273896145311</v>
      </c>
      <c r="K9" s="10">
        <v>1545.260971784309</v>
      </c>
      <c r="L9" s="10">
        <v>1287.9398055539991</v>
      </c>
      <c r="M9" s="10">
        <v>4644.5830172205924</v>
      </c>
      <c r="N9" s="10">
        <v>3118.0485315557562</v>
      </c>
      <c r="O9" s="10">
        <v>679.04689681541788</v>
      </c>
      <c r="P9" s="10">
        <v>1699.3259248894517</v>
      </c>
      <c r="Q9" s="10">
        <v>3990.5189433906462</v>
      </c>
      <c r="R9" s="10">
        <v>905.60714950347358</v>
      </c>
      <c r="S9" s="10">
        <v>396.05296334297577</v>
      </c>
      <c r="T9" s="10">
        <v>1349.8955055788281</v>
      </c>
      <c r="U9" s="10">
        <v>197.53205757152747</v>
      </c>
      <c r="V9" s="10">
        <v>103.94800627219819</v>
      </c>
      <c r="W9" s="10">
        <v>28935.480660000001</v>
      </c>
    </row>
    <row r="10" spans="3:23">
      <c r="C10" s="10" t="s">
        <v>115</v>
      </c>
      <c r="D10" s="10" t="s">
        <v>670</v>
      </c>
      <c r="E10" s="10">
        <v>3028.7319884201606</v>
      </c>
      <c r="F10" s="10">
        <v>480.59027951272822</v>
      </c>
      <c r="G10" s="10">
        <v>383.01437725980378</v>
      </c>
      <c r="H10" s="10">
        <v>398.33462147104399</v>
      </c>
      <c r="I10" s="10">
        <v>759.49245266398032</v>
      </c>
      <c r="J10" s="10">
        <v>212.29206387833059</v>
      </c>
      <c r="K10" s="10">
        <v>901.76527305075354</v>
      </c>
      <c r="L10" s="10">
        <v>751.60080506482223</v>
      </c>
      <c r="M10" s="10">
        <v>2710.4312793809663</v>
      </c>
      <c r="N10" s="10">
        <v>1819.5941894508335</v>
      </c>
      <c r="O10" s="10">
        <v>396.27022328400204</v>
      </c>
      <c r="P10" s="10">
        <v>991.6726913064465</v>
      </c>
      <c r="Q10" s="10">
        <v>2328.7402389032568</v>
      </c>
      <c r="R10" s="10">
        <v>528.4835981495969</v>
      </c>
      <c r="S10" s="10">
        <v>231.1239429150547</v>
      </c>
      <c r="T10" s="10">
        <v>787.75618578697186</v>
      </c>
      <c r="U10" s="10">
        <v>115.27344124053181</v>
      </c>
      <c r="V10" s="10">
        <v>60.660758260718055</v>
      </c>
      <c r="W10" s="10">
        <v>16885.828410000002</v>
      </c>
    </row>
    <row r="11" spans="3:23">
      <c r="C11" s="10" t="s">
        <v>116</v>
      </c>
      <c r="D11" s="10" t="s">
        <v>671</v>
      </c>
      <c r="E11" s="10">
        <v>1368.5464413391592</v>
      </c>
      <c r="F11" s="10">
        <v>217.15692219845741</v>
      </c>
      <c r="G11" s="10">
        <v>173.06680319840925</v>
      </c>
      <c r="H11" s="10">
        <v>179.98932581708308</v>
      </c>
      <c r="I11" s="10">
        <v>343.18014842224767</v>
      </c>
      <c r="J11" s="10">
        <v>95.925142817533057</v>
      </c>
      <c r="K11" s="10">
        <v>407.46677489960933</v>
      </c>
      <c r="L11" s="10">
        <v>339.61427125668041</v>
      </c>
      <c r="M11" s="10">
        <v>1224.720805958809</v>
      </c>
      <c r="N11" s="10">
        <v>822.19198072830511</v>
      </c>
      <c r="O11" s="10">
        <v>179.05651802716142</v>
      </c>
      <c r="P11" s="10">
        <v>448.09185423124114</v>
      </c>
      <c r="Q11" s="10">
        <v>1052.2519585553505</v>
      </c>
      <c r="R11" s="10">
        <v>238.79773790450412</v>
      </c>
      <c r="S11" s="10">
        <v>104.43441373948134</v>
      </c>
      <c r="T11" s="10">
        <v>355.95124587567602</v>
      </c>
      <c r="U11" s="10">
        <v>52.086833167743343</v>
      </c>
      <c r="V11" s="10">
        <v>27.409841862549165</v>
      </c>
      <c r="W11" s="10">
        <v>7629.9390200000007</v>
      </c>
    </row>
    <row r="12" spans="3:23">
      <c r="C12" s="10" t="s">
        <v>117</v>
      </c>
      <c r="D12" s="10" t="s">
        <v>672</v>
      </c>
      <c r="E12" s="10">
        <v>1423.0324198733765</v>
      </c>
      <c r="F12" s="10">
        <v>225.80259694069264</v>
      </c>
      <c r="G12" s="10">
        <v>179.95711677434235</v>
      </c>
      <c r="H12" s="10">
        <v>187.155245983637</v>
      </c>
      <c r="I12" s="10">
        <v>356.84318946746578</v>
      </c>
      <c r="J12" s="10">
        <v>99.744213266712336</v>
      </c>
      <c r="K12" s="10">
        <v>423.68926123983351</v>
      </c>
      <c r="L12" s="10">
        <v>353.1353439325178</v>
      </c>
      <c r="M12" s="10">
        <v>1273.4806503661234</v>
      </c>
      <c r="N12" s="10">
        <v>854.92593352652523</v>
      </c>
      <c r="O12" s="10">
        <v>186.18530029054816</v>
      </c>
      <c r="P12" s="10">
        <v>465.93174801453921</v>
      </c>
      <c r="Q12" s="10">
        <v>1094.1452958178647</v>
      </c>
      <c r="R12" s="10">
        <v>248.30499906018161</v>
      </c>
      <c r="S12" s="10">
        <v>108.59226403477344</v>
      </c>
      <c r="T12" s="10">
        <v>370.12274298835871</v>
      </c>
      <c r="U12" s="10">
        <v>54.160567743470253</v>
      </c>
      <c r="V12" s="10">
        <v>28.501110679037239</v>
      </c>
      <c r="W12" s="10">
        <v>7933.71</v>
      </c>
    </row>
    <row r="13" spans="3:23">
      <c r="C13" s="10" t="s">
        <v>118</v>
      </c>
      <c r="D13" s="10" t="s">
        <v>119</v>
      </c>
      <c r="E13" s="10">
        <v>36117.543980550749</v>
      </c>
      <c r="F13" s="10">
        <v>5731.0255985972008</v>
      </c>
      <c r="G13" s="10">
        <v>4567.435702054323</v>
      </c>
      <c r="H13" s="10">
        <v>4750.1291844118923</v>
      </c>
      <c r="I13" s="10">
        <v>9056.9261878784328</v>
      </c>
      <c r="J13" s="10">
        <v>2531.576905174426</v>
      </c>
      <c r="K13" s="10">
        <v>10753.525579043655</v>
      </c>
      <c r="L13" s="10">
        <v>8962.8185116854402</v>
      </c>
      <c r="M13" s="10">
        <v>32321.816956265506</v>
      </c>
      <c r="N13" s="10">
        <v>21698.609654307973</v>
      </c>
      <c r="O13" s="10">
        <v>4725.5112939551182</v>
      </c>
      <c r="P13" s="10">
        <v>11825.669019084904</v>
      </c>
      <c r="Q13" s="10">
        <v>27770.162008206953</v>
      </c>
      <c r="R13" s="10">
        <v>6302.1520795321894</v>
      </c>
      <c r="S13" s="10">
        <v>2756.1465342950528</v>
      </c>
      <c r="T13" s="10">
        <v>9393.9704123351075</v>
      </c>
      <c r="U13" s="10">
        <v>1374.6325524055494</v>
      </c>
      <c r="V13" s="10">
        <v>723.37784021552284</v>
      </c>
      <c r="W13" s="10">
        <v>201363.03</v>
      </c>
    </row>
    <row r="14" spans="3:23">
      <c r="C14" s="10" t="s">
        <v>120</v>
      </c>
      <c r="D14" s="10" t="s">
        <v>673</v>
      </c>
      <c r="E14" s="10">
        <v>10272.470200627064</v>
      </c>
      <c r="F14" s="10">
        <v>1630.0053434509002</v>
      </c>
      <c r="G14" s="10">
        <v>1299.0597358419197</v>
      </c>
      <c r="H14" s="10">
        <v>1351.0210030415258</v>
      </c>
      <c r="I14" s="10">
        <v>2575.9504695103401</v>
      </c>
      <c r="J14" s="10">
        <v>720.02537971585014</v>
      </c>
      <c r="K14" s="10">
        <v>3058.4934324961914</v>
      </c>
      <c r="L14" s="10">
        <v>2549.1845770160071</v>
      </c>
      <c r="M14" s="10">
        <v>9192.8981021565287</v>
      </c>
      <c r="N14" s="10">
        <v>6171.4694993919793</v>
      </c>
      <c r="O14" s="10">
        <v>1344.0192382965117</v>
      </c>
      <c r="P14" s="10">
        <v>3363.4300456986925</v>
      </c>
      <c r="Q14" s="10">
        <v>7898.3266926873057</v>
      </c>
      <c r="R14" s="10">
        <v>1792.4438458959439</v>
      </c>
      <c r="S14" s="10">
        <v>783.89696589983237</v>
      </c>
      <c r="T14" s="10">
        <v>2671.8118258054715</v>
      </c>
      <c r="U14" s="10">
        <v>390.96988264213087</v>
      </c>
      <c r="V14" s="10">
        <v>205.74148982581542</v>
      </c>
      <c r="W14" s="10">
        <v>57271.217730000011</v>
      </c>
    </row>
    <row r="15" spans="3:23">
      <c r="C15" s="10" t="s">
        <v>121</v>
      </c>
      <c r="D15" s="10" t="s">
        <v>674</v>
      </c>
      <c r="E15" s="10">
        <v>3817.5180815660483</v>
      </c>
      <c r="F15" s="10">
        <v>605.75253567474385</v>
      </c>
      <c r="G15" s="10">
        <v>482.76450880414524</v>
      </c>
      <c r="H15" s="10">
        <v>502.07467210483526</v>
      </c>
      <c r="I15" s="10">
        <v>957.29043769569603</v>
      </c>
      <c r="J15" s="10">
        <v>267.58022681671332</v>
      </c>
      <c r="K15" s="10">
        <v>1136.6159991578743</v>
      </c>
      <c r="L15" s="10">
        <v>947.3435333415581</v>
      </c>
      <c r="M15" s="10">
        <v>3416.3209083667634</v>
      </c>
      <c r="N15" s="10">
        <v>2293.4791674863263</v>
      </c>
      <c r="O15" s="10">
        <v>499.47263354985057</v>
      </c>
      <c r="P15" s="10">
        <v>1249.9384047620297</v>
      </c>
      <c r="Q15" s="10">
        <v>2935.224378807055</v>
      </c>
      <c r="R15" s="10">
        <v>666.11892351674624</v>
      </c>
      <c r="S15" s="10">
        <v>291.31657556180596</v>
      </c>
      <c r="T15" s="10">
        <v>992.9150200826831</v>
      </c>
      <c r="U15" s="10">
        <v>145.29461436091404</v>
      </c>
      <c r="V15" s="10">
        <v>76.458908344211409</v>
      </c>
      <c r="W15" s="10">
        <v>21283.479530000001</v>
      </c>
    </row>
    <row r="16" spans="3:23">
      <c r="C16" s="10" t="s">
        <v>122</v>
      </c>
      <c r="D16" s="10" t="s">
        <v>675</v>
      </c>
      <c r="E16" s="10">
        <v>1058.6747882088343</v>
      </c>
      <c r="F16" s="10">
        <v>167.98740011451298</v>
      </c>
      <c r="G16" s="10">
        <v>133.88033879417992</v>
      </c>
      <c r="H16" s="10">
        <v>139.23543668915823</v>
      </c>
      <c r="I16" s="10">
        <v>265.47595315280995</v>
      </c>
      <c r="J16" s="10">
        <v>74.205395731314141</v>
      </c>
      <c r="K16" s="10">
        <v>315.20654951020072</v>
      </c>
      <c r="L16" s="10">
        <v>262.71747588159542</v>
      </c>
      <c r="M16" s="10">
        <v>947.41471732201944</v>
      </c>
      <c r="N16" s="10">
        <v>636.02804754860756</v>
      </c>
      <c r="O16" s="10">
        <v>138.51383889780487</v>
      </c>
      <c r="P16" s="10">
        <v>346.63313903484794</v>
      </c>
      <c r="Q16" s="10">
        <v>813.99694282632117</v>
      </c>
      <c r="R16" s="10">
        <v>184.72821744610957</v>
      </c>
      <c r="S16" s="10">
        <v>80.787964154998818</v>
      </c>
      <c r="T16" s="10">
        <v>275.35536862845322</v>
      </c>
      <c r="U16" s="10">
        <v>40.293128100476196</v>
      </c>
      <c r="V16" s="10">
        <v>21.203597957755008</v>
      </c>
      <c r="W16" s="10">
        <v>5902.3382999999994</v>
      </c>
    </row>
    <row r="17" spans="3:23">
      <c r="C17" s="10" t="s">
        <v>123</v>
      </c>
      <c r="D17" s="10" t="s">
        <v>676</v>
      </c>
      <c r="E17" s="10">
        <v>6131.5626274114366</v>
      </c>
      <c r="F17" s="10">
        <v>972.93831485384976</v>
      </c>
      <c r="G17" s="10">
        <v>775.39929262360522</v>
      </c>
      <c r="H17" s="10">
        <v>806.41459447520799</v>
      </c>
      <c r="I17" s="10">
        <v>1537.5660693518871</v>
      </c>
      <c r="J17" s="10">
        <v>429.77790373964166</v>
      </c>
      <c r="K17" s="10">
        <v>1825.5924486139866</v>
      </c>
      <c r="L17" s="10">
        <v>1521.5897031125819</v>
      </c>
      <c r="M17" s="10">
        <v>5487.1739065588808</v>
      </c>
      <c r="N17" s="10">
        <v>3683.7051847929929</v>
      </c>
      <c r="O17" s="10">
        <v>802.23529210703623</v>
      </c>
      <c r="P17" s="10">
        <v>2007.606891559534</v>
      </c>
      <c r="Q17" s="10">
        <v>4714.4536632495065</v>
      </c>
      <c r="R17" s="10">
        <v>1069.8966735925212</v>
      </c>
      <c r="S17" s="10">
        <v>467.90238822588401</v>
      </c>
      <c r="T17" s="10">
        <v>1594.7850145707612</v>
      </c>
      <c r="U17" s="10">
        <v>233.36707471836607</v>
      </c>
      <c r="V17" s="10">
        <v>122.80559644231562</v>
      </c>
      <c r="W17" s="10">
        <v>34184.772639999996</v>
      </c>
    </row>
    <row r="18" spans="3:23">
      <c r="C18" s="10" t="s">
        <v>124</v>
      </c>
      <c r="D18" s="10" t="s">
        <v>677</v>
      </c>
      <c r="E18" s="10">
        <v>1485.0927231663734</v>
      </c>
      <c r="F18" s="10">
        <v>235.65014324728529</v>
      </c>
      <c r="G18" s="10">
        <v>187.80528178504721</v>
      </c>
      <c r="H18" s="10">
        <v>195.31733081488309</v>
      </c>
      <c r="I18" s="10">
        <v>372.40558724359084</v>
      </c>
      <c r="J18" s="10">
        <v>104.09418874204573</v>
      </c>
      <c r="K18" s="10">
        <v>442.16690355304905</v>
      </c>
      <c r="L18" s="10">
        <v>368.53603771985883</v>
      </c>
      <c r="M18" s="10">
        <v>1329.0188055730982</v>
      </c>
      <c r="N18" s="10">
        <v>892.21037061083678</v>
      </c>
      <c r="O18" s="10">
        <v>194.30508452270027</v>
      </c>
      <c r="P18" s="10">
        <v>486.25164037383723</v>
      </c>
      <c r="Q18" s="10">
        <v>1141.8624018772646</v>
      </c>
      <c r="R18" s="10">
        <v>259.13390452687037</v>
      </c>
      <c r="S18" s="10">
        <v>113.32811456576196</v>
      </c>
      <c r="T18" s="10">
        <v>386.26427944579046</v>
      </c>
      <c r="U18" s="10">
        <v>56.522580873838528</v>
      </c>
      <c r="V18" s="10">
        <v>29.74408135786809</v>
      </c>
      <c r="W18" s="10">
        <v>8279.70946</v>
      </c>
    </row>
    <row r="19" spans="3:23">
      <c r="C19" s="10" t="s">
        <v>125</v>
      </c>
      <c r="D19" s="10" t="s">
        <v>678</v>
      </c>
      <c r="E19" s="10">
        <v>5630.9426198402189</v>
      </c>
      <c r="F19" s="10">
        <v>893.50140518730211</v>
      </c>
      <c r="G19" s="10">
        <v>712.09073274548098</v>
      </c>
      <c r="H19" s="10">
        <v>740.57374689307187</v>
      </c>
      <c r="I19" s="10">
        <v>1412.0293368656125</v>
      </c>
      <c r="J19" s="10">
        <v>394.68808561363591</v>
      </c>
      <c r="K19" s="10">
        <v>1676.539399500318</v>
      </c>
      <c r="L19" s="10">
        <v>1397.3573833957255</v>
      </c>
      <c r="M19" s="10">
        <v>5039.1659174753886</v>
      </c>
      <c r="N19" s="10">
        <v>3382.9439221978914</v>
      </c>
      <c r="O19" s="10">
        <v>736.73566951277553</v>
      </c>
      <c r="P19" s="10">
        <v>1843.6930186489897</v>
      </c>
      <c r="Q19" s="10">
        <v>4329.5354993154124</v>
      </c>
      <c r="R19" s="10">
        <v>982.54346310098504</v>
      </c>
      <c r="S19" s="10">
        <v>429.69984323530593</v>
      </c>
      <c r="T19" s="10">
        <v>1464.5765612639848</v>
      </c>
      <c r="U19" s="10">
        <v>214.31349346811589</v>
      </c>
      <c r="V19" s="10">
        <v>112.77896173978557</v>
      </c>
      <c r="W19" s="10">
        <v>31393.709060000001</v>
      </c>
    </row>
    <row r="20" spans="3:23">
      <c r="C20" s="10" t="s">
        <v>126</v>
      </c>
      <c r="D20" s="10" t="s">
        <v>679</v>
      </c>
      <c r="E20" s="10">
        <v>1402.4520952614523</v>
      </c>
      <c r="F20" s="10">
        <v>222.53697159136402</v>
      </c>
      <c r="G20" s="10">
        <v>177.35452260451208</v>
      </c>
      <c r="H20" s="10">
        <v>184.44855029534725</v>
      </c>
      <c r="I20" s="10">
        <v>351.68241549476301</v>
      </c>
      <c r="J20" s="10">
        <v>98.301682331702011</v>
      </c>
      <c r="K20" s="10">
        <v>417.56173918964862</v>
      </c>
      <c r="L20" s="10">
        <v>348.02819394171058</v>
      </c>
      <c r="M20" s="10">
        <v>1255.0631886094395</v>
      </c>
      <c r="N20" s="10">
        <v>842.56173648827803</v>
      </c>
      <c r="O20" s="10">
        <v>183.49263224979543</v>
      </c>
      <c r="P20" s="10">
        <v>459.19330236338971</v>
      </c>
      <c r="Q20" s="10">
        <v>1078.3214361179255</v>
      </c>
      <c r="R20" s="10">
        <v>244.7139371756767</v>
      </c>
      <c r="S20" s="10">
        <v>107.02176991744454</v>
      </c>
      <c r="T20" s="10">
        <v>364.76991610221228</v>
      </c>
      <c r="U20" s="10">
        <v>53.377281256275595</v>
      </c>
      <c r="V20" s="10">
        <v>28.088919009063087</v>
      </c>
      <c r="W20" s="10">
        <v>7818.9702900000002</v>
      </c>
    </row>
    <row r="21" spans="3:23">
      <c r="C21" s="10" t="s">
        <v>127</v>
      </c>
      <c r="D21" s="10" t="s">
        <v>128</v>
      </c>
      <c r="E21" s="10">
        <v>10425.064099071815</v>
      </c>
      <c r="F21" s="10">
        <v>1654.2184942301321</v>
      </c>
      <c r="G21" s="10">
        <v>1318.3568070948136</v>
      </c>
      <c r="H21" s="10">
        <v>1371.0899404741465</v>
      </c>
      <c r="I21" s="10">
        <v>2614.2152993580994</v>
      </c>
      <c r="J21" s="10">
        <v>730.72110114644602</v>
      </c>
      <c r="K21" s="10">
        <v>3103.9262667723888</v>
      </c>
      <c r="L21" s="10">
        <v>2587.0518090317651</v>
      </c>
      <c r="M21" s="10">
        <v>9329.4553402907204</v>
      </c>
      <c r="N21" s="10">
        <v>6263.1444881388552</v>
      </c>
      <c r="O21" s="10">
        <v>1363.9841669992391</v>
      </c>
      <c r="P21" s="10">
        <v>3413.3926051216481</v>
      </c>
      <c r="Q21" s="10">
        <v>8015.653532063664</v>
      </c>
      <c r="R21" s="10">
        <v>1819.0699629687265</v>
      </c>
      <c r="S21" s="10">
        <v>795.54147707090056</v>
      </c>
      <c r="T21" s="10">
        <v>2711.5006420733985</v>
      </c>
      <c r="U21" s="10">
        <v>396.77760146746346</v>
      </c>
      <c r="V21" s="10">
        <v>208.79770662578588</v>
      </c>
      <c r="W21" s="10">
        <v>58121.961340000009</v>
      </c>
    </row>
    <row r="22" spans="3:23">
      <c r="C22" s="10"/>
      <c r="D22" s="10" t="s">
        <v>680</v>
      </c>
      <c r="E22" s="10">
        <v>87351.653765625582</v>
      </c>
      <c r="F22" s="10">
        <v>13860.703376735142</v>
      </c>
      <c r="G22" s="10">
        <v>11046.516957450172</v>
      </c>
      <c r="H22" s="10">
        <v>11488.368092863158</v>
      </c>
      <c r="I22" s="10">
        <v>21904.520444978505</v>
      </c>
      <c r="J22" s="10">
        <v>6122.7150279358038</v>
      </c>
      <c r="K22" s="10">
        <v>26007.810598811815</v>
      </c>
      <c r="L22" s="10">
        <v>21676.917450934263</v>
      </c>
      <c r="M22" s="10">
        <v>78171.543595544819</v>
      </c>
      <c r="N22" s="10">
        <v>52478.91270622515</v>
      </c>
      <c r="O22" s="10">
        <v>11428.828788507963</v>
      </c>
      <c r="P22" s="10">
        <v>28600.830285089552</v>
      </c>
      <c r="Q22" s="10">
        <v>67163.192991818534</v>
      </c>
      <c r="R22" s="10">
        <v>15241.994492373524</v>
      </c>
      <c r="S22" s="10">
        <v>6665.845216959272</v>
      </c>
      <c r="T22" s="10">
        <v>22719.674720537696</v>
      </c>
      <c r="U22" s="10">
        <v>3324.6011090164038</v>
      </c>
      <c r="V22" s="10">
        <v>1749.5168185926252</v>
      </c>
      <c r="W22" s="10">
        <v>487004.14644000004</v>
      </c>
    </row>
    <row r="23" spans="3:23">
      <c r="C23" s="10" t="s">
        <v>667</v>
      </c>
      <c r="D23" s="10" t="s">
        <v>681</v>
      </c>
      <c r="E23" s="10" t="s">
        <v>9</v>
      </c>
      <c r="F23" s="10" t="s">
        <v>10</v>
      </c>
      <c r="G23" s="10" t="s">
        <v>11</v>
      </c>
      <c r="H23" s="10" t="s">
        <v>31</v>
      </c>
      <c r="I23" s="10" t="s">
        <v>12</v>
      </c>
      <c r="J23" s="10" t="s">
        <v>13</v>
      </c>
      <c r="K23" s="10" t="s">
        <v>14</v>
      </c>
      <c r="L23" s="10" t="s">
        <v>15</v>
      </c>
      <c r="M23" s="10" t="s">
        <v>16</v>
      </c>
      <c r="N23" s="10" t="s">
        <v>17</v>
      </c>
      <c r="O23" s="10" t="s">
        <v>18</v>
      </c>
      <c r="P23" s="10" t="s">
        <v>19</v>
      </c>
      <c r="Q23" s="10" t="s">
        <v>20</v>
      </c>
      <c r="R23" s="10" t="s">
        <v>60</v>
      </c>
      <c r="S23" s="10" t="s">
        <v>61</v>
      </c>
      <c r="T23" s="10" t="s">
        <v>62</v>
      </c>
      <c r="U23" s="10" t="s">
        <v>63</v>
      </c>
      <c r="V23" s="10" t="s">
        <v>64</v>
      </c>
      <c r="W23" s="10" t="s">
        <v>668</v>
      </c>
    </row>
    <row r="24" spans="3:23">
      <c r="C24" s="10" t="s">
        <v>129</v>
      </c>
      <c r="D24" s="10" t="s">
        <v>682</v>
      </c>
      <c r="E24" s="10">
        <v>12745.406028514255</v>
      </c>
      <c r="F24" s="10">
        <v>2022.4035237076059</v>
      </c>
      <c r="G24" s="10">
        <v>1611.787959977635</v>
      </c>
      <c r="H24" s="10">
        <v>1676.2580859824463</v>
      </c>
      <c r="I24" s="10">
        <v>3196.0700787671376</v>
      </c>
      <c r="J24" s="10">
        <v>893.36017881594523</v>
      </c>
      <c r="K24" s="10">
        <v>3794.7776796985645</v>
      </c>
      <c r="L24" s="10">
        <v>3162.8607181271805</v>
      </c>
      <c r="M24" s="10">
        <v>11405.94390661662</v>
      </c>
      <c r="N24" s="10">
        <v>7657.1538321465141</v>
      </c>
      <c r="O24" s="10">
        <v>1667.5707563676187</v>
      </c>
      <c r="P24" s="10">
        <v>4173.1229922007733</v>
      </c>
      <c r="Q24" s="10">
        <v>9799.7247670776196</v>
      </c>
      <c r="R24" s="10">
        <v>2223.9465438274901</v>
      </c>
      <c r="S24" s="10">
        <v>972.60784599831391</v>
      </c>
      <c r="T24" s="10">
        <v>3315.008550679272</v>
      </c>
      <c r="U24" s="10">
        <v>485.08974004035986</v>
      </c>
      <c r="V24" s="10">
        <v>255.27052145465279</v>
      </c>
      <c r="W24" s="10">
        <v>71058.363710000005</v>
      </c>
    </row>
    <row r="25" spans="3:23">
      <c r="C25" s="10" t="s">
        <v>130</v>
      </c>
      <c r="D25" s="10" t="s">
        <v>683</v>
      </c>
      <c r="E25" s="10">
        <v>169385.18446224689</v>
      </c>
      <c r="F25" s="10">
        <v>26877.542634100308</v>
      </c>
      <c r="G25" s="10">
        <v>21420.502438608124</v>
      </c>
      <c r="H25" s="10">
        <v>22277.304031370117</v>
      </c>
      <c r="I25" s="10">
        <v>42475.45497060538</v>
      </c>
      <c r="J25" s="10">
        <v>11872.668343513298</v>
      </c>
      <c r="K25" s="10">
        <v>50432.219721436995</v>
      </c>
      <c r="L25" s="10">
        <v>42034.105855066206</v>
      </c>
      <c r="M25" s="10">
        <v>151583.86545442304</v>
      </c>
      <c r="N25" s="10">
        <v>101762.81645419903</v>
      </c>
      <c r="O25" s="10">
        <v>22161.850280740295</v>
      </c>
      <c r="P25" s="10">
        <v>55460.39147251645</v>
      </c>
      <c r="Q25" s="10">
        <v>130237.37208819165</v>
      </c>
      <c r="R25" s="10">
        <v>29556.0294209245</v>
      </c>
      <c r="S25" s="10">
        <v>12925.861995709018</v>
      </c>
      <c r="T25" s="10">
        <v>44056.135488701286</v>
      </c>
      <c r="U25" s="10">
        <v>6446.7946265230148</v>
      </c>
      <c r="V25" s="10">
        <v>3392.5199611244343</v>
      </c>
      <c r="W25" s="10">
        <v>944358.61970000004</v>
      </c>
    </row>
    <row r="26" spans="3:23">
      <c r="C26" s="10" t="s">
        <v>131</v>
      </c>
      <c r="D26" s="10" t="s">
        <v>684</v>
      </c>
      <c r="E26" s="10">
        <v>3567.6107762376337</v>
      </c>
      <c r="F26" s="10">
        <v>566.09797984766874</v>
      </c>
      <c r="G26" s="10">
        <v>451.16115423563269</v>
      </c>
      <c r="H26" s="10">
        <v>469.20721065514522</v>
      </c>
      <c r="I26" s="10">
        <v>894.62305313073546</v>
      </c>
      <c r="J26" s="10">
        <v>250.06354398400256</v>
      </c>
      <c r="K26" s="10">
        <v>1062.209372791305</v>
      </c>
      <c r="L26" s="10">
        <v>885.32730589239623</v>
      </c>
      <c r="M26" s="10">
        <v>3192.6772912036399</v>
      </c>
      <c r="N26" s="10">
        <v>2143.340468382054</v>
      </c>
      <c r="O26" s="10">
        <v>466.77551011290683</v>
      </c>
      <c r="P26" s="10">
        <v>1168.1133205354649</v>
      </c>
      <c r="Q26" s="10">
        <v>2743.0749247981753</v>
      </c>
      <c r="R26" s="10">
        <v>622.5125851451819</v>
      </c>
      <c r="S26" s="10">
        <v>272.24603317257726</v>
      </c>
      <c r="T26" s="10">
        <v>927.91553303711555</v>
      </c>
      <c r="U26" s="10">
        <v>135.78315042600801</v>
      </c>
      <c r="V26" s="10">
        <v>71.453656412355286</v>
      </c>
      <c r="W26" s="10">
        <v>19890.192869999999</v>
      </c>
    </row>
    <row r="27" spans="3:23">
      <c r="C27" s="10" t="s">
        <v>132</v>
      </c>
      <c r="D27" s="10" t="s">
        <v>133</v>
      </c>
      <c r="E27" s="10">
        <v>57734.33698211165</v>
      </c>
      <c r="F27" s="10">
        <v>9161.114702059911</v>
      </c>
      <c r="G27" s="10">
        <v>7301.1019826966349</v>
      </c>
      <c r="H27" s="10">
        <v>7593.1397547153329</v>
      </c>
      <c r="I27" s="10">
        <v>14477.607581364444</v>
      </c>
      <c r="J27" s="10">
        <v>4046.7567290339007</v>
      </c>
      <c r="K27" s="10">
        <v>17189.642514468575</v>
      </c>
      <c r="L27" s="10">
        <v>14327.175306876028</v>
      </c>
      <c r="M27" s="10">
        <v>51666.820784714597</v>
      </c>
      <c r="N27" s="10">
        <v>34685.493634332517</v>
      </c>
      <c r="O27" s="10">
        <v>7553.78775491752</v>
      </c>
      <c r="P27" s="10">
        <v>18903.47695165607</v>
      </c>
      <c r="Q27" s="10">
        <v>44390.944530808214</v>
      </c>
      <c r="R27" s="10">
        <v>10074.067385870982</v>
      </c>
      <c r="S27" s="10">
        <v>4405.7340352034444</v>
      </c>
      <c r="T27" s="10">
        <v>15016.376907516154</v>
      </c>
      <c r="U27" s="10">
        <v>2197.3669928913046</v>
      </c>
      <c r="V27" s="10">
        <v>1156.3283487627186</v>
      </c>
      <c r="W27" s="10">
        <v>321881.27288</v>
      </c>
    </row>
    <row r="28" spans="3:23">
      <c r="C28" s="10" t="s">
        <v>134</v>
      </c>
      <c r="D28" s="10" t="s">
        <v>135</v>
      </c>
      <c r="E28" s="10">
        <v>18180.144974882947</v>
      </c>
      <c r="F28" s="10">
        <v>2884.7719073414592</v>
      </c>
      <c r="G28" s="10">
        <v>2299.0667159294935</v>
      </c>
      <c r="H28" s="10">
        <v>2391.0273984447663</v>
      </c>
      <c r="I28" s="10">
        <v>4558.8988888920858</v>
      </c>
      <c r="J28" s="10">
        <v>1274.2958152392823</v>
      </c>
      <c r="K28" s="10">
        <v>5412.9000056981331</v>
      </c>
      <c r="L28" s="10">
        <v>4511.5288020069074</v>
      </c>
      <c r="M28" s="10">
        <v>16269.525924380872</v>
      </c>
      <c r="N28" s="10">
        <v>10922.222991716788</v>
      </c>
      <c r="O28" s="10">
        <v>2378.6357248104528</v>
      </c>
      <c r="P28" s="10">
        <v>5952.5746630977583</v>
      </c>
      <c r="Q28" s="10">
        <v>13978.402616663479</v>
      </c>
      <c r="R28" s="10">
        <v>3172.2544180012128</v>
      </c>
      <c r="S28" s="10">
        <v>1387.3352959018443</v>
      </c>
      <c r="T28" s="10">
        <v>4728.5536380319763</v>
      </c>
      <c r="U28" s="10">
        <v>691.93572806013333</v>
      </c>
      <c r="V28" s="10">
        <v>364.11983090040047</v>
      </c>
      <c r="W28" s="10">
        <v>101358.19533999999</v>
      </c>
    </row>
    <row r="29" spans="3:23">
      <c r="C29" s="10" t="s">
        <v>136</v>
      </c>
      <c r="D29" s="10" t="s">
        <v>137</v>
      </c>
      <c r="E29" s="10">
        <v>17585.426551029217</v>
      </c>
      <c r="F29" s="10">
        <v>2790.4037378751609</v>
      </c>
      <c r="G29" s="10">
        <v>2223.8584414343686</v>
      </c>
      <c r="H29" s="10">
        <v>2312.8108579408968</v>
      </c>
      <c r="I29" s="10">
        <v>4409.7658008195649</v>
      </c>
      <c r="J29" s="10">
        <v>1232.6103831478704</v>
      </c>
      <c r="K29" s="10">
        <v>5235.8303858290892</v>
      </c>
      <c r="L29" s="10">
        <v>4363.9453090255747</v>
      </c>
      <c r="M29" s="10">
        <v>15737.308671550221</v>
      </c>
      <c r="N29" s="10">
        <v>10564.929512947123</v>
      </c>
      <c r="O29" s="10">
        <v>2300.8245472243648</v>
      </c>
      <c r="P29" s="10">
        <v>5757.8509231935923</v>
      </c>
      <c r="Q29" s="10">
        <v>13521.13378939834</v>
      </c>
      <c r="R29" s="10">
        <v>3068.4819700838193</v>
      </c>
      <c r="S29" s="10">
        <v>1341.9520571171545</v>
      </c>
      <c r="T29" s="10">
        <v>4573.8707149527945</v>
      </c>
      <c r="U29" s="10">
        <v>669.30076413830932</v>
      </c>
      <c r="V29" s="10">
        <v>352.2085522925484</v>
      </c>
      <c r="W29" s="10">
        <v>98042.512970000011</v>
      </c>
    </row>
    <row r="30" spans="3:23">
      <c r="C30" s="10" t="s">
        <v>138</v>
      </c>
      <c r="D30" s="10" t="s">
        <v>685</v>
      </c>
      <c r="E30" s="10">
        <v>234.88950101694152</v>
      </c>
      <c r="F30" s="10">
        <v>37.271574830634087</v>
      </c>
      <c r="G30" s="10">
        <v>29.704198423908011</v>
      </c>
      <c r="H30" s="10">
        <v>30.892340699947749</v>
      </c>
      <c r="I30" s="10">
        <v>58.901482176186313</v>
      </c>
      <c r="J30" s="10">
        <v>16.464044076824472</v>
      </c>
      <c r="K30" s="10">
        <v>69.935271866621648</v>
      </c>
      <c r="L30" s="10">
        <v>58.289455369636585</v>
      </c>
      <c r="M30" s="10">
        <v>210.20408976054506</v>
      </c>
      <c r="N30" s="10">
        <v>141.116339394683</v>
      </c>
      <c r="O30" s="10">
        <v>30.732238894337836</v>
      </c>
      <c r="P30" s="10">
        <v>76.907928639338238</v>
      </c>
      <c r="Q30" s="10">
        <v>180.60252105680112</v>
      </c>
      <c r="R30" s="10">
        <v>40.985880936182724</v>
      </c>
      <c r="S30" s="10">
        <v>17.924526776204832</v>
      </c>
      <c r="T30" s="10">
        <v>61.09344045955968</v>
      </c>
      <c r="U30" s="10">
        <v>8.9398867899228787</v>
      </c>
      <c r="V30" s="10">
        <v>4.7044688317244212</v>
      </c>
      <c r="W30" s="10">
        <v>1309.5591900000002</v>
      </c>
    </row>
    <row r="31" spans="3:23">
      <c r="C31" s="10" t="s">
        <v>139</v>
      </c>
      <c r="D31" s="10" t="s">
        <v>686</v>
      </c>
      <c r="E31" s="10">
        <v>44155.257245642766</v>
      </c>
      <c r="F31" s="10">
        <v>7006.4262875596669</v>
      </c>
      <c r="G31" s="10">
        <v>5583.8873896227269</v>
      </c>
      <c r="H31" s="10">
        <v>5807.2380613889136</v>
      </c>
      <c r="I31" s="10">
        <v>11072.483386354354</v>
      </c>
      <c r="J31" s="10">
        <v>3094.9620922535496</v>
      </c>
      <c r="K31" s="10">
        <v>13146.649409383002</v>
      </c>
      <c r="L31" s="10">
        <v>10957.432688185927</v>
      </c>
      <c r="M31" s="10">
        <v>39514.81704068846</v>
      </c>
      <c r="N31" s="10">
        <v>26527.487352813798</v>
      </c>
      <c r="O31" s="10">
        <v>5777.1416271864855</v>
      </c>
      <c r="P31" s="10">
        <v>14457.391065148484</v>
      </c>
      <c r="Q31" s="10">
        <v>33950.222304314484</v>
      </c>
      <c r="R31" s="10">
        <v>7704.653074493549</v>
      </c>
      <c r="S31" s="10">
        <v>3369.5081618511831</v>
      </c>
      <c r="T31" s="10">
        <v>11484.534505944785</v>
      </c>
      <c r="U31" s="10">
        <v>1680.5476585668985</v>
      </c>
      <c r="V31" s="10">
        <v>884.36064860096883</v>
      </c>
      <c r="W31" s="10">
        <v>246175</v>
      </c>
    </row>
    <row r="32" spans="3:23">
      <c r="C32" s="10"/>
      <c r="D32" s="10" t="s">
        <v>680</v>
      </c>
      <c r="E32" s="10">
        <v>323588.25652168231</v>
      </c>
      <c r="F32" s="10">
        <v>51346.032347322413</v>
      </c>
      <c r="G32" s="10">
        <v>40921.070280928529</v>
      </c>
      <c r="H32" s="10">
        <v>42557.877741197553</v>
      </c>
      <c r="I32" s="10">
        <v>81143.805242109869</v>
      </c>
      <c r="J32" s="10">
        <v>22681.181130064673</v>
      </c>
      <c r="K32" s="10">
        <v>96344.164361172268</v>
      </c>
      <c r="L32" s="10">
        <v>80300.665440549856</v>
      </c>
      <c r="M32" s="10">
        <v>289581.16316333797</v>
      </c>
      <c r="N32" s="10">
        <v>194404.56058593252</v>
      </c>
      <c r="O32" s="10">
        <v>42337.318440253985</v>
      </c>
      <c r="P32" s="10">
        <v>105949.82931698792</v>
      </c>
      <c r="Q32" s="10">
        <v>248801.4775423088</v>
      </c>
      <c r="R32" s="10">
        <v>56462.931279282915</v>
      </c>
      <c r="S32" s="10">
        <v>24693.169951729746</v>
      </c>
      <c r="T32" s="10">
        <v>84163.488779322943</v>
      </c>
      <c r="U32" s="10">
        <v>12315.758547435953</v>
      </c>
      <c r="V32" s="10">
        <v>6480.9659883798031</v>
      </c>
      <c r="W32" s="10">
        <v>1804073.7166600002</v>
      </c>
    </row>
    <row r="33" spans="3:23">
      <c r="C33" s="10" t="s">
        <v>667</v>
      </c>
      <c r="D33" s="10" t="s">
        <v>628</v>
      </c>
      <c r="E33" s="10" t="s">
        <v>9</v>
      </c>
      <c r="F33" s="10" t="s">
        <v>10</v>
      </c>
      <c r="G33" s="10" t="s">
        <v>11</v>
      </c>
      <c r="H33" s="10" t="s">
        <v>31</v>
      </c>
      <c r="I33" s="10" t="s">
        <v>12</v>
      </c>
      <c r="J33" s="10" t="s">
        <v>13</v>
      </c>
      <c r="K33" s="10" t="s">
        <v>14</v>
      </c>
      <c r="L33" s="10" t="s">
        <v>15</v>
      </c>
      <c r="M33" s="10" t="s">
        <v>16</v>
      </c>
      <c r="N33" s="10" t="s">
        <v>17</v>
      </c>
      <c r="O33" s="10" t="s">
        <v>18</v>
      </c>
      <c r="P33" s="10" t="s">
        <v>19</v>
      </c>
      <c r="Q33" s="10" t="s">
        <v>20</v>
      </c>
      <c r="R33" s="10" t="s">
        <v>60</v>
      </c>
      <c r="S33" s="10" t="s">
        <v>61</v>
      </c>
      <c r="T33" s="10" t="s">
        <v>62</v>
      </c>
      <c r="U33" s="10" t="s">
        <v>63</v>
      </c>
      <c r="V33" s="10" t="s">
        <v>64</v>
      </c>
      <c r="W33" s="10" t="s">
        <v>668</v>
      </c>
    </row>
    <row r="34" spans="3:23">
      <c r="C34" s="10" t="s">
        <v>140</v>
      </c>
      <c r="D34" s="10" t="s">
        <v>687</v>
      </c>
      <c r="E34" s="10">
        <v>215461.33766167736</v>
      </c>
      <c r="F34" s="10">
        <v>34188.771039138599</v>
      </c>
      <c r="G34" s="10">
        <v>27247.306920378265</v>
      </c>
      <c r="H34" s="10">
        <v>28337.175658740682</v>
      </c>
      <c r="I34" s="10">
        <v>54029.627058644932</v>
      </c>
      <c r="J34" s="10">
        <v>15102.271258422747</v>
      </c>
      <c r="K34" s="10">
        <v>64150.790737252071</v>
      </c>
      <c r="L34" s="10">
        <v>53468.222168885739</v>
      </c>
      <c r="M34" s="10">
        <v>192817.70434897265</v>
      </c>
      <c r="N34" s="10">
        <v>129444.33497563891</v>
      </c>
      <c r="O34" s="10">
        <v>28190.316182053077</v>
      </c>
      <c r="P34" s="10">
        <v>70546.725629194785</v>
      </c>
      <c r="Q34" s="10">
        <v>165664.53844679508</v>
      </c>
      <c r="R34" s="10">
        <v>37595.859727741685</v>
      </c>
      <c r="S34" s="10">
        <v>16441.954618802203</v>
      </c>
      <c r="T34" s="10">
        <v>56040.284247618896</v>
      </c>
      <c r="U34" s="10">
        <v>8200.4515227856609</v>
      </c>
      <c r="V34" s="10">
        <v>4315.353147256691</v>
      </c>
      <c r="W34" s="10">
        <v>1201243.02535</v>
      </c>
    </row>
    <row r="35" spans="3:23">
      <c r="C35" s="10" t="s">
        <v>141</v>
      </c>
      <c r="D35" s="10" t="s">
        <v>688</v>
      </c>
      <c r="E35" s="10">
        <v>68444.26487367558</v>
      </c>
      <c r="F35" s="10">
        <v>10860.534544636566</v>
      </c>
      <c r="G35" s="10">
        <v>8655.4827524604407</v>
      </c>
      <c r="H35" s="10">
        <v>9001.6945852447861</v>
      </c>
      <c r="I35" s="10">
        <v>17163.256041947167</v>
      </c>
      <c r="J35" s="10">
        <v>4797.4447082876113</v>
      </c>
      <c r="K35" s="10">
        <v>20378.383243729244</v>
      </c>
      <c r="L35" s="10">
        <v>16984.918037583753</v>
      </c>
      <c r="M35" s="10">
        <v>61251.202522086904</v>
      </c>
      <c r="N35" s="10">
        <v>41119.777894357867</v>
      </c>
      <c r="O35" s="10">
        <v>8955.0426474507331</v>
      </c>
      <c r="P35" s="10">
        <v>22410.140154782584</v>
      </c>
      <c r="Q35" s="10">
        <v>52625.6249621549</v>
      </c>
      <c r="R35" s="10">
        <v>11942.843246427992</v>
      </c>
      <c r="S35" s="10">
        <v>5223.0136004136175</v>
      </c>
      <c r="T35" s="10">
        <v>17801.969022687987</v>
      </c>
      <c r="U35" s="10">
        <v>2604.9865010612898</v>
      </c>
      <c r="V35" s="10">
        <v>1370.8314310109308</v>
      </c>
      <c r="W35" s="10">
        <v>381591.41076999996</v>
      </c>
    </row>
    <row r="36" spans="3:23">
      <c r="C36" s="10" t="s">
        <v>142</v>
      </c>
      <c r="D36" s="10" t="s">
        <v>143</v>
      </c>
      <c r="E36" s="10">
        <v>100733.48343108589</v>
      </c>
      <c r="F36" s="10">
        <v>15984.092730399907</v>
      </c>
      <c r="G36" s="10">
        <v>12738.787245976611</v>
      </c>
      <c r="H36" s="10">
        <v>13248.327731009143</v>
      </c>
      <c r="I36" s="10">
        <v>25260.181715969156</v>
      </c>
      <c r="J36" s="10">
        <v>7060.6838706760536</v>
      </c>
      <c r="K36" s="10">
        <v>29992.075079237824</v>
      </c>
      <c r="L36" s="10">
        <v>24997.711099317326</v>
      </c>
      <c r="M36" s="10">
        <v>90147.027012131672</v>
      </c>
      <c r="N36" s="10">
        <v>60518.41557296559</v>
      </c>
      <c r="O36" s="10">
        <v>13179.667307648928</v>
      </c>
      <c r="P36" s="10">
        <v>32982.332210545006</v>
      </c>
      <c r="Q36" s="10">
        <v>77452.253011408349</v>
      </c>
      <c r="R36" s="10">
        <v>17576.990628864423</v>
      </c>
      <c r="S36" s="10">
        <v>7687.0188458983321</v>
      </c>
      <c r="T36" s="10">
        <v>26200.213486073248</v>
      </c>
      <c r="U36" s="10">
        <v>3833.9131120361462</v>
      </c>
      <c r="V36" s="10">
        <v>2017.5339087564919</v>
      </c>
      <c r="W36" s="10">
        <v>561610.7080000001</v>
      </c>
    </row>
    <row r="37" spans="3:23">
      <c r="C37" s="10" t="s">
        <v>144</v>
      </c>
      <c r="D37" s="10" t="s">
        <v>689</v>
      </c>
      <c r="E37" s="10">
        <v>31125.127740331285</v>
      </c>
      <c r="F37" s="10">
        <v>4938.8436803871064</v>
      </c>
      <c r="G37" s="10">
        <v>3936.0932113419603</v>
      </c>
      <c r="H37" s="10">
        <v>4093.5335394763265</v>
      </c>
      <c r="I37" s="10">
        <v>7805.0153322792257</v>
      </c>
      <c r="J37" s="10">
        <v>2181.6448704390837</v>
      </c>
      <c r="K37" s="10">
        <v>9267.0990443561677</v>
      </c>
      <c r="L37" s="10">
        <v>7723.9158686936089</v>
      </c>
      <c r="M37" s="10">
        <v>27854.072306386901</v>
      </c>
      <c r="N37" s="10">
        <v>18699.278047300453</v>
      </c>
      <c r="O37" s="10">
        <v>4072.318503770211</v>
      </c>
      <c r="P37" s="10">
        <v>10191.043417351522</v>
      </c>
      <c r="Q37" s="10">
        <v>23931.578524292443</v>
      </c>
      <c r="R37" s="10">
        <v>5431.0251167704864</v>
      </c>
      <c r="S37" s="10">
        <v>2375.1729352693587</v>
      </c>
      <c r="T37" s="10">
        <v>8095.4709774915364</v>
      </c>
      <c r="U37" s="10">
        <v>1184.6213522348132</v>
      </c>
      <c r="V37" s="10">
        <v>623.38756182750194</v>
      </c>
      <c r="W37" s="10">
        <v>173529.24202999999</v>
      </c>
    </row>
    <row r="38" spans="3:23">
      <c r="C38" s="10" t="s">
        <v>145</v>
      </c>
      <c r="D38" s="10" t="s">
        <v>146</v>
      </c>
      <c r="E38" s="10">
        <v>158815.48969834059</v>
      </c>
      <c r="F38" s="10">
        <v>25200.374571567445</v>
      </c>
      <c r="G38" s="10">
        <v>20083.855593227967</v>
      </c>
      <c r="H38" s="10">
        <v>20887.192466879646</v>
      </c>
      <c r="I38" s="10">
        <v>39824.971721892391</v>
      </c>
      <c r="J38" s="10">
        <v>11131.809685641729</v>
      </c>
      <c r="K38" s="10">
        <v>47285.231568877214</v>
      </c>
      <c r="L38" s="10">
        <v>39411.162945553355</v>
      </c>
      <c r="M38" s="10">
        <v>142124.97922377166</v>
      </c>
      <c r="N38" s="10">
        <v>95412.781109307107</v>
      </c>
      <c r="O38" s="10">
        <v>20778.943070676567</v>
      </c>
      <c r="P38" s="10">
        <v>51999.64364375989</v>
      </c>
      <c r="Q38" s="10">
        <v>122110.51451091464</v>
      </c>
      <c r="R38" s="10">
        <v>27711.722845919212</v>
      </c>
      <c r="S38" s="10">
        <v>12119.283685517599</v>
      </c>
      <c r="T38" s="10">
        <v>41307.017222713512</v>
      </c>
      <c r="U38" s="10">
        <v>6044.5123866431341</v>
      </c>
      <c r="V38" s="10">
        <v>3180.8255287962243</v>
      </c>
      <c r="W38" s="10">
        <v>885430.31147999992</v>
      </c>
    </row>
    <row r="39" spans="3:23">
      <c r="C39" s="10" t="s">
        <v>147</v>
      </c>
      <c r="D39" s="10" t="s">
        <v>690</v>
      </c>
      <c r="E39" s="10">
        <v>545903.43453085609</v>
      </c>
      <c r="F39" s="10">
        <v>86622.350604548497</v>
      </c>
      <c r="G39" s="10">
        <v>69035.115956195354</v>
      </c>
      <c r="H39" s="10">
        <v>71796.460956262512</v>
      </c>
      <c r="I39" s="10">
        <v>136892.11854819747</v>
      </c>
      <c r="J39" s="10">
        <v>38263.856702380363</v>
      </c>
      <c r="K39" s="10">
        <v>162535.59627632872</v>
      </c>
      <c r="L39" s="10">
        <v>135469.71552773914</v>
      </c>
      <c r="M39" s="10">
        <v>488532.41228707548</v>
      </c>
      <c r="N39" s="10">
        <v>327966.52898684959</v>
      </c>
      <c r="O39" s="10">
        <v>71424.370568319893</v>
      </c>
      <c r="P39" s="10">
        <v>178740.65126410479</v>
      </c>
      <c r="Q39" s="10">
        <v>419735.81664140883</v>
      </c>
      <c r="R39" s="10">
        <v>95254.717956598368</v>
      </c>
      <c r="S39" s="10">
        <v>41658.144306606358</v>
      </c>
      <c r="T39" s="10">
        <v>141986.41842137731</v>
      </c>
      <c r="U39" s="10">
        <v>20777.0670115389</v>
      </c>
      <c r="V39" s="10">
        <v>10933.590823612394</v>
      </c>
      <c r="W39" s="10">
        <v>3043528.3673700001</v>
      </c>
    </row>
    <row r="40" spans="3:23">
      <c r="C40" s="10" t="s">
        <v>148</v>
      </c>
      <c r="D40" s="10" t="s">
        <v>691</v>
      </c>
      <c r="E40" s="10">
        <v>244688.28554563096</v>
      </c>
      <c r="F40" s="10">
        <v>38826.417125539243</v>
      </c>
      <c r="G40" s="10">
        <v>30943.355724226501</v>
      </c>
      <c r="H40" s="10">
        <v>32181.063221793531</v>
      </c>
      <c r="I40" s="10">
        <v>61358.650034971382</v>
      </c>
      <c r="J40" s="10">
        <v>17150.867539266128</v>
      </c>
      <c r="K40" s="10">
        <v>72852.731595598278</v>
      </c>
      <c r="L40" s="10">
        <v>60721.09156873828</v>
      </c>
      <c r="M40" s="10">
        <v>218973.08357974651</v>
      </c>
      <c r="N40" s="10">
        <v>147003.22917570465</v>
      </c>
      <c r="O40" s="10">
        <v>32014.282517854692</v>
      </c>
      <c r="P40" s="10">
        <v>80116.263699108924</v>
      </c>
      <c r="Q40" s="10">
        <v>188136.63893568431</v>
      </c>
      <c r="R40" s="10">
        <v>42695.671345176816</v>
      </c>
      <c r="S40" s="10">
        <v>18672.276568759789</v>
      </c>
      <c r="T40" s="10">
        <v>63642.049301537532</v>
      </c>
      <c r="U40" s="10">
        <v>9312.8282112553425</v>
      </c>
      <c r="V40" s="10">
        <v>4900.7231394070714</v>
      </c>
      <c r="W40" s="10">
        <v>1364189.5088299999</v>
      </c>
    </row>
    <row r="41" spans="3:23">
      <c r="C41" s="10" t="s">
        <v>149</v>
      </c>
      <c r="D41" s="10" t="s">
        <v>692</v>
      </c>
      <c r="E41" s="10">
        <v>31814.677829476266</v>
      </c>
      <c r="F41" s="10">
        <v>5048.259459448188</v>
      </c>
      <c r="G41" s="10">
        <v>4023.2939273488828</v>
      </c>
      <c r="H41" s="10">
        <v>4184.2222087924138</v>
      </c>
      <c r="I41" s="10">
        <v>7977.9286473040274</v>
      </c>
      <c r="J41" s="10">
        <v>2229.9773119135211</v>
      </c>
      <c r="K41" s="10">
        <v>9472.4035502673505</v>
      </c>
      <c r="L41" s="10">
        <v>7895.0324957558214</v>
      </c>
      <c r="M41" s="10">
        <v>28471.155012108044</v>
      </c>
      <c r="N41" s="10">
        <v>19113.544261789106</v>
      </c>
      <c r="O41" s="10">
        <v>4162.5371724525849</v>
      </c>
      <c r="P41" s="10">
        <v>10416.81710591407</v>
      </c>
      <c r="Q41" s="10">
        <v>24461.761797513936</v>
      </c>
      <c r="R41" s="10">
        <v>5551.3447467704327</v>
      </c>
      <c r="S41" s="10">
        <v>2427.7928224201351</v>
      </c>
      <c r="T41" s="10">
        <v>8274.819084293571</v>
      </c>
      <c r="U41" s="10">
        <v>1210.8656062617001</v>
      </c>
      <c r="V41" s="10">
        <v>637.19817016993863</v>
      </c>
      <c r="W41" s="10">
        <v>177373.63120999999</v>
      </c>
    </row>
    <row r="42" spans="3:23">
      <c r="C42" s="10" t="s">
        <v>150</v>
      </c>
      <c r="D42" s="10" t="s">
        <v>693</v>
      </c>
      <c r="E42" s="10">
        <v>26316.984375543765</v>
      </c>
      <c r="F42" s="10">
        <v>4175.9016398053536</v>
      </c>
      <c r="G42" s="10">
        <v>3328.0539250396573</v>
      </c>
      <c r="H42" s="10">
        <v>3461.173206996008</v>
      </c>
      <c r="I42" s="10">
        <v>6599.3132064904948</v>
      </c>
      <c r="J42" s="10">
        <v>1844.6290228050791</v>
      </c>
      <c r="K42" s="10">
        <v>7835.5373443470407</v>
      </c>
      <c r="L42" s="10">
        <v>6530.7418151100801</v>
      </c>
      <c r="M42" s="10">
        <v>23551.234610118525</v>
      </c>
      <c r="N42" s="10">
        <v>15810.653447281778</v>
      </c>
      <c r="O42" s="10">
        <v>3443.2354247686603</v>
      </c>
      <c r="P42" s="10">
        <v>8616.7527607413922</v>
      </c>
      <c r="Q42" s="10">
        <v>20234.679303494464</v>
      </c>
      <c r="R42" s="10">
        <v>4592.0519373814905</v>
      </c>
      <c r="S42" s="10">
        <v>2008.261284842933</v>
      </c>
      <c r="T42" s="10">
        <v>6844.8998829729835</v>
      </c>
      <c r="U42" s="10">
        <v>1001.6235717260154</v>
      </c>
      <c r="V42" s="10">
        <v>527.08798053427927</v>
      </c>
      <c r="W42" s="10">
        <v>146722.81474</v>
      </c>
    </row>
    <row r="43" spans="3:23">
      <c r="C43" s="10" t="s">
        <v>152</v>
      </c>
      <c r="D43" s="10" t="s">
        <v>151</v>
      </c>
      <c r="E43" s="10">
        <v>36534.415885201757</v>
      </c>
      <c r="F43" s="10">
        <v>5797.1736057312792</v>
      </c>
      <c r="G43" s="10">
        <v>4620.1534511214159</v>
      </c>
      <c r="H43" s="10">
        <v>4804.9555978997651</v>
      </c>
      <c r="I43" s="10">
        <v>9161.4620353950177</v>
      </c>
      <c r="J43" s="10">
        <v>2560.7965909536929</v>
      </c>
      <c r="K43" s="10">
        <v>10877.643727616083</v>
      </c>
      <c r="L43" s="10">
        <v>9066.2681600341657</v>
      </c>
      <c r="M43" s="10">
        <v>32694.878242038296</v>
      </c>
      <c r="N43" s="10">
        <v>21949.056936652003</v>
      </c>
      <c r="O43" s="10">
        <v>4780.0535655620051</v>
      </c>
      <c r="P43" s="10">
        <v>11962.161942590803</v>
      </c>
      <c r="Q43" s="10">
        <v>28090.687687778689</v>
      </c>
      <c r="R43" s="10">
        <v>6374.8920793009884</v>
      </c>
      <c r="S43" s="10">
        <v>2787.9582227051937</v>
      </c>
      <c r="T43" s="10">
        <v>9502.3964542645936</v>
      </c>
      <c r="U43" s="10">
        <v>1390.4986835750763</v>
      </c>
      <c r="V43" s="10">
        <v>731.72713157917042</v>
      </c>
      <c r="W43" s="10">
        <v>203687.17999999996</v>
      </c>
    </row>
    <row r="44" spans="3:23">
      <c r="C44" s="10"/>
      <c r="D44" s="10" t="s">
        <v>680</v>
      </c>
      <c r="E44" s="10">
        <v>1459837.5015718192</v>
      </c>
      <c r="F44" s="10">
        <v>231642.7190012022</v>
      </c>
      <c r="G44" s="10">
        <v>184611.49870731708</v>
      </c>
      <c r="H44" s="10">
        <v>191995.7991730948</v>
      </c>
      <c r="I44" s="10">
        <v>366072.52434309124</v>
      </c>
      <c r="J44" s="10">
        <v>102323.98156078599</v>
      </c>
      <c r="K44" s="10">
        <v>434647.49216760992</v>
      </c>
      <c r="L44" s="10">
        <v>362268.77968741127</v>
      </c>
      <c r="M44" s="10">
        <v>1306417.7491444366</v>
      </c>
      <c r="N44" s="10">
        <v>877037.60040784709</v>
      </c>
      <c r="O44" s="10">
        <v>191000.76696055738</v>
      </c>
      <c r="P44" s="10">
        <v>477982.53182809375</v>
      </c>
      <c r="Q44" s="10">
        <v>1122444.0938214457</v>
      </c>
      <c r="R44" s="10">
        <v>254727.1196309519</v>
      </c>
      <c r="S44" s="10">
        <v>111400.8768912355</v>
      </c>
      <c r="T44" s="10">
        <v>379695.53810103115</v>
      </c>
      <c r="U44" s="10">
        <v>55561.367959118077</v>
      </c>
      <c r="V44" s="10">
        <v>29238.258822950691</v>
      </c>
      <c r="W44" s="10">
        <v>8138906.1997800004</v>
      </c>
    </row>
    <row r="45" spans="3:23">
      <c r="C45" s="10" t="s">
        <v>667</v>
      </c>
      <c r="D45" s="10" t="s">
        <v>629</v>
      </c>
      <c r="E45" s="10" t="s">
        <v>9</v>
      </c>
      <c r="F45" s="10" t="s">
        <v>10</v>
      </c>
      <c r="G45" s="10" t="s">
        <v>11</v>
      </c>
      <c r="H45" s="10" t="s">
        <v>31</v>
      </c>
      <c r="I45" s="10" t="s">
        <v>12</v>
      </c>
      <c r="J45" s="10" t="s">
        <v>13</v>
      </c>
      <c r="K45" s="10" t="s">
        <v>14</v>
      </c>
      <c r="L45" s="10" t="s">
        <v>15</v>
      </c>
      <c r="M45" s="10" t="s">
        <v>16</v>
      </c>
      <c r="N45" s="10" t="s">
        <v>17</v>
      </c>
      <c r="O45" s="10" t="s">
        <v>18</v>
      </c>
      <c r="P45" s="10" t="s">
        <v>19</v>
      </c>
      <c r="Q45" s="10" t="s">
        <v>20</v>
      </c>
      <c r="R45" s="10" t="s">
        <v>60</v>
      </c>
      <c r="S45" s="10" t="s">
        <v>61</v>
      </c>
      <c r="T45" s="10" t="s">
        <v>62</v>
      </c>
      <c r="U45" s="10" t="s">
        <v>63</v>
      </c>
      <c r="V45" s="10" t="s">
        <v>64</v>
      </c>
      <c r="W45" s="10" t="s">
        <v>668</v>
      </c>
    </row>
    <row r="46" spans="3:23">
      <c r="C46" s="10" t="s">
        <v>153</v>
      </c>
      <c r="D46" s="10" t="s">
        <v>694</v>
      </c>
      <c r="E46" s="10">
        <v>1179.2136774510802</v>
      </c>
      <c r="F46" s="10">
        <v>187.11415635922845</v>
      </c>
      <c r="G46" s="10">
        <v>149.12372374049517</v>
      </c>
      <c r="H46" s="10">
        <v>155.08854386484319</v>
      </c>
      <c r="I46" s="10">
        <v>295.7025882535732</v>
      </c>
      <c r="J46" s="10">
        <v>82.654294370307213</v>
      </c>
      <c r="K46" s="10">
        <v>351.09542471816098</v>
      </c>
      <c r="L46" s="10">
        <v>292.6300355080246</v>
      </c>
      <c r="M46" s="10">
        <v>1055.2857263888995</v>
      </c>
      <c r="N46" s="10">
        <v>708.44510633975392</v>
      </c>
      <c r="O46" s="10">
        <v>154.28478619094781</v>
      </c>
      <c r="P46" s="10">
        <v>386.10019163605858</v>
      </c>
      <c r="Q46" s="10">
        <v>906.67723372176647</v>
      </c>
      <c r="R46" s="10">
        <v>205.76105433866221</v>
      </c>
      <c r="S46" s="10">
        <v>89.986342705093278</v>
      </c>
      <c r="T46" s="10">
        <v>306.7068569712697</v>
      </c>
      <c r="U46" s="10">
        <v>44.880834315284872</v>
      </c>
      <c r="V46" s="10">
        <v>23.617803126550221</v>
      </c>
      <c r="W46" s="10">
        <v>6574.3683799999999</v>
      </c>
    </row>
    <row r="47" spans="3:23">
      <c r="C47" s="10" t="s">
        <v>630</v>
      </c>
      <c r="D47" s="10" t="s">
        <v>695</v>
      </c>
      <c r="E47" s="10">
        <v>6595.8652367834366</v>
      </c>
      <c r="F47" s="10">
        <v>1046.6124866424773</v>
      </c>
      <c r="G47" s="10">
        <v>834.11514317381523</v>
      </c>
      <c r="H47" s="10">
        <v>867.47902832387149</v>
      </c>
      <c r="I47" s="10">
        <v>1653.9957597036459</v>
      </c>
      <c r="J47" s="10">
        <v>462.32213663463972</v>
      </c>
      <c r="K47" s="10">
        <v>1963.8324681731012</v>
      </c>
      <c r="L47" s="10">
        <v>1636.8096091101813</v>
      </c>
      <c r="M47" s="10">
        <v>5902.6812278905727</v>
      </c>
      <c r="N47" s="10">
        <v>3962.6477698055533</v>
      </c>
      <c r="O47" s="10">
        <v>862.98325507987067</v>
      </c>
      <c r="P47" s="10">
        <v>2159.6296588353898</v>
      </c>
      <c r="Q47" s="10">
        <v>5071.448000683883</v>
      </c>
      <c r="R47" s="10">
        <v>1150.912859431782</v>
      </c>
      <c r="S47" s="10">
        <v>503.33353571403819</v>
      </c>
      <c r="T47" s="10">
        <v>1715.5475165049818</v>
      </c>
      <c r="U47" s="10">
        <v>251.03841697113066</v>
      </c>
      <c r="V47" s="10">
        <v>132.10485053763318</v>
      </c>
      <c r="W47" s="10">
        <v>36773.358960000005</v>
      </c>
    </row>
    <row r="48" spans="3:23">
      <c r="C48" s="10" t="s">
        <v>696</v>
      </c>
      <c r="D48" s="10" t="s">
        <v>697</v>
      </c>
      <c r="E48" s="10">
        <v>25637.318111822071</v>
      </c>
      <c r="F48" s="10">
        <v>4068.0541970780887</v>
      </c>
      <c r="G48" s="10">
        <v>3242.1031206306975</v>
      </c>
      <c r="H48" s="10">
        <v>3371.7844446620261</v>
      </c>
      <c r="I48" s="10">
        <v>6428.8783843931424</v>
      </c>
      <c r="J48" s="10">
        <v>1796.9893655407152</v>
      </c>
      <c r="K48" s="10">
        <v>7633.1756179771628</v>
      </c>
      <c r="L48" s="10">
        <v>6362.0779277335396</v>
      </c>
      <c r="M48" s="10">
        <v>22942.997001847289</v>
      </c>
      <c r="N48" s="10">
        <v>15402.325213234619</v>
      </c>
      <c r="O48" s="10">
        <v>3354.3099262057826</v>
      </c>
      <c r="P48" s="10">
        <v>8394.2152514761183</v>
      </c>
      <c r="Q48" s="10">
        <v>19712.095534641634</v>
      </c>
      <c r="R48" s="10">
        <v>4473.4569365805464</v>
      </c>
      <c r="S48" s="10">
        <v>1956.3956369948248</v>
      </c>
      <c r="T48" s="10">
        <v>6668.1225036721617</v>
      </c>
      <c r="U48" s="10">
        <v>975.75549577415086</v>
      </c>
      <c r="V48" s="10">
        <v>513.47532973545674</v>
      </c>
      <c r="W48" s="10">
        <v>142933.53000000006</v>
      </c>
    </row>
    <row r="49" spans="3:23">
      <c r="C49" s="10" t="s">
        <v>154</v>
      </c>
      <c r="D49" s="10" t="s">
        <v>155</v>
      </c>
      <c r="E49" s="10">
        <v>1085.5893237049743</v>
      </c>
      <c r="F49" s="10">
        <v>172.25811940776816</v>
      </c>
      <c r="G49" s="10">
        <v>137.28395921741455</v>
      </c>
      <c r="H49" s="10">
        <v>142.77519898899652</v>
      </c>
      <c r="I49" s="10">
        <v>272.22510978153417</v>
      </c>
      <c r="J49" s="10">
        <v>76.09190873763086</v>
      </c>
      <c r="K49" s="10">
        <v>323.21999987276342</v>
      </c>
      <c r="L49" s="10">
        <v>269.39650414298882</v>
      </c>
      <c r="M49" s="10">
        <v>971.50070418307507</v>
      </c>
      <c r="N49" s="10">
        <v>652.19769629527332</v>
      </c>
      <c r="O49" s="10">
        <v>142.03525612171836</v>
      </c>
      <c r="P49" s="10">
        <v>355.44554302198384</v>
      </c>
      <c r="Q49" s="10">
        <v>834.69106896917094</v>
      </c>
      <c r="R49" s="10">
        <v>189.42453610880659</v>
      </c>
      <c r="S49" s="10">
        <v>82.841824843028803</v>
      </c>
      <c r="T49" s="10">
        <v>282.35568820302433</v>
      </c>
      <c r="U49" s="10">
        <v>41.317494448470171</v>
      </c>
      <c r="V49" s="10">
        <v>21.742653951376443</v>
      </c>
      <c r="W49" s="10">
        <v>6052.3925899999986</v>
      </c>
    </row>
    <row r="50" spans="3:23">
      <c r="C50" s="10" t="s">
        <v>698</v>
      </c>
      <c r="D50" s="10" t="s">
        <v>699</v>
      </c>
      <c r="E50" s="10">
        <v>20796.020879526637</v>
      </c>
      <c r="F50" s="10">
        <v>3299.8513983594416</v>
      </c>
      <c r="G50" s="10">
        <v>2629.8711860630979</v>
      </c>
      <c r="H50" s="10">
        <v>2735.063761607752</v>
      </c>
      <c r="I50" s="10">
        <v>5214.8625113844018</v>
      </c>
      <c r="J50" s="10">
        <v>1457.6496731473485</v>
      </c>
      <c r="K50" s="10">
        <v>6191.7427882344482</v>
      </c>
      <c r="L50" s="10">
        <v>5160.6765124668937</v>
      </c>
      <c r="M50" s="10">
        <v>18610.489701312348</v>
      </c>
      <c r="N50" s="10">
        <v>12493.782513857575</v>
      </c>
      <c r="O50" s="10">
        <v>2720.889094464696</v>
      </c>
      <c r="P50" s="10">
        <v>6809.0692979481728</v>
      </c>
      <c r="Q50" s="10">
        <v>15989.704872000624</v>
      </c>
      <c r="R50" s="10">
        <v>3628.698737169922</v>
      </c>
      <c r="S50" s="10">
        <v>1586.9539995604341</v>
      </c>
      <c r="T50" s="10">
        <v>5408.928274352651</v>
      </c>
      <c r="U50" s="10">
        <v>791.49588014336757</v>
      </c>
      <c r="V50" s="10">
        <v>416.51172840018518</v>
      </c>
      <c r="W50" s="10">
        <v>115942.26281</v>
      </c>
    </row>
    <row r="51" spans="3:23">
      <c r="C51" s="10" t="s">
        <v>700</v>
      </c>
      <c r="D51" s="10" t="s">
        <v>701</v>
      </c>
      <c r="E51" s="10">
        <v>58995.006186729886</v>
      </c>
      <c r="F51" s="10">
        <v>9361.1539817772937</v>
      </c>
      <c r="G51" s="10">
        <v>7460.5265974144686</v>
      </c>
      <c r="H51" s="10">
        <v>7758.941216297856</v>
      </c>
      <c r="I51" s="10">
        <v>14793.736162524536</v>
      </c>
      <c r="J51" s="10">
        <v>4135.1204628801097</v>
      </c>
      <c r="K51" s="10">
        <v>17564.990255330329</v>
      </c>
      <c r="L51" s="10">
        <v>14640.01909521193</v>
      </c>
      <c r="M51" s="10">
        <v>52795.00157397351</v>
      </c>
      <c r="N51" s="10">
        <v>35442.875392874797</v>
      </c>
      <c r="O51" s="10">
        <v>7718.7299383498394</v>
      </c>
      <c r="P51" s="10">
        <v>19316.247453559419</v>
      </c>
      <c r="Q51" s="10">
        <v>45360.251526595581</v>
      </c>
      <c r="R51" s="10">
        <v>10294.041619273046</v>
      </c>
      <c r="S51" s="10">
        <v>4501.9362869698462</v>
      </c>
      <c r="T51" s="10">
        <v>15344.269889782694</v>
      </c>
      <c r="U51" s="10">
        <v>2245.3480219285125</v>
      </c>
      <c r="V51" s="10">
        <v>1181.577578526349</v>
      </c>
      <c r="W51" s="10">
        <v>328909.77324000001</v>
      </c>
    </row>
    <row r="52" spans="3:23">
      <c r="C52" s="10" t="s">
        <v>156</v>
      </c>
      <c r="D52" s="10" t="s">
        <v>157</v>
      </c>
      <c r="E52" s="10">
        <v>10720.214580460504</v>
      </c>
      <c r="F52" s="10">
        <v>1701.0521041009401</v>
      </c>
      <c r="G52" s="10">
        <v>1355.6816276003042</v>
      </c>
      <c r="H52" s="10">
        <v>1409.9077215556233</v>
      </c>
      <c r="I52" s="10">
        <v>2688.2279765682006</v>
      </c>
      <c r="J52" s="10">
        <v>751.40900126050371</v>
      </c>
      <c r="K52" s="10">
        <v>3191.8034561236209</v>
      </c>
      <c r="L52" s="10">
        <v>2660.2954437525518</v>
      </c>
      <c r="M52" s="10">
        <v>9593.5873598747767</v>
      </c>
      <c r="N52" s="10">
        <v>6440.4642717980923</v>
      </c>
      <c r="O52" s="10">
        <v>1402.6007721031078</v>
      </c>
      <c r="P52" s="10">
        <v>3510.0312886823513</v>
      </c>
      <c r="Q52" s="10">
        <v>8242.5896905515692</v>
      </c>
      <c r="R52" s="10">
        <v>1870.5707854238831</v>
      </c>
      <c r="S52" s="10">
        <v>818.06454721135663</v>
      </c>
      <c r="T52" s="10">
        <v>2788.2676252006254</v>
      </c>
      <c r="U52" s="10">
        <v>408.011019215734</v>
      </c>
      <c r="V52" s="10">
        <v>214.70910851624927</v>
      </c>
      <c r="W52" s="10">
        <v>59767.488379999995</v>
      </c>
    </row>
    <row r="53" spans="3:23">
      <c r="C53" s="10" t="s">
        <v>158</v>
      </c>
      <c r="D53" s="10" t="s">
        <v>159</v>
      </c>
      <c r="E53" s="10">
        <v>1026.7920073786645</v>
      </c>
      <c r="F53" s="10">
        <v>162.92833427131606</v>
      </c>
      <c r="G53" s="10">
        <v>129.8484325404516</v>
      </c>
      <c r="H53" s="10">
        <v>135.04225766837124</v>
      </c>
      <c r="I53" s="10">
        <v>257.48094682572827</v>
      </c>
      <c r="J53" s="10">
        <v>71.970644894827032</v>
      </c>
      <c r="K53" s="10">
        <v>305.71386918362873</v>
      </c>
      <c r="L53" s="10">
        <v>254.80554315487021</v>
      </c>
      <c r="M53" s="10">
        <v>918.88261650684751</v>
      </c>
      <c r="N53" s="10">
        <v>616.87358853278283</v>
      </c>
      <c r="O53" s="10">
        <v>134.34239133268818</v>
      </c>
      <c r="P53" s="10">
        <v>336.19402352609001</v>
      </c>
      <c r="Q53" s="10">
        <v>789.48281779603803</v>
      </c>
      <c r="R53" s="10">
        <v>179.16498940329677</v>
      </c>
      <c r="S53" s="10">
        <v>78.354974361006157</v>
      </c>
      <c r="T53" s="10">
        <v>267.06283633603425</v>
      </c>
      <c r="U53" s="10">
        <v>39.079670496217062</v>
      </c>
      <c r="V53" s="10">
        <v>20.565035791141113</v>
      </c>
      <c r="W53" s="10">
        <v>5724.5849799999996</v>
      </c>
    </row>
    <row r="54" spans="3:23">
      <c r="C54" s="10" t="s">
        <v>160</v>
      </c>
      <c r="D54" s="10" t="s">
        <v>702</v>
      </c>
      <c r="E54" s="10">
        <v>13176.471532315058</v>
      </c>
      <c r="F54" s="10">
        <v>2090.8037293883945</v>
      </c>
      <c r="G54" s="10">
        <v>1666.3006359515064</v>
      </c>
      <c r="H54" s="10">
        <v>1732.9512219027638</v>
      </c>
      <c r="I54" s="10">
        <v>3304.1651489127398</v>
      </c>
      <c r="J54" s="10">
        <v>923.57473256929961</v>
      </c>
      <c r="K54" s="10">
        <v>3923.1217864811706</v>
      </c>
      <c r="L54" s="10">
        <v>3269.8326063401601</v>
      </c>
      <c r="M54" s="10">
        <v>11791.707133416116</v>
      </c>
      <c r="N54" s="10">
        <v>7916.1283102408188</v>
      </c>
      <c r="O54" s="10">
        <v>1723.9700759819889</v>
      </c>
      <c r="P54" s="10">
        <v>4314.2632086074718</v>
      </c>
      <c r="Q54" s="10">
        <v>10131.163662345356</v>
      </c>
      <c r="R54" s="10">
        <v>2299.1631854312413</v>
      </c>
      <c r="S54" s="10">
        <v>1005.5026545432835</v>
      </c>
      <c r="T54" s="10">
        <v>3427.1262680596028</v>
      </c>
      <c r="U54" s="10">
        <v>501.49607913315009</v>
      </c>
      <c r="V54" s="10">
        <v>263.90408837987775</v>
      </c>
      <c r="W54" s="10">
        <v>73461.646059999999</v>
      </c>
    </row>
    <row r="55" spans="3:23">
      <c r="C55" s="10" t="s">
        <v>161</v>
      </c>
      <c r="D55" s="10" t="s">
        <v>703</v>
      </c>
      <c r="E55" s="10">
        <v>249812.553099365</v>
      </c>
      <c r="F55" s="10">
        <v>39639.520822189406</v>
      </c>
      <c r="G55" s="10">
        <v>31591.372172532258</v>
      </c>
      <c r="H55" s="10">
        <v>32854.999768221896</v>
      </c>
      <c r="I55" s="10">
        <v>62643.62425764004</v>
      </c>
      <c r="J55" s="10">
        <v>17510.041391229963</v>
      </c>
      <c r="K55" s="10">
        <v>74378.415131627626</v>
      </c>
      <c r="L55" s="10">
        <v>61992.714027734066</v>
      </c>
      <c r="M55" s="10">
        <v>223558.82279822472</v>
      </c>
      <c r="N55" s="10">
        <v>150081.77409206401</v>
      </c>
      <c r="O55" s="10">
        <v>32684.726339047451</v>
      </c>
      <c r="P55" s="10">
        <v>81794.060287058732</v>
      </c>
      <c r="Q55" s="10">
        <v>192076.60064009094</v>
      </c>
      <c r="R55" s="10">
        <v>43589.805050315648</v>
      </c>
      <c r="S55" s="10">
        <v>19063.31180267908</v>
      </c>
      <c r="T55" s="10">
        <v>64974.842522765117</v>
      </c>
      <c r="U55" s="10">
        <v>9507.8576681417653</v>
      </c>
      <c r="V55" s="10">
        <v>5003.3541931050395</v>
      </c>
      <c r="W55" s="10">
        <v>1392758.3960640328</v>
      </c>
    </row>
    <row r="56" spans="3:23">
      <c r="C56" s="10" t="s">
        <v>162</v>
      </c>
      <c r="D56" s="10" t="s">
        <v>704</v>
      </c>
      <c r="E56" s="10">
        <v>18304.896109883946</v>
      </c>
      <c r="F56" s="10">
        <v>2904.5670503481315</v>
      </c>
      <c r="G56" s="10">
        <v>2314.8427827678752</v>
      </c>
      <c r="H56" s="10">
        <v>2407.4344943280262</v>
      </c>
      <c r="I56" s="10">
        <v>4590.1817973358748</v>
      </c>
      <c r="J56" s="10">
        <v>1283.0399616417315</v>
      </c>
      <c r="K56" s="10">
        <v>5450.0430219001855</v>
      </c>
      <c r="L56" s="10">
        <v>4542.4866595717185</v>
      </c>
      <c r="M56" s="10">
        <v>16381.166498633649</v>
      </c>
      <c r="N56" s="10">
        <v>10997.170673202998</v>
      </c>
      <c r="O56" s="10">
        <v>2394.9577897243462</v>
      </c>
      <c r="P56" s="10">
        <v>5993.4208965257967</v>
      </c>
      <c r="Q56" s="10">
        <v>14074.321631299441</v>
      </c>
      <c r="R56" s="10">
        <v>3194.0222498696794</v>
      </c>
      <c r="S56" s="10">
        <v>1396.8551128796412</v>
      </c>
      <c r="T56" s="10">
        <v>4761.0007078475674</v>
      </c>
      <c r="U56" s="10">
        <v>696.68375221189342</v>
      </c>
      <c r="V56" s="10">
        <v>366.61840075470877</v>
      </c>
      <c r="W56" s="10">
        <v>102053.70959072722</v>
      </c>
    </row>
    <row r="57" spans="3:23">
      <c r="C57" s="10" t="s">
        <v>163</v>
      </c>
      <c r="D57" s="10" t="s">
        <v>705</v>
      </c>
      <c r="E57" s="10">
        <v>5226.2533511040319</v>
      </c>
      <c r="F57" s="10">
        <v>829.28650287130836</v>
      </c>
      <c r="G57" s="10">
        <v>660.91360355698248</v>
      </c>
      <c r="H57" s="10">
        <v>687.34957674802433</v>
      </c>
      <c r="I57" s="10">
        <v>1310.5484377783469</v>
      </c>
      <c r="J57" s="10">
        <v>366.32231392505838</v>
      </c>
      <c r="K57" s="10">
        <v>1556.0484711785441</v>
      </c>
      <c r="L57" s="10">
        <v>1296.9309404664286</v>
      </c>
      <c r="M57" s="10">
        <v>4677.0069490998058</v>
      </c>
      <c r="N57" s="10">
        <v>3139.815694034799</v>
      </c>
      <c r="O57" s="10">
        <v>683.78733750589549</v>
      </c>
      <c r="P57" s="10">
        <v>1711.1889549666207</v>
      </c>
      <c r="Q57" s="10">
        <v>4018.3768401928946</v>
      </c>
      <c r="R57" s="10">
        <v>911.92921209035364</v>
      </c>
      <c r="S57" s="10">
        <v>398.8178174227458</v>
      </c>
      <c r="T57" s="10">
        <v>1359.3191545381992</v>
      </c>
      <c r="U57" s="10">
        <v>198.91103302635588</v>
      </c>
      <c r="V57" s="10">
        <v>104.67366949360114</v>
      </c>
      <c r="W57" s="10">
        <v>29137.479859999996</v>
      </c>
    </row>
    <row r="58" spans="3:23">
      <c r="C58" s="10"/>
      <c r="D58" s="10" t="s">
        <v>680</v>
      </c>
      <c r="E58" s="10">
        <v>412556.19409652532</v>
      </c>
      <c r="F58" s="10">
        <v>65463.20288279379</v>
      </c>
      <c r="G58" s="10">
        <v>52171.982985189366</v>
      </c>
      <c r="H58" s="10">
        <v>54258.817234170048</v>
      </c>
      <c r="I58" s="10">
        <v>103453.62908110175</v>
      </c>
      <c r="J58" s="10">
        <v>28917.185886832132</v>
      </c>
      <c r="K58" s="10">
        <v>122833.20229080073</v>
      </c>
      <c r="L58" s="10">
        <v>102378.67490519336</v>
      </c>
      <c r="M58" s="10">
        <v>369199.12929135159</v>
      </c>
      <c r="N58" s="10">
        <v>247854.50032228106</v>
      </c>
      <c r="O58" s="10">
        <v>53977.616962108339</v>
      </c>
      <c r="P58" s="10">
        <v>135079.86605584418</v>
      </c>
      <c r="Q58" s="10">
        <v>317207.40351888892</v>
      </c>
      <c r="R58" s="10">
        <v>71986.951215436871</v>
      </c>
      <c r="S58" s="10">
        <v>31482.354535884384</v>
      </c>
      <c r="T58" s="10">
        <v>107303.54984423392</v>
      </c>
      <c r="U58" s="10">
        <v>15701.87536580603</v>
      </c>
      <c r="V58" s="10">
        <v>8262.8544403181695</v>
      </c>
      <c r="W58" s="10">
        <v>2300088.9909147597</v>
      </c>
    </row>
    <row r="59" spans="3:23">
      <c r="C59" s="10" t="s">
        <v>667</v>
      </c>
      <c r="D59" s="10" t="s">
        <v>631</v>
      </c>
      <c r="E59" s="10" t="s">
        <v>9</v>
      </c>
      <c r="F59" s="10" t="s">
        <v>10</v>
      </c>
      <c r="G59" s="10" t="s">
        <v>11</v>
      </c>
      <c r="H59" s="10" t="s">
        <v>31</v>
      </c>
      <c r="I59" s="10" t="s">
        <v>12</v>
      </c>
      <c r="J59" s="10" t="s">
        <v>13</v>
      </c>
      <c r="K59" s="10" t="s">
        <v>14</v>
      </c>
      <c r="L59" s="10" t="s">
        <v>15</v>
      </c>
      <c r="M59" s="10" t="s">
        <v>16</v>
      </c>
      <c r="N59" s="10" t="s">
        <v>17</v>
      </c>
      <c r="O59" s="10" t="s">
        <v>18</v>
      </c>
      <c r="P59" s="10" t="s">
        <v>19</v>
      </c>
      <c r="Q59" s="10" t="s">
        <v>20</v>
      </c>
      <c r="R59" s="10" t="s">
        <v>60</v>
      </c>
      <c r="S59" s="10" t="s">
        <v>61</v>
      </c>
      <c r="T59" s="10" t="s">
        <v>62</v>
      </c>
      <c r="U59" s="10" t="s">
        <v>63</v>
      </c>
      <c r="V59" s="10" t="s">
        <v>64</v>
      </c>
      <c r="W59" s="10" t="s">
        <v>668</v>
      </c>
    </row>
    <row r="60" spans="3:23">
      <c r="C60" s="10" t="s">
        <v>164</v>
      </c>
      <c r="D60" s="10" t="s">
        <v>706</v>
      </c>
      <c r="E60" s="10">
        <v>3861.1952064762095</v>
      </c>
      <c r="F60" s="10">
        <v>612.68309333027139</v>
      </c>
      <c r="G60" s="10">
        <v>488.28793143180735</v>
      </c>
      <c r="H60" s="10">
        <v>507.81902686601956</v>
      </c>
      <c r="I60" s="10">
        <v>968.24302341478847</v>
      </c>
      <c r="J60" s="10">
        <v>270.64167531294896</v>
      </c>
      <c r="K60" s="10">
        <v>1149.6202909279191</v>
      </c>
      <c r="L60" s="10">
        <v>958.18231418149537</v>
      </c>
      <c r="M60" s="10">
        <v>3455.4078417773626</v>
      </c>
      <c r="N60" s="10">
        <v>2319.7194036651313</v>
      </c>
      <c r="O60" s="10">
        <v>505.1872177741156</v>
      </c>
      <c r="P60" s="10">
        <v>1264.2392449069448</v>
      </c>
      <c r="Q60" s="10">
        <v>2968.8069733339976</v>
      </c>
      <c r="R60" s="10">
        <v>673.74014725579082</v>
      </c>
      <c r="S60" s="10">
        <v>294.64959722335465</v>
      </c>
      <c r="T60" s="10">
        <v>1004.2751950525776</v>
      </c>
      <c r="U60" s="10">
        <v>146.956964318301</v>
      </c>
      <c r="V60" s="10">
        <v>77.333692750962584</v>
      </c>
      <c r="W60" s="10">
        <v>21526.988839999998</v>
      </c>
    </row>
    <row r="61" spans="3:23">
      <c r="C61" s="10" t="s">
        <v>165</v>
      </c>
      <c r="D61" s="10" t="s">
        <v>707</v>
      </c>
      <c r="E61" s="10">
        <v>474.56800760528216</v>
      </c>
      <c r="F61" s="10">
        <v>75.303054973110321</v>
      </c>
      <c r="G61" s="10">
        <v>60.014015962889964</v>
      </c>
      <c r="H61" s="10">
        <v>62.414524756389063</v>
      </c>
      <c r="I61" s="10">
        <v>119.00386743694717</v>
      </c>
      <c r="J61" s="10">
        <v>33.263762581285391</v>
      </c>
      <c r="K61" s="10">
        <v>141.29640740597682</v>
      </c>
      <c r="L61" s="10">
        <v>117.7673356169729</v>
      </c>
      <c r="M61" s="10">
        <v>424.69389068585406</v>
      </c>
      <c r="N61" s="10">
        <v>285.10980583272345</v>
      </c>
      <c r="O61" s="10">
        <v>62.091056936101843</v>
      </c>
      <c r="P61" s="10">
        <v>155.38388180571565</v>
      </c>
      <c r="Q61" s="10">
        <v>364.88722661229281</v>
      </c>
      <c r="R61" s="10">
        <v>82.807395697216236</v>
      </c>
      <c r="S61" s="10">
        <v>36.214504788945547</v>
      </c>
      <c r="T61" s="10">
        <v>123.43247438102412</v>
      </c>
      <c r="U61" s="10">
        <v>18.062042976558939</v>
      </c>
      <c r="V61" s="10">
        <v>9.5048539447132701</v>
      </c>
      <c r="W61" s="10">
        <v>2645.8181099999997</v>
      </c>
    </row>
    <row r="62" spans="3:23">
      <c r="C62" s="10" t="s">
        <v>166</v>
      </c>
      <c r="D62" s="10" t="s">
        <v>708</v>
      </c>
      <c r="E62" s="10">
        <v>2114.6878345536747</v>
      </c>
      <c r="F62" s="10">
        <v>335.55244286254441</v>
      </c>
      <c r="G62" s="10">
        <v>267.4240728949232</v>
      </c>
      <c r="H62" s="10">
        <v>278.12080478792905</v>
      </c>
      <c r="I62" s="10">
        <v>530.28444121977793</v>
      </c>
      <c r="J62" s="10">
        <v>148.22422273486396</v>
      </c>
      <c r="K62" s="10">
        <v>629.62060024931441</v>
      </c>
      <c r="L62" s="10">
        <v>524.77442209747551</v>
      </c>
      <c r="M62" s="10">
        <v>1892.4474251320087</v>
      </c>
      <c r="N62" s="10">
        <v>1270.4569803362992</v>
      </c>
      <c r="O62" s="10">
        <v>276.67942346118798</v>
      </c>
      <c r="P62" s="10">
        <v>692.39476592272422</v>
      </c>
      <c r="Q62" s="10">
        <v>1625.9473178454032</v>
      </c>
      <c r="R62" s="10">
        <v>368.99198741947902</v>
      </c>
      <c r="S62" s="10">
        <v>161.37280955370611</v>
      </c>
      <c r="T62" s="10">
        <v>550.01843314206701</v>
      </c>
      <c r="U62" s="10">
        <v>80.484950391943983</v>
      </c>
      <c r="V62" s="10">
        <v>42.353885394677704</v>
      </c>
      <c r="W62" s="10">
        <v>11789.83682</v>
      </c>
    </row>
    <row r="63" spans="3:23">
      <c r="C63" s="10" t="s">
        <v>167</v>
      </c>
      <c r="D63" s="10" t="s">
        <v>168</v>
      </c>
      <c r="E63" s="10">
        <v>16445.949128999342</v>
      </c>
      <c r="F63" s="10">
        <v>2609.5948135974372</v>
      </c>
      <c r="G63" s="10">
        <v>2079.7597767558768</v>
      </c>
      <c r="H63" s="10">
        <v>2162.9483711594798</v>
      </c>
      <c r="I63" s="10">
        <v>4124.0275759381611</v>
      </c>
      <c r="J63" s="10">
        <v>1152.7413110112955</v>
      </c>
      <c r="K63" s="10">
        <v>4896.5659106161729</v>
      </c>
      <c r="L63" s="10">
        <v>4081.1761003186753</v>
      </c>
      <c r="M63" s="10">
        <v>14717.583169714331</v>
      </c>
      <c r="N63" s="10">
        <v>9880.357056862129</v>
      </c>
      <c r="O63" s="10">
        <v>2151.7387336953871</v>
      </c>
      <c r="P63" s="10">
        <v>5384.7612453655056</v>
      </c>
      <c r="Q63" s="10">
        <v>12645.009083036701</v>
      </c>
      <c r="R63" s="10">
        <v>2869.6544969673582</v>
      </c>
      <c r="S63" s="10">
        <v>1254.9980064949336</v>
      </c>
      <c r="T63" s="10">
        <v>4277.4990349228146</v>
      </c>
      <c r="U63" s="10">
        <v>625.93229041548625</v>
      </c>
      <c r="V63" s="10">
        <v>329.38660412890272</v>
      </c>
      <c r="W63" s="10">
        <v>91689.682709999994</v>
      </c>
    </row>
    <row r="64" spans="3:23">
      <c r="C64" s="10" t="s">
        <v>169</v>
      </c>
      <c r="D64" s="10" t="s">
        <v>709</v>
      </c>
      <c r="E64" s="10">
        <v>951.74261120743085</v>
      </c>
      <c r="F64" s="10">
        <v>151.01971692877979</v>
      </c>
      <c r="G64" s="10">
        <v>120.35766285592653</v>
      </c>
      <c r="H64" s="10">
        <v>125.17186539536843</v>
      </c>
      <c r="I64" s="10">
        <v>238.66137144336741</v>
      </c>
      <c r="J64" s="10">
        <v>66.710228566499381</v>
      </c>
      <c r="K64" s="10">
        <v>283.36889462351644</v>
      </c>
      <c r="L64" s="10">
        <v>236.18151607106378</v>
      </c>
      <c r="M64" s="10">
        <v>851.72044050088425</v>
      </c>
      <c r="N64" s="10">
        <v>571.78559602731116</v>
      </c>
      <c r="O64" s="10">
        <v>124.52315308651471</v>
      </c>
      <c r="P64" s="10">
        <v>311.62121980274964</v>
      </c>
      <c r="Q64" s="10">
        <v>731.77862031750601</v>
      </c>
      <c r="R64" s="10">
        <v>166.06961646202285</v>
      </c>
      <c r="S64" s="10">
        <v>72.627920127482724</v>
      </c>
      <c r="T64" s="10">
        <v>247.54290974645684</v>
      </c>
      <c r="U64" s="10">
        <v>36.223292912212109</v>
      </c>
      <c r="V64" s="10">
        <v>19.061913924907333</v>
      </c>
      <c r="W64" s="10">
        <v>5306.1685500000003</v>
      </c>
    </row>
    <row r="65" spans="3:23">
      <c r="C65" s="10" t="s">
        <v>170</v>
      </c>
      <c r="D65" s="10" t="s">
        <v>710</v>
      </c>
      <c r="E65" s="10">
        <v>8135.9495406180149</v>
      </c>
      <c r="F65" s="10">
        <v>1290.9885320908236</v>
      </c>
      <c r="G65" s="10">
        <v>1028.8746771359101</v>
      </c>
      <c r="H65" s="10">
        <v>1070.0287753952321</v>
      </c>
      <c r="I65" s="10">
        <v>2040.1911740554947</v>
      </c>
      <c r="J65" s="10">
        <v>570.27083485478363</v>
      </c>
      <c r="K65" s="10">
        <v>2422.3723944783624</v>
      </c>
      <c r="L65" s="10">
        <v>2018.9921881747464</v>
      </c>
      <c r="M65" s="10">
        <v>7280.9123443962908</v>
      </c>
      <c r="N65" s="10">
        <v>4887.8958476269172</v>
      </c>
      <c r="O65" s="10">
        <v>1064.4832733350524</v>
      </c>
      <c r="P65" s="10">
        <v>2663.8867381219252</v>
      </c>
      <c r="Q65" s="10">
        <v>6255.5924886594103</v>
      </c>
      <c r="R65" s="10">
        <v>1419.6422476563123</v>
      </c>
      <c r="S65" s="10">
        <v>620.85808330846055</v>
      </c>
      <c r="T65" s="10">
        <v>2116.1147973398711</v>
      </c>
      <c r="U65" s="10">
        <v>309.65397562151611</v>
      </c>
      <c r="V65" s="10">
        <v>162.95032713088122</v>
      </c>
      <c r="W65" s="10">
        <v>45359.658240000004</v>
      </c>
    </row>
    <row r="66" spans="3:23">
      <c r="C66" s="10" t="s">
        <v>711</v>
      </c>
      <c r="D66" s="10" t="s">
        <v>712</v>
      </c>
      <c r="E66" s="10">
        <v>2599.3679619657887</v>
      </c>
      <c r="F66" s="10">
        <v>412.46005925046859</v>
      </c>
      <c r="G66" s="10">
        <v>328.71687063361844</v>
      </c>
      <c r="H66" s="10">
        <v>341.86526148643929</v>
      </c>
      <c r="I66" s="10">
        <v>651.8240492581009</v>
      </c>
      <c r="J66" s="10">
        <v>182.19677130057613</v>
      </c>
      <c r="K66" s="10">
        <v>773.92775885863102</v>
      </c>
      <c r="L66" s="10">
        <v>645.0511502314439</v>
      </c>
      <c r="M66" s="10">
        <v>2326.1907153454786</v>
      </c>
      <c r="N66" s="10">
        <v>1561.6419207513795</v>
      </c>
      <c r="O66" s="10">
        <v>340.09351987026014</v>
      </c>
      <c r="P66" s="10">
        <v>851.08957556952782</v>
      </c>
      <c r="Q66" s="10">
        <v>1998.609580474357</v>
      </c>
      <c r="R66" s="10">
        <v>453.5638474142516</v>
      </c>
      <c r="S66" s="10">
        <v>198.35897489562234</v>
      </c>
      <c r="T66" s="10">
        <v>676.08101311173573</v>
      </c>
      <c r="U66" s="10">
        <v>98.931860320358254</v>
      </c>
      <c r="V66" s="10">
        <v>52.061269261962828</v>
      </c>
      <c r="W66" s="10">
        <v>14492.032160000001</v>
      </c>
    </row>
    <row r="67" spans="3:23">
      <c r="C67" s="10" t="s">
        <v>171</v>
      </c>
      <c r="D67" s="10" t="s">
        <v>713</v>
      </c>
      <c r="E67" s="10">
        <v>53154.882231491647</v>
      </c>
      <c r="F67" s="10">
        <v>8434.4602978303847</v>
      </c>
      <c r="G67" s="10">
        <v>6721.9827287632124</v>
      </c>
      <c r="H67" s="10">
        <v>6990.8562309151612</v>
      </c>
      <c r="I67" s="10">
        <v>13329.251987766238</v>
      </c>
      <c r="J67" s="10">
        <v>3725.770288449683</v>
      </c>
      <c r="K67" s="10">
        <v>15826.169853498499</v>
      </c>
      <c r="L67" s="10">
        <v>13190.751915673531</v>
      </c>
      <c r="M67" s="10">
        <v>47568.637965618509</v>
      </c>
      <c r="N67" s="10">
        <v>31934.260020087335</v>
      </c>
      <c r="O67" s="10">
        <v>6954.6256093445954</v>
      </c>
      <c r="P67" s="10">
        <v>17404.063918536471</v>
      </c>
      <c r="Q67" s="10">
        <v>40869.880075194829</v>
      </c>
      <c r="R67" s="10">
        <v>9274.9980943575629</v>
      </c>
      <c r="S67" s="10">
        <v>4056.2737190014595</v>
      </c>
      <c r="T67" s="10">
        <v>13825.286437601655</v>
      </c>
      <c r="U67" s="10">
        <v>2023.07309362007</v>
      </c>
      <c r="V67" s="10">
        <v>1064.6090422491834</v>
      </c>
      <c r="W67" s="10">
        <v>296349.83351000003</v>
      </c>
    </row>
    <row r="68" spans="3:23">
      <c r="C68" s="10" t="s">
        <v>172</v>
      </c>
      <c r="D68" s="10" t="s">
        <v>173</v>
      </c>
      <c r="E68" s="10">
        <v>4600.1757478638156</v>
      </c>
      <c r="F68" s="10">
        <v>729.9423510981361</v>
      </c>
      <c r="G68" s="10">
        <v>581.73963760747506</v>
      </c>
      <c r="H68" s="10">
        <v>605.00872055748516</v>
      </c>
      <c r="I68" s="10">
        <v>1153.5516429939632</v>
      </c>
      <c r="J68" s="10">
        <v>322.43883164665681</v>
      </c>
      <c r="K68" s="10">
        <v>1369.642066453586</v>
      </c>
      <c r="L68" s="10">
        <v>1141.5654500805151</v>
      </c>
      <c r="M68" s="10">
        <v>4116.7261696745836</v>
      </c>
      <c r="N68" s="10">
        <v>2763.6823242428313</v>
      </c>
      <c r="O68" s="10">
        <v>601.8732187995638</v>
      </c>
      <c r="P68" s="10">
        <v>1506.1975380483584</v>
      </c>
      <c r="Q68" s="10">
        <v>3536.9964760946827</v>
      </c>
      <c r="R68" s="10">
        <v>802.68489937259039</v>
      </c>
      <c r="S68" s="10">
        <v>351.0415451131035</v>
      </c>
      <c r="T68" s="10">
        <v>1196.4798849624115</v>
      </c>
      <c r="U68" s="10">
        <v>175.082539754236</v>
      </c>
      <c r="V68" s="10">
        <v>92.134315636010513</v>
      </c>
      <c r="W68" s="10">
        <v>25646.963360000005</v>
      </c>
    </row>
    <row r="69" spans="3:23">
      <c r="C69" s="10" t="s">
        <v>174</v>
      </c>
      <c r="D69" s="10" t="s">
        <v>714</v>
      </c>
      <c r="E69" s="10">
        <v>5375.6946888403427</v>
      </c>
      <c r="F69" s="10">
        <v>852.99941459411559</v>
      </c>
      <c r="G69" s="10">
        <v>679.8120010146597</v>
      </c>
      <c r="H69" s="10">
        <v>707.00389377802685</v>
      </c>
      <c r="I69" s="10">
        <v>1348.022723572099</v>
      </c>
      <c r="J69" s="10">
        <v>376.7970637999486</v>
      </c>
      <c r="K69" s="10">
        <v>1600.5426718024651</v>
      </c>
      <c r="L69" s="10">
        <v>1334.0158427232186</v>
      </c>
      <c r="M69" s="10">
        <v>4810.7429408553235</v>
      </c>
      <c r="N69" s="10">
        <v>3229.5966950769512</v>
      </c>
      <c r="O69" s="10">
        <v>703.33979460643866</v>
      </c>
      <c r="P69" s="10">
        <v>1760.1192974835581</v>
      </c>
      <c r="Q69" s="10">
        <v>4133.2797295448199</v>
      </c>
      <c r="R69" s="10">
        <v>938.00523868535481</v>
      </c>
      <c r="S69" s="10">
        <v>410.22175522383628</v>
      </c>
      <c r="T69" s="10">
        <v>1398.1880074654816</v>
      </c>
      <c r="U69" s="10">
        <v>204.5987654933804</v>
      </c>
      <c r="V69" s="10">
        <v>107.666745439984</v>
      </c>
      <c r="W69" s="10">
        <v>29970.647270000005</v>
      </c>
    </row>
    <row r="70" spans="3:23">
      <c r="C70" s="10" t="s">
        <v>175</v>
      </c>
      <c r="D70" s="10" t="s">
        <v>715</v>
      </c>
      <c r="E70" s="10">
        <v>6551.5871286439451</v>
      </c>
      <c r="F70" s="10">
        <v>1039.5865667365854</v>
      </c>
      <c r="G70" s="10">
        <v>828.5157200224337</v>
      </c>
      <c r="H70" s="10">
        <v>861.6556330836745</v>
      </c>
      <c r="I70" s="10">
        <v>1642.8924699180996</v>
      </c>
      <c r="J70" s="10">
        <v>459.21856358905518</v>
      </c>
      <c r="K70" s="10">
        <v>1950.6492415194261</v>
      </c>
      <c r="L70" s="10">
        <v>1625.8216901224243</v>
      </c>
      <c r="M70" s="10">
        <v>5863.0564708133743</v>
      </c>
      <c r="N70" s="10">
        <v>3936.046476393481</v>
      </c>
      <c r="O70" s="10">
        <v>857.19004000963207</v>
      </c>
      <c r="P70" s="10">
        <v>2145.1320437170739</v>
      </c>
      <c r="Q70" s="10">
        <v>5037.4033204278639</v>
      </c>
      <c r="R70" s="10">
        <v>1143.1867700985949</v>
      </c>
      <c r="S70" s="10">
        <v>499.954652743493</v>
      </c>
      <c r="T70" s="10">
        <v>1704.0310291712765</v>
      </c>
      <c r="U70" s="10">
        <v>249.35319361152864</v>
      </c>
      <c r="V70" s="10">
        <v>131.21802937803213</v>
      </c>
      <c r="W70" s="10">
        <v>36526.499039999995</v>
      </c>
    </row>
    <row r="71" spans="3:23">
      <c r="C71" s="10" t="s">
        <v>176</v>
      </c>
      <c r="D71" s="10" t="s">
        <v>716</v>
      </c>
      <c r="E71" s="10">
        <v>625.11970634485806</v>
      </c>
      <c r="F71" s="10">
        <v>99.192155512544247</v>
      </c>
      <c r="G71" s="10">
        <v>79.052830013988128</v>
      </c>
      <c r="H71" s="10">
        <v>82.214874922246082</v>
      </c>
      <c r="I71" s="10">
        <v>156.75659014916457</v>
      </c>
      <c r="J71" s="10">
        <v>43.81634067931796</v>
      </c>
      <c r="K71" s="10">
        <v>186.12120347284983</v>
      </c>
      <c r="L71" s="10">
        <v>155.12778164163595</v>
      </c>
      <c r="M71" s="10">
        <v>559.42355147718001</v>
      </c>
      <c r="N71" s="10">
        <v>375.55788684017438</v>
      </c>
      <c r="O71" s="10">
        <v>81.788790345137087</v>
      </c>
      <c r="P71" s="10">
        <v>204.67778065204737</v>
      </c>
      <c r="Q71" s="10">
        <v>480.64385355404079</v>
      </c>
      <c r="R71" s="10">
        <v>109.07716923994798</v>
      </c>
      <c r="S71" s="10">
        <v>47.70317475323661</v>
      </c>
      <c r="T71" s="10">
        <v>162.59012597128594</v>
      </c>
      <c r="U71" s="10">
        <v>23.792035747352504</v>
      </c>
      <c r="V71" s="10">
        <v>12.520168682992763</v>
      </c>
      <c r="W71" s="10">
        <v>3485.1760200000003</v>
      </c>
    </row>
    <row r="72" spans="3:23">
      <c r="C72" s="10" t="s">
        <v>177</v>
      </c>
      <c r="D72" s="10" t="s">
        <v>717</v>
      </c>
      <c r="E72" s="10">
        <v>423.7125696544681</v>
      </c>
      <c r="F72" s="10">
        <v>67.233463727345253</v>
      </c>
      <c r="G72" s="10">
        <v>53.58282166392992</v>
      </c>
      <c r="H72" s="10">
        <v>55.726088241262367</v>
      </c>
      <c r="I72" s="10">
        <v>106.25122988161441</v>
      </c>
      <c r="J72" s="10">
        <v>29.699166597457126</v>
      </c>
      <c r="K72" s="10">
        <v>126.15486696424475</v>
      </c>
      <c r="L72" s="10">
        <v>105.14720671421919</v>
      </c>
      <c r="M72" s="10">
        <v>379.18303984942725</v>
      </c>
      <c r="N72" s="10">
        <v>254.55700031837776</v>
      </c>
      <c r="O72" s="10">
        <v>55.437283730342983</v>
      </c>
      <c r="P72" s="10">
        <v>138.7327059297815</v>
      </c>
      <c r="Q72" s="10">
        <v>325.78534992729658</v>
      </c>
      <c r="R72" s="10">
        <v>73.9336277519254</v>
      </c>
      <c r="S72" s="10">
        <v>32.333702729600873</v>
      </c>
      <c r="T72" s="10">
        <v>110.20526049091158</v>
      </c>
      <c r="U72" s="10">
        <v>16.126486657677599</v>
      </c>
      <c r="V72" s="10">
        <v>8.4862991701171744</v>
      </c>
      <c r="W72" s="10">
        <v>2362.2881699999998</v>
      </c>
    </row>
    <row r="73" spans="3:23">
      <c r="C73" s="10" t="s">
        <v>178</v>
      </c>
      <c r="D73" s="10" t="s">
        <v>718</v>
      </c>
      <c r="E73" s="10">
        <v>12257.778984524844</v>
      </c>
      <c r="F73" s="10">
        <v>1945.0282992688544</v>
      </c>
      <c r="G73" s="10">
        <v>1550.1224942636927</v>
      </c>
      <c r="H73" s="10">
        <v>1612.1260549116205</v>
      </c>
      <c r="I73" s="10">
        <v>3073.7914945144635</v>
      </c>
      <c r="J73" s="10">
        <v>859.18107285107612</v>
      </c>
      <c r="K73" s="10">
        <v>3649.5931152830744</v>
      </c>
      <c r="L73" s="10">
        <v>3041.8526922486699</v>
      </c>
      <c r="M73" s="10">
        <v>10969.563402249052</v>
      </c>
      <c r="N73" s="10">
        <v>7364.1984504043876</v>
      </c>
      <c r="O73" s="10">
        <v>1603.7710942186432</v>
      </c>
      <c r="P73" s="10">
        <v>4013.4632980067613</v>
      </c>
      <c r="Q73" s="10">
        <v>9424.7966706804491</v>
      </c>
      <c r="R73" s="10">
        <v>2138.8604762098012</v>
      </c>
      <c r="S73" s="10">
        <v>935.39680008545554</v>
      </c>
      <c r="T73" s="10">
        <v>3188.1794942529082</v>
      </c>
      <c r="U73" s="10">
        <v>466.53067056259869</v>
      </c>
      <c r="V73" s="10">
        <v>245.50411546365603</v>
      </c>
      <c r="W73" s="10">
        <v>68339.738680000009</v>
      </c>
    </row>
    <row r="74" spans="3:23">
      <c r="C74" s="10"/>
      <c r="D74" s="10" t="s">
        <v>680</v>
      </c>
      <c r="E74" s="10">
        <v>117572.41134878968</v>
      </c>
      <c r="F74" s="10">
        <v>18656.044261801406</v>
      </c>
      <c r="G74" s="10">
        <v>14868.243241020344</v>
      </c>
      <c r="H74" s="10">
        <v>15462.960126256334</v>
      </c>
      <c r="I74" s="10">
        <v>29482.753641562282</v>
      </c>
      <c r="J74" s="10">
        <v>8240.9701339754483</v>
      </c>
      <c r="K74" s="10">
        <v>35005.645276154035</v>
      </c>
      <c r="L74" s="10">
        <v>29176.407605896089</v>
      </c>
      <c r="M74" s="10">
        <v>105216.28936808967</v>
      </c>
      <c r="N74" s="10">
        <v>70634.865464465431</v>
      </c>
      <c r="O74" s="10">
        <v>15382.822209212973</v>
      </c>
      <c r="P74" s="10">
        <v>38495.763253869147</v>
      </c>
      <c r="Q74" s="10">
        <v>90399.416765703645</v>
      </c>
      <c r="R74" s="10">
        <v>20515.216014588208</v>
      </c>
      <c r="S74" s="10">
        <v>8972.0052460426905</v>
      </c>
      <c r="T74" s="10">
        <v>30579.924097612478</v>
      </c>
      <c r="U74" s="10">
        <v>4474.8021624032208</v>
      </c>
      <c r="V74" s="10">
        <v>2354.7912625569838</v>
      </c>
      <c r="W74" s="10">
        <v>655491.33147999994</v>
      </c>
    </row>
    <row r="75" spans="3:23">
      <c r="C75" s="10" t="s">
        <v>667</v>
      </c>
      <c r="D75" s="10" t="s">
        <v>719</v>
      </c>
      <c r="E75" s="10" t="s">
        <v>9</v>
      </c>
      <c r="F75" s="10" t="s">
        <v>10</v>
      </c>
      <c r="G75" s="10" t="s">
        <v>11</v>
      </c>
      <c r="H75" s="10" t="s">
        <v>31</v>
      </c>
      <c r="I75" s="10" t="s">
        <v>12</v>
      </c>
      <c r="J75" s="10" t="s">
        <v>13</v>
      </c>
      <c r="K75" s="10" t="s">
        <v>14</v>
      </c>
      <c r="L75" s="10" t="s">
        <v>15</v>
      </c>
      <c r="M75" s="10" t="s">
        <v>16</v>
      </c>
      <c r="N75" s="10" t="s">
        <v>17</v>
      </c>
      <c r="O75" s="10" t="s">
        <v>18</v>
      </c>
      <c r="P75" s="10" t="s">
        <v>19</v>
      </c>
      <c r="Q75" s="10" t="s">
        <v>20</v>
      </c>
      <c r="R75" s="10" t="s">
        <v>60</v>
      </c>
      <c r="S75" s="10" t="s">
        <v>61</v>
      </c>
      <c r="T75" s="10" t="s">
        <v>62</v>
      </c>
      <c r="U75" s="10" t="s">
        <v>63</v>
      </c>
      <c r="V75" s="10" t="s">
        <v>64</v>
      </c>
      <c r="W75" s="10" t="s">
        <v>668</v>
      </c>
    </row>
    <row r="76" spans="3:23">
      <c r="C76" s="10" t="s">
        <v>179</v>
      </c>
      <c r="D76" s="10" t="s">
        <v>180</v>
      </c>
      <c r="E76" s="10">
        <v>1930.6798691413674</v>
      </c>
      <c r="F76" s="10">
        <v>306.35460037658805</v>
      </c>
      <c r="G76" s="10">
        <v>244.15436908729086</v>
      </c>
      <c r="H76" s="10">
        <v>253.92033293026518</v>
      </c>
      <c r="I76" s="10">
        <v>484.14214091224903</v>
      </c>
      <c r="J76" s="10">
        <v>135.32660389741531</v>
      </c>
      <c r="K76" s="10">
        <v>574.83463905896951</v>
      </c>
      <c r="L76" s="10">
        <v>479.11157194401233</v>
      </c>
      <c r="M76" s="10">
        <v>1727.7775411622088</v>
      </c>
      <c r="N76" s="10">
        <v>1159.909125340535</v>
      </c>
      <c r="O76" s="10">
        <v>252.60437231148069</v>
      </c>
      <c r="P76" s="10">
        <v>632.14655809848921</v>
      </c>
      <c r="Q76" s="10">
        <v>1484.4667395133879</v>
      </c>
      <c r="R76" s="10">
        <v>336.88442820952474</v>
      </c>
      <c r="S76" s="10">
        <v>147.33107636091435</v>
      </c>
      <c r="T76" s="10">
        <v>502.15899442585669</v>
      </c>
      <c r="U76" s="10">
        <v>73.481613196760335</v>
      </c>
      <c r="V76" s="10">
        <v>38.668494032682389</v>
      </c>
      <c r="W76" s="10">
        <v>10763.953069999998</v>
      </c>
    </row>
    <row r="77" spans="3:23">
      <c r="C77" s="10" t="s">
        <v>181</v>
      </c>
      <c r="D77" s="10" t="s">
        <v>182</v>
      </c>
      <c r="E77" s="10">
        <v>1177.2938192422469</v>
      </c>
      <c r="F77" s="10">
        <v>186.80951890806548</v>
      </c>
      <c r="G77" s="10">
        <v>148.88093788189335</v>
      </c>
      <c r="H77" s="10">
        <v>154.83604678163556</v>
      </c>
      <c r="I77" s="10">
        <v>295.22115977942337</v>
      </c>
      <c r="J77" s="10">
        <v>82.51972628601807</v>
      </c>
      <c r="K77" s="10">
        <v>350.52381208669459</v>
      </c>
      <c r="L77" s="10">
        <v>292.15360940598379</v>
      </c>
      <c r="M77" s="10">
        <v>1053.5676332195162</v>
      </c>
      <c r="N77" s="10">
        <v>707.29169862500112</v>
      </c>
      <c r="O77" s="10">
        <v>154.03359769226364</v>
      </c>
      <c r="P77" s="10">
        <v>385.47158832478522</v>
      </c>
      <c r="Q77" s="10">
        <v>905.20108757182902</v>
      </c>
      <c r="R77" s="10">
        <v>205.42605818250826</v>
      </c>
      <c r="S77" s="10">
        <v>89.839837434650107</v>
      </c>
      <c r="T77" s="10">
        <v>306.20751262993321</v>
      </c>
      <c r="U77" s="10">
        <v>44.807764574128434</v>
      </c>
      <c r="V77" s="10">
        <v>23.579351373425098</v>
      </c>
      <c r="W77" s="10">
        <v>6563.6647600000015</v>
      </c>
    </row>
    <row r="78" spans="3:23">
      <c r="C78" s="10" t="s">
        <v>183</v>
      </c>
      <c r="D78" s="10" t="s">
        <v>184</v>
      </c>
      <c r="E78" s="10">
        <v>134926.35177320964</v>
      </c>
      <c r="F78" s="10">
        <v>21409.7164622821</v>
      </c>
      <c r="G78" s="10">
        <v>17062.827875803447</v>
      </c>
      <c r="H78" s="10">
        <v>17745.326250569022</v>
      </c>
      <c r="I78" s="10">
        <v>33834.471398933856</v>
      </c>
      <c r="J78" s="10">
        <v>9457.3550248166484</v>
      </c>
      <c r="K78" s="10">
        <v>40172.553700262069</v>
      </c>
      <c r="L78" s="10">
        <v>33482.908030466373</v>
      </c>
      <c r="M78" s="10">
        <v>120746.4396510128</v>
      </c>
      <c r="N78" s="10">
        <v>81060.723308962828</v>
      </c>
      <c r="O78" s="10">
        <v>17653.35980485849</v>
      </c>
      <c r="P78" s="10">
        <v>44177.820587186718</v>
      </c>
      <c r="Q78" s="10">
        <v>103742.56483043442</v>
      </c>
      <c r="R78" s="10">
        <v>23543.305958708719</v>
      </c>
      <c r="S78" s="10">
        <v>10296.292489463349</v>
      </c>
      <c r="T78" s="10">
        <v>35093.586570681378</v>
      </c>
      <c r="U78" s="10">
        <v>5135.2925720711737</v>
      </c>
      <c r="V78" s="10">
        <v>2702.3635102769781</v>
      </c>
      <c r="W78" s="10">
        <v>752243.2598</v>
      </c>
    </row>
    <row r="79" spans="3:23">
      <c r="C79" s="10" t="s">
        <v>185</v>
      </c>
      <c r="D79" s="10" t="s">
        <v>720</v>
      </c>
      <c r="E79" s="10">
        <v>93144.229628716581</v>
      </c>
      <c r="F79" s="10">
        <v>14779.85226933613</v>
      </c>
      <c r="G79" s="10">
        <v>11779.047879768341</v>
      </c>
      <c r="H79" s="10">
        <v>12250.199619253919</v>
      </c>
      <c r="I79" s="10">
        <v>23357.081340535311</v>
      </c>
      <c r="J79" s="10">
        <v>6528.7324272464739</v>
      </c>
      <c r="K79" s="10">
        <v>27732.474179088571</v>
      </c>
      <c r="L79" s="10">
        <v>23114.38524232151</v>
      </c>
      <c r="M79" s="10">
        <v>83355.356117595889</v>
      </c>
      <c r="N79" s="10">
        <v>55958.962252613521</v>
      </c>
      <c r="O79" s="10">
        <v>12186.712067527944</v>
      </c>
      <c r="P79" s="10">
        <v>30497.445541147434</v>
      </c>
      <c r="Q79" s="10">
        <v>71617.00552817175</v>
      </c>
      <c r="R79" s="10">
        <v>16252.74134828059</v>
      </c>
      <c r="S79" s="10">
        <v>7107.879367960697</v>
      </c>
      <c r="T79" s="10">
        <v>24226.291180903489</v>
      </c>
      <c r="U79" s="10">
        <v>3545.0663584799718</v>
      </c>
      <c r="V79" s="10">
        <v>1865.5330410518202</v>
      </c>
      <c r="W79" s="10">
        <v>519298.99538999994</v>
      </c>
    </row>
    <row r="80" spans="3:23">
      <c r="C80" s="10" t="s">
        <v>186</v>
      </c>
      <c r="D80" s="10" t="s">
        <v>721</v>
      </c>
      <c r="E80" s="10">
        <v>48993.526916920113</v>
      </c>
      <c r="F80" s="10">
        <v>7774.1486818049289</v>
      </c>
      <c r="G80" s="10">
        <v>6195.7364578943352</v>
      </c>
      <c r="H80" s="10">
        <v>6443.5605638261077</v>
      </c>
      <c r="I80" s="10">
        <v>12285.740060545897</v>
      </c>
      <c r="J80" s="10">
        <v>3434.0895746595343</v>
      </c>
      <c r="K80" s="10">
        <v>14587.180822493743</v>
      </c>
      <c r="L80" s="10">
        <v>12158.082793231901</v>
      </c>
      <c r="M80" s="10">
        <v>43844.614957852726</v>
      </c>
      <c r="N80" s="10">
        <v>29434.21116149408</v>
      </c>
      <c r="O80" s="10">
        <v>6410.1663419105398</v>
      </c>
      <c r="P80" s="10">
        <v>16041.545729386266</v>
      </c>
      <c r="Q80" s="10">
        <v>37670.285127055657</v>
      </c>
      <c r="R80" s="10">
        <v>8548.8829946286969</v>
      </c>
      <c r="S80" s="10">
        <v>3738.7187646999482</v>
      </c>
      <c r="T80" s="10">
        <v>12742.941283641319</v>
      </c>
      <c r="U80" s="10">
        <v>1864.6920453235343</v>
      </c>
      <c r="V80" s="10">
        <v>981.26361263068156</v>
      </c>
      <c r="W80" s="10">
        <v>273149.38789000001</v>
      </c>
    </row>
    <row r="81" spans="3:23">
      <c r="C81" s="10" t="s">
        <v>187</v>
      </c>
      <c r="D81" s="10" t="s">
        <v>722</v>
      </c>
      <c r="E81" s="10">
        <v>3681.0926679659492</v>
      </c>
      <c r="F81" s="10">
        <v>584.10495249294138</v>
      </c>
      <c r="G81" s="10">
        <v>465.51210910941052</v>
      </c>
      <c r="H81" s="10">
        <v>484.13219132634538</v>
      </c>
      <c r="I81" s="10">
        <v>923.08005778192739</v>
      </c>
      <c r="J81" s="10">
        <v>258.01779847067564</v>
      </c>
      <c r="K81" s="10">
        <v>1095.9971194364214</v>
      </c>
      <c r="L81" s="10">
        <v>913.48862274360135</v>
      </c>
      <c r="M81" s="10">
        <v>3294.2329488715177</v>
      </c>
      <c r="N81" s="10">
        <v>2211.5178414828147</v>
      </c>
      <c r="O81" s="10">
        <v>481.62314098477117</v>
      </c>
      <c r="P81" s="10">
        <v>1205.269758746251</v>
      </c>
      <c r="Q81" s="10">
        <v>2830.3292109697418</v>
      </c>
      <c r="R81" s="10">
        <v>642.31404618389399</v>
      </c>
      <c r="S81" s="10">
        <v>280.90588896899214</v>
      </c>
      <c r="T81" s="10">
        <v>957.43153594710498</v>
      </c>
      <c r="U81" s="10">
        <v>140.10226754433441</v>
      </c>
      <c r="V81" s="10">
        <v>73.726520973306776</v>
      </c>
      <c r="W81" s="10">
        <v>20522.878680000002</v>
      </c>
    </row>
    <row r="82" spans="3:23">
      <c r="C82" s="10" t="s">
        <v>723</v>
      </c>
      <c r="D82" s="10" t="s">
        <v>724</v>
      </c>
      <c r="E82" s="10">
        <v>27836.686677205271</v>
      </c>
      <c r="F82" s="10">
        <v>4417.0435291253807</v>
      </c>
      <c r="G82" s="10">
        <v>3520.2359447484359</v>
      </c>
      <c r="H82" s="10">
        <v>3661.0423414705879</v>
      </c>
      <c r="I82" s="10">
        <v>6980.3975787033187</v>
      </c>
      <c r="J82" s="10">
        <v>1951.1490910494322</v>
      </c>
      <c r="K82" s="10">
        <v>8288.0087965102539</v>
      </c>
      <c r="L82" s="10">
        <v>6907.8664592696468</v>
      </c>
      <c r="M82" s="10">
        <v>24911.225744863717</v>
      </c>
      <c r="N82" s="10">
        <v>16723.656475734202</v>
      </c>
      <c r="O82" s="10">
        <v>3642.0687228970764</v>
      </c>
      <c r="P82" s="10">
        <v>9114.3363294543742</v>
      </c>
      <c r="Q82" s="10">
        <v>21403.152418502254</v>
      </c>
      <c r="R82" s="10">
        <v>4857.2248690139213</v>
      </c>
      <c r="S82" s="10">
        <v>2124.2304723973275</v>
      </c>
      <c r="T82" s="10">
        <v>7240.1659194746171</v>
      </c>
      <c r="U82" s="10">
        <v>1059.4633920347962</v>
      </c>
      <c r="V82" s="10">
        <v>557.52523754539936</v>
      </c>
      <c r="W82" s="10">
        <v>155195.48000000001</v>
      </c>
    </row>
    <row r="83" spans="3:23">
      <c r="C83" s="10" t="s">
        <v>188</v>
      </c>
      <c r="D83" s="10" t="s">
        <v>725</v>
      </c>
      <c r="E83" s="10">
        <v>10395.629480852809</v>
      </c>
      <c r="F83" s="10">
        <v>1649.5478956260604</v>
      </c>
      <c r="G83" s="10">
        <v>1314.6344962366272</v>
      </c>
      <c r="H83" s="10">
        <v>1367.2187403972694</v>
      </c>
      <c r="I83" s="10">
        <v>2606.8342004461279</v>
      </c>
      <c r="J83" s="10">
        <v>728.65794868691034</v>
      </c>
      <c r="K83" s="10">
        <v>3095.1624947922701</v>
      </c>
      <c r="L83" s="10">
        <v>2579.7474048009635</v>
      </c>
      <c r="M83" s="10">
        <v>9303.1141155727673</v>
      </c>
      <c r="N83" s="10">
        <v>6245.4608302632887</v>
      </c>
      <c r="O83" s="10">
        <v>1360.1330296987053</v>
      </c>
      <c r="P83" s="10">
        <v>3403.7550712697193</v>
      </c>
      <c r="Q83" s="10">
        <v>7993.0217574050193</v>
      </c>
      <c r="R83" s="10">
        <v>1813.9339149440038</v>
      </c>
      <c r="S83" s="10">
        <v>793.29530770134716</v>
      </c>
      <c r="T83" s="10">
        <v>2703.8448631312694</v>
      </c>
      <c r="U83" s="10">
        <v>395.65732085277762</v>
      </c>
      <c r="V83" s="10">
        <v>208.20817732206859</v>
      </c>
      <c r="W83" s="10">
        <v>57957.857050000006</v>
      </c>
    </row>
    <row r="84" spans="3:23">
      <c r="C84" s="10" t="s">
        <v>189</v>
      </c>
      <c r="D84" s="10" t="s">
        <v>726</v>
      </c>
      <c r="E84" s="10">
        <v>10265.876092983859</v>
      </c>
      <c r="F84" s="10">
        <v>1628.959009854035</v>
      </c>
      <c r="G84" s="10">
        <v>1298.2258429645697</v>
      </c>
      <c r="H84" s="10">
        <v>1350.1537551694666</v>
      </c>
      <c r="I84" s="10">
        <v>2574.296914489224</v>
      </c>
      <c r="J84" s="10">
        <v>719.56318077373055</v>
      </c>
      <c r="K84" s="10">
        <v>3056.5301233284822</v>
      </c>
      <c r="L84" s="10">
        <v>2547.5482035659079</v>
      </c>
      <c r="M84" s="10">
        <v>9186.9969938101713</v>
      </c>
      <c r="N84" s="10">
        <v>6167.5079075449412</v>
      </c>
      <c r="O84" s="10">
        <v>1343.1564849997123</v>
      </c>
      <c r="P84" s="10">
        <v>3361.2709915142013</v>
      </c>
      <c r="Q84" s="10">
        <v>7893.2565960702723</v>
      </c>
      <c r="R84" s="10">
        <v>1791.2932397191048</v>
      </c>
      <c r="S84" s="10">
        <v>783.39376648689949</v>
      </c>
      <c r="T84" s="10">
        <v>2670.0967354291884</v>
      </c>
      <c r="U84" s="10">
        <v>390.71891111911435</v>
      </c>
      <c r="V84" s="10">
        <v>205.60942017712452</v>
      </c>
      <c r="W84" s="10">
        <v>57234.454170000005</v>
      </c>
    </row>
    <row r="85" spans="3:23">
      <c r="C85" s="10" t="s">
        <v>190</v>
      </c>
      <c r="D85" s="10" t="s">
        <v>191</v>
      </c>
      <c r="E85" s="10">
        <v>4273.4510782942216</v>
      </c>
      <c r="F85" s="10">
        <v>678.09864195764533</v>
      </c>
      <c r="G85" s="10">
        <v>540.4219355694388</v>
      </c>
      <c r="H85" s="10">
        <v>562.03834613153856</v>
      </c>
      <c r="I85" s="10">
        <v>1071.6213429258228</v>
      </c>
      <c r="J85" s="10">
        <v>299.53781079433816</v>
      </c>
      <c r="K85" s="10">
        <v>1272.3640761945255</v>
      </c>
      <c r="L85" s="10">
        <v>1060.4864620347171</v>
      </c>
      <c r="M85" s="10">
        <v>3824.3382107754001</v>
      </c>
      <c r="N85" s="10">
        <v>2567.3934771041377</v>
      </c>
      <c r="O85" s="10">
        <v>559.12554146867217</v>
      </c>
      <c r="P85" s="10">
        <v>1399.2207789204256</v>
      </c>
      <c r="Q85" s="10">
        <v>3285.7834641880199</v>
      </c>
      <c r="R85" s="10">
        <v>745.67469522163015</v>
      </c>
      <c r="S85" s="10">
        <v>326.10903402686102</v>
      </c>
      <c r="T85" s="10">
        <v>1111.5006327582885</v>
      </c>
      <c r="U85" s="10">
        <v>162.64740942792798</v>
      </c>
      <c r="V85" s="10">
        <v>85.590532206393732</v>
      </c>
      <c r="W85" s="10">
        <v>23825.403470000005</v>
      </c>
    </row>
    <row r="86" spans="3:23">
      <c r="C86" s="10" t="s">
        <v>192</v>
      </c>
      <c r="D86" s="10" t="s">
        <v>727</v>
      </c>
      <c r="E86" s="10">
        <v>16155.206650753764</v>
      </c>
      <c r="F86" s="10">
        <v>2563.4606526942957</v>
      </c>
      <c r="G86" s="10">
        <v>2042.992393681388</v>
      </c>
      <c r="H86" s="10">
        <v>2124.7103245246844</v>
      </c>
      <c r="I86" s="10">
        <v>4051.1202606852457</v>
      </c>
      <c r="J86" s="10">
        <v>1132.3623798282661</v>
      </c>
      <c r="K86" s="10">
        <v>4810.0011464557965</v>
      </c>
      <c r="L86" s="10">
        <v>4009.0263420860547</v>
      </c>
      <c r="M86" s="10">
        <v>14457.395899828953</v>
      </c>
      <c r="N86" s="10">
        <v>9705.6855025401037</v>
      </c>
      <c r="O86" s="10">
        <v>2113.6988585222075</v>
      </c>
      <c r="P86" s="10">
        <v>5289.5658378546241</v>
      </c>
      <c r="Q86" s="10">
        <v>12421.462162794971</v>
      </c>
      <c r="R86" s="10">
        <v>2818.9228272040318</v>
      </c>
      <c r="S86" s="10">
        <v>1232.8113131189825</v>
      </c>
      <c r="T86" s="10">
        <v>4201.8785486649804</v>
      </c>
      <c r="U86" s="10">
        <v>614.86664112386632</v>
      </c>
      <c r="V86" s="10">
        <v>323.56348763777447</v>
      </c>
      <c r="W86" s="10">
        <v>90068.73122999999</v>
      </c>
    </row>
    <row r="87" spans="3:23">
      <c r="C87" s="10" t="s">
        <v>193</v>
      </c>
      <c r="D87" s="10" t="s">
        <v>728</v>
      </c>
      <c r="E87" s="10">
        <v>5179.7635322716042</v>
      </c>
      <c r="F87" s="10">
        <v>821.90963522088714</v>
      </c>
      <c r="G87" s="10">
        <v>655.03448679224311</v>
      </c>
      <c r="H87" s="10">
        <v>681.2353003915573</v>
      </c>
      <c r="I87" s="10">
        <v>1298.8905338555364</v>
      </c>
      <c r="J87" s="10">
        <v>363.06371606067165</v>
      </c>
      <c r="K87" s="10">
        <v>1542.206736639539</v>
      </c>
      <c r="L87" s="10">
        <v>1285.3941701627621</v>
      </c>
      <c r="M87" s="10">
        <v>4635.4029182321237</v>
      </c>
      <c r="N87" s="10">
        <v>3111.88565448705</v>
      </c>
      <c r="O87" s="10">
        <v>677.70474883195732</v>
      </c>
      <c r="P87" s="10">
        <v>1695.9671776894736</v>
      </c>
      <c r="Q87" s="10">
        <v>3982.6316134021718</v>
      </c>
      <c r="R87" s="10">
        <v>903.817201246271</v>
      </c>
      <c r="S87" s="10">
        <v>395.27015778331963</v>
      </c>
      <c r="T87" s="10">
        <v>1347.227413670608</v>
      </c>
      <c r="U87" s="10">
        <v>197.14163202951883</v>
      </c>
      <c r="V87" s="10">
        <v>103.74255123270494</v>
      </c>
      <c r="W87" s="10">
        <v>28878.28918</v>
      </c>
    </row>
    <row r="88" spans="3:23">
      <c r="C88" s="10" t="s">
        <v>194</v>
      </c>
      <c r="D88" s="10" t="s">
        <v>195</v>
      </c>
      <c r="E88" s="10">
        <v>27159.354031608789</v>
      </c>
      <c r="F88" s="10">
        <v>4309.5663780552713</v>
      </c>
      <c r="G88" s="10">
        <v>3434.5802504041526</v>
      </c>
      <c r="H88" s="10">
        <v>3571.960493348929</v>
      </c>
      <c r="I88" s="10">
        <v>6810.5479405576243</v>
      </c>
      <c r="J88" s="10">
        <v>1903.6730034274133</v>
      </c>
      <c r="K88" s="10">
        <v>8086.3418743666734</v>
      </c>
      <c r="L88" s="10">
        <v>6739.781675382068</v>
      </c>
      <c r="M88" s="10">
        <v>24305.076506109785</v>
      </c>
      <c r="N88" s="10">
        <v>16316.730227071443</v>
      </c>
      <c r="O88" s="10">
        <v>3553.4485479412638</v>
      </c>
      <c r="P88" s="10">
        <v>8892.5628974912688</v>
      </c>
      <c r="Q88" s="10">
        <v>20882.36292872436</v>
      </c>
      <c r="R88" s="10">
        <v>4739.0370613579089</v>
      </c>
      <c r="S88" s="10">
        <v>2072.542904030804</v>
      </c>
      <c r="T88" s="10">
        <v>7063.9955011463844</v>
      </c>
      <c r="U88" s="10">
        <v>1033.684133513085</v>
      </c>
      <c r="V88" s="10">
        <v>543.95932546281438</v>
      </c>
      <c r="W88" s="10">
        <v>151419.20568000004</v>
      </c>
    </row>
    <row r="89" spans="3:23">
      <c r="C89" s="10"/>
      <c r="D89" s="10" t="s">
        <v>680</v>
      </c>
      <c r="E89" s="10">
        <v>385119.14221916615</v>
      </c>
      <c r="F89" s="10">
        <v>61109.572227734338</v>
      </c>
      <c r="G89" s="10">
        <v>48702.284979941571</v>
      </c>
      <c r="H89" s="10">
        <v>50650.334306121324</v>
      </c>
      <c r="I89" s="10">
        <v>96573.444930151556</v>
      </c>
      <c r="J89" s="10">
        <v>26994.048285997524</v>
      </c>
      <c r="K89" s="10">
        <v>114664.17952071399</v>
      </c>
      <c r="L89" s="10">
        <v>95569.980587415514</v>
      </c>
      <c r="M89" s="10">
        <v>344645.53923890757</v>
      </c>
      <c r="N89" s="10">
        <v>231370.93546326394</v>
      </c>
      <c r="O89" s="10">
        <v>50387.835259645086</v>
      </c>
      <c r="P89" s="10">
        <v>126096.37884708404</v>
      </c>
      <c r="Q89" s="10">
        <v>296111.52346480387</v>
      </c>
      <c r="R89" s="10">
        <v>67199.458642900805</v>
      </c>
      <c r="S89" s="10">
        <v>29388.620380434095</v>
      </c>
      <c r="T89" s="10">
        <v>100167.32669250443</v>
      </c>
      <c r="U89" s="10">
        <v>14657.622061290989</v>
      </c>
      <c r="V89" s="10">
        <v>7713.3332619231742</v>
      </c>
      <c r="W89" s="10">
        <v>2147121.5603700001</v>
      </c>
    </row>
    <row r="90" spans="3:23">
      <c r="C90" s="10" t="s">
        <v>667</v>
      </c>
      <c r="D90" s="10" t="s">
        <v>729</v>
      </c>
      <c r="E90" s="10" t="s">
        <v>9</v>
      </c>
      <c r="F90" s="10" t="s">
        <v>10</v>
      </c>
      <c r="G90" s="10" t="s">
        <v>11</v>
      </c>
      <c r="H90" s="10" t="s">
        <v>31</v>
      </c>
      <c r="I90" s="10" t="s">
        <v>12</v>
      </c>
      <c r="J90" s="10" t="s">
        <v>13</v>
      </c>
      <c r="K90" s="10" t="s">
        <v>14</v>
      </c>
      <c r="L90" s="10" t="s">
        <v>15</v>
      </c>
      <c r="M90" s="10" t="s">
        <v>16</v>
      </c>
      <c r="N90" s="10" t="s">
        <v>17</v>
      </c>
      <c r="O90" s="10" t="s">
        <v>18</v>
      </c>
      <c r="P90" s="10" t="s">
        <v>19</v>
      </c>
      <c r="Q90" s="10" t="s">
        <v>20</v>
      </c>
      <c r="R90" s="10" t="s">
        <v>60</v>
      </c>
      <c r="S90" s="10" t="s">
        <v>61</v>
      </c>
      <c r="T90" s="10" t="s">
        <v>62</v>
      </c>
      <c r="U90" s="10" t="s">
        <v>63</v>
      </c>
      <c r="V90" s="10" t="s">
        <v>64</v>
      </c>
      <c r="W90" s="10" t="s">
        <v>668</v>
      </c>
    </row>
    <row r="91" spans="3:23">
      <c r="C91" s="10" t="s">
        <v>196</v>
      </c>
      <c r="D91" s="10" t="s">
        <v>197</v>
      </c>
      <c r="E91" s="10">
        <v>2065.321286586674</v>
      </c>
      <c r="F91" s="10">
        <v>327.71910429817217</v>
      </c>
      <c r="G91" s="10">
        <v>261.18116408049559</v>
      </c>
      <c r="H91" s="10">
        <v>271.62818501405968</v>
      </c>
      <c r="I91" s="10">
        <v>517.90516146232119</v>
      </c>
      <c r="J91" s="10">
        <v>144.76398710010585</v>
      </c>
      <c r="K91" s="10">
        <v>614.92235729574872</v>
      </c>
      <c r="L91" s="10">
        <v>512.52377154895237</v>
      </c>
      <c r="M91" s="10">
        <v>1848.2689912935577</v>
      </c>
      <c r="N91" s="10">
        <v>1240.7986665015198</v>
      </c>
      <c r="O91" s="10">
        <v>270.22045216216327</v>
      </c>
      <c r="P91" s="10">
        <v>676.23108499284422</v>
      </c>
      <c r="Q91" s="10">
        <v>1587.990223211068</v>
      </c>
      <c r="R91" s="10">
        <v>360.37801596291774</v>
      </c>
      <c r="S91" s="10">
        <v>157.6056253796485</v>
      </c>
      <c r="T91" s="10">
        <v>537.17847117757526</v>
      </c>
      <c r="U91" s="10">
        <v>78.606061177553542</v>
      </c>
      <c r="V91" s="10">
        <v>41.36515075462313</v>
      </c>
      <c r="W91" s="10">
        <v>11514.607760000001</v>
      </c>
    </row>
    <row r="92" spans="3:23">
      <c r="C92" s="10" t="s">
        <v>198</v>
      </c>
      <c r="D92" s="10" t="s">
        <v>730</v>
      </c>
      <c r="E92" s="10">
        <v>918.57018835734061</v>
      </c>
      <c r="F92" s="10">
        <v>145.75601448478932</v>
      </c>
      <c r="G92" s="10">
        <v>116.16266807636083</v>
      </c>
      <c r="H92" s="10">
        <v>120.80907444859977</v>
      </c>
      <c r="I92" s="10">
        <v>230.34297123907484</v>
      </c>
      <c r="J92" s="10">
        <v>64.385083212729171</v>
      </c>
      <c r="K92" s="10">
        <v>273.4922402798714</v>
      </c>
      <c r="L92" s="10">
        <v>227.94954975136187</v>
      </c>
      <c r="M92" s="10">
        <v>822.03423094206619</v>
      </c>
      <c r="N92" s="10">
        <v>551.85634903589437</v>
      </c>
      <c r="O92" s="10">
        <v>120.18297262157586</v>
      </c>
      <c r="P92" s="10">
        <v>300.75984746255006</v>
      </c>
      <c r="Q92" s="10">
        <v>706.27291158914352</v>
      </c>
      <c r="R92" s="10">
        <v>160.28135871779764</v>
      </c>
      <c r="S92" s="10">
        <v>70.096517152748888</v>
      </c>
      <c r="T92" s="10">
        <v>238.9149488051751</v>
      </c>
      <c r="U92" s="10">
        <v>34.960751574505117</v>
      </c>
      <c r="V92" s="10">
        <v>18.397522248415257</v>
      </c>
      <c r="W92" s="10">
        <v>5121.2251999999999</v>
      </c>
    </row>
    <row r="93" spans="3:23">
      <c r="C93" s="10" t="s">
        <v>481</v>
      </c>
      <c r="D93" s="10" t="s">
        <v>731</v>
      </c>
      <c r="E93" s="10">
        <v>1101.8317806005687</v>
      </c>
      <c r="F93" s="10">
        <v>174.83542467256942</v>
      </c>
      <c r="G93" s="10">
        <v>139.33798530384962</v>
      </c>
      <c r="H93" s="10">
        <v>144.91138434445321</v>
      </c>
      <c r="I93" s="10">
        <v>276.29810913310729</v>
      </c>
      <c r="J93" s="10">
        <v>77.230386724459649</v>
      </c>
      <c r="K93" s="10">
        <v>328.05597863663911</v>
      </c>
      <c r="L93" s="10">
        <v>273.42718223719925</v>
      </c>
      <c r="M93" s="10">
        <v>986.0361808750157</v>
      </c>
      <c r="N93" s="10">
        <v>661.95579978631395</v>
      </c>
      <c r="O93" s="10">
        <v>144.16037054098905</v>
      </c>
      <c r="P93" s="10">
        <v>360.76367648663717</v>
      </c>
      <c r="Q93" s="10">
        <v>847.17961635336928</v>
      </c>
      <c r="R93" s="10">
        <v>192.25868323565453</v>
      </c>
      <c r="S93" s="10">
        <v>84.081294262802643</v>
      </c>
      <c r="T93" s="10">
        <v>286.58026005051784</v>
      </c>
      <c r="U93" s="10">
        <v>41.935681831082661</v>
      </c>
      <c r="V93" s="10">
        <v>22.06796492477087</v>
      </c>
      <c r="W93" s="10">
        <v>6142.94776</v>
      </c>
    </row>
    <row r="94" spans="3:23">
      <c r="C94" s="10" t="s">
        <v>199</v>
      </c>
      <c r="D94" s="10" t="s">
        <v>200</v>
      </c>
      <c r="E94" s="10">
        <v>2775.4136157055327</v>
      </c>
      <c r="F94" s="10">
        <v>440.39446555028667</v>
      </c>
      <c r="G94" s="10">
        <v>350.97965806222641</v>
      </c>
      <c r="H94" s="10">
        <v>365.01854117977456</v>
      </c>
      <c r="I94" s="10">
        <v>695.96970026018096</v>
      </c>
      <c r="J94" s="10">
        <v>194.53629005367475</v>
      </c>
      <c r="K94" s="10">
        <v>826.34304605504838</v>
      </c>
      <c r="L94" s="10">
        <v>688.7380976354541</v>
      </c>
      <c r="M94" s="10">
        <v>2483.735076589594</v>
      </c>
      <c r="N94" s="10">
        <v>1667.4061976328089</v>
      </c>
      <c r="O94" s="10">
        <v>363.12680600529893</v>
      </c>
      <c r="P94" s="10">
        <v>908.7307494681661</v>
      </c>
      <c r="Q94" s="10">
        <v>2133.9680735055008</v>
      </c>
      <c r="R94" s="10">
        <v>484.28206245694605</v>
      </c>
      <c r="S94" s="10">
        <v>211.79310039135891</v>
      </c>
      <c r="T94" s="10">
        <v>721.86949926522118</v>
      </c>
      <c r="U94" s="10">
        <v>105.63215219154651</v>
      </c>
      <c r="V94" s="10">
        <v>55.587187991380382</v>
      </c>
      <c r="W94" s="10">
        <v>15473.52432</v>
      </c>
    </row>
    <row r="95" spans="3:23">
      <c r="C95" s="10" t="s">
        <v>201</v>
      </c>
      <c r="D95" s="10" t="s">
        <v>202</v>
      </c>
      <c r="E95" s="10">
        <v>4171.5870226170655</v>
      </c>
      <c r="F95" s="10">
        <v>661.93515335008442</v>
      </c>
      <c r="G95" s="10">
        <v>527.54017581006997</v>
      </c>
      <c r="H95" s="10">
        <v>548.64132711011291</v>
      </c>
      <c r="I95" s="10">
        <v>1046.077656069298</v>
      </c>
      <c r="J95" s="10">
        <v>292.39788203953253</v>
      </c>
      <c r="K95" s="10">
        <v>1242.0353880395585</v>
      </c>
      <c r="L95" s="10">
        <v>1035.2081916077407</v>
      </c>
      <c r="M95" s="10">
        <v>3733.1794275593306</v>
      </c>
      <c r="N95" s="10">
        <v>2506.1958391048993</v>
      </c>
      <c r="O95" s="10">
        <v>545.79795347404865</v>
      </c>
      <c r="P95" s="10">
        <v>1365.8682727802416</v>
      </c>
      <c r="Q95" s="10">
        <v>3207.4619335077796</v>
      </c>
      <c r="R95" s="10">
        <v>727.90043098425372</v>
      </c>
      <c r="S95" s="10">
        <v>318.3357406884486</v>
      </c>
      <c r="T95" s="10">
        <v>1085.0063637784554</v>
      </c>
      <c r="U95" s="10">
        <v>158.77046677287717</v>
      </c>
      <c r="V95" s="10">
        <v>83.550354706201162</v>
      </c>
      <c r="W95" s="10">
        <v>23257.489579999998</v>
      </c>
    </row>
    <row r="96" spans="3:23">
      <c r="C96" s="10" t="s">
        <v>203</v>
      </c>
      <c r="D96" s="10" t="s">
        <v>204</v>
      </c>
      <c r="E96" s="10">
        <v>7712.4060568555042</v>
      </c>
      <c r="F96" s="10">
        <v>1223.7818984152586</v>
      </c>
      <c r="G96" s="10">
        <v>975.31323812579672</v>
      </c>
      <c r="H96" s="10">
        <v>1014.3249250954669</v>
      </c>
      <c r="I96" s="10">
        <v>1933.9823445775094</v>
      </c>
      <c r="J96" s="10">
        <v>540.5835199474443</v>
      </c>
      <c r="K96" s="10">
        <v>2296.2678706234169</v>
      </c>
      <c r="L96" s="10">
        <v>1913.8869412948759</v>
      </c>
      <c r="M96" s="10">
        <v>6901.8806205735755</v>
      </c>
      <c r="N96" s="10">
        <v>4633.4404303167748</v>
      </c>
      <c r="O96" s="10">
        <v>1009.0681122964551</v>
      </c>
      <c r="P96" s="10">
        <v>2525.2093945887441</v>
      </c>
      <c r="Q96" s="10">
        <v>5929.9371459833128</v>
      </c>
      <c r="R96" s="10">
        <v>1345.7381237102434</v>
      </c>
      <c r="S96" s="10">
        <v>588.53728360170555</v>
      </c>
      <c r="T96" s="10">
        <v>2005.9535151401481</v>
      </c>
      <c r="U96" s="10">
        <v>293.53392436740205</v>
      </c>
      <c r="V96" s="10">
        <v>154.46741448636504</v>
      </c>
      <c r="W96" s="10">
        <v>42998.312760000001</v>
      </c>
    </row>
    <row r="97" spans="3:23">
      <c r="C97" s="10" t="s">
        <v>205</v>
      </c>
      <c r="D97" s="10" t="s">
        <v>206</v>
      </c>
      <c r="E97" s="10">
        <v>80221.138633548195</v>
      </c>
      <c r="F97" s="10">
        <v>12729.254217979329</v>
      </c>
      <c r="G97" s="10">
        <v>10144.789824347577</v>
      </c>
      <c r="H97" s="10">
        <v>10550.572653422125</v>
      </c>
      <c r="I97" s="10">
        <v>20116.454532535736</v>
      </c>
      <c r="J97" s="10">
        <v>5622.9178257759722</v>
      </c>
      <c r="K97" s="10">
        <v>23884.793128248391</v>
      </c>
      <c r="L97" s="10">
        <v>19907.430769944778</v>
      </c>
      <c r="M97" s="10">
        <v>71790.400818311828</v>
      </c>
      <c r="N97" s="10">
        <v>48195.059281186026</v>
      </c>
      <c r="O97" s="10">
        <v>10495.893542232785</v>
      </c>
      <c r="P97" s="10">
        <v>26266.144628364618</v>
      </c>
      <c r="Q97" s="10">
        <v>61680.661828393022</v>
      </c>
      <c r="R97" s="10">
        <v>13997.790545616897</v>
      </c>
      <c r="S97" s="10">
        <v>6121.7122997377537</v>
      </c>
      <c r="T97" s="10">
        <v>20865.067767985398</v>
      </c>
      <c r="U97" s="10">
        <v>3053.2139343720742</v>
      </c>
      <c r="V97" s="10">
        <v>1606.7037679974949</v>
      </c>
      <c r="W97" s="10">
        <v>447250</v>
      </c>
    </row>
    <row r="98" spans="3:23">
      <c r="C98" s="10" t="s">
        <v>632</v>
      </c>
      <c r="D98" s="10" t="s">
        <v>732</v>
      </c>
      <c r="E98" s="10">
        <v>2092.1996082250384</v>
      </c>
      <c r="F98" s="10">
        <v>331.98407728303926</v>
      </c>
      <c r="G98" s="10">
        <v>264.58020488815612</v>
      </c>
      <c r="H98" s="10">
        <v>275.1631845176571</v>
      </c>
      <c r="I98" s="10">
        <v>524.6452370129681</v>
      </c>
      <c r="J98" s="10">
        <v>146.64796177862152</v>
      </c>
      <c r="K98" s="10">
        <v>622.92502545656168</v>
      </c>
      <c r="L98" s="10">
        <v>519.19381309089931</v>
      </c>
      <c r="M98" s="10">
        <v>1872.3225701458373</v>
      </c>
      <c r="N98" s="10">
        <v>1256.9465587753652</v>
      </c>
      <c r="O98" s="10">
        <v>273.7371312733743</v>
      </c>
      <c r="P98" s="10">
        <v>685.03163177573094</v>
      </c>
      <c r="Q98" s="10">
        <v>1608.6565051378795</v>
      </c>
      <c r="R98" s="10">
        <v>365.06801566773629</v>
      </c>
      <c r="S98" s="10">
        <v>159.65672257139383</v>
      </c>
      <c r="T98" s="10">
        <v>544.16937173105669</v>
      </c>
      <c r="U98" s="10">
        <v>79.629049227295198</v>
      </c>
      <c r="V98" s="10">
        <v>41.903481441389886</v>
      </c>
      <c r="W98" s="10">
        <v>11664.460150000001</v>
      </c>
    </row>
    <row r="99" spans="3:23">
      <c r="C99" s="10"/>
      <c r="D99" s="10" t="s">
        <v>680</v>
      </c>
      <c r="E99" s="10">
        <v>101058.46819249591</v>
      </c>
      <c r="F99" s="10">
        <v>16035.660356033528</v>
      </c>
      <c r="G99" s="10">
        <v>12779.884918694534</v>
      </c>
      <c r="H99" s="10">
        <v>13291.069275132249</v>
      </c>
      <c r="I99" s="10">
        <v>25341.675712290194</v>
      </c>
      <c r="J99" s="10">
        <v>7083.4629366325398</v>
      </c>
      <c r="K99" s="10">
        <v>30088.835034635238</v>
      </c>
      <c r="L99" s="10">
        <v>25078.358317111262</v>
      </c>
      <c r="M99" s="10">
        <v>90437.857916290814</v>
      </c>
      <c r="N99" s="10">
        <v>60713.659122339603</v>
      </c>
      <c r="O99" s="10">
        <v>13222.18734060669</v>
      </c>
      <c r="P99" s="10">
        <v>33088.739285919532</v>
      </c>
      <c r="Q99" s="10">
        <v>77702.128237681085</v>
      </c>
      <c r="R99" s="10">
        <v>17633.697236352447</v>
      </c>
      <c r="S99" s="10">
        <v>7711.81858378586</v>
      </c>
      <c r="T99" s="10">
        <v>26284.740197933548</v>
      </c>
      <c r="U99" s="10">
        <v>3846.2820215143361</v>
      </c>
      <c r="V99" s="10">
        <v>2024.0428445506407</v>
      </c>
      <c r="W99" s="10">
        <v>563422.56753</v>
      </c>
    </row>
    <row r="100" spans="3:23">
      <c r="C100" s="10" t="s">
        <v>667</v>
      </c>
      <c r="D100" s="10" t="s">
        <v>1116</v>
      </c>
      <c r="E100" s="10" t="s">
        <v>9</v>
      </c>
      <c r="F100" s="10" t="s">
        <v>10</v>
      </c>
      <c r="G100" s="10" t="s">
        <v>11</v>
      </c>
      <c r="H100" s="10" t="s">
        <v>31</v>
      </c>
      <c r="I100" s="10" t="s">
        <v>12</v>
      </c>
      <c r="J100" s="10" t="s">
        <v>13</v>
      </c>
      <c r="K100" s="10" t="s">
        <v>14</v>
      </c>
      <c r="L100" s="10" t="s">
        <v>15</v>
      </c>
      <c r="M100" s="10" t="s">
        <v>16</v>
      </c>
      <c r="N100" s="10" t="s">
        <v>17</v>
      </c>
      <c r="O100" s="10" t="s">
        <v>18</v>
      </c>
      <c r="P100" s="10" t="s">
        <v>19</v>
      </c>
      <c r="Q100" s="10" t="s">
        <v>20</v>
      </c>
      <c r="R100" s="10" t="s">
        <v>60</v>
      </c>
      <c r="S100" s="10" t="s">
        <v>61</v>
      </c>
      <c r="T100" s="10" t="s">
        <v>62</v>
      </c>
      <c r="U100" s="10" t="s">
        <v>63</v>
      </c>
      <c r="V100" s="10" t="s">
        <v>64</v>
      </c>
      <c r="W100" s="10" t="s">
        <v>668</v>
      </c>
    </row>
    <row r="101" spans="3:23">
      <c r="C101" s="10" t="s">
        <v>1006</v>
      </c>
      <c r="D101" s="10" t="s">
        <v>1065</v>
      </c>
      <c r="E101" s="10">
        <v>5295251.0655399999</v>
      </c>
      <c r="F101" s="10">
        <v>562608.61968</v>
      </c>
      <c r="G101" s="10">
        <v>515679.41788999998</v>
      </c>
      <c r="H101" s="10">
        <v>518883.89441999991</v>
      </c>
      <c r="I101" s="10">
        <v>2716355.5270400001</v>
      </c>
      <c r="J101" s="10">
        <v>505470.07672000001</v>
      </c>
      <c r="K101" s="10">
        <v>1471958.0676800001</v>
      </c>
      <c r="L101" s="10">
        <v>1278751.3288500002</v>
      </c>
      <c r="M101" s="10">
        <v>1366617.2865899999</v>
      </c>
      <c r="N101" s="10">
        <v>2662729.3632300003</v>
      </c>
      <c r="O101" s="10">
        <v>1171513.3781600001</v>
      </c>
      <c r="P101" s="10">
        <v>2104767.6168200001</v>
      </c>
      <c r="Q101" s="10">
        <v>-1563974.3054100003</v>
      </c>
      <c r="R101" s="10">
        <v>769614.70341000007</v>
      </c>
      <c r="S101" s="10">
        <v>0</v>
      </c>
      <c r="T101" s="10">
        <v>0</v>
      </c>
      <c r="U101" s="10">
        <v>333028.30327999999</v>
      </c>
      <c r="V101" s="10">
        <v>75787.209999999992</v>
      </c>
      <c r="W101" s="10">
        <v>19785041.553899996</v>
      </c>
    </row>
    <row r="102" spans="3:23">
      <c r="C102" s="10" t="s">
        <v>208</v>
      </c>
      <c r="D102" s="10" t="s">
        <v>1066</v>
      </c>
      <c r="E102" s="10">
        <v>-80985.014899999995</v>
      </c>
      <c r="F102" s="10">
        <v>-31204.262429999999</v>
      </c>
      <c r="G102" s="10">
        <v>-17042.05861</v>
      </c>
      <c r="H102" s="10">
        <v>-648098.00129000004</v>
      </c>
      <c r="I102" s="10">
        <v>-43321.382510000003</v>
      </c>
      <c r="J102" s="10">
        <v>0</v>
      </c>
      <c r="K102" s="10">
        <v>-31439.748800000001</v>
      </c>
      <c r="L102" s="10">
        <v>0</v>
      </c>
      <c r="M102" s="10">
        <v>-158236.41435000001</v>
      </c>
      <c r="N102" s="10">
        <v>-1368869.6916999999</v>
      </c>
      <c r="O102" s="10">
        <v>-12331.924580000001</v>
      </c>
      <c r="P102" s="10">
        <v>-48286.379809999999</v>
      </c>
      <c r="Q102" s="10">
        <v>-752003.21828999999</v>
      </c>
      <c r="R102" s="10">
        <v>-156267.60900999999</v>
      </c>
      <c r="S102" s="10">
        <v>0</v>
      </c>
      <c r="T102" s="10">
        <v>0</v>
      </c>
      <c r="U102" s="10">
        <v>-18800.53325</v>
      </c>
      <c r="V102" s="10">
        <v>-1471.5</v>
      </c>
      <c r="W102" s="10">
        <v>-3368357.7395299994</v>
      </c>
    </row>
    <row r="103" spans="3:23">
      <c r="C103" s="10" t="s">
        <v>209</v>
      </c>
      <c r="D103" s="10" t="s">
        <v>1067</v>
      </c>
      <c r="E103" s="10">
        <v>-582113.03480000014</v>
      </c>
      <c r="F103" s="10">
        <v>-86441.306979999994</v>
      </c>
      <c r="G103" s="10">
        <v>-72655.707800000004</v>
      </c>
      <c r="H103" s="10">
        <v>-31859.837090000008</v>
      </c>
      <c r="I103" s="10">
        <v>-137635.58708999999</v>
      </c>
      <c r="J103" s="10">
        <v>-45457.352230000004</v>
      </c>
      <c r="K103" s="10">
        <v>-179439.14766000002</v>
      </c>
      <c r="L103" s="10">
        <v>-124761.68212000001</v>
      </c>
      <c r="M103" s="10">
        <v>-309601.71135000006</v>
      </c>
      <c r="N103" s="10">
        <v>-221760.08216000005</v>
      </c>
      <c r="O103" s="10">
        <v>-96626.432220000032</v>
      </c>
      <c r="P103" s="10">
        <v>-206127.89974000002</v>
      </c>
      <c r="Q103" s="10">
        <v>-147654.79771999997</v>
      </c>
      <c r="R103" s="10">
        <v>-72500.652150000009</v>
      </c>
      <c r="S103" s="10">
        <v>0</v>
      </c>
      <c r="T103" s="10">
        <v>0</v>
      </c>
      <c r="U103" s="10">
        <v>-24002.646000000008</v>
      </c>
      <c r="V103" s="10">
        <v>-1173.1500000000001</v>
      </c>
      <c r="W103" s="10">
        <v>-2339811.0271100001</v>
      </c>
    </row>
    <row r="104" spans="3:23">
      <c r="C104" s="10" t="s">
        <v>959</v>
      </c>
      <c r="D104" s="10" t="s">
        <v>1068</v>
      </c>
      <c r="E104" s="10">
        <v>3954747.9186077281</v>
      </c>
      <c r="F104" s="10">
        <v>1054228.4961241609</v>
      </c>
      <c r="G104" s="10">
        <v>862754.99638206291</v>
      </c>
      <c r="H104" s="10">
        <v>729943.94822269562</v>
      </c>
      <c r="I104" s="10">
        <v>1052913.7398029987</v>
      </c>
      <c r="J104" s="10">
        <v>445974.08158700156</v>
      </c>
      <c r="K104" s="10">
        <v>1764852.4136185788</v>
      </c>
      <c r="L104" s="10">
        <v>1097745.4077927661</v>
      </c>
      <c r="M104" s="10">
        <v>7041184.4749751873</v>
      </c>
      <c r="N104" s="10">
        <v>2838290.2392096873</v>
      </c>
      <c r="O104" s="10">
        <v>495288.37695874245</v>
      </c>
      <c r="P104" s="10">
        <v>1780554.6609047651</v>
      </c>
      <c r="Q104" s="10">
        <v>8187298.727130346</v>
      </c>
      <c r="R104" s="10">
        <v>724858.4639823063</v>
      </c>
      <c r="S104" s="10">
        <v>0</v>
      </c>
      <c r="T104" s="10">
        <v>0</v>
      </c>
      <c r="U104" s="10">
        <v>214092.24076431053</v>
      </c>
      <c r="V104" s="10">
        <v>0</v>
      </c>
      <c r="W104" s="10">
        <v>32244728.186063338</v>
      </c>
    </row>
    <row r="105" spans="3:23">
      <c r="C105" s="10" t="s">
        <v>210</v>
      </c>
      <c r="D105" s="10" t="s">
        <v>1069</v>
      </c>
      <c r="E105" s="10">
        <v>4891568.5699999994</v>
      </c>
      <c r="F105" s="10">
        <v>949686.11</v>
      </c>
      <c r="G105" s="10">
        <v>731849.59000000008</v>
      </c>
      <c r="H105" s="10">
        <v>1053131.0099999998</v>
      </c>
      <c r="I105" s="10">
        <v>0</v>
      </c>
      <c r="J105" s="10">
        <v>407756.53</v>
      </c>
      <c r="K105" s="10">
        <v>1711210.4</v>
      </c>
      <c r="L105" s="10">
        <v>1262913.6099999999</v>
      </c>
      <c r="M105" s="10">
        <v>5378340.5100000007</v>
      </c>
      <c r="N105" s="10">
        <v>3170948.52</v>
      </c>
      <c r="O105" s="10">
        <v>625107.75</v>
      </c>
      <c r="P105" s="10">
        <v>1805773.9400000002</v>
      </c>
      <c r="Q105" s="10">
        <v>4404088.1800000006</v>
      </c>
      <c r="R105" s="10">
        <v>842713.60000000009</v>
      </c>
      <c r="S105" s="10">
        <v>0</v>
      </c>
      <c r="T105" s="10">
        <v>0</v>
      </c>
      <c r="U105" s="10">
        <v>211399.16999999998</v>
      </c>
      <c r="V105" s="10">
        <v>0</v>
      </c>
      <c r="W105" s="10">
        <v>27446487.490000002</v>
      </c>
    </row>
    <row r="106" spans="3:23">
      <c r="C106" s="10" t="s">
        <v>1117</v>
      </c>
      <c r="D106" s="10" t="s">
        <v>1118</v>
      </c>
      <c r="E106" s="10">
        <v>1690775.43</v>
      </c>
      <c r="F106" s="10">
        <v>391845.92000000004</v>
      </c>
      <c r="G106" s="10">
        <v>246070.53</v>
      </c>
      <c r="H106" s="10">
        <v>309722.73</v>
      </c>
      <c r="I106" s="10">
        <v>27537.699999999997</v>
      </c>
      <c r="J106" s="10">
        <v>162471.95000000001</v>
      </c>
      <c r="K106" s="10">
        <v>818390.1399999999</v>
      </c>
      <c r="L106" s="10">
        <v>591804.86</v>
      </c>
      <c r="M106" s="10">
        <v>1895393.3000000003</v>
      </c>
      <c r="N106" s="10">
        <v>1157295.1199999999</v>
      </c>
      <c r="O106" s="10">
        <v>298434.57</v>
      </c>
      <c r="P106" s="10">
        <v>673854.61</v>
      </c>
      <c r="Q106" s="10">
        <v>1250100.26</v>
      </c>
      <c r="R106" s="10">
        <v>394162.62</v>
      </c>
      <c r="S106" s="10">
        <v>0</v>
      </c>
      <c r="T106" s="10">
        <v>0</v>
      </c>
      <c r="U106" s="10">
        <v>77262.11</v>
      </c>
      <c r="V106" s="10">
        <v>0</v>
      </c>
      <c r="W106" s="10">
        <v>9985121.8499999996</v>
      </c>
    </row>
    <row r="107" spans="3:23">
      <c r="C107" s="10" t="s">
        <v>211</v>
      </c>
      <c r="D107" s="10" t="s">
        <v>212</v>
      </c>
      <c r="E107" s="10">
        <v>221872.86</v>
      </c>
      <c r="F107" s="10">
        <v>67196.13</v>
      </c>
      <c r="G107" s="10">
        <v>62535</v>
      </c>
      <c r="H107" s="10">
        <v>33230.730000000003</v>
      </c>
      <c r="I107" s="10">
        <v>46976.850000000006</v>
      </c>
      <c r="J107" s="10">
        <v>26888.78</v>
      </c>
      <c r="K107" s="10">
        <v>80256.17</v>
      </c>
      <c r="L107" s="10">
        <v>72424.62</v>
      </c>
      <c r="M107" s="10">
        <v>274333.94</v>
      </c>
      <c r="N107" s="10">
        <v>151176.03999999998</v>
      </c>
      <c r="O107" s="10">
        <v>30515.480000000003</v>
      </c>
      <c r="P107" s="10">
        <v>114159.1</v>
      </c>
      <c r="Q107" s="10">
        <v>182029.69</v>
      </c>
      <c r="R107" s="10">
        <v>46088.090000000004</v>
      </c>
      <c r="S107" s="10">
        <v>0</v>
      </c>
      <c r="T107" s="10">
        <v>0</v>
      </c>
      <c r="U107" s="10">
        <v>9865.6899999999987</v>
      </c>
      <c r="V107" s="10">
        <v>0</v>
      </c>
      <c r="W107" s="10">
        <v>1419549.1700000002</v>
      </c>
    </row>
    <row r="108" spans="3:23">
      <c r="C108" s="10" t="s">
        <v>960</v>
      </c>
      <c r="D108" s="10" t="s">
        <v>1070</v>
      </c>
      <c r="E108" s="10">
        <v>242562.77639713924</v>
      </c>
      <c r="F108" s="10">
        <v>94234.614821306153</v>
      </c>
      <c r="G108" s="10">
        <v>74177.864198695301</v>
      </c>
      <c r="H108" s="10">
        <v>43459.175508691231</v>
      </c>
      <c r="I108" s="10">
        <v>55067.707755521369</v>
      </c>
      <c r="J108" s="10">
        <v>43478.577137183376</v>
      </c>
      <c r="K108" s="10">
        <v>158565.85107955357</v>
      </c>
      <c r="L108" s="10">
        <v>70147.287932866762</v>
      </c>
      <c r="M108" s="10">
        <v>429867.95880526456</v>
      </c>
      <c r="N108" s="10">
        <v>224377.6883169169</v>
      </c>
      <c r="O108" s="10">
        <v>37473.062839338178</v>
      </c>
      <c r="P108" s="10">
        <v>176818.56984752612</v>
      </c>
      <c r="Q108" s="10">
        <v>410132.13203351095</v>
      </c>
      <c r="R108" s="10">
        <v>41866.064645224302</v>
      </c>
      <c r="S108" s="10">
        <v>0</v>
      </c>
      <c r="T108" s="10">
        <v>0</v>
      </c>
      <c r="U108" s="10">
        <v>20610.668681262196</v>
      </c>
      <c r="V108" s="10">
        <v>0</v>
      </c>
      <c r="W108" s="10">
        <v>2122839.9999999995</v>
      </c>
    </row>
    <row r="109" spans="3:23">
      <c r="C109" s="10" t="s">
        <v>961</v>
      </c>
      <c r="D109" s="10" t="s">
        <v>1071</v>
      </c>
      <c r="E109" s="10">
        <v>956711.50342054211</v>
      </c>
      <c r="F109" s="10">
        <v>120553</v>
      </c>
      <c r="G109" s="10">
        <v>71988.421281806615</v>
      </c>
      <c r="H109" s="10">
        <v>266621.48812987917</v>
      </c>
      <c r="I109" s="10">
        <v>214413.9914671627</v>
      </c>
      <c r="J109" s="10">
        <v>63973.511201081696</v>
      </c>
      <c r="K109" s="10">
        <v>202861.11324780167</v>
      </c>
      <c r="L109" s="10">
        <v>232405.71185554849</v>
      </c>
      <c r="M109" s="10">
        <v>914897.30259134155</v>
      </c>
      <c r="N109" s="10">
        <v>633786.3311227893</v>
      </c>
      <c r="O109" s="10">
        <v>68324.617993990643</v>
      </c>
      <c r="P109" s="10">
        <v>175885.29354110206</v>
      </c>
      <c r="Q109" s="10">
        <v>789627</v>
      </c>
      <c r="R109" s="10">
        <v>153418.50658475194</v>
      </c>
      <c r="S109" s="10">
        <v>0</v>
      </c>
      <c r="T109" s="10">
        <v>0</v>
      </c>
      <c r="U109" s="10">
        <v>32748.000000000004</v>
      </c>
      <c r="V109" s="10">
        <v>0</v>
      </c>
      <c r="W109" s="10">
        <v>4898215.7924377983</v>
      </c>
    </row>
    <row r="110" spans="3:23">
      <c r="C110" s="10" t="s">
        <v>962</v>
      </c>
      <c r="D110" s="10" t="s">
        <v>213</v>
      </c>
      <c r="E110" s="10">
        <v>155022.90241631889</v>
      </c>
      <c r="F110" s="10">
        <v>29381.469122027782</v>
      </c>
      <c r="G110" s="10">
        <v>21332.277764663304</v>
      </c>
      <c r="H110" s="10">
        <v>38356.372018879047</v>
      </c>
      <c r="I110" s="10">
        <v>39140.610922389205</v>
      </c>
      <c r="J110" s="10">
        <v>14134.759697854335</v>
      </c>
      <c r="K110" s="10">
        <v>62385.134783131805</v>
      </c>
      <c r="L110" s="10">
        <v>43520.75729410239</v>
      </c>
      <c r="M110" s="10">
        <v>147374.27572365417</v>
      </c>
      <c r="N110" s="10">
        <v>143938.98186442236</v>
      </c>
      <c r="O110" s="10">
        <v>18427.152087497714</v>
      </c>
      <c r="P110" s="10">
        <v>50265.161917398684</v>
      </c>
      <c r="Q110" s="10">
        <v>248107.83445516715</v>
      </c>
      <c r="R110" s="10">
        <v>22651.03348717195</v>
      </c>
      <c r="S110" s="10">
        <v>0</v>
      </c>
      <c r="T110" s="10">
        <v>0</v>
      </c>
      <c r="U110" s="10">
        <v>5060.2764453210857</v>
      </c>
      <c r="V110" s="10">
        <v>0</v>
      </c>
      <c r="W110" s="10">
        <v>1039098.9999999999</v>
      </c>
    </row>
    <row r="111" spans="3:23">
      <c r="C111" s="10" t="s">
        <v>963</v>
      </c>
      <c r="D111" s="10" t="s">
        <v>1072</v>
      </c>
      <c r="E111" s="10">
        <v>30560.05</v>
      </c>
      <c r="F111" s="10">
        <v>8561.6299999999992</v>
      </c>
      <c r="G111" s="10">
        <v>4477.6099999999997</v>
      </c>
      <c r="H111" s="10">
        <v>3841.94</v>
      </c>
      <c r="I111" s="10">
        <v>0</v>
      </c>
      <c r="J111" s="10">
        <v>2836.05</v>
      </c>
      <c r="K111" s="10">
        <v>14987.65</v>
      </c>
      <c r="L111" s="10">
        <v>11700.11</v>
      </c>
      <c r="M111" s="10">
        <v>31194.77</v>
      </c>
      <c r="N111" s="10">
        <v>19548.7</v>
      </c>
      <c r="O111" s="10">
        <v>5533.79</v>
      </c>
      <c r="P111" s="10">
        <v>13867.98</v>
      </c>
      <c r="Q111" s="10">
        <v>23186.27</v>
      </c>
      <c r="R111" s="10">
        <v>7401.44</v>
      </c>
      <c r="S111" s="10">
        <v>0</v>
      </c>
      <c r="T111" s="10">
        <v>0</v>
      </c>
      <c r="U111" s="10">
        <v>1651.02</v>
      </c>
      <c r="V111" s="10">
        <v>0</v>
      </c>
      <c r="W111" s="10">
        <v>179349.01</v>
      </c>
    </row>
    <row r="112" spans="3:23">
      <c r="C112" s="10" t="s">
        <v>964</v>
      </c>
      <c r="D112" s="10" t="s">
        <v>1073</v>
      </c>
      <c r="E112" s="10">
        <v>32093.69</v>
      </c>
      <c r="F112" s="10">
        <v>5691.63</v>
      </c>
      <c r="G112" s="10">
        <v>4733.8599999999997</v>
      </c>
      <c r="H112" s="10">
        <v>13396.61</v>
      </c>
      <c r="I112" s="10">
        <v>0</v>
      </c>
      <c r="J112" s="10">
        <v>3511.11</v>
      </c>
      <c r="K112" s="10">
        <v>10503.92</v>
      </c>
      <c r="L112" s="10">
        <v>7226.15</v>
      </c>
      <c r="M112" s="10">
        <v>49739</v>
      </c>
      <c r="N112" s="10">
        <v>31635.33</v>
      </c>
      <c r="O112" s="10">
        <v>3142.9</v>
      </c>
      <c r="P112" s="10">
        <v>11733.68</v>
      </c>
      <c r="Q112" s="10">
        <v>113077.13</v>
      </c>
      <c r="R112" s="10">
        <v>7016.59</v>
      </c>
      <c r="S112" s="10">
        <v>0</v>
      </c>
      <c r="T112" s="10">
        <v>0</v>
      </c>
      <c r="U112" s="10">
        <v>1791.18</v>
      </c>
      <c r="V112" s="10">
        <v>0</v>
      </c>
      <c r="W112" s="10">
        <v>295292.78000000003</v>
      </c>
    </row>
    <row r="113" spans="3:23">
      <c r="C113" s="10" t="s">
        <v>965</v>
      </c>
      <c r="D113" s="10" t="s">
        <v>1074</v>
      </c>
      <c r="E113" s="10">
        <v>0</v>
      </c>
      <c r="F113" s="10">
        <v>0</v>
      </c>
      <c r="G113" s="10">
        <v>0</v>
      </c>
      <c r="H113" s="10">
        <v>0</v>
      </c>
      <c r="I113" s="10">
        <v>789652.12247839605</v>
      </c>
      <c r="J113" s="10">
        <v>0</v>
      </c>
      <c r="K113" s="10">
        <v>0</v>
      </c>
      <c r="L113" s="10">
        <v>0</v>
      </c>
      <c r="M113" s="10">
        <v>0</v>
      </c>
      <c r="N113" s="10">
        <v>0</v>
      </c>
      <c r="O113" s="10">
        <v>0</v>
      </c>
      <c r="P113" s="10">
        <v>0</v>
      </c>
      <c r="Q113" s="10">
        <v>0</v>
      </c>
      <c r="R113" s="10">
        <v>0</v>
      </c>
      <c r="S113" s="10">
        <v>0</v>
      </c>
      <c r="T113" s="10">
        <v>0</v>
      </c>
      <c r="U113" s="10">
        <v>0</v>
      </c>
      <c r="V113" s="10">
        <v>0</v>
      </c>
      <c r="W113" s="10">
        <v>789652.12247839605</v>
      </c>
    </row>
    <row r="114" spans="3:23">
      <c r="C114" s="10" t="s">
        <v>966</v>
      </c>
      <c r="D114" s="10" t="s">
        <v>1075</v>
      </c>
      <c r="E114" s="10">
        <v>-823193.40301782207</v>
      </c>
      <c r="F114" s="10">
        <v>-86034.114578038309</v>
      </c>
      <c r="G114" s="10">
        <v>-75090.968374594653</v>
      </c>
      <c r="H114" s="10">
        <v>-56730.426568822302</v>
      </c>
      <c r="I114" s="10">
        <v>-264515.84643763927</v>
      </c>
      <c r="J114" s="10">
        <v>-127742.51454393653</v>
      </c>
      <c r="K114" s="10">
        <v>-15625.400146903943</v>
      </c>
      <c r="L114" s="10">
        <v>-11349.313267323847</v>
      </c>
      <c r="M114" s="10">
        <v>-2188767.6148849409</v>
      </c>
      <c r="N114" s="10">
        <v>-214446.64894153914</v>
      </c>
      <c r="O114" s="10">
        <v>-7654.7165985817455</v>
      </c>
      <c r="P114" s="10">
        <v>-225185.97191304123</v>
      </c>
      <c r="Q114" s="10">
        <v>-1004165.2725405359</v>
      </c>
      <c r="R114" s="10">
        <v>-18426.296435903441</v>
      </c>
      <c r="S114" s="10">
        <v>0</v>
      </c>
      <c r="T114" s="10">
        <v>0</v>
      </c>
      <c r="U114" s="10">
        <v>-69422.50141654411</v>
      </c>
      <c r="V114" s="10">
        <v>0</v>
      </c>
      <c r="W114" s="10">
        <v>-5188351.0096661681</v>
      </c>
    </row>
    <row r="115" spans="3:23">
      <c r="C115" s="10" t="s">
        <v>967</v>
      </c>
      <c r="D115" s="10" t="s">
        <v>638</v>
      </c>
      <c r="E115" s="10">
        <v>0</v>
      </c>
      <c r="F115" s="10">
        <v>0</v>
      </c>
      <c r="G115" s="10">
        <v>0</v>
      </c>
      <c r="H115" s="10">
        <v>0</v>
      </c>
      <c r="I115" s="10">
        <v>0</v>
      </c>
      <c r="J115" s="10">
        <v>0</v>
      </c>
      <c r="K115" s="10">
        <v>0</v>
      </c>
      <c r="L115" s="10">
        <v>0</v>
      </c>
      <c r="M115" s="10">
        <v>0</v>
      </c>
      <c r="N115" s="10">
        <v>0</v>
      </c>
      <c r="O115" s="10">
        <v>0</v>
      </c>
      <c r="P115" s="10">
        <v>0</v>
      </c>
      <c r="Q115" s="10">
        <v>0</v>
      </c>
      <c r="R115" s="10">
        <v>0</v>
      </c>
      <c r="S115" s="10">
        <v>0</v>
      </c>
      <c r="T115" s="10">
        <v>0</v>
      </c>
      <c r="U115" s="10">
        <v>0</v>
      </c>
      <c r="V115" s="10">
        <v>5307.2398941645624</v>
      </c>
      <c r="W115" s="10">
        <v>5307.2398941645624</v>
      </c>
    </row>
    <row r="116" spans="3:23">
      <c r="C116" s="10" t="s">
        <v>968</v>
      </c>
      <c r="D116" s="10" t="s">
        <v>1076</v>
      </c>
      <c r="E116" s="10">
        <v>0</v>
      </c>
      <c r="F116" s="10">
        <v>0</v>
      </c>
      <c r="G116" s="10">
        <v>0</v>
      </c>
      <c r="H116" s="10">
        <v>0</v>
      </c>
      <c r="I116" s="10">
        <v>0</v>
      </c>
      <c r="J116" s="10">
        <v>0</v>
      </c>
      <c r="K116" s="10">
        <v>0</v>
      </c>
      <c r="L116" s="10">
        <v>0</v>
      </c>
      <c r="M116" s="10">
        <v>0</v>
      </c>
      <c r="N116" s="10">
        <v>0</v>
      </c>
      <c r="O116" s="10">
        <v>0</v>
      </c>
      <c r="P116" s="10">
        <v>0</v>
      </c>
      <c r="Q116" s="10">
        <v>0</v>
      </c>
      <c r="R116" s="10">
        <v>0</v>
      </c>
      <c r="S116" s="10">
        <v>0</v>
      </c>
      <c r="T116" s="10">
        <v>0</v>
      </c>
      <c r="U116" s="10">
        <v>0</v>
      </c>
      <c r="V116" s="10">
        <v>426.24635999999998</v>
      </c>
      <c r="W116" s="10">
        <v>426.24635999999998</v>
      </c>
    </row>
    <row r="117" spans="3:23">
      <c r="C117" s="10" t="s">
        <v>969</v>
      </c>
      <c r="D117" s="10" t="s">
        <v>214</v>
      </c>
      <c r="E117" s="10">
        <v>0</v>
      </c>
      <c r="F117" s="10">
        <v>0</v>
      </c>
      <c r="G117" s="10">
        <v>0</v>
      </c>
      <c r="H117" s="10">
        <v>0</v>
      </c>
      <c r="I117" s="10">
        <v>0</v>
      </c>
      <c r="J117" s="10">
        <v>0</v>
      </c>
      <c r="K117" s="10">
        <v>0</v>
      </c>
      <c r="L117" s="10">
        <v>0</v>
      </c>
      <c r="M117" s="10">
        <v>0</v>
      </c>
      <c r="N117" s="10">
        <v>0</v>
      </c>
      <c r="O117" s="10">
        <v>0</v>
      </c>
      <c r="P117" s="10">
        <v>0</v>
      </c>
      <c r="Q117" s="10">
        <v>0</v>
      </c>
      <c r="R117" s="10">
        <v>0</v>
      </c>
      <c r="S117" s="10">
        <v>0</v>
      </c>
      <c r="T117" s="10">
        <v>0</v>
      </c>
      <c r="U117" s="10">
        <v>0</v>
      </c>
      <c r="V117" s="10">
        <v>56633.151989999998</v>
      </c>
      <c r="W117" s="10">
        <v>56633.151989999998</v>
      </c>
    </row>
    <row r="118" spans="3:23">
      <c r="C118" s="10" t="s">
        <v>970</v>
      </c>
      <c r="D118" s="10" t="s">
        <v>1077</v>
      </c>
      <c r="E118" s="10">
        <v>0</v>
      </c>
      <c r="F118" s="10">
        <v>0</v>
      </c>
      <c r="G118" s="10">
        <v>0</v>
      </c>
      <c r="H118" s="10">
        <v>0</v>
      </c>
      <c r="I118" s="10">
        <v>0</v>
      </c>
      <c r="J118" s="10">
        <v>0</v>
      </c>
      <c r="K118" s="10">
        <v>0</v>
      </c>
      <c r="L118" s="10">
        <v>0</v>
      </c>
      <c r="M118" s="10">
        <v>0</v>
      </c>
      <c r="N118" s="10">
        <v>0</v>
      </c>
      <c r="O118" s="10">
        <v>0</v>
      </c>
      <c r="P118" s="10">
        <v>0</v>
      </c>
      <c r="Q118" s="10">
        <v>0</v>
      </c>
      <c r="R118" s="10">
        <v>0</v>
      </c>
      <c r="S118" s="10">
        <v>0</v>
      </c>
      <c r="T118" s="10">
        <v>0</v>
      </c>
      <c r="U118" s="10">
        <v>0</v>
      </c>
      <c r="V118" s="10">
        <v>67088.614350000003</v>
      </c>
      <c r="W118" s="10">
        <v>67088.614350000003</v>
      </c>
    </row>
    <row r="119" spans="3:23">
      <c r="C119" s="10" t="s">
        <v>971</v>
      </c>
      <c r="D119" s="10" t="s">
        <v>1078</v>
      </c>
      <c r="E119" s="10">
        <v>0</v>
      </c>
      <c r="F119" s="10">
        <v>0</v>
      </c>
      <c r="G119" s="10">
        <v>0</v>
      </c>
      <c r="H119" s="10">
        <v>0</v>
      </c>
      <c r="I119" s="10">
        <v>0</v>
      </c>
      <c r="J119" s="10">
        <v>0</v>
      </c>
      <c r="K119" s="10">
        <v>0</v>
      </c>
      <c r="L119" s="10">
        <v>0</v>
      </c>
      <c r="M119" s="10">
        <v>0</v>
      </c>
      <c r="N119" s="10">
        <v>0</v>
      </c>
      <c r="O119" s="10">
        <v>0</v>
      </c>
      <c r="P119" s="10">
        <v>0</v>
      </c>
      <c r="Q119" s="10">
        <v>0</v>
      </c>
      <c r="R119" s="10">
        <v>0</v>
      </c>
      <c r="S119" s="10">
        <v>0</v>
      </c>
      <c r="T119" s="10">
        <v>0</v>
      </c>
      <c r="U119" s="10">
        <v>0</v>
      </c>
      <c r="V119" s="10">
        <v>8300</v>
      </c>
      <c r="W119" s="10">
        <v>8300</v>
      </c>
    </row>
    <row r="120" spans="3:23">
      <c r="C120" s="10" t="s">
        <v>972</v>
      </c>
      <c r="D120" s="10" t="s">
        <v>215</v>
      </c>
      <c r="E120" s="10">
        <v>0</v>
      </c>
      <c r="F120" s="10">
        <v>0</v>
      </c>
      <c r="G120" s="10">
        <v>0</v>
      </c>
      <c r="H120" s="10">
        <v>0</v>
      </c>
      <c r="I120" s="10">
        <v>0</v>
      </c>
      <c r="J120" s="10">
        <v>0</v>
      </c>
      <c r="K120" s="10">
        <v>0</v>
      </c>
      <c r="L120" s="10">
        <v>0</v>
      </c>
      <c r="M120" s="10">
        <v>0</v>
      </c>
      <c r="N120" s="10">
        <v>0</v>
      </c>
      <c r="O120" s="10">
        <v>0</v>
      </c>
      <c r="P120" s="10">
        <v>0</v>
      </c>
      <c r="Q120" s="10">
        <v>0</v>
      </c>
      <c r="R120" s="10">
        <v>0</v>
      </c>
      <c r="S120" s="10">
        <v>0</v>
      </c>
      <c r="T120" s="10">
        <v>0</v>
      </c>
      <c r="U120" s="10">
        <v>0</v>
      </c>
      <c r="V120" s="10">
        <v>3653.0627999999997</v>
      </c>
      <c r="W120" s="10">
        <v>3653.0627999999997</v>
      </c>
    </row>
    <row r="121" spans="3:23">
      <c r="C121" s="10" t="s">
        <v>973</v>
      </c>
      <c r="D121" s="10" t="s">
        <v>216</v>
      </c>
      <c r="E121" s="10">
        <v>0</v>
      </c>
      <c r="F121" s="10">
        <v>0</v>
      </c>
      <c r="G121" s="10">
        <v>0</v>
      </c>
      <c r="H121" s="10">
        <v>0</v>
      </c>
      <c r="I121" s="10">
        <v>0</v>
      </c>
      <c r="J121" s="10">
        <v>0</v>
      </c>
      <c r="K121" s="10">
        <v>0</v>
      </c>
      <c r="L121" s="10">
        <v>0</v>
      </c>
      <c r="M121" s="10">
        <v>0</v>
      </c>
      <c r="N121" s="10">
        <v>0</v>
      </c>
      <c r="O121" s="10">
        <v>0</v>
      </c>
      <c r="P121" s="10">
        <v>0</v>
      </c>
      <c r="Q121" s="10">
        <v>0</v>
      </c>
      <c r="R121" s="10">
        <v>0</v>
      </c>
      <c r="S121" s="10">
        <v>0</v>
      </c>
      <c r="T121" s="10">
        <v>0</v>
      </c>
      <c r="U121" s="10">
        <v>0</v>
      </c>
      <c r="V121" s="10">
        <v>3685.8482099999997</v>
      </c>
      <c r="W121" s="10">
        <v>3685.8482099999997</v>
      </c>
    </row>
    <row r="122" spans="3:23">
      <c r="C122" s="10" t="s">
        <v>974</v>
      </c>
      <c r="D122" s="10" t="s">
        <v>639</v>
      </c>
      <c r="E122" s="10">
        <v>0</v>
      </c>
      <c r="F122" s="10">
        <v>0</v>
      </c>
      <c r="G122" s="10">
        <v>0</v>
      </c>
      <c r="H122" s="10">
        <v>0</v>
      </c>
      <c r="I122" s="10">
        <v>0</v>
      </c>
      <c r="J122" s="10">
        <v>0</v>
      </c>
      <c r="K122" s="10">
        <v>0</v>
      </c>
      <c r="L122" s="10">
        <v>0</v>
      </c>
      <c r="M122" s="10">
        <v>0</v>
      </c>
      <c r="N122" s="10">
        <v>0</v>
      </c>
      <c r="O122" s="10">
        <v>0</v>
      </c>
      <c r="P122" s="10">
        <v>0</v>
      </c>
      <c r="Q122" s="10">
        <v>0</v>
      </c>
      <c r="R122" s="10">
        <v>0</v>
      </c>
      <c r="S122" s="10">
        <v>0</v>
      </c>
      <c r="T122" s="10">
        <v>0</v>
      </c>
      <c r="U122" s="10">
        <v>0</v>
      </c>
      <c r="V122" s="10">
        <v>80.552990000000008</v>
      </c>
      <c r="W122" s="10">
        <v>80.552990000000008</v>
      </c>
    </row>
    <row r="123" spans="3:23">
      <c r="C123" s="10" t="s">
        <v>975</v>
      </c>
      <c r="D123" s="10" t="s">
        <v>640</v>
      </c>
      <c r="E123" s="10">
        <v>0</v>
      </c>
      <c r="F123" s="10">
        <v>0</v>
      </c>
      <c r="G123" s="10">
        <v>0</v>
      </c>
      <c r="H123" s="10">
        <v>0</v>
      </c>
      <c r="I123" s="10">
        <v>0</v>
      </c>
      <c r="J123" s="10">
        <v>0</v>
      </c>
      <c r="K123" s="10">
        <v>0</v>
      </c>
      <c r="L123" s="10">
        <v>0</v>
      </c>
      <c r="M123" s="10">
        <v>0</v>
      </c>
      <c r="N123" s="10">
        <v>0</v>
      </c>
      <c r="O123" s="10">
        <v>0</v>
      </c>
      <c r="P123" s="10">
        <v>0</v>
      </c>
      <c r="Q123" s="10">
        <v>0</v>
      </c>
      <c r="R123" s="10">
        <v>0</v>
      </c>
      <c r="S123" s="10">
        <v>0</v>
      </c>
      <c r="T123" s="10">
        <v>0</v>
      </c>
      <c r="U123" s="10">
        <v>0</v>
      </c>
      <c r="V123" s="10">
        <v>15879.731089999999</v>
      </c>
      <c r="W123" s="10">
        <v>15879.731089999999</v>
      </c>
    </row>
    <row r="124" spans="3:23">
      <c r="C124" s="10" t="s">
        <v>976</v>
      </c>
      <c r="D124" s="10" t="s">
        <v>217</v>
      </c>
      <c r="E124" s="10">
        <v>0</v>
      </c>
      <c r="F124" s="10">
        <v>0</v>
      </c>
      <c r="G124" s="10">
        <v>0</v>
      </c>
      <c r="H124" s="10">
        <v>0</v>
      </c>
      <c r="I124" s="10">
        <v>0</v>
      </c>
      <c r="J124" s="10">
        <v>0</v>
      </c>
      <c r="K124" s="10">
        <v>0</v>
      </c>
      <c r="L124" s="10">
        <v>0</v>
      </c>
      <c r="M124" s="10">
        <v>0</v>
      </c>
      <c r="N124" s="10">
        <v>0</v>
      </c>
      <c r="O124" s="10">
        <v>0</v>
      </c>
      <c r="P124" s="10">
        <v>0</v>
      </c>
      <c r="Q124" s="10">
        <v>0</v>
      </c>
      <c r="R124" s="10">
        <v>0</v>
      </c>
      <c r="S124" s="10">
        <v>0</v>
      </c>
      <c r="T124" s="10">
        <v>0</v>
      </c>
      <c r="U124" s="10">
        <v>0</v>
      </c>
      <c r="V124" s="10">
        <v>1627.9338700000001</v>
      </c>
      <c r="W124" s="10">
        <v>1627.9338700000001</v>
      </c>
    </row>
    <row r="125" spans="3:23">
      <c r="C125" s="10" t="s">
        <v>1007</v>
      </c>
      <c r="D125" s="10" t="s">
        <v>1079</v>
      </c>
      <c r="E125" s="10">
        <v>0</v>
      </c>
      <c r="F125" s="10">
        <v>0</v>
      </c>
      <c r="G125" s="10">
        <v>0</v>
      </c>
      <c r="H125" s="10">
        <v>0</v>
      </c>
      <c r="I125" s="10">
        <v>0</v>
      </c>
      <c r="J125" s="10">
        <v>0</v>
      </c>
      <c r="K125" s="10">
        <v>0</v>
      </c>
      <c r="L125" s="10">
        <v>0</v>
      </c>
      <c r="M125" s="10">
        <v>0</v>
      </c>
      <c r="N125" s="10">
        <v>0</v>
      </c>
      <c r="O125" s="10">
        <v>0</v>
      </c>
      <c r="P125" s="10">
        <v>0</v>
      </c>
      <c r="Q125" s="10">
        <v>0</v>
      </c>
      <c r="R125" s="10">
        <v>0</v>
      </c>
      <c r="S125" s="10">
        <v>0</v>
      </c>
      <c r="T125" s="10">
        <v>0</v>
      </c>
      <c r="U125" s="10">
        <v>0</v>
      </c>
      <c r="V125" s="10">
        <v>55579.21499</v>
      </c>
      <c r="W125" s="10">
        <v>55579.21499</v>
      </c>
    </row>
    <row r="126" spans="3:23">
      <c r="C126" s="10" t="s">
        <v>1008</v>
      </c>
      <c r="D126" s="10" t="s">
        <v>1080</v>
      </c>
      <c r="E126" s="10">
        <v>0</v>
      </c>
      <c r="F126" s="10">
        <v>0</v>
      </c>
      <c r="G126" s="10">
        <v>0</v>
      </c>
      <c r="H126" s="10">
        <v>0</v>
      </c>
      <c r="I126" s="10">
        <v>0</v>
      </c>
      <c r="J126" s="10">
        <v>0</v>
      </c>
      <c r="K126" s="10">
        <v>0</v>
      </c>
      <c r="L126" s="10">
        <v>0</v>
      </c>
      <c r="M126" s="10">
        <v>0</v>
      </c>
      <c r="N126" s="10">
        <v>0</v>
      </c>
      <c r="O126" s="10">
        <v>0</v>
      </c>
      <c r="P126" s="10">
        <v>0</v>
      </c>
      <c r="Q126" s="10">
        <v>0</v>
      </c>
      <c r="R126" s="10">
        <v>0</v>
      </c>
      <c r="S126" s="10">
        <v>0</v>
      </c>
      <c r="T126" s="10">
        <v>0</v>
      </c>
      <c r="U126" s="10">
        <v>0</v>
      </c>
      <c r="V126" s="10">
        <v>137418.97167460475</v>
      </c>
      <c r="W126" s="10">
        <v>137418.97167460475</v>
      </c>
    </row>
    <row r="127" spans="3:23">
      <c r="C127" s="10" t="s">
        <v>977</v>
      </c>
      <c r="D127" s="10" t="s">
        <v>1081</v>
      </c>
      <c r="E127" s="10">
        <v>0</v>
      </c>
      <c r="F127" s="10">
        <v>0</v>
      </c>
      <c r="G127" s="10">
        <v>0</v>
      </c>
      <c r="H127" s="10">
        <v>0</v>
      </c>
      <c r="I127" s="10">
        <v>0</v>
      </c>
      <c r="J127" s="10">
        <v>0</v>
      </c>
      <c r="K127" s="10">
        <v>0</v>
      </c>
      <c r="L127" s="10">
        <v>0</v>
      </c>
      <c r="M127" s="10">
        <v>0</v>
      </c>
      <c r="N127" s="10">
        <v>0</v>
      </c>
      <c r="O127" s="10">
        <v>0</v>
      </c>
      <c r="P127" s="10">
        <v>0</v>
      </c>
      <c r="Q127" s="10">
        <v>0</v>
      </c>
      <c r="R127" s="10">
        <v>0</v>
      </c>
      <c r="S127" s="10">
        <v>0</v>
      </c>
      <c r="T127" s="10">
        <v>0</v>
      </c>
      <c r="U127" s="10">
        <v>0</v>
      </c>
      <c r="V127" s="10">
        <v>11982.840101583606</v>
      </c>
      <c r="W127" s="10">
        <v>11982.840101583606</v>
      </c>
    </row>
    <row r="128" spans="3:23">
      <c r="C128" s="10" t="s">
        <v>978</v>
      </c>
      <c r="D128" s="10" t="s">
        <v>1187</v>
      </c>
      <c r="E128" s="10">
        <v>0</v>
      </c>
      <c r="F128" s="10">
        <v>0</v>
      </c>
      <c r="G128" s="10">
        <v>0</v>
      </c>
      <c r="H128" s="10">
        <v>0</v>
      </c>
      <c r="I128" s="10">
        <v>0</v>
      </c>
      <c r="J128" s="10">
        <v>0</v>
      </c>
      <c r="K128" s="10">
        <v>0</v>
      </c>
      <c r="L128" s="10">
        <v>0</v>
      </c>
      <c r="M128" s="10">
        <v>0</v>
      </c>
      <c r="N128" s="10">
        <v>0</v>
      </c>
      <c r="O128" s="10">
        <v>0</v>
      </c>
      <c r="P128" s="10">
        <v>0</v>
      </c>
      <c r="Q128" s="10">
        <v>0</v>
      </c>
      <c r="R128" s="10">
        <v>0</v>
      </c>
      <c r="S128" s="10">
        <v>0</v>
      </c>
      <c r="T128" s="10">
        <v>0</v>
      </c>
      <c r="U128" s="10">
        <v>0</v>
      </c>
      <c r="V128" s="10">
        <v>1890.7470200000002</v>
      </c>
      <c r="W128" s="10">
        <v>1890.7470200000002</v>
      </c>
    </row>
    <row r="129" spans="3:23">
      <c r="C129" s="10" t="s">
        <v>979</v>
      </c>
      <c r="D129" s="10" t="s">
        <v>1082</v>
      </c>
      <c r="E129" s="10">
        <v>0</v>
      </c>
      <c r="F129" s="10">
        <v>0</v>
      </c>
      <c r="G129" s="10">
        <v>0</v>
      </c>
      <c r="H129" s="10">
        <v>0</v>
      </c>
      <c r="I129" s="10">
        <v>0</v>
      </c>
      <c r="J129" s="10">
        <v>0</v>
      </c>
      <c r="K129" s="10">
        <v>0</v>
      </c>
      <c r="L129" s="10">
        <v>0</v>
      </c>
      <c r="M129" s="10">
        <v>0</v>
      </c>
      <c r="N129" s="10">
        <v>0</v>
      </c>
      <c r="O129" s="10">
        <v>0</v>
      </c>
      <c r="P129" s="10">
        <v>0</v>
      </c>
      <c r="Q129" s="10">
        <v>0</v>
      </c>
      <c r="R129" s="10">
        <v>0</v>
      </c>
      <c r="S129" s="10">
        <v>0</v>
      </c>
      <c r="T129" s="10">
        <v>0</v>
      </c>
      <c r="U129" s="10">
        <v>0</v>
      </c>
      <c r="V129" s="10">
        <v>22346.281347551903</v>
      </c>
      <c r="W129" s="10">
        <v>22346.281347551903</v>
      </c>
    </row>
    <row r="130" spans="3:23">
      <c r="C130" s="10" t="s">
        <v>980</v>
      </c>
      <c r="D130" s="10" t="s">
        <v>218</v>
      </c>
      <c r="E130" s="10">
        <v>0</v>
      </c>
      <c r="F130" s="10">
        <v>0</v>
      </c>
      <c r="G130" s="10">
        <v>0</v>
      </c>
      <c r="H130" s="10">
        <v>0</v>
      </c>
      <c r="I130" s="10">
        <v>0</v>
      </c>
      <c r="J130" s="10">
        <v>0</v>
      </c>
      <c r="K130" s="10">
        <v>0</v>
      </c>
      <c r="L130" s="10">
        <v>0</v>
      </c>
      <c r="M130" s="10">
        <v>0</v>
      </c>
      <c r="N130" s="10">
        <v>0</v>
      </c>
      <c r="O130" s="10">
        <v>0</v>
      </c>
      <c r="P130" s="10">
        <v>0</v>
      </c>
      <c r="Q130" s="10">
        <v>0</v>
      </c>
      <c r="R130" s="10">
        <v>0</v>
      </c>
      <c r="S130" s="10">
        <v>0</v>
      </c>
      <c r="T130" s="10">
        <v>0</v>
      </c>
      <c r="U130" s="10">
        <v>0</v>
      </c>
      <c r="V130" s="10">
        <v>1922.11205</v>
      </c>
      <c r="W130" s="10">
        <v>1922.11205</v>
      </c>
    </row>
    <row r="131" spans="3:23">
      <c r="C131" s="10" t="s">
        <v>219</v>
      </c>
      <c r="D131" s="10" t="s">
        <v>1083</v>
      </c>
      <c r="E131" s="10">
        <v>0</v>
      </c>
      <c r="F131" s="10">
        <v>0</v>
      </c>
      <c r="G131" s="10">
        <v>0</v>
      </c>
      <c r="H131" s="10">
        <v>0</v>
      </c>
      <c r="I131" s="10">
        <v>0</v>
      </c>
      <c r="J131" s="10">
        <v>0</v>
      </c>
      <c r="K131" s="10">
        <v>0</v>
      </c>
      <c r="L131" s="10">
        <v>0</v>
      </c>
      <c r="M131" s="10">
        <v>0</v>
      </c>
      <c r="N131" s="10">
        <v>0</v>
      </c>
      <c r="O131" s="10">
        <v>0</v>
      </c>
      <c r="P131" s="10">
        <v>0</v>
      </c>
      <c r="Q131" s="10">
        <v>0</v>
      </c>
      <c r="R131" s="10">
        <v>0</v>
      </c>
      <c r="S131" s="10">
        <v>0</v>
      </c>
      <c r="T131" s="10">
        <v>0</v>
      </c>
      <c r="U131" s="10">
        <v>0</v>
      </c>
      <c r="V131" s="10">
        <v>147204</v>
      </c>
      <c r="W131" s="10">
        <v>147204</v>
      </c>
    </row>
    <row r="132" spans="3:23">
      <c r="C132" s="10" t="s">
        <v>981</v>
      </c>
      <c r="D132" s="10" t="s">
        <v>1084</v>
      </c>
      <c r="E132" s="10">
        <v>0</v>
      </c>
      <c r="F132" s="10">
        <v>0</v>
      </c>
      <c r="G132" s="10">
        <v>0</v>
      </c>
      <c r="H132" s="10">
        <v>0</v>
      </c>
      <c r="I132" s="10">
        <v>0</v>
      </c>
      <c r="J132" s="10">
        <v>0</v>
      </c>
      <c r="K132" s="10">
        <v>0</v>
      </c>
      <c r="L132" s="10">
        <v>0</v>
      </c>
      <c r="M132" s="10">
        <v>0</v>
      </c>
      <c r="N132" s="10">
        <v>0</v>
      </c>
      <c r="O132" s="10">
        <v>0</v>
      </c>
      <c r="P132" s="10">
        <v>0</v>
      </c>
      <c r="Q132" s="10">
        <v>0</v>
      </c>
      <c r="R132" s="10">
        <v>0</v>
      </c>
      <c r="S132" s="10">
        <v>0</v>
      </c>
      <c r="T132" s="10">
        <v>0</v>
      </c>
      <c r="U132" s="10">
        <v>0</v>
      </c>
      <c r="V132" s="10">
        <v>81025.212780000002</v>
      </c>
      <c r="W132" s="10">
        <v>81025.212780000002</v>
      </c>
    </row>
    <row r="133" spans="3:23">
      <c r="C133" s="10" t="s">
        <v>982</v>
      </c>
      <c r="D133" s="10" t="s">
        <v>1085</v>
      </c>
      <c r="E133" s="10">
        <v>0</v>
      </c>
      <c r="F133" s="10">
        <v>0</v>
      </c>
      <c r="G133" s="10">
        <v>0</v>
      </c>
      <c r="H133" s="10">
        <v>0</v>
      </c>
      <c r="I133" s="10">
        <v>0</v>
      </c>
      <c r="J133" s="10">
        <v>0</v>
      </c>
      <c r="K133" s="10">
        <v>0</v>
      </c>
      <c r="L133" s="10">
        <v>0</v>
      </c>
      <c r="M133" s="10">
        <v>0</v>
      </c>
      <c r="N133" s="10">
        <v>0</v>
      </c>
      <c r="O133" s="10">
        <v>0</v>
      </c>
      <c r="P133" s="10">
        <v>0</v>
      </c>
      <c r="Q133" s="10">
        <v>0</v>
      </c>
      <c r="R133" s="10">
        <v>0</v>
      </c>
      <c r="S133" s="10">
        <v>1346207.888955889</v>
      </c>
      <c r="T133" s="10">
        <v>5084513.464062823</v>
      </c>
      <c r="U133" s="10">
        <v>0</v>
      </c>
      <c r="V133" s="10">
        <v>0</v>
      </c>
      <c r="W133" s="10">
        <v>6430721.3530187123</v>
      </c>
    </row>
    <row r="134" spans="3:23">
      <c r="C134" s="10" t="s">
        <v>983</v>
      </c>
      <c r="D134" s="10" t="s">
        <v>1086</v>
      </c>
      <c r="E134" s="10">
        <v>0</v>
      </c>
      <c r="F134" s="10">
        <v>0</v>
      </c>
      <c r="G134" s="10">
        <v>0</v>
      </c>
      <c r="H134" s="10">
        <v>0</v>
      </c>
      <c r="I134" s="10">
        <v>0</v>
      </c>
      <c r="J134" s="10">
        <v>0</v>
      </c>
      <c r="K134" s="10">
        <v>0</v>
      </c>
      <c r="L134" s="10">
        <v>0</v>
      </c>
      <c r="M134" s="10">
        <v>0</v>
      </c>
      <c r="N134" s="10">
        <v>0</v>
      </c>
      <c r="O134" s="10">
        <v>0</v>
      </c>
      <c r="P134" s="10">
        <v>0</v>
      </c>
      <c r="Q134" s="10">
        <v>0</v>
      </c>
      <c r="R134" s="10">
        <v>0</v>
      </c>
      <c r="S134" s="10">
        <v>353341.03808028146</v>
      </c>
      <c r="T134" s="10">
        <v>1238317.9377738982</v>
      </c>
      <c r="U134" s="10">
        <v>0</v>
      </c>
      <c r="V134" s="10">
        <v>0</v>
      </c>
      <c r="W134" s="10">
        <v>1591658.9758541798</v>
      </c>
    </row>
    <row r="135" spans="3:23">
      <c r="C135" s="10" t="s">
        <v>221</v>
      </c>
      <c r="D135" s="10" t="s">
        <v>1087</v>
      </c>
      <c r="E135" s="10">
        <v>0</v>
      </c>
      <c r="F135" s="10">
        <v>0</v>
      </c>
      <c r="G135" s="10">
        <v>0</v>
      </c>
      <c r="H135" s="10">
        <v>0</v>
      </c>
      <c r="I135" s="10">
        <v>0</v>
      </c>
      <c r="J135" s="10">
        <v>0</v>
      </c>
      <c r="K135" s="10">
        <v>0</v>
      </c>
      <c r="L135" s="10">
        <v>0</v>
      </c>
      <c r="M135" s="10">
        <v>0</v>
      </c>
      <c r="N135" s="10">
        <v>0</v>
      </c>
      <c r="O135" s="10">
        <v>0</v>
      </c>
      <c r="P135" s="10">
        <v>0</v>
      </c>
      <c r="Q135" s="10">
        <v>0</v>
      </c>
      <c r="R135" s="10">
        <v>0</v>
      </c>
      <c r="S135" s="10">
        <v>6705</v>
      </c>
      <c r="T135" s="10">
        <v>43135</v>
      </c>
      <c r="U135" s="10">
        <v>0</v>
      </c>
      <c r="V135" s="10">
        <v>0</v>
      </c>
      <c r="W135" s="10">
        <v>49840</v>
      </c>
    </row>
    <row r="136" spans="3:23">
      <c r="C136" s="10" t="s">
        <v>222</v>
      </c>
      <c r="D136" s="10" t="s">
        <v>1203</v>
      </c>
      <c r="E136" s="10">
        <v>0</v>
      </c>
      <c r="F136" s="10">
        <v>0</v>
      </c>
      <c r="G136" s="10">
        <v>0</v>
      </c>
      <c r="H136" s="10">
        <v>0</v>
      </c>
      <c r="I136" s="10">
        <v>0</v>
      </c>
      <c r="J136" s="10">
        <v>0</v>
      </c>
      <c r="K136" s="10">
        <v>0</v>
      </c>
      <c r="L136" s="10">
        <v>0</v>
      </c>
      <c r="M136" s="10">
        <v>0</v>
      </c>
      <c r="N136" s="10">
        <v>0</v>
      </c>
      <c r="O136" s="10">
        <v>0</v>
      </c>
      <c r="P136" s="10">
        <v>0</v>
      </c>
      <c r="Q136" s="10">
        <v>0</v>
      </c>
      <c r="R136" s="10">
        <v>0</v>
      </c>
      <c r="S136" s="10">
        <v>919471</v>
      </c>
      <c r="T136" s="10">
        <v>4278687</v>
      </c>
      <c r="U136" s="10">
        <v>0</v>
      </c>
      <c r="V136" s="10">
        <v>0</v>
      </c>
      <c r="W136" s="10">
        <v>5198158</v>
      </c>
    </row>
    <row r="137" spans="3:23">
      <c r="C137" s="10" t="s">
        <v>1119</v>
      </c>
      <c r="D137" s="10" t="s">
        <v>1204</v>
      </c>
      <c r="E137" s="10">
        <v>0</v>
      </c>
      <c r="F137" s="10">
        <v>0</v>
      </c>
      <c r="G137" s="10">
        <v>0</v>
      </c>
      <c r="H137" s="10">
        <v>0</v>
      </c>
      <c r="I137" s="10">
        <v>0</v>
      </c>
      <c r="J137" s="10">
        <v>0</v>
      </c>
      <c r="K137" s="10">
        <v>0</v>
      </c>
      <c r="L137" s="10">
        <v>0</v>
      </c>
      <c r="M137" s="10">
        <v>0</v>
      </c>
      <c r="N137" s="10">
        <v>0</v>
      </c>
      <c r="O137" s="10">
        <v>0</v>
      </c>
      <c r="P137" s="10">
        <v>0</v>
      </c>
      <c r="Q137" s="10">
        <v>0</v>
      </c>
      <c r="R137" s="10">
        <v>0</v>
      </c>
      <c r="S137" s="10">
        <v>448599.13594000001</v>
      </c>
      <c r="T137" s="10">
        <v>1373121</v>
      </c>
      <c r="U137" s="10">
        <v>0</v>
      </c>
      <c r="V137" s="10">
        <v>0</v>
      </c>
      <c r="W137" s="10">
        <v>1821720.1359399999</v>
      </c>
    </row>
    <row r="138" spans="3:23">
      <c r="C138" s="10" t="s">
        <v>223</v>
      </c>
      <c r="D138" s="10" t="s">
        <v>1088</v>
      </c>
      <c r="E138" s="10">
        <v>0</v>
      </c>
      <c r="F138" s="10">
        <v>0</v>
      </c>
      <c r="G138" s="10">
        <v>0</v>
      </c>
      <c r="H138" s="10">
        <v>0</v>
      </c>
      <c r="I138" s="10">
        <v>0</v>
      </c>
      <c r="J138" s="10">
        <v>0</v>
      </c>
      <c r="K138" s="10">
        <v>0</v>
      </c>
      <c r="L138" s="10">
        <v>0</v>
      </c>
      <c r="M138" s="10">
        <v>0</v>
      </c>
      <c r="N138" s="10">
        <v>0</v>
      </c>
      <c r="O138" s="10">
        <v>0</v>
      </c>
      <c r="P138" s="10">
        <v>0</v>
      </c>
      <c r="Q138" s="10">
        <v>0</v>
      </c>
      <c r="R138" s="10">
        <v>0</v>
      </c>
      <c r="S138" s="10">
        <v>21359</v>
      </c>
      <c r="T138" s="10">
        <v>71019</v>
      </c>
      <c r="U138" s="10">
        <v>0</v>
      </c>
      <c r="V138" s="10">
        <v>0</v>
      </c>
      <c r="W138" s="10">
        <v>92378</v>
      </c>
    </row>
    <row r="139" spans="3:23">
      <c r="C139" s="10" t="s">
        <v>984</v>
      </c>
      <c r="D139" s="10" t="s">
        <v>1089</v>
      </c>
      <c r="E139" s="10">
        <v>0</v>
      </c>
      <c r="F139" s="10">
        <v>0</v>
      </c>
      <c r="G139" s="10">
        <v>0</v>
      </c>
      <c r="H139" s="10">
        <v>0</v>
      </c>
      <c r="I139" s="10">
        <v>0</v>
      </c>
      <c r="J139" s="10">
        <v>0</v>
      </c>
      <c r="K139" s="10">
        <v>0</v>
      </c>
      <c r="L139" s="10">
        <v>0</v>
      </c>
      <c r="M139" s="10">
        <v>0</v>
      </c>
      <c r="N139" s="10">
        <v>0</v>
      </c>
      <c r="O139" s="10">
        <v>0</v>
      </c>
      <c r="P139" s="10">
        <v>0</v>
      </c>
      <c r="Q139" s="10">
        <v>0</v>
      </c>
      <c r="R139" s="10">
        <v>0</v>
      </c>
      <c r="S139" s="10">
        <v>44384.853776334283</v>
      </c>
      <c r="T139" s="10">
        <v>183296.91342022215</v>
      </c>
      <c r="U139" s="10">
        <v>0</v>
      </c>
      <c r="V139" s="10">
        <v>0</v>
      </c>
      <c r="W139" s="10">
        <v>227681.76719655644</v>
      </c>
    </row>
    <row r="140" spans="3:23">
      <c r="C140" s="10" t="s">
        <v>1109</v>
      </c>
      <c r="D140" s="10" t="s">
        <v>1090</v>
      </c>
      <c r="E140" s="10">
        <v>0</v>
      </c>
      <c r="F140" s="10">
        <v>0</v>
      </c>
      <c r="G140" s="10">
        <v>0</v>
      </c>
      <c r="H140" s="10">
        <v>0</v>
      </c>
      <c r="I140" s="10">
        <v>0</v>
      </c>
      <c r="J140" s="10">
        <v>0</v>
      </c>
      <c r="K140" s="10">
        <v>0</v>
      </c>
      <c r="L140" s="10">
        <v>0</v>
      </c>
      <c r="M140" s="10">
        <v>0</v>
      </c>
      <c r="N140" s="10">
        <v>0</v>
      </c>
      <c r="O140" s="10">
        <v>0</v>
      </c>
      <c r="P140" s="10">
        <v>0</v>
      </c>
      <c r="Q140" s="10">
        <v>0</v>
      </c>
      <c r="R140" s="10">
        <v>0</v>
      </c>
      <c r="S140" s="10">
        <v>6004.0680899999998</v>
      </c>
      <c r="T140" s="10">
        <v>12268</v>
      </c>
      <c r="U140" s="10">
        <v>0</v>
      </c>
      <c r="V140" s="10">
        <v>0</v>
      </c>
      <c r="W140" s="10">
        <v>18272.068090000001</v>
      </c>
    </row>
    <row r="141" spans="3:23">
      <c r="C141" s="10" t="s">
        <v>985</v>
      </c>
      <c r="D141" s="10" t="s">
        <v>1091</v>
      </c>
      <c r="E141" s="10">
        <v>0</v>
      </c>
      <c r="F141" s="10">
        <v>0</v>
      </c>
      <c r="G141" s="10">
        <v>0</v>
      </c>
      <c r="H141" s="10">
        <v>0</v>
      </c>
      <c r="I141" s="10">
        <v>0</v>
      </c>
      <c r="J141" s="10">
        <v>0</v>
      </c>
      <c r="K141" s="10">
        <v>0</v>
      </c>
      <c r="L141" s="10">
        <v>0</v>
      </c>
      <c r="M141" s="10">
        <v>0</v>
      </c>
      <c r="N141" s="10">
        <v>0</v>
      </c>
      <c r="O141" s="10">
        <v>0</v>
      </c>
      <c r="P141" s="10">
        <v>0</v>
      </c>
      <c r="Q141" s="10">
        <v>0</v>
      </c>
      <c r="R141" s="10">
        <v>0</v>
      </c>
      <c r="S141" s="10">
        <v>51461.400242745025</v>
      </c>
      <c r="T141" s="10">
        <v>181938.57091712259</v>
      </c>
      <c r="U141" s="10">
        <v>0</v>
      </c>
      <c r="V141" s="10">
        <v>0</v>
      </c>
      <c r="W141" s="10">
        <v>233399.97115986762</v>
      </c>
    </row>
    <row r="142" spans="3:23">
      <c r="C142" s="10" t="s">
        <v>986</v>
      </c>
      <c r="D142" s="10" t="s">
        <v>1092</v>
      </c>
      <c r="E142" s="10">
        <v>0</v>
      </c>
      <c r="F142" s="10">
        <v>0</v>
      </c>
      <c r="G142" s="10">
        <v>0</v>
      </c>
      <c r="H142" s="10">
        <v>0</v>
      </c>
      <c r="I142" s="10">
        <v>0</v>
      </c>
      <c r="J142" s="10">
        <v>0</v>
      </c>
      <c r="K142" s="10">
        <v>0</v>
      </c>
      <c r="L142" s="10">
        <v>0</v>
      </c>
      <c r="M142" s="10">
        <v>0</v>
      </c>
      <c r="N142" s="10">
        <v>0</v>
      </c>
      <c r="O142" s="10">
        <v>0</v>
      </c>
      <c r="P142" s="10">
        <v>0</v>
      </c>
      <c r="Q142" s="10">
        <v>0</v>
      </c>
      <c r="R142" s="10">
        <v>0</v>
      </c>
      <c r="S142" s="10">
        <v>10705.772301125959</v>
      </c>
      <c r="T142" s="10">
        <v>30163.403423294181</v>
      </c>
      <c r="U142" s="10">
        <v>0</v>
      </c>
      <c r="V142" s="10">
        <v>0</v>
      </c>
      <c r="W142" s="10">
        <v>40869.175724420144</v>
      </c>
    </row>
    <row r="143" spans="3:23">
      <c r="C143" s="10" t="s">
        <v>1009</v>
      </c>
      <c r="D143" s="10" t="s">
        <v>1093</v>
      </c>
      <c r="E143" s="10">
        <v>0</v>
      </c>
      <c r="F143" s="10">
        <v>0</v>
      </c>
      <c r="G143" s="10">
        <v>0</v>
      </c>
      <c r="H143" s="10">
        <v>0</v>
      </c>
      <c r="I143" s="10">
        <v>0</v>
      </c>
      <c r="J143" s="10">
        <v>0</v>
      </c>
      <c r="K143" s="10">
        <v>0</v>
      </c>
      <c r="L143" s="10">
        <v>0</v>
      </c>
      <c r="M143" s="10">
        <v>0</v>
      </c>
      <c r="N143" s="10">
        <v>0</v>
      </c>
      <c r="O143" s="10">
        <v>0</v>
      </c>
      <c r="P143" s="10">
        <v>0</v>
      </c>
      <c r="Q143" s="10">
        <v>0</v>
      </c>
      <c r="R143" s="10">
        <v>0</v>
      </c>
      <c r="S143" s="10">
        <v>-574126</v>
      </c>
      <c r="T143" s="10">
        <v>-1209246.32</v>
      </c>
      <c r="U143" s="10">
        <v>0</v>
      </c>
      <c r="V143" s="10">
        <v>0</v>
      </c>
      <c r="W143" s="10">
        <v>-1783372.32</v>
      </c>
    </row>
    <row r="144" spans="3:23">
      <c r="C144" s="10" t="s">
        <v>987</v>
      </c>
      <c r="D144" s="10" t="s">
        <v>224</v>
      </c>
      <c r="E144" s="10">
        <v>0</v>
      </c>
      <c r="F144" s="10">
        <v>0</v>
      </c>
      <c r="G144" s="10">
        <v>0</v>
      </c>
      <c r="H144" s="10">
        <v>0</v>
      </c>
      <c r="I144" s="10">
        <v>0</v>
      </c>
      <c r="J144" s="10">
        <v>0</v>
      </c>
      <c r="K144" s="10">
        <v>0</v>
      </c>
      <c r="L144" s="10">
        <v>0</v>
      </c>
      <c r="M144" s="10">
        <v>0</v>
      </c>
      <c r="N144" s="10">
        <v>0</v>
      </c>
      <c r="O144" s="10">
        <v>0</v>
      </c>
      <c r="P144" s="10">
        <v>0</v>
      </c>
      <c r="Q144" s="10">
        <v>0</v>
      </c>
      <c r="R144" s="10">
        <v>0</v>
      </c>
      <c r="S144" s="10">
        <v>0</v>
      </c>
      <c r="T144" s="10">
        <v>144827</v>
      </c>
      <c r="U144" s="10">
        <v>0</v>
      </c>
      <c r="V144" s="10">
        <v>0</v>
      </c>
      <c r="W144" s="10">
        <v>144827</v>
      </c>
    </row>
    <row r="145" spans="3:23">
      <c r="C145" s="10" t="s">
        <v>225</v>
      </c>
      <c r="D145" s="10" t="s">
        <v>1094</v>
      </c>
      <c r="E145" s="10">
        <v>0</v>
      </c>
      <c r="F145" s="10">
        <v>0</v>
      </c>
      <c r="G145" s="10">
        <v>0</v>
      </c>
      <c r="H145" s="10">
        <v>0</v>
      </c>
      <c r="I145" s="10">
        <v>0</v>
      </c>
      <c r="J145" s="10">
        <v>0</v>
      </c>
      <c r="K145" s="10">
        <v>0</v>
      </c>
      <c r="L145" s="10">
        <v>0</v>
      </c>
      <c r="M145" s="10">
        <v>0</v>
      </c>
      <c r="N145" s="10">
        <v>0</v>
      </c>
      <c r="O145" s="10">
        <v>0</v>
      </c>
      <c r="P145" s="10">
        <v>0</v>
      </c>
      <c r="Q145" s="10">
        <v>0</v>
      </c>
      <c r="R145" s="10">
        <v>0</v>
      </c>
      <c r="S145" s="10">
        <v>0</v>
      </c>
      <c r="T145" s="10">
        <v>-47286</v>
      </c>
      <c r="U145" s="10">
        <v>0</v>
      </c>
      <c r="V145" s="10">
        <v>0</v>
      </c>
      <c r="W145" s="10">
        <v>-47286</v>
      </c>
    </row>
    <row r="146" spans="3:23">
      <c r="C146" s="10" t="s">
        <v>988</v>
      </c>
      <c r="D146" s="10" t="s">
        <v>1095</v>
      </c>
      <c r="E146" s="10">
        <v>12923.201392272022</v>
      </c>
      <c r="F146" s="10">
        <v>-718.93612416088581</v>
      </c>
      <c r="G146" s="10">
        <v>-631.70638206286822</v>
      </c>
      <c r="H146" s="10">
        <v>-4813.2682226956822</v>
      </c>
      <c r="I146" s="10">
        <v>-30414.979802998714</v>
      </c>
      <c r="J146" s="10">
        <v>-716.89158700156258</v>
      </c>
      <c r="K146" s="10">
        <v>-33642.923618578818</v>
      </c>
      <c r="L146" s="10">
        <v>-8176.3877927660942</v>
      </c>
      <c r="M146" s="10">
        <v>-10394.974975187331</v>
      </c>
      <c r="N146" s="10">
        <v>-29895.629209687002</v>
      </c>
      <c r="O146" s="10">
        <v>-2646.0069587424514</v>
      </c>
      <c r="P146" s="10">
        <v>-14426.64090476511</v>
      </c>
      <c r="Q146" s="10">
        <v>-236729.65713034663</v>
      </c>
      <c r="R146" s="10">
        <v>-1043.6239823062206</v>
      </c>
      <c r="S146" s="10">
        <v>0</v>
      </c>
      <c r="T146" s="10">
        <v>0</v>
      </c>
      <c r="U146" s="10">
        <v>-5894.6107643105206</v>
      </c>
      <c r="V146" s="10">
        <v>0</v>
      </c>
      <c r="W146" s="10">
        <v>-367223.03606333787</v>
      </c>
    </row>
    <row r="147" spans="3:23">
      <c r="C147" s="10" t="s">
        <v>1120</v>
      </c>
      <c r="D147" s="10" t="s">
        <v>1121</v>
      </c>
      <c r="E147" s="10">
        <v>206984</v>
      </c>
      <c r="F147" s="10">
        <v>0</v>
      </c>
      <c r="G147" s="10">
        <v>24254.99</v>
      </c>
      <c r="H147" s="10">
        <v>31859.47</v>
      </c>
      <c r="I147" s="10">
        <v>0</v>
      </c>
      <c r="J147" s="10">
        <v>272.68</v>
      </c>
      <c r="K147" s="10">
        <v>77969.98</v>
      </c>
      <c r="L147" s="10">
        <v>75917.89</v>
      </c>
      <c r="M147" s="10">
        <v>214168.06</v>
      </c>
      <c r="N147" s="10">
        <v>129804.69</v>
      </c>
      <c r="O147" s="10">
        <v>41044.17</v>
      </c>
      <c r="P147" s="10">
        <v>25537.599999999999</v>
      </c>
      <c r="Q147" s="10">
        <v>52456.52</v>
      </c>
      <c r="R147" s="10">
        <v>49432.29</v>
      </c>
      <c r="S147" s="10">
        <v>0</v>
      </c>
      <c r="T147" s="10">
        <v>0</v>
      </c>
      <c r="U147" s="10">
        <v>0</v>
      </c>
      <c r="V147" s="10">
        <v>0</v>
      </c>
      <c r="W147" s="10">
        <v>929702.34000000008</v>
      </c>
    </row>
    <row r="148" spans="3:23">
      <c r="C148" s="10" t="s">
        <v>989</v>
      </c>
      <c r="D148" s="10" t="s">
        <v>1096</v>
      </c>
      <c r="E148" s="10">
        <v>102232.22360286076</v>
      </c>
      <c r="F148" s="10">
        <v>29581.385178693847</v>
      </c>
      <c r="G148" s="10">
        <v>46974.135801304699</v>
      </c>
      <c r="H148" s="10">
        <v>21800.824491308776</v>
      </c>
      <c r="I148" s="10">
        <v>-416.70775552136911</v>
      </c>
      <c r="J148" s="10">
        <v>32950.422862816624</v>
      </c>
      <c r="K148" s="10">
        <v>-24583.851079553569</v>
      </c>
      <c r="L148" s="10">
        <v>-4820.2879328667623</v>
      </c>
      <c r="M148" s="10">
        <v>-131520.95880526456</v>
      </c>
      <c r="N148" s="10">
        <v>-81444.688316916901</v>
      </c>
      <c r="O148" s="10">
        <v>16484.937160661822</v>
      </c>
      <c r="P148" s="10">
        <v>-20298.569847526116</v>
      </c>
      <c r="Q148" s="10">
        <v>14682.867966489051</v>
      </c>
      <c r="R148" s="10">
        <v>1092.9353547756982</v>
      </c>
      <c r="S148" s="10">
        <v>0</v>
      </c>
      <c r="T148" s="10">
        <v>0</v>
      </c>
      <c r="U148" s="10">
        <v>-2714.6686812621956</v>
      </c>
      <c r="V148" s="10">
        <v>0</v>
      </c>
      <c r="W148" s="10">
        <v>-1.5643308870494366E-10</v>
      </c>
    </row>
    <row r="149" spans="3:23">
      <c r="C149" s="10" t="s">
        <v>990</v>
      </c>
      <c r="D149" s="10" t="s">
        <v>234</v>
      </c>
      <c r="E149" s="10">
        <v>53417.496579457758</v>
      </c>
      <c r="F149" s="10">
        <v>0</v>
      </c>
      <c r="G149" s="10">
        <v>3669.5787181933915</v>
      </c>
      <c r="H149" s="10">
        <v>12001.511870120814</v>
      </c>
      <c r="I149" s="10">
        <v>-7162.9914671627084</v>
      </c>
      <c r="J149" s="10">
        <v>3385.4887989183007</v>
      </c>
      <c r="K149" s="10">
        <v>11409.886752198357</v>
      </c>
      <c r="L149" s="10">
        <v>7397.2881444515215</v>
      </c>
      <c r="M149" s="10">
        <v>89110.697408658394</v>
      </c>
      <c r="N149" s="10">
        <v>45181.668877210737</v>
      </c>
      <c r="O149" s="10">
        <v>3106.3820060093753</v>
      </c>
      <c r="P149" s="10">
        <v>19788.706458897945</v>
      </c>
      <c r="Q149" s="10">
        <v>0</v>
      </c>
      <c r="R149" s="10">
        <v>3380.49341524805</v>
      </c>
      <c r="S149" s="10">
        <v>0</v>
      </c>
      <c r="T149" s="10">
        <v>0</v>
      </c>
      <c r="U149" s="10">
        <v>0</v>
      </c>
      <c r="V149" s="10">
        <v>0</v>
      </c>
      <c r="W149" s="10">
        <v>244686.20756220195</v>
      </c>
    </row>
    <row r="150" spans="3:23">
      <c r="C150" s="10" t="s">
        <v>991</v>
      </c>
      <c r="D150" s="10" t="s">
        <v>235</v>
      </c>
      <c r="E150" s="10">
        <v>13244.097583681112</v>
      </c>
      <c r="F150" s="10">
        <v>9126.5308779722181</v>
      </c>
      <c r="G150" s="10">
        <v>4225.722235336696</v>
      </c>
      <c r="H150" s="10">
        <v>-8441.3720188790467</v>
      </c>
      <c r="I150" s="10">
        <v>21305.389077610795</v>
      </c>
      <c r="J150" s="10">
        <v>1737.2403021456648</v>
      </c>
      <c r="K150" s="10">
        <v>3605.8652168681947</v>
      </c>
      <c r="L150" s="10">
        <v>-5666.75729410239</v>
      </c>
      <c r="M150" s="10">
        <v>49342.724276345834</v>
      </c>
      <c r="N150" s="10">
        <v>-15779.981864422371</v>
      </c>
      <c r="O150" s="10">
        <v>5950.8479125022859</v>
      </c>
      <c r="P150" s="10">
        <v>562.83808260131627</v>
      </c>
      <c r="Q150" s="10">
        <v>-82051.834455167147</v>
      </c>
      <c r="R150" s="10">
        <v>1289.9665128280503</v>
      </c>
      <c r="S150" s="10">
        <v>0</v>
      </c>
      <c r="T150" s="10">
        <v>0</v>
      </c>
      <c r="U150" s="10">
        <v>1548.7235546789143</v>
      </c>
      <c r="V150" s="10">
        <v>0</v>
      </c>
      <c r="W150" s="10">
        <v>1.3278622645884752E-10</v>
      </c>
    </row>
    <row r="151" spans="3:23">
      <c r="C151" s="10" t="s">
        <v>992</v>
      </c>
      <c r="D151" s="10" t="s">
        <v>1097</v>
      </c>
      <c r="E151" s="10">
        <v>57070.039999999994</v>
      </c>
      <c r="F151" s="10">
        <v>0</v>
      </c>
      <c r="G151" s="10">
        <v>3913.6500000000005</v>
      </c>
      <c r="H151" s="10">
        <v>7050.8599999999988</v>
      </c>
      <c r="I151" s="10">
        <v>0</v>
      </c>
      <c r="J151" s="10">
        <v>4434.6099999999997</v>
      </c>
      <c r="K151" s="10">
        <v>23361.199999999997</v>
      </c>
      <c r="L151" s="10">
        <v>19410</v>
      </c>
      <c r="M151" s="10">
        <v>60312.119999999995</v>
      </c>
      <c r="N151" s="10">
        <v>33087.300000000003</v>
      </c>
      <c r="O151" s="10">
        <v>9217.130000000001</v>
      </c>
      <c r="P151" s="10">
        <v>7457.5800000000017</v>
      </c>
      <c r="Q151" s="10">
        <v>16410.579999999998</v>
      </c>
      <c r="R151" s="10">
        <v>9829.6400000000031</v>
      </c>
      <c r="S151" s="10">
        <v>0</v>
      </c>
      <c r="T151" s="10">
        <v>0</v>
      </c>
      <c r="U151" s="10">
        <v>0</v>
      </c>
      <c r="V151" s="10">
        <v>0</v>
      </c>
      <c r="W151" s="10">
        <v>251554.71</v>
      </c>
    </row>
    <row r="152" spans="3:23">
      <c r="C152" s="10" t="s">
        <v>993</v>
      </c>
      <c r="D152" s="10" t="s">
        <v>1098</v>
      </c>
      <c r="E152" s="10">
        <v>851.78000000000247</v>
      </c>
      <c r="F152" s="10">
        <v>0</v>
      </c>
      <c r="G152" s="10">
        <v>42.850000000000364</v>
      </c>
      <c r="H152" s="10">
        <v>143.84000000000015</v>
      </c>
      <c r="I152" s="10">
        <v>0</v>
      </c>
      <c r="J152" s="10">
        <v>89.319999999999709</v>
      </c>
      <c r="K152" s="10">
        <v>0</v>
      </c>
      <c r="L152" s="10">
        <v>0</v>
      </c>
      <c r="M152" s="10">
        <v>656.25</v>
      </c>
      <c r="N152" s="10">
        <v>0</v>
      </c>
      <c r="O152" s="10">
        <v>283.02999999999975</v>
      </c>
      <c r="P152" s="10">
        <v>0</v>
      </c>
      <c r="Q152" s="10">
        <v>0</v>
      </c>
      <c r="R152" s="10">
        <v>0</v>
      </c>
      <c r="S152" s="10">
        <v>0</v>
      </c>
      <c r="T152" s="10">
        <v>0</v>
      </c>
      <c r="U152" s="10">
        <v>0</v>
      </c>
      <c r="V152" s="10">
        <v>0</v>
      </c>
      <c r="W152" s="10">
        <v>2067.0700000000024</v>
      </c>
    </row>
    <row r="153" spans="3:23">
      <c r="C153" s="10" t="s">
        <v>994</v>
      </c>
      <c r="D153" s="10" t="s">
        <v>236</v>
      </c>
      <c r="E153" s="10">
        <v>0</v>
      </c>
      <c r="F153" s="10">
        <v>0</v>
      </c>
      <c r="G153" s="10">
        <v>0</v>
      </c>
      <c r="H153" s="10">
        <v>0</v>
      </c>
      <c r="I153" s="10">
        <v>0</v>
      </c>
      <c r="J153" s="10">
        <v>0</v>
      </c>
      <c r="K153" s="10">
        <v>0</v>
      </c>
      <c r="L153" s="10">
        <v>0</v>
      </c>
      <c r="M153" s="10">
        <v>0</v>
      </c>
      <c r="N153" s="10">
        <v>0</v>
      </c>
      <c r="O153" s="10">
        <v>0</v>
      </c>
      <c r="P153" s="10">
        <v>0</v>
      </c>
      <c r="Q153" s="10">
        <v>0</v>
      </c>
      <c r="R153" s="10">
        <v>0</v>
      </c>
      <c r="S153" s="10">
        <v>-291321.88895588898</v>
      </c>
      <c r="T153" s="10">
        <v>-819522.46406282345</v>
      </c>
      <c r="U153" s="10">
        <v>0</v>
      </c>
      <c r="V153" s="10">
        <v>0</v>
      </c>
      <c r="W153" s="10">
        <v>-1110844.3530187125</v>
      </c>
    </row>
    <row r="154" spans="3:23">
      <c r="C154" s="10" t="s">
        <v>995</v>
      </c>
      <c r="D154" s="10" t="s">
        <v>1099</v>
      </c>
      <c r="E154" s="10">
        <v>0</v>
      </c>
      <c r="F154" s="10">
        <v>0</v>
      </c>
      <c r="G154" s="10">
        <v>0</v>
      </c>
      <c r="H154" s="10">
        <v>0</v>
      </c>
      <c r="I154" s="10">
        <v>0</v>
      </c>
      <c r="J154" s="10">
        <v>0</v>
      </c>
      <c r="K154" s="10">
        <v>0</v>
      </c>
      <c r="L154" s="10">
        <v>0</v>
      </c>
      <c r="M154" s="10">
        <v>0</v>
      </c>
      <c r="N154" s="10">
        <v>0</v>
      </c>
      <c r="O154" s="10">
        <v>0</v>
      </c>
      <c r="P154" s="10">
        <v>0</v>
      </c>
      <c r="Q154" s="10">
        <v>0</v>
      </c>
      <c r="R154" s="10">
        <v>0</v>
      </c>
      <c r="S154" s="10">
        <v>-159055.03808028146</v>
      </c>
      <c r="T154" s="10">
        <v>-21381.937773898244</v>
      </c>
      <c r="U154" s="10">
        <v>0</v>
      </c>
      <c r="V154" s="10">
        <v>0</v>
      </c>
      <c r="W154" s="10">
        <v>-180436.97585417971</v>
      </c>
    </row>
    <row r="155" spans="3:23">
      <c r="C155" s="10" t="s">
        <v>1122</v>
      </c>
      <c r="D155" s="10" t="s">
        <v>1123</v>
      </c>
      <c r="E155" s="10">
        <v>0</v>
      </c>
      <c r="F155" s="10">
        <v>0</v>
      </c>
      <c r="G155" s="10">
        <v>0</v>
      </c>
      <c r="H155" s="10">
        <v>0</v>
      </c>
      <c r="I155" s="10">
        <v>0</v>
      </c>
      <c r="J155" s="10">
        <v>0</v>
      </c>
      <c r="K155" s="10">
        <v>0</v>
      </c>
      <c r="L155" s="10">
        <v>0</v>
      </c>
      <c r="M155" s="10">
        <v>0</v>
      </c>
      <c r="N155" s="10">
        <v>0</v>
      </c>
      <c r="O155" s="10">
        <v>0</v>
      </c>
      <c r="P155" s="10">
        <v>0</v>
      </c>
      <c r="Q155" s="10">
        <v>0</v>
      </c>
      <c r="R155" s="10">
        <v>0</v>
      </c>
      <c r="S155" s="10">
        <v>11600.86406</v>
      </c>
      <c r="T155" s="10">
        <v>0</v>
      </c>
      <c r="U155" s="10">
        <v>0</v>
      </c>
      <c r="V155" s="10">
        <v>0</v>
      </c>
      <c r="W155" s="10">
        <v>11600.86406</v>
      </c>
    </row>
    <row r="156" spans="3:23">
      <c r="C156" s="10" t="s">
        <v>996</v>
      </c>
      <c r="D156" s="10" t="s">
        <v>1100</v>
      </c>
      <c r="E156" s="10">
        <v>0</v>
      </c>
      <c r="F156" s="10">
        <v>0</v>
      </c>
      <c r="G156" s="10">
        <v>0</v>
      </c>
      <c r="H156" s="10">
        <v>0</v>
      </c>
      <c r="I156" s="10">
        <v>0</v>
      </c>
      <c r="J156" s="10">
        <v>0</v>
      </c>
      <c r="K156" s="10">
        <v>0</v>
      </c>
      <c r="L156" s="10">
        <v>0</v>
      </c>
      <c r="M156" s="10">
        <v>0</v>
      </c>
      <c r="N156" s="10">
        <v>0</v>
      </c>
      <c r="O156" s="10">
        <v>0</v>
      </c>
      <c r="P156" s="10">
        <v>0</v>
      </c>
      <c r="Q156" s="10">
        <v>0</v>
      </c>
      <c r="R156" s="10">
        <v>0</v>
      </c>
      <c r="S156" s="10">
        <v>48247.146223665717</v>
      </c>
      <c r="T156" s="10">
        <v>-77879.913420222147</v>
      </c>
      <c r="U156" s="10">
        <v>0</v>
      </c>
      <c r="V156" s="10">
        <v>0</v>
      </c>
      <c r="W156" s="10">
        <v>-29632.76719655643</v>
      </c>
    </row>
    <row r="157" spans="3:23">
      <c r="C157" s="10" t="s">
        <v>1107</v>
      </c>
      <c r="D157" s="10" t="s">
        <v>1101</v>
      </c>
      <c r="E157" s="10">
        <v>0</v>
      </c>
      <c r="F157" s="10">
        <v>0</v>
      </c>
      <c r="G157" s="10">
        <v>0</v>
      </c>
      <c r="H157" s="10">
        <v>0</v>
      </c>
      <c r="I157" s="10">
        <v>0</v>
      </c>
      <c r="J157" s="10">
        <v>0</v>
      </c>
      <c r="K157" s="10">
        <v>0</v>
      </c>
      <c r="L157" s="10">
        <v>0</v>
      </c>
      <c r="M157" s="10">
        <v>0</v>
      </c>
      <c r="N157" s="10">
        <v>0</v>
      </c>
      <c r="O157" s="10">
        <v>0</v>
      </c>
      <c r="P157" s="10">
        <v>0</v>
      </c>
      <c r="Q157" s="10">
        <v>0</v>
      </c>
      <c r="R157" s="10">
        <v>0</v>
      </c>
      <c r="S157" s="10">
        <v>4031.9319100000002</v>
      </c>
      <c r="T157" s="10">
        <v>0</v>
      </c>
      <c r="U157" s="10">
        <v>0</v>
      </c>
      <c r="V157" s="10">
        <v>0</v>
      </c>
      <c r="W157" s="10">
        <v>4031.9319100000002</v>
      </c>
    </row>
    <row r="158" spans="3:23">
      <c r="C158" s="10" t="s">
        <v>997</v>
      </c>
      <c r="D158" s="10" t="s">
        <v>1102</v>
      </c>
      <c r="E158" s="10">
        <v>0</v>
      </c>
      <c r="F158" s="10">
        <v>0</v>
      </c>
      <c r="G158" s="10">
        <v>0</v>
      </c>
      <c r="H158" s="10">
        <v>0</v>
      </c>
      <c r="I158" s="10">
        <v>0</v>
      </c>
      <c r="J158" s="10">
        <v>0</v>
      </c>
      <c r="K158" s="10">
        <v>0</v>
      </c>
      <c r="L158" s="10">
        <v>0</v>
      </c>
      <c r="M158" s="10">
        <v>0</v>
      </c>
      <c r="N158" s="10">
        <v>0</v>
      </c>
      <c r="O158" s="10">
        <v>0</v>
      </c>
      <c r="P158" s="10">
        <v>0</v>
      </c>
      <c r="Q158" s="10">
        <v>0</v>
      </c>
      <c r="R158" s="10">
        <v>0</v>
      </c>
      <c r="S158" s="10">
        <v>-11326.400242745025</v>
      </c>
      <c r="T158" s="10">
        <v>-71583.57091712259</v>
      </c>
      <c r="U158" s="10">
        <v>0</v>
      </c>
      <c r="V158" s="10">
        <v>0</v>
      </c>
      <c r="W158" s="10">
        <v>-82909.971159867622</v>
      </c>
    </row>
    <row r="159" spans="3:23">
      <c r="C159" s="10" t="s">
        <v>998</v>
      </c>
      <c r="D159" s="10" t="s">
        <v>1103</v>
      </c>
      <c r="E159" s="10">
        <v>0</v>
      </c>
      <c r="F159" s="10">
        <v>0</v>
      </c>
      <c r="G159" s="10">
        <v>0</v>
      </c>
      <c r="H159" s="10">
        <v>0</v>
      </c>
      <c r="I159" s="10">
        <v>0</v>
      </c>
      <c r="J159" s="10">
        <v>0</v>
      </c>
      <c r="K159" s="10">
        <v>0</v>
      </c>
      <c r="L159" s="10">
        <v>0</v>
      </c>
      <c r="M159" s="10">
        <v>0</v>
      </c>
      <c r="N159" s="10">
        <v>0</v>
      </c>
      <c r="O159" s="10">
        <v>0</v>
      </c>
      <c r="P159" s="10">
        <v>0</v>
      </c>
      <c r="Q159" s="10">
        <v>0</v>
      </c>
      <c r="R159" s="10">
        <v>0</v>
      </c>
      <c r="S159" s="10">
        <v>-1543.7723011259586</v>
      </c>
      <c r="T159" s="10">
        <v>18571.596576705819</v>
      </c>
      <c r="U159" s="10">
        <v>0</v>
      </c>
      <c r="V159" s="10">
        <v>0</v>
      </c>
      <c r="W159" s="10">
        <v>17027.82427557986</v>
      </c>
    </row>
    <row r="160" spans="3:23">
      <c r="C160" s="10" t="s">
        <v>237</v>
      </c>
      <c r="D160" s="10" t="s">
        <v>1104</v>
      </c>
      <c r="E160" s="10">
        <v>327846.95</v>
      </c>
      <c r="F160" s="10">
        <v>74902.58</v>
      </c>
      <c r="G160" s="10">
        <v>106050.48999999999</v>
      </c>
      <c r="H160" s="10">
        <v>119493.32</v>
      </c>
      <c r="I160" s="10">
        <v>77576.48940000002</v>
      </c>
      <c r="J160" s="10">
        <v>38795.82</v>
      </c>
      <c r="K160" s="10">
        <v>105094.32</v>
      </c>
      <c r="L160" s="10">
        <v>-174031.02</v>
      </c>
      <c r="M160" s="10">
        <v>1110404.02</v>
      </c>
      <c r="N160" s="10">
        <v>357696.49</v>
      </c>
      <c r="O160" s="10">
        <v>162504.71</v>
      </c>
      <c r="P160" s="10">
        <v>128578.45</v>
      </c>
      <c r="Q160" s="10">
        <v>35449</v>
      </c>
      <c r="R160" s="10">
        <v>72728.399999999994</v>
      </c>
      <c r="S160" s="10">
        <v>51189</v>
      </c>
      <c r="T160" s="10">
        <v>146964.60999999999</v>
      </c>
      <c r="U160" s="10">
        <v>26203</v>
      </c>
      <c r="V160" s="10">
        <v>0</v>
      </c>
      <c r="W160" s="10">
        <v>2767446.6294</v>
      </c>
    </row>
    <row r="161" spans="3:23">
      <c r="C161" s="10" t="s">
        <v>1127</v>
      </c>
      <c r="D161" s="10" t="s">
        <v>226</v>
      </c>
      <c r="E161" s="10">
        <v>0</v>
      </c>
      <c r="F161" s="10">
        <v>0</v>
      </c>
      <c r="G161" s="10">
        <v>0</v>
      </c>
      <c r="H161" s="10">
        <v>0</v>
      </c>
      <c r="I161" s="10">
        <v>0</v>
      </c>
      <c r="J161" s="10">
        <v>0</v>
      </c>
      <c r="K161" s="10">
        <v>0</v>
      </c>
      <c r="L161" s="10">
        <v>0</v>
      </c>
      <c r="M161" s="10">
        <v>0</v>
      </c>
      <c r="N161" s="10">
        <v>0</v>
      </c>
      <c r="O161" s="10">
        <v>0</v>
      </c>
      <c r="P161" s="10">
        <v>0</v>
      </c>
      <c r="Q161" s="10">
        <v>0</v>
      </c>
      <c r="R161" s="10">
        <v>0</v>
      </c>
      <c r="S161" s="10">
        <v>-18189.134959347328</v>
      </c>
      <c r="T161" s="10">
        <v>-61995.323364685457</v>
      </c>
      <c r="U161" s="10">
        <v>0</v>
      </c>
      <c r="V161" s="10">
        <v>0</v>
      </c>
      <c r="W161" s="10">
        <v>-80184.458324032777</v>
      </c>
    </row>
    <row r="162" spans="3:23">
      <c r="C162" s="10" t="s">
        <v>1128</v>
      </c>
      <c r="D162" s="10" t="s">
        <v>227</v>
      </c>
      <c r="E162" s="10">
        <v>0</v>
      </c>
      <c r="F162" s="10">
        <v>0</v>
      </c>
      <c r="G162" s="10">
        <v>0</v>
      </c>
      <c r="H162" s="10">
        <v>0</v>
      </c>
      <c r="I162" s="10">
        <v>0</v>
      </c>
      <c r="J162" s="10">
        <v>0</v>
      </c>
      <c r="K162" s="10">
        <v>0</v>
      </c>
      <c r="L162" s="10">
        <v>0</v>
      </c>
      <c r="M162" s="10">
        <v>0</v>
      </c>
      <c r="N162" s="10">
        <v>0</v>
      </c>
      <c r="O162" s="10">
        <v>0</v>
      </c>
      <c r="P162" s="10">
        <v>0</v>
      </c>
      <c r="Q162" s="10">
        <v>0</v>
      </c>
      <c r="R162" s="10">
        <v>0</v>
      </c>
      <c r="S162" s="10">
        <v>-1396.8551128796412</v>
      </c>
      <c r="T162" s="10">
        <v>-4761.0007078475674</v>
      </c>
      <c r="U162" s="10">
        <v>0</v>
      </c>
      <c r="V162" s="10">
        <v>0</v>
      </c>
      <c r="W162" s="10">
        <v>-6157.855820727209</v>
      </c>
    </row>
    <row r="163" spans="3:23">
      <c r="C163" s="10" t="s">
        <v>1129</v>
      </c>
      <c r="D163" s="10" t="s">
        <v>228</v>
      </c>
      <c r="E163" s="10">
        <v>0</v>
      </c>
      <c r="F163" s="10">
        <v>0</v>
      </c>
      <c r="G163" s="10">
        <v>0</v>
      </c>
      <c r="H163" s="10">
        <v>0</v>
      </c>
      <c r="I163" s="10">
        <v>0</v>
      </c>
      <c r="J163" s="10">
        <v>0</v>
      </c>
      <c r="K163" s="10">
        <v>0</v>
      </c>
      <c r="L163" s="10">
        <v>0</v>
      </c>
      <c r="M163" s="10">
        <v>0</v>
      </c>
      <c r="N163" s="10">
        <v>0</v>
      </c>
      <c r="O163" s="10">
        <v>0</v>
      </c>
      <c r="P163" s="10">
        <v>0</v>
      </c>
      <c r="Q163" s="10">
        <v>0</v>
      </c>
      <c r="R163" s="10">
        <v>0</v>
      </c>
      <c r="S163" s="10">
        <v>-24820.416362025106</v>
      </c>
      <c r="T163" s="10">
        <v>-121625.41811002477</v>
      </c>
      <c r="U163" s="10">
        <v>0</v>
      </c>
      <c r="V163" s="10">
        <v>0</v>
      </c>
      <c r="W163" s="10">
        <v>-146445.83447204987</v>
      </c>
    </row>
    <row r="164" spans="3:23">
      <c r="C164" s="10" t="s">
        <v>1130</v>
      </c>
      <c r="D164" s="10" t="s">
        <v>1049</v>
      </c>
      <c r="E164" s="10">
        <v>0</v>
      </c>
      <c r="F164" s="10">
        <v>0</v>
      </c>
      <c r="G164" s="10">
        <v>0</v>
      </c>
      <c r="H164" s="10">
        <v>0</v>
      </c>
      <c r="I164" s="10">
        <v>0</v>
      </c>
      <c r="J164" s="10">
        <v>0</v>
      </c>
      <c r="K164" s="10">
        <v>0</v>
      </c>
      <c r="L164" s="10">
        <v>0</v>
      </c>
      <c r="M164" s="10">
        <v>0</v>
      </c>
      <c r="N164" s="10">
        <v>0</v>
      </c>
      <c r="O164" s="10">
        <v>0</v>
      </c>
      <c r="P164" s="10">
        <v>0</v>
      </c>
      <c r="Q164" s="10">
        <v>0</v>
      </c>
      <c r="R164" s="10">
        <v>0</v>
      </c>
      <c r="S164" s="10">
        <v>-99603.173914556741</v>
      </c>
      <c r="T164" s="10">
        <v>-339527.20374634577</v>
      </c>
      <c r="U164" s="10">
        <v>0</v>
      </c>
      <c r="V164" s="10">
        <v>0</v>
      </c>
      <c r="W164" s="10">
        <v>-439130.37766090251</v>
      </c>
    </row>
    <row r="165" spans="3:23">
      <c r="C165" s="10" t="s">
        <v>1131</v>
      </c>
      <c r="D165" s="10" t="s">
        <v>1050</v>
      </c>
      <c r="E165" s="10">
        <v>0</v>
      </c>
      <c r="F165" s="10">
        <v>0</v>
      </c>
      <c r="G165" s="10">
        <v>0</v>
      </c>
      <c r="H165" s="10">
        <v>0</v>
      </c>
      <c r="I165" s="10">
        <v>0</v>
      </c>
      <c r="J165" s="10">
        <v>0</v>
      </c>
      <c r="K165" s="10">
        <v>0</v>
      </c>
      <c r="L165" s="10">
        <v>0</v>
      </c>
      <c r="M165" s="10">
        <v>0</v>
      </c>
      <c r="N165" s="10">
        <v>0</v>
      </c>
      <c r="O165" s="10">
        <v>0</v>
      </c>
      <c r="P165" s="10">
        <v>0</v>
      </c>
      <c r="Q165" s="10">
        <v>0</v>
      </c>
      <c r="R165" s="10">
        <v>0</v>
      </c>
      <c r="S165" s="10">
        <v>-227066.88813847746</v>
      </c>
      <c r="T165" s="10">
        <v>-773654.22980653774</v>
      </c>
      <c r="U165" s="10">
        <v>0</v>
      </c>
      <c r="V165" s="10">
        <v>0</v>
      </c>
      <c r="W165" s="10">
        <v>-1000721.1179450152</v>
      </c>
    </row>
    <row r="166" spans="3:23">
      <c r="C166" s="10" t="s">
        <v>1132</v>
      </c>
      <c r="D166" s="10" t="s">
        <v>1051</v>
      </c>
      <c r="E166" s="10">
        <v>0</v>
      </c>
      <c r="F166" s="10">
        <v>0</v>
      </c>
      <c r="G166" s="10">
        <v>0</v>
      </c>
      <c r="H166" s="10">
        <v>0</v>
      </c>
      <c r="I166" s="10">
        <v>0</v>
      </c>
      <c r="J166" s="10">
        <v>0</v>
      </c>
      <c r="K166" s="10">
        <v>0</v>
      </c>
      <c r="L166" s="10">
        <v>0</v>
      </c>
      <c r="M166" s="10">
        <v>0</v>
      </c>
      <c r="N166" s="10">
        <v>0</v>
      </c>
      <c r="O166" s="10">
        <v>0</v>
      </c>
      <c r="P166" s="10">
        <v>0</v>
      </c>
      <c r="Q166" s="10">
        <v>0</v>
      </c>
      <c r="R166" s="10">
        <v>0</v>
      </c>
      <c r="S166" s="10">
        <v>-27349.636348902488</v>
      </c>
      <c r="T166" s="10">
        <v>-93217.712285180896</v>
      </c>
      <c r="U166" s="10">
        <v>0</v>
      </c>
      <c r="V166" s="10">
        <v>0</v>
      </c>
      <c r="W166" s="10">
        <v>-120567.34863408338</v>
      </c>
    </row>
    <row r="167" spans="3:23">
      <c r="C167" s="10" t="s">
        <v>1133</v>
      </c>
      <c r="D167" s="10" t="s">
        <v>1052</v>
      </c>
      <c r="E167" s="10">
        <v>0</v>
      </c>
      <c r="F167" s="10">
        <v>0</v>
      </c>
      <c r="G167" s="10">
        <v>0</v>
      </c>
      <c r="H167" s="10">
        <v>0</v>
      </c>
      <c r="I167" s="10">
        <v>0</v>
      </c>
      <c r="J167" s="10">
        <v>0</v>
      </c>
      <c r="K167" s="10">
        <v>0</v>
      </c>
      <c r="L167" s="10">
        <v>0</v>
      </c>
      <c r="M167" s="10">
        <v>0</v>
      </c>
      <c r="N167" s="10">
        <v>0</v>
      </c>
      <c r="O167" s="10">
        <v>0</v>
      </c>
      <c r="P167" s="10">
        <v>0</v>
      </c>
      <c r="Q167" s="10">
        <v>0</v>
      </c>
      <c r="R167" s="10">
        <v>0</v>
      </c>
      <c r="S167" s="10">
        <v>-15528.850636780684</v>
      </c>
      <c r="T167" s="10">
        <v>-52928.086951951722</v>
      </c>
      <c r="U167" s="10">
        <v>0</v>
      </c>
      <c r="V167" s="10">
        <v>0</v>
      </c>
      <c r="W167" s="10">
        <v>-68456.937588732399</v>
      </c>
    </row>
    <row r="168" spans="3:23">
      <c r="C168" s="10" t="s">
        <v>1134</v>
      </c>
      <c r="D168" s="10" t="s">
        <v>231</v>
      </c>
      <c r="E168" s="10">
        <v>0</v>
      </c>
      <c r="F168" s="10">
        <v>0</v>
      </c>
      <c r="G168" s="10">
        <v>0</v>
      </c>
      <c r="H168" s="10">
        <v>0</v>
      </c>
      <c r="I168" s="10">
        <v>0</v>
      </c>
      <c r="J168" s="10">
        <v>0</v>
      </c>
      <c r="K168" s="10">
        <v>0</v>
      </c>
      <c r="L168" s="10">
        <v>0</v>
      </c>
      <c r="M168" s="10">
        <v>0</v>
      </c>
      <c r="N168" s="10">
        <v>0</v>
      </c>
      <c r="O168" s="10">
        <v>0</v>
      </c>
      <c r="P168" s="10">
        <v>0</v>
      </c>
      <c r="Q168" s="10">
        <v>0</v>
      </c>
      <c r="R168" s="10">
        <v>0</v>
      </c>
      <c r="S168" s="10">
        <v>-6190.2365059007197</v>
      </c>
      <c r="T168" s="10">
        <v>-21098.62369732872</v>
      </c>
      <c r="U168" s="10">
        <v>0</v>
      </c>
      <c r="V168" s="10">
        <v>0</v>
      </c>
      <c r="W168" s="10">
        <v>-27288.86020322944</v>
      </c>
    </row>
    <row r="169" spans="3:23">
      <c r="C169" s="10" t="s">
        <v>1135</v>
      </c>
      <c r="D169" s="10" t="s">
        <v>1053</v>
      </c>
      <c r="E169" s="10">
        <v>0</v>
      </c>
      <c r="F169" s="10">
        <v>0</v>
      </c>
      <c r="G169" s="10">
        <v>0</v>
      </c>
      <c r="H169" s="10">
        <v>0</v>
      </c>
      <c r="I169" s="10">
        <v>0</v>
      </c>
      <c r="J169" s="10">
        <v>0</v>
      </c>
      <c r="K169" s="10">
        <v>0</v>
      </c>
      <c r="L169" s="10">
        <v>0</v>
      </c>
      <c r="M169" s="10">
        <v>0</v>
      </c>
      <c r="N169" s="10">
        <v>0</v>
      </c>
      <c r="O169" s="10">
        <v>0</v>
      </c>
      <c r="P169" s="10">
        <v>0</v>
      </c>
      <c r="Q169" s="10">
        <v>0</v>
      </c>
      <c r="R169" s="10">
        <v>0</v>
      </c>
      <c r="S169" s="10">
        <v>-622.49047089702617</v>
      </c>
      <c r="T169" s="10">
        <v>-4250.3841294483973</v>
      </c>
      <c r="U169" s="10">
        <v>0</v>
      </c>
      <c r="V169" s="10">
        <v>0</v>
      </c>
      <c r="W169" s="10">
        <v>-4872.8746003454235</v>
      </c>
    </row>
    <row r="170" spans="3:23">
      <c r="C170" s="10" t="s">
        <v>1136</v>
      </c>
      <c r="D170" s="10" t="s">
        <v>1054</v>
      </c>
      <c r="E170" s="10">
        <v>0</v>
      </c>
      <c r="F170" s="10">
        <v>0</v>
      </c>
      <c r="G170" s="10">
        <v>0</v>
      </c>
      <c r="H170" s="10">
        <v>0</v>
      </c>
      <c r="I170" s="10">
        <v>0</v>
      </c>
      <c r="J170" s="10">
        <v>0</v>
      </c>
      <c r="K170" s="10">
        <v>0</v>
      </c>
      <c r="L170" s="10">
        <v>0</v>
      </c>
      <c r="M170" s="10">
        <v>0</v>
      </c>
      <c r="N170" s="10">
        <v>0</v>
      </c>
      <c r="O170" s="10">
        <v>0</v>
      </c>
      <c r="P170" s="10">
        <v>0</v>
      </c>
      <c r="Q170" s="10">
        <v>0</v>
      </c>
      <c r="R170" s="10">
        <v>0</v>
      </c>
      <c r="S170" s="10">
        <v>-546.11663857858764</v>
      </c>
      <c r="T170" s="10">
        <v>-1749.3864804450327</v>
      </c>
      <c r="U170" s="10">
        <v>0</v>
      </c>
      <c r="V170" s="10">
        <v>0</v>
      </c>
      <c r="W170" s="10">
        <v>-2295.5031190236205</v>
      </c>
    </row>
    <row r="171" spans="3:23">
      <c r="C171" s="10" t="s">
        <v>1137</v>
      </c>
      <c r="D171" s="10" t="s">
        <v>1055</v>
      </c>
      <c r="E171" s="10">
        <v>0</v>
      </c>
      <c r="F171" s="10">
        <v>0</v>
      </c>
      <c r="G171" s="10">
        <v>0</v>
      </c>
      <c r="H171" s="10">
        <v>0</v>
      </c>
      <c r="I171" s="10">
        <v>0</v>
      </c>
      <c r="J171" s="10">
        <v>0</v>
      </c>
      <c r="K171" s="10">
        <v>0</v>
      </c>
      <c r="L171" s="10">
        <v>0</v>
      </c>
      <c r="M171" s="10">
        <v>0</v>
      </c>
      <c r="N171" s="10">
        <v>0</v>
      </c>
      <c r="O171" s="10">
        <v>0</v>
      </c>
      <c r="P171" s="10">
        <v>0</v>
      </c>
      <c r="Q171" s="10">
        <v>0</v>
      </c>
      <c r="R171" s="10">
        <v>0</v>
      </c>
      <c r="S171" s="10">
        <v>-3115.5972690971475</v>
      </c>
      <c r="T171" s="10">
        <v>-12065.877712385129</v>
      </c>
      <c r="U171" s="10">
        <v>0</v>
      </c>
      <c r="V171" s="10">
        <v>0</v>
      </c>
      <c r="W171" s="10">
        <v>-15181.474981482275</v>
      </c>
    </row>
    <row r="172" spans="3:23">
      <c r="C172" s="10" t="s">
        <v>1138</v>
      </c>
      <c r="D172" s="10" t="s">
        <v>1056</v>
      </c>
      <c r="E172" s="10">
        <v>0</v>
      </c>
      <c r="F172" s="10">
        <v>0</v>
      </c>
      <c r="G172" s="10">
        <v>0</v>
      </c>
      <c r="H172" s="10">
        <v>0</v>
      </c>
      <c r="I172" s="10">
        <v>0</v>
      </c>
      <c r="J172" s="10">
        <v>0</v>
      </c>
      <c r="K172" s="10">
        <v>0</v>
      </c>
      <c r="L172" s="10">
        <v>0</v>
      </c>
      <c r="M172" s="10">
        <v>0</v>
      </c>
      <c r="N172" s="10">
        <v>0</v>
      </c>
      <c r="O172" s="10">
        <v>0</v>
      </c>
      <c r="P172" s="10">
        <v>0</v>
      </c>
      <c r="Q172" s="10">
        <v>0</v>
      </c>
      <c r="R172" s="10">
        <v>0</v>
      </c>
      <c r="S172" s="10">
        <v>-21689.155191317535</v>
      </c>
      <c r="T172" s="10">
        <v>-73777.263794931088</v>
      </c>
      <c r="U172" s="10">
        <v>0</v>
      </c>
      <c r="V172" s="10">
        <v>0</v>
      </c>
      <c r="W172" s="10">
        <v>-95466.418986248624</v>
      </c>
    </row>
    <row r="173" spans="3:23">
      <c r="C173" s="10" t="s">
        <v>1139</v>
      </c>
      <c r="D173" s="10" t="s">
        <v>1057</v>
      </c>
      <c r="E173" s="10">
        <v>0</v>
      </c>
      <c r="F173" s="10">
        <v>0</v>
      </c>
      <c r="G173" s="10">
        <v>0</v>
      </c>
      <c r="H173" s="10">
        <v>0</v>
      </c>
      <c r="I173" s="10">
        <v>0</v>
      </c>
      <c r="J173" s="10">
        <v>0</v>
      </c>
      <c r="K173" s="10">
        <v>0</v>
      </c>
      <c r="L173" s="10">
        <v>0</v>
      </c>
      <c r="M173" s="10">
        <v>0</v>
      </c>
      <c r="N173" s="10">
        <v>0</v>
      </c>
      <c r="O173" s="10">
        <v>0</v>
      </c>
      <c r="P173" s="10">
        <v>0</v>
      </c>
      <c r="Q173" s="10">
        <v>0</v>
      </c>
      <c r="R173" s="10">
        <v>0</v>
      </c>
      <c r="S173" s="10">
        <v>-73197.073585851584</v>
      </c>
      <c r="T173" s="10">
        <v>-537243.39093332982</v>
      </c>
      <c r="U173" s="10">
        <v>0</v>
      </c>
      <c r="V173" s="10">
        <v>0</v>
      </c>
      <c r="W173" s="10">
        <v>-610440.46451918141</v>
      </c>
    </row>
    <row r="174" spans="3:23">
      <c r="C174" s="10" t="s">
        <v>1140</v>
      </c>
      <c r="D174" s="10" t="s">
        <v>1058</v>
      </c>
      <c r="E174" s="10">
        <v>0</v>
      </c>
      <c r="F174" s="10">
        <v>0</v>
      </c>
      <c r="G174" s="10">
        <v>0</v>
      </c>
      <c r="H174" s="10">
        <v>0</v>
      </c>
      <c r="I174" s="10">
        <v>0</v>
      </c>
      <c r="J174" s="10">
        <v>0</v>
      </c>
      <c r="K174" s="10">
        <v>0</v>
      </c>
      <c r="L174" s="10">
        <v>0</v>
      </c>
      <c r="M174" s="10">
        <v>0</v>
      </c>
      <c r="N174" s="10">
        <v>0</v>
      </c>
      <c r="O174" s="10">
        <v>0</v>
      </c>
      <c r="P174" s="10">
        <v>0</v>
      </c>
      <c r="Q174" s="10">
        <v>0</v>
      </c>
      <c r="R174" s="10">
        <v>0</v>
      </c>
      <c r="S174" s="10">
        <v>-8128.959913851887</v>
      </c>
      <c r="T174" s="10">
        <v>-33333.42246011956</v>
      </c>
      <c r="U174" s="10">
        <v>0</v>
      </c>
      <c r="V174" s="10">
        <v>0</v>
      </c>
      <c r="W174" s="10">
        <v>-41462.38237397145</v>
      </c>
    </row>
    <row r="175" spans="3:23">
      <c r="C175" s="10" t="s">
        <v>1141</v>
      </c>
      <c r="D175" s="10" t="s">
        <v>1059</v>
      </c>
      <c r="E175" s="10">
        <v>0</v>
      </c>
      <c r="F175" s="10">
        <v>0</v>
      </c>
      <c r="G175" s="10">
        <v>0</v>
      </c>
      <c r="H175" s="10">
        <v>0</v>
      </c>
      <c r="I175" s="10">
        <v>0</v>
      </c>
      <c r="J175" s="10">
        <v>0</v>
      </c>
      <c r="K175" s="10">
        <v>0</v>
      </c>
      <c r="L175" s="10">
        <v>0</v>
      </c>
      <c r="M175" s="10">
        <v>0</v>
      </c>
      <c r="N175" s="10">
        <v>0</v>
      </c>
      <c r="O175" s="10">
        <v>0</v>
      </c>
      <c r="P175" s="10">
        <v>0</v>
      </c>
      <c r="Q175" s="10">
        <v>0</v>
      </c>
      <c r="R175" s="10">
        <v>0</v>
      </c>
      <c r="S175" s="10">
        <v>-4345.973324465418</v>
      </c>
      <c r="T175" s="10">
        <v>-14786.873730217885</v>
      </c>
      <c r="U175" s="10">
        <v>0</v>
      </c>
      <c r="V175" s="10">
        <v>0</v>
      </c>
      <c r="W175" s="10">
        <v>-19132.847054683305</v>
      </c>
    </row>
    <row r="176" spans="3:23">
      <c r="C176" s="10" t="s">
        <v>1142</v>
      </c>
      <c r="D176" s="10" t="s">
        <v>1060</v>
      </c>
      <c r="E176" s="10">
        <v>0</v>
      </c>
      <c r="F176" s="10">
        <v>0</v>
      </c>
      <c r="G176" s="10">
        <v>0</v>
      </c>
      <c r="H176" s="10">
        <v>0</v>
      </c>
      <c r="I176" s="10">
        <v>0</v>
      </c>
      <c r="J176" s="10">
        <v>0</v>
      </c>
      <c r="K176" s="10">
        <v>0</v>
      </c>
      <c r="L176" s="10">
        <v>0</v>
      </c>
      <c r="M176" s="10">
        <v>0</v>
      </c>
      <c r="N176" s="10">
        <v>0</v>
      </c>
      <c r="O176" s="10">
        <v>0</v>
      </c>
      <c r="P176" s="10">
        <v>0</v>
      </c>
      <c r="Q176" s="10">
        <v>0</v>
      </c>
      <c r="R176" s="10">
        <v>0</v>
      </c>
      <c r="S176" s="10">
        <v>-439.39053093594049</v>
      </c>
      <c r="T176" s="10">
        <v>-296.19980060010357</v>
      </c>
      <c r="U176" s="10">
        <v>0</v>
      </c>
      <c r="V176" s="10">
        <v>0</v>
      </c>
      <c r="W176" s="10">
        <v>-735.590331536044</v>
      </c>
    </row>
    <row r="177" spans="3:23">
      <c r="C177" s="10" t="s">
        <v>1143</v>
      </c>
      <c r="D177" s="10" t="s">
        <v>1061</v>
      </c>
      <c r="E177" s="10">
        <v>0</v>
      </c>
      <c r="F177" s="10">
        <v>0</v>
      </c>
      <c r="G177" s="10">
        <v>0</v>
      </c>
      <c r="H177" s="10">
        <v>0</v>
      </c>
      <c r="I177" s="10">
        <v>0</v>
      </c>
      <c r="J177" s="10">
        <v>0</v>
      </c>
      <c r="K177" s="10">
        <v>0</v>
      </c>
      <c r="L177" s="10">
        <v>0</v>
      </c>
      <c r="M177" s="10">
        <v>0</v>
      </c>
      <c r="N177" s="10">
        <v>0</v>
      </c>
      <c r="O177" s="10">
        <v>0</v>
      </c>
      <c r="P177" s="10">
        <v>0</v>
      </c>
      <c r="Q177" s="10">
        <v>0</v>
      </c>
      <c r="R177" s="10">
        <v>0</v>
      </c>
      <c r="S177" s="10">
        <v>-2166.8841234929928</v>
      </c>
      <c r="T177" s="10">
        <v>-5604.2441227210056</v>
      </c>
      <c r="U177" s="10">
        <v>0</v>
      </c>
      <c r="V177" s="10">
        <v>0</v>
      </c>
      <c r="W177" s="10">
        <v>-7771.1282462139989</v>
      </c>
    </row>
    <row r="178" spans="3:23">
      <c r="C178" s="10" t="s">
        <v>1144</v>
      </c>
      <c r="D178" s="10" t="s">
        <v>1062</v>
      </c>
      <c r="E178" s="10">
        <v>0</v>
      </c>
      <c r="F178" s="10">
        <v>0</v>
      </c>
      <c r="G178" s="10">
        <v>0</v>
      </c>
      <c r="H178" s="10">
        <v>0</v>
      </c>
      <c r="I178" s="10">
        <v>0</v>
      </c>
      <c r="J178" s="10">
        <v>0</v>
      </c>
      <c r="K178" s="10">
        <v>0</v>
      </c>
      <c r="L178" s="10">
        <v>0</v>
      </c>
      <c r="M178" s="10">
        <v>0</v>
      </c>
      <c r="N178" s="10">
        <v>0</v>
      </c>
      <c r="O178" s="10">
        <v>0</v>
      </c>
      <c r="P178" s="10">
        <v>0</v>
      </c>
      <c r="Q178" s="10">
        <v>0</v>
      </c>
      <c r="R178" s="10">
        <v>0</v>
      </c>
      <c r="S178" s="10">
        <v>0</v>
      </c>
      <c r="T178" s="10">
        <v>-93097</v>
      </c>
      <c r="U178" s="10">
        <v>0</v>
      </c>
      <c r="V178" s="10">
        <v>0</v>
      </c>
      <c r="W178" s="10">
        <v>-93097</v>
      </c>
    </row>
    <row r="179" spans="3:23">
      <c r="C179" s="10" t="s">
        <v>1145</v>
      </c>
      <c r="D179" s="10" t="s">
        <v>1063</v>
      </c>
      <c r="E179" s="10">
        <v>0</v>
      </c>
      <c r="F179" s="10">
        <v>0</v>
      </c>
      <c r="G179" s="10">
        <v>0</v>
      </c>
      <c r="H179" s="10">
        <v>0</v>
      </c>
      <c r="I179" s="10">
        <v>0</v>
      </c>
      <c r="J179" s="10">
        <v>0</v>
      </c>
      <c r="K179" s="10">
        <v>0</v>
      </c>
      <c r="L179" s="10">
        <v>0</v>
      </c>
      <c r="M179" s="10">
        <v>0</v>
      </c>
      <c r="N179" s="10">
        <v>0</v>
      </c>
      <c r="O179" s="10">
        <v>0</v>
      </c>
      <c r="P179" s="10">
        <v>0</v>
      </c>
      <c r="Q179" s="10">
        <v>0</v>
      </c>
      <c r="R179" s="10">
        <v>0</v>
      </c>
      <c r="S179" s="10">
        <v>-898.04818331598688</v>
      </c>
      <c r="T179" s="10">
        <v>-6052.2707064751994</v>
      </c>
      <c r="U179" s="10">
        <v>0</v>
      </c>
      <c r="V179" s="10">
        <v>0</v>
      </c>
      <c r="W179" s="10">
        <v>-6950.3188897911859</v>
      </c>
    </row>
    <row r="180" spans="3:23">
      <c r="C180" s="10" t="s">
        <v>1146</v>
      </c>
      <c r="D180" s="10" t="s">
        <v>1064</v>
      </c>
      <c r="E180" s="10">
        <v>0</v>
      </c>
      <c r="F180" s="10">
        <v>0</v>
      </c>
      <c r="G180" s="10">
        <v>0</v>
      </c>
      <c r="H180" s="10">
        <v>0</v>
      </c>
      <c r="I180" s="10">
        <v>0</v>
      </c>
      <c r="J180" s="10">
        <v>0</v>
      </c>
      <c r="K180" s="10">
        <v>0</v>
      </c>
      <c r="L180" s="10">
        <v>0</v>
      </c>
      <c r="M180" s="10">
        <v>0</v>
      </c>
      <c r="N180" s="10">
        <v>0</v>
      </c>
      <c r="O180" s="10">
        <v>0</v>
      </c>
      <c r="P180" s="10">
        <v>0</v>
      </c>
      <c r="Q180" s="10">
        <v>0</v>
      </c>
      <c r="R180" s="10">
        <v>0</v>
      </c>
      <c r="S180" s="10">
        <v>-173.88460919387899</v>
      </c>
      <c r="T180" s="10">
        <v>-624.58840848612181</v>
      </c>
      <c r="U180" s="10">
        <v>0</v>
      </c>
      <c r="V180" s="10">
        <v>0</v>
      </c>
      <c r="W180" s="10">
        <v>-798.47301768000079</v>
      </c>
    </row>
    <row r="181" spans="3:23">
      <c r="C181" s="10"/>
      <c r="D181" s="10" t="s">
        <v>680</v>
      </c>
      <c r="E181" s="10">
        <v>16759445.102822177</v>
      </c>
      <c r="F181" s="10">
        <v>3193199.4956919611</v>
      </c>
      <c r="G181" s="10">
        <v>2619310.5431054058</v>
      </c>
      <c r="H181" s="10">
        <v>2452994.8194711767</v>
      </c>
      <c r="I181" s="10">
        <v>4557472.6328807566</v>
      </c>
      <c r="J181" s="10">
        <v>1584244.2499460639</v>
      </c>
      <c r="K181" s="10">
        <v>6232681.0410730969</v>
      </c>
      <c r="L181" s="10">
        <v>4442559.5734626763</v>
      </c>
      <c r="M181" s="10">
        <v>16254415.016005058</v>
      </c>
      <c r="N181" s="10">
        <v>9667299.7404284608</v>
      </c>
      <c r="O181" s="10">
        <v>2873093.2047614176</v>
      </c>
      <c r="P181" s="10">
        <v>6575280.3253569584</v>
      </c>
      <c r="Q181" s="10">
        <v>11940067.106039463</v>
      </c>
      <c r="R181" s="10">
        <v>2899306.6558140968</v>
      </c>
      <c r="S181" s="10">
        <v>1750466.2341801319</v>
      </c>
      <c r="T181" s="10">
        <v>8308234.7890509376</v>
      </c>
      <c r="U181" s="10">
        <v>814425.42261345603</v>
      </c>
      <c r="V181" s="10">
        <v>695194.32151790475</v>
      </c>
      <c r="W181" s="10">
        <v>103619690.27422118</v>
      </c>
    </row>
    <row r="182" spans="3:23">
      <c r="C182" s="10" t="s">
        <v>667</v>
      </c>
      <c r="D182" s="10" t="s">
        <v>733</v>
      </c>
      <c r="E182" s="10" t="s">
        <v>9</v>
      </c>
      <c r="F182" s="10" t="s">
        <v>10</v>
      </c>
      <c r="G182" s="10" t="s">
        <v>11</v>
      </c>
      <c r="H182" s="10" t="s">
        <v>31</v>
      </c>
      <c r="I182" s="10" t="s">
        <v>12</v>
      </c>
      <c r="J182" s="10" t="s">
        <v>13</v>
      </c>
      <c r="K182" s="10" t="s">
        <v>14</v>
      </c>
      <c r="L182" s="10" t="s">
        <v>15</v>
      </c>
      <c r="M182" s="10" t="s">
        <v>16</v>
      </c>
      <c r="N182" s="10" t="s">
        <v>17</v>
      </c>
      <c r="O182" s="10" t="s">
        <v>18</v>
      </c>
      <c r="P182" s="10" t="s">
        <v>19</v>
      </c>
      <c r="Q182" s="10" t="s">
        <v>20</v>
      </c>
      <c r="R182" s="10" t="s">
        <v>60</v>
      </c>
      <c r="S182" s="10" t="s">
        <v>61</v>
      </c>
      <c r="T182" s="10" t="s">
        <v>62</v>
      </c>
      <c r="U182" s="10" t="s">
        <v>63</v>
      </c>
      <c r="V182" s="10" t="s">
        <v>64</v>
      </c>
      <c r="W182" s="10" t="s">
        <v>668</v>
      </c>
    </row>
    <row r="183" spans="3:23">
      <c r="C183" s="10" t="s">
        <v>734</v>
      </c>
      <c r="D183" s="15" t="s">
        <v>245</v>
      </c>
      <c r="E183" s="10">
        <v>5665.4122900000002</v>
      </c>
      <c r="F183" s="10">
        <v>999.34096999999997</v>
      </c>
      <c r="G183" s="10">
        <v>819.66794999999991</v>
      </c>
      <c r="H183" s="10">
        <v>1021.05396</v>
      </c>
      <c r="I183" s="10">
        <v>1910.9311599999999</v>
      </c>
      <c r="J183" s="10">
        <v>429.20229999999998</v>
      </c>
      <c r="K183" s="10">
        <v>2481.7807699999998</v>
      </c>
      <c r="L183" s="10">
        <v>1631.2245899999998</v>
      </c>
      <c r="M183" s="10">
        <v>8372.1169000000009</v>
      </c>
      <c r="N183" s="10">
        <v>3347.7844</v>
      </c>
      <c r="O183" s="10">
        <v>823.77715999999998</v>
      </c>
      <c r="P183" s="10">
        <v>2164.1706399999998</v>
      </c>
      <c r="Q183" s="10">
        <v>6475.0739100000001</v>
      </c>
      <c r="R183" s="10">
        <v>1072.84889</v>
      </c>
      <c r="S183" s="10">
        <v>460.09435999999999</v>
      </c>
      <c r="T183" s="10">
        <v>1701.4366200000002</v>
      </c>
      <c r="U183" s="10">
        <v>242.91853</v>
      </c>
      <c r="V183" s="10">
        <v>362.49224000000004</v>
      </c>
      <c r="W183" s="10">
        <v>39981.32764000001</v>
      </c>
    </row>
    <row r="184" spans="3:23">
      <c r="C184" s="10" t="s">
        <v>735</v>
      </c>
      <c r="D184" s="15" t="s">
        <v>736</v>
      </c>
      <c r="E184" s="10">
        <v>958158.06702999992</v>
      </c>
      <c r="F184" s="10">
        <v>206959.80833999999</v>
      </c>
      <c r="G184" s="10">
        <v>183972.64245999997</v>
      </c>
      <c r="H184" s="10">
        <v>98583.072249999983</v>
      </c>
      <c r="I184" s="10">
        <v>358307.60936</v>
      </c>
      <c r="J184" s="10">
        <v>91.716499999999996</v>
      </c>
      <c r="K184" s="10">
        <v>547889.95568000013</v>
      </c>
      <c r="L184" s="10">
        <v>395294.40961999993</v>
      </c>
      <c r="M184" s="10">
        <v>732874.68010999996</v>
      </c>
      <c r="N184" s="10">
        <v>638352.31568999996</v>
      </c>
      <c r="O184" s="10">
        <v>253066.21112999998</v>
      </c>
      <c r="P184" s="10">
        <v>466708.10477999999</v>
      </c>
      <c r="Q184" s="10">
        <v>15268.842640000001</v>
      </c>
      <c r="R184" s="10">
        <v>181518.87825000001</v>
      </c>
      <c r="S184" s="10">
        <v>88.694730000000007</v>
      </c>
      <c r="T184" s="10">
        <v>256.28046000000001</v>
      </c>
      <c r="U184" s="10">
        <v>607.17192999999997</v>
      </c>
      <c r="V184" s="10">
        <v>11157.02831</v>
      </c>
      <c r="W184" s="10">
        <v>5049155.4892700007</v>
      </c>
    </row>
    <row r="185" spans="3:23">
      <c r="C185" s="10" t="s">
        <v>486</v>
      </c>
      <c r="D185" s="15" t="s">
        <v>737</v>
      </c>
      <c r="E185" s="10">
        <v>-39314.169571983992</v>
      </c>
      <c r="F185" s="10">
        <v>-19120.620836994</v>
      </c>
      <c r="G185" s="10">
        <v>-15854.994469000001</v>
      </c>
      <c r="H185" s="10">
        <v>-10573.418145992</v>
      </c>
      <c r="I185" s="10">
        <v>-9726.4633529999992</v>
      </c>
      <c r="J185" s="10">
        <v>0</v>
      </c>
      <c r="K185" s="10">
        <v>-22907.918260999999</v>
      </c>
      <c r="L185" s="10">
        <v>-13640.685814999999</v>
      </c>
      <c r="M185" s="10">
        <v>-24595.017446000002</v>
      </c>
      <c r="N185" s="10">
        <v>-38780.878866999999</v>
      </c>
      <c r="O185" s="10">
        <v>-6010.8221780000003</v>
      </c>
      <c r="P185" s="10">
        <v>-19296.588176000001</v>
      </c>
      <c r="Q185" s="10">
        <v>0</v>
      </c>
      <c r="R185" s="10">
        <v>-16075.525638999998</v>
      </c>
      <c r="S185" s="10">
        <v>-6.566999</v>
      </c>
      <c r="T185" s="10">
        <v>-18.975116999999997</v>
      </c>
      <c r="U185" s="10">
        <v>0</v>
      </c>
      <c r="V185" s="10">
        <v>-684.77099800000008</v>
      </c>
      <c r="W185" s="10">
        <v>-236607.41587296996</v>
      </c>
    </row>
    <row r="186" spans="3:23">
      <c r="C186" s="10" t="s">
        <v>238</v>
      </c>
      <c r="D186" s="15" t="s">
        <v>738</v>
      </c>
      <c r="E186" s="10">
        <v>292278.56578467984</v>
      </c>
      <c r="F186" s="10">
        <v>31070.403278118622</v>
      </c>
      <c r="G186" s="10">
        <v>0</v>
      </c>
      <c r="H186" s="10">
        <v>21607.38025094413</v>
      </c>
      <c r="I186" s="10">
        <v>0</v>
      </c>
      <c r="J186" s="10">
        <v>0</v>
      </c>
      <c r="K186" s="10">
        <v>0</v>
      </c>
      <c r="L186" s="10">
        <v>0</v>
      </c>
      <c r="M186" s="10">
        <v>74249.626726992545</v>
      </c>
      <c r="N186" s="10">
        <v>0</v>
      </c>
      <c r="O186" s="10">
        <v>0</v>
      </c>
      <c r="P186" s="10">
        <v>0</v>
      </c>
      <c r="Q186" s="10">
        <v>0</v>
      </c>
      <c r="R186" s="10">
        <v>0</v>
      </c>
      <c r="S186" s="10">
        <v>0</v>
      </c>
      <c r="T186" s="10">
        <v>0</v>
      </c>
      <c r="U186" s="10">
        <v>0</v>
      </c>
      <c r="V186" s="10">
        <v>0</v>
      </c>
      <c r="W186" s="10">
        <v>419205.97604073514</v>
      </c>
    </row>
    <row r="187" spans="3:23">
      <c r="C187" s="10" t="s">
        <v>239</v>
      </c>
      <c r="D187" s="15" t="s">
        <v>739</v>
      </c>
      <c r="E187" s="10">
        <v>0</v>
      </c>
      <c r="F187" s="10">
        <v>0</v>
      </c>
      <c r="G187" s="10">
        <v>0</v>
      </c>
      <c r="H187" s="10">
        <v>0</v>
      </c>
      <c r="I187" s="10">
        <v>0</v>
      </c>
      <c r="J187" s="10">
        <v>96831.556039625284</v>
      </c>
      <c r="K187" s="10">
        <v>0</v>
      </c>
      <c r="L187" s="10">
        <v>0</v>
      </c>
      <c r="M187" s="10">
        <v>0</v>
      </c>
      <c r="N187" s="10">
        <v>0</v>
      </c>
      <c r="O187" s="10">
        <v>0</v>
      </c>
      <c r="P187" s="10">
        <v>0</v>
      </c>
      <c r="Q187" s="10">
        <v>741830.71130154806</v>
      </c>
      <c r="R187" s="10">
        <v>0</v>
      </c>
      <c r="S187" s="10">
        <v>0</v>
      </c>
      <c r="T187" s="10">
        <v>0</v>
      </c>
      <c r="U187" s="10">
        <v>51011.606355919517</v>
      </c>
      <c r="V187" s="10">
        <v>0</v>
      </c>
      <c r="W187" s="10">
        <v>889673.87369709287</v>
      </c>
    </row>
    <row r="188" spans="3:23">
      <c r="C188" s="10" t="s">
        <v>240</v>
      </c>
      <c r="D188" s="15" t="s">
        <v>241</v>
      </c>
      <c r="E188" s="10">
        <v>140911.37154000002</v>
      </c>
      <c r="F188" s="10">
        <v>31465.017010000007</v>
      </c>
      <c r="G188" s="10">
        <v>24522.217159999997</v>
      </c>
      <c r="H188" s="10">
        <v>28505.602940000004</v>
      </c>
      <c r="I188" s="10">
        <v>14251.930640000002</v>
      </c>
      <c r="J188" s="10">
        <v>0</v>
      </c>
      <c r="K188" s="10">
        <v>56325.148559999987</v>
      </c>
      <c r="L188" s="10">
        <v>39044.429000000004</v>
      </c>
      <c r="M188" s="10">
        <v>190225.34290000005</v>
      </c>
      <c r="N188" s="10">
        <v>95728.429050000006</v>
      </c>
      <c r="O188" s="10">
        <v>18803.83872</v>
      </c>
      <c r="P188" s="10">
        <v>56629.027790000007</v>
      </c>
      <c r="Q188" s="10">
        <v>0</v>
      </c>
      <c r="R188" s="10">
        <v>26000.019090000005</v>
      </c>
      <c r="S188" s="10">
        <v>0</v>
      </c>
      <c r="T188" s="10">
        <v>0</v>
      </c>
      <c r="U188" s="10">
        <v>0</v>
      </c>
      <c r="V188" s="10">
        <v>0</v>
      </c>
      <c r="W188" s="10">
        <v>722412.37439999997</v>
      </c>
    </row>
    <row r="189" spans="3:23">
      <c r="C189" s="10" t="s">
        <v>740</v>
      </c>
      <c r="D189" s="15" t="s">
        <v>242</v>
      </c>
      <c r="E189" s="10">
        <v>0</v>
      </c>
      <c r="F189" s="10">
        <v>0</v>
      </c>
      <c r="G189" s="10">
        <v>0</v>
      </c>
      <c r="H189" s="10">
        <v>0</v>
      </c>
      <c r="I189" s="10">
        <v>404221.2203876205</v>
      </c>
      <c r="J189" s="10">
        <v>0</v>
      </c>
      <c r="K189" s="10">
        <v>0</v>
      </c>
      <c r="L189" s="10">
        <v>0</v>
      </c>
      <c r="M189" s="10">
        <v>0</v>
      </c>
      <c r="N189" s="10">
        <v>0</v>
      </c>
      <c r="O189" s="10">
        <v>0</v>
      </c>
      <c r="P189" s="10">
        <v>0</v>
      </c>
      <c r="Q189" s="10">
        <v>0</v>
      </c>
      <c r="R189" s="10">
        <v>0</v>
      </c>
      <c r="S189" s="10">
        <v>0</v>
      </c>
      <c r="T189" s="10">
        <v>0</v>
      </c>
      <c r="U189" s="10">
        <v>0</v>
      </c>
      <c r="V189" s="10">
        <v>0</v>
      </c>
      <c r="W189" s="10">
        <v>404221.2203876205</v>
      </c>
    </row>
    <row r="190" spans="3:23">
      <c r="C190" s="10" t="s">
        <v>243</v>
      </c>
      <c r="D190" s="15" t="s">
        <v>244</v>
      </c>
      <c r="E190" s="10">
        <v>25689.294000000002</v>
      </c>
      <c r="F190" s="10">
        <v>7577.0069999999996</v>
      </c>
      <c r="G190" s="10">
        <v>6405.6018800000002</v>
      </c>
      <c r="H190" s="10">
        <v>3751.2040000000002</v>
      </c>
      <c r="I190" s="10">
        <v>4083.7109999999998</v>
      </c>
      <c r="J190" s="10">
        <v>600.19650999999999</v>
      </c>
      <c r="K190" s="10">
        <v>10582.513000000001</v>
      </c>
      <c r="L190" s="10">
        <v>7176.8869999999997</v>
      </c>
      <c r="M190" s="10">
        <v>24624.506000000001</v>
      </c>
      <c r="N190" s="10">
        <v>16667.205999999998</v>
      </c>
      <c r="O190" s="10">
        <v>4709.9139999999998</v>
      </c>
      <c r="P190" s="10">
        <v>12379.714</v>
      </c>
      <c r="Q190" s="10">
        <v>24323.097870000001</v>
      </c>
      <c r="R190" s="10">
        <v>2492.1300899999997</v>
      </c>
      <c r="S190" s="10">
        <v>0</v>
      </c>
      <c r="T190" s="10">
        <v>1313.578</v>
      </c>
      <c r="U190" s="10">
        <v>690.71370999999999</v>
      </c>
      <c r="V190" s="10">
        <v>0</v>
      </c>
      <c r="W190" s="10">
        <v>153067.27406000003</v>
      </c>
    </row>
    <row r="191" spans="3:23">
      <c r="C191" s="10" t="s">
        <v>229</v>
      </c>
      <c r="D191" s="15" t="s">
        <v>245</v>
      </c>
      <c r="E191" s="10">
        <v>0</v>
      </c>
      <c r="F191" s="10">
        <v>0</v>
      </c>
      <c r="G191" s="10">
        <v>0</v>
      </c>
      <c r="H191" s="10">
        <v>0</v>
      </c>
      <c r="I191" s="10">
        <v>0</v>
      </c>
      <c r="J191" s="10">
        <v>0</v>
      </c>
      <c r="K191" s="10">
        <v>0</v>
      </c>
      <c r="L191" s="10">
        <v>0</v>
      </c>
      <c r="M191" s="10">
        <v>0</v>
      </c>
      <c r="N191" s="10">
        <v>0</v>
      </c>
      <c r="O191" s="10">
        <v>0</v>
      </c>
      <c r="P191" s="10">
        <v>0</v>
      </c>
      <c r="Q191" s="10">
        <v>0</v>
      </c>
      <c r="R191" s="10">
        <v>0</v>
      </c>
      <c r="S191" s="10">
        <v>99603.173914556741</v>
      </c>
      <c r="T191" s="10">
        <v>339527.20374634577</v>
      </c>
      <c r="U191" s="10">
        <v>0</v>
      </c>
      <c r="V191" s="10">
        <v>0</v>
      </c>
      <c r="W191" s="10">
        <v>439130.37766090251</v>
      </c>
    </row>
    <row r="192" spans="3:23">
      <c r="C192" s="10"/>
      <c r="D192" s="15" t="s">
        <v>495</v>
      </c>
      <c r="E192" s="10">
        <v>1383388.5410726957</v>
      </c>
      <c r="F192" s="10">
        <v>258950.95576112461</v>
      </c>
      <c r="G192" s="10">
        <v>199865.13498099998</v>
      </c>
      <c r="H192" s="10">
        <v>142894.89525495211</v>
      </c>
      <c r="I192" s="10">
        <v>773048.93919462047</v>
      </c>
      <c r="J192" s="10">
        <v>97952.671349625278</v>
      </c>
      <c r="K192" s="10">
        <v>594371.47974900017</v>
      </c>
      <c r="L192" s="10">
        <v>429506.26439499995</v>
      </c>
      <c r="M192" s="10">
        <v>1005751.2551909926</v>
      </c>
      <c r="N192" s="10">
        <v>715314.85627300001</v>
      </c>
      <c r="O192" s="10">
        <v>271392.918832</v>
      </c>
      <c r="P192" s="10">
        <v>518584.42903400003</v>
      </c>
      <c r="Q192" s="10">
        <v>787897.72572154808</v>
      </c>
      <c r="R192" s="10">
        <v>195008.35068100001</v>
      </c>
      <c r="S192" s="10">
        <v>100145.39600555674</v>
      </c>
      <c r="T192" s="10">
        <v>342779.52370934578</v>
      </c>
      <c r="U192" s="10">
        <v>52552.41052591952</v>
      </c>
      <c r="V192" s="10">
        <v>10834.749551999999</v>
      </c>
      <c r="W192" s="10">
        <v>7880240.4972833814</v>
      </c>
    </row>
    <row r="193" spans="3:23">
      <c r="C193" s="10"/>
      <c r="D193" s="15" t="s">
        <v>741</v>
      </c>
      <c r="E193" s="10"/>
      <c r="F193" s="10"/>
      <c r="G193" s="10"/>
      <c r="H193" s="10"/>
      <c r="I193" s="10"/>
      <c r="J193" s="10"/>
      <c r="K193" s="10"/>
      <c r="L193" s="10"/>
      <c r="M193" s="10"/>
      <c r="N193" s="10"/>
      <c r="O193" s="10"/>
      <c r="P193" s="10"/>
      <c r="Q193" s="10"/>
      <c r="R193" s="10"/>
      <c r="S193" s="10"/>
      <c r="T193" s="10"/>
      <c r="U193" s="10"/>
      <c r="V193" s="10"/>
      <c r="W193" s="10"/>
    </row>
    <row r="194" spans="3:23">
      <c r="C194" s="10" t="s">
        <v>742</v>
      </c>
      <c r="D194" s="15" t="s">
        <v>743</v>
      </c>
      <c r="E194" s="10">
        <v>1889742.6511200001</v>
      </c>
      <c r="F194" s="10">
        <v>347968.77979999996</v>
      </c>
      <c r="G194" s="10">
        <v>215026.51983999996</v>
      </c>
      <c r="H194" s="10">
        <v>212590.00144000005</v>
      </c>
      <c r="I194" s="10">
        <v>441900.42335</v>
      </c>
      <c r="J194" s="10">
        <v>116505.58245999999</v>
      </c>
      <c r="K194" s="10">
        <v>476645.71179000003</v>
      </c>
      <c r="L194" s="10">
        <v>369750.05372000003</v>
      </c>
      <c r="M194" s="10">
        <v>2180345.4898799998</v>
      </c>
      <c r="N194" s="10">
        <v>1126366.9932100002</v>
      </c>
      <c r="O194" s="10">
        <v>198850.50499000004</v>
      </c>
      <c r="P194" s="10">
        <v>533138.79564000003</v>
      </c>
      <c r="Q194" s="10">
        <v>1971253.8069199999</v>
      </c>
      <c r="R194" s="10">
        <v>279097.37361000001</v>
      </c>
      <c r="S194" s="10">
        <v>832.59508999999991</v>
      </c>
      <c r="T194" s="10">
        <v>3106.0569500000001</v>
      </c>
      <c r="U194" s="10">
        <v>59480.497880000003</v>
      </c>
      <c r="V194" s="10">
        <v>35434.421040000001</v>
      </c>
      <c r="W194" s="10">
        <v>10458036.25873</v>
      </c>
    </row>
    <row r="195" spans="3:23">
      <c r="C195" s="10" t="s">
        <v>487</v>
      </c>
      <c r="D195" s="15" t="s">
        <v>744</v>
      </c>
      <c r="E195" s="10">
        <v>-60710.4427999861</v>
      </c>
      <c r="F195" s="10">
        <v>-10943.571739996099</v>
      </c>
      <c r="G195" s="10">
        <v>-13234.830839996901</v>
      </c>
      <c r="H195" s="10">
        <v>-6205.9988199983</v>
      </c>
      <c r="I195" s="10">
        <v>-17465.9324599969</v>
      </c>
      <c r="J195" s="10">
        <v>-3234.8304499991</v>
      </c>
      <c r="K195" s="10">
        <v>-13761.190579991498</v>
      </c>
      <c r="L195" s="10">
        <v>-10824.283369992601</v>
      </c>
      <c r="M195" s="10">
        <v>-64338.633729985304</v>
      </c>
      <c r="N195" s="10">
        <v>-35344.225189987599</v>
      </c>
      <c r="O195" s="10">
        <v>-6817.2708299989008</v>
      </c>
      <c r="P195" s="10">
        <v>-20421.132199995398</v>
      </c>
      <c r="Q195" s="10">
        <v>-63118.997189986403</v>
      </c>
      <c r="R195" s="10">
        <v>-10388.073749994899</v>
      </c>
      <c r="S195" s="10">
        <v>-1.6952400000000001</v>
      </c>
      <c r="T195" s="10">
        <v>-3.4439999999999998E-2</v>
      </c>
      <c r="U195" s="10">
        <v>-2255.7006699995</v>
      </c>
      <c r="V195" s="10">
        <v>-1521.58284</v>
      </c>
      <c r="W195" s="10">
        <v>-340588.42713990551</v>
      </c>
    </row>
    <row r="196" spans="3:23">
      <c r="C196" s="10" t="s">
        <v>246</v>
      </c>
      <c r="D196" s="15" t="s">
        <v>745</v>
      </c>
      <c r="E196" s="10">
        <v>111574.73375</v>
      </c>
      <c r="F196" s="10">
        <v>32014.096999999994</v>
      </c>
      <c r="G196" s="10">
        <v>23869.755690000002</v>
      </c>
      <c r="H196" s="10">
        <v>17461.345170000001</v>
      </c>
      <c r="I196" s="10">
        <v>12940.418029999999</v>
      </c>
      <c r="J196" s="10">
        <v>7536.1973000000007</v>
      </c>
      <c r="K196" s="10">
        <v>45071.433940000003</v>
      </c>
      <c r="L196" s="10">
        <v>20741.26179</v>
      </c>
      <c r="M196" s="10">
        <v>161416.92004</v>
      </c>
      <c r="N196" s="10">
        <v>62541.14847</v>
      </c>
      <c r="O196" s="10">
        <v>10635.670569999998</v>
      </c>
      <c r="P196" s="10">
        <v>36876.198029999992</v>
      </c>
      <c r="Q196" s="10">
        <v>247325.60589000001</v>
      </c>
      <c r="R196" s="10">
        <v>23466.599009999998</v>
      </c>
      <c r="S196" s="10">
        <v>0</v>
      </c>
      <c r="T196" s="10">
        <v>0</v>
      </c>
      <c r="U196" s="10">
        <v>5482.0203700000002</v>
      </c>
      <c r="V196" s="10">
        <v>0</v>
      </c>
      <c r="W196" s="10">
        <v>818953.40505000006</v>
      </c>
    </row>
    <row r="197" spans="3:23">
      <c r="C197" s="10" t="s">
        <v>247</v>
      </c>
      <c r="D197" s="15" t="s">
        <v>746</v>
      </c>
      <c r="E197" s="10">
        <v>2493104.8773800004</v>
      </c>
      <c r="F197" s="10">
        <v>463936.22031999996</v>
      </c>
      <c r="G197" s="10">
        <v>364698.17540000007</v>
      </c>
      <c r="H197" s="10">
        <v>468902.59234999993</v>
      </c>
      <c r="I197" s="10">
        <v>547488.28979000007</v>
      </c>
      <c r="J197" s="10">
        <v>219490.13496999998</v>
      </c>
      <c r="K197" s="10">
        <v>819654.68804999988</v>
      </c>
      <c r="L197" s="10">
        <v>628533.11400000006</v>
      </c>
      <c r="M197" s="10">
        <v>3396552.35</v>
      </c>
      <c r="N197" s="10">
        <v>1847347.33</v>
      </c>
      <c r="O197" s="10">
        <v>251279.84000000003</v>
      </c>
      <c r="P197" s="10">
        <v>686900.43</v>
      </c>
      <c r="Q197" s="10">
        <v>3057022.4200000004</v>
      </c>
      <c r="R197" s="10">
        <v>457570.25</v>
      </c>
      <c r="S197" s="10">
        <v>182848.08439989548</v>
      </c>
      <c r="T197" s="10">
        <v>629592.0236632938</v>
      </c>
      <c r="U197" s="10">
        <v>107257.25195000002</v>
      </c>
      <c r="V197" s="10">
        <v>10440.480729999999</v>
      </c>
      <c r="W197" s="10">
        <v>16632618.55300319</v>
      </c>
    </row>
    <row r="198" spans="3:23">
      <c r="C198" s="10" t="s">
        <v>248</v>
      </c>
      <c r="D198" s="15" t="s">
        <v>747</v>
      </c>
      <c r="E198" s="10">
        <v>962897.64</v>
      </c>
      <c r="F198" s="10">
        <v>231220.2</v>
      </c>
      <c r="G198" s="10">
        <v>135370.53</v>
      </c>
      <c r="H198" s="10">
        <v>246343.86</v>
      </c>
      <c r="I198" s="10">
        <v>257045.81</v>
      </c>
      <c r="J198" s="10">
        <v>97915.22</v>
      </c>
      <c r="K198" s="10">
        <v>362438.92</v>
      </c>
      <c r="L198" s="10">
        <v>302755.46999999997</v>
      </c>
      <c r="M198" s="10">
        <v>1304410.5</v>
      </c>
      <c r="N198" s="10">
        <v>592144.18000000005</v>
      </c>
      <c r="O198" s="10">
        <v>124778.69</v>
      </c>
      <c r="P198" s="10">
        <v>327836.90000000002</v>
      </c>
      <c r="Q198" s="10">
        <v>912170.11</v>
      </c>
      <c r="R198" s="10">
        <v>199481.55</v>
      </c>
      <c r="S198" s="10">
        <v>119396.3301409985</v>
      </c>
      <c r="T198" s="10">
        <v>462607.01536079886</v>
      </c>
      <c r="U198" s="10">
        <v>63654.080000000002</v>
      </c>
      <c r="V198" s="10">
        <v>12539.45996</v>
      </c>
      <c r="W198" s="10">
        <v>6715006.465461798</v>
      </c>
    </row>
    <row r="199" spans="3:23">
      <c r="C199" s="10" t="s">
        <v>748</v>
      </c>
      <c r="D199" s="15" t="s">
        <v>249</v>
      </c>
      <c r="E199" s="10">
        <v>0</v>
      </c>
      <c r="F199" s="10">
        <v>0</v>
      </c>
      <c r="G199" s="10">
        <v>0</v>
      </c>
      <c r="H199" s="10">
        <v>0</v>
      </c>
      <c r="I199" s="10">
        <v>227423.78373398352</v>
      </c>
      <c r="J199" s="10">
        <v>0</v>
      </c>
      <c r="K199" s="10">
        <v>0</v>
      </c>
      <c r="L199" s="10">
        <v>0</v>
      </c>
      <c r="M199" s="10">
        <v>0</v>
      </c>
      <c r="N199" s="10">
        <v>0</v>
      </c>
      <c r="O199" s="10">
        <v>0</v>
      </c>
      <c r="P199" s="10">
        <v>0</v>
      </c>
      <c r="Q199" s="10">
        <v>0</v>
      </c>
      <c r="R199" s="10">
        <v>0</v>
      </c>
      <c r="S199" s="10">
        <v>0</v>
      </c>
      <c r="T199" s="10">
        <v>0</v>
      </c>
      <c r="U199" s="10">
        <v>0</v>
      </c>
      <c r="V199" s="10">
        <v>0</v>
      </c>
      <c r="W199" s="10">
        <v>227423.78373398352</v>
      </c>
    </row>
    <row r="200" spans="3:23">
      <c r="C200" s="10" t="s">
        <v>749</v>
      </c>
      <c r="D200" s="15" t="s">
        <v>250</v>
      </c>
      <c r="E200" s="10">
        <v>15780.324630000001</v>
      </c>
      <c r="F200" s="10">
        <v>4136.6216100000001</v>
      </c>
      <c r="G200" s="10">
        <v>704.96646999999996</v>
      </c>
      <c r="H200" s="10">
        <v>658.73029000000008</v>
      </c>
      <c r="I200" s="10">
        <v>744.10514000000001</v>
      </c>
      <c r="J200" s="10">
        <v>545.24027999999998</v>
      </c>
      <c r="K200" s="10">
        <v>3829.8667799999998</v>
      </c>
      <c r="L200" s="10">
        <v>1697.0510099999999</v>
      </c>
      <c r="M200" s="10">
        <v>9499.7701799999995</v>
      </c>
      <c r="N200" s="10">
        <v>6207.3622100000002</v>
      </c>
      <c r="O200" s="10">
        <v>2180.82636</v>
      </c>
      <c r="P200" s="10">
        <v>926.64008999999999</v>
      </c>
      <c r="Q200" s="10">
        <v>7946.9153699999997</v>
      </c>
      <c r="R200" s="10">
        <v>15951.30219</v>
      </c>
      <c r="S200" s="10">
        <v>0</v>
      </c>
      <c r="T200" s="10">
        <v>0</v>
      </c>
      <c r="U200" s="10">
        <v>974.81668999999999</v>
      </c>
      <c r="V200" s="10">
        <v>0</v>
      </c>
      <c r="W200" s="10">
        <v>71784.539300000004</v>
      </c>
    </row>
    <row r="201" spans="3:23">
      <c r="C201" s="10" t="s">
        <v>251</v>
      </c>
      <c r="D201" s="15" t="s">
        <v>750</v>
      </c>
      <c r="E201" s="10">
        <v>2640.5525837674172</v>
      </c>
      <c r="F201" s="10">
        <v>123.80892360265517</v>
      </c>
      <c r="G201" s="10">
        <v>207.8942142819497</v>
      </c>
      <c r="H201" s="10">
        <v>1025.6454030465284</v>
      </c>
      <c r="I201" s="10">
        <v>6742.7009419770993</v>
      </c>
      <c r="J201" s="10">
        <v>183.88165861631884</v>
      </c>
      <c r="K201" s="10">
        <v>611.37815313942019</v>
      </c>
      <c r="L201" s="10">
        <v>334.47300665417845</v>
      </c>
      <c r="M201" s="10">
        <v>321.03029991419487</v>
      </c>
      <c r="N201" s="10">
        <v>467.48574693252993</v>
      </c>
      <c r="O201" s="10">
        <v>55.364005466342455</v>
      </c>
      <c r="P201" s="10">
        <v>337.18064580300751</v>
      </c>
      <c r="Q201" s="10">
        <v>275.82185278208169</v>
      </c>
      <c r="R201" s="10">
        <v>143.32957894598889</v>
      </c>
      <c r="S201" s="10">
        <v>27.374901284461728</v>
      </c>
      <c r="T201" s="10">
        <v>93.303824563377958</v>
      </c>
      <c r="U201" s="10">
        <v>13.653276397415649</v>
      </c>
      <c r="V201" s="10">
        <v>7.1848128250307202</v>
      </c>
      <c r="W201" s="10">
        <v>13612.063829999999</v>
      </c>
    </row>
    <row r="202" spans="3:23">
      <c r="C202" s="10" t="s">
        <v>230</v>
      </c>
      <c r="D202" s="15" t="s">
        <v>252</v>
      </c>
      <c r="E202" s="10">
        <v>0</v>
      </c>
      <c r="F202" s="10">
        <v>0</v>
      </c>
      <c r="G202" s="10">
        <v>0</v>
      </c>
      <c r="H202" s="10">
        <v>0</v>
      </c>
      <c r="I202" s="10">
        <v>0</v>
      </c>
      <c r="J202" s="10">
        <v>0</v>
      </c>
      <c r="K202" s="10">
        <v>0</v>
      </c>
      <c r="L202" s="10">
        <v>0</v>
      </c>
      <c r="M202" s="10">
        <v>0</v>
      </c>
      <c r="N202" s="10">
        <v>0</v>
      </c>
      <c r="O202" s="10">
        <v>0</v>
      </c>
      <c r="P202" s="10">
        <v>0</v>
      </c>
      <c r="Q202" s="10">
        <v>0</v>
      </c>
      <c r="R202" s="10">
        <v>0</v>
      </c>
      <c r="S202" s="10">
        <v>159630.27798320827</v>
      </c>
      <c r="T202" s="10">
        <v>543805.23135014495</v>
      </c>
      <c r="U202" s="10">
        <v>0</v>
      </c>
      <c r="V202" s="10">
        <v>0</v>
      </c>
      <c r="W202" s="10">
        <v>703435.50933335326</v>
      </c>
    </row>
    <row r="203" spans="3:23">
      <c r="C203" s="10"/>
      <c r="D203" s="15" t="s">
        <v>495</v>
      </c>
      <c r="E203" s="10">
        <v>5415030.3366637807</v>
      </c>
      <c r="F203" s="10">
        <v>1068456.1559136065</v>
      </c>
      <c r="G203" s="10">
        <v>726643.01077428507</v>
      </c>
      <c r="H203" s="10">
        <v>940776.17583304818</v>
      </c>
      <c r="I203" s="10">
        <v>1476819.598525964</v>
      </c>
      <c r="J203" s="10">
        <v>438941.42621861718</v>
      </c>
      <c r="K203" s="10">
        <v>1694490.8081331479</v>
      </c>
      <c r="L203" s="10">
        <v>1312987.1401566616</v>
      </c>
      <c r="M203" s="10">
        <v>6988207.4266699282</v>
      </c>
      <c r="N203" s="10">
        <v>3599730.2744469456</v>
      </c>
      <c r="O203" s="10">
        <v>580963.62509546755</v>
      </c>
      <c r="P203" s="10">
        <v>1565595.0122058075</v>
      </c>
      <c r="Q203" s="10">
        <v>6132875.6828427957</v>
      </c>
      <c r="R203" s="10">
        <v>965322.33063895104</v>
      </c>
      <c r="S203" s="10">
        <v>462732.96727538668</v>
      </c>
      <c r="T203" s="10">
        <v>1639203.5967088011</v>
      </c>
      <c r="U203" s="10">
        <v>234606.61949639794</v>
      </c>
      <c r="V203" s="10">
        <v>56899.963702825022</v>
      </c>
      <c r="W203" s="10">
        <v>35300282.15130242</v>
      </c>
    </row>
    <row r="204" spans="3:23">
      <c r="C204" s="10"/>
      <c r="D204" s="10" t="s">
        <v>680</v>
      </c>
      <c r="E204" s="10">
        <v>6798418.8777364762</v>
      </c>
      <c r="F204" s="10">
        <v>1327407.1116747311</v>
      </c>
      <c r="G204" s="10">
        <v>926508.14575528505</v>
      </c>
      <c r="H204" s="10">
        <v>1083671.0710880002</v>
      </c>
      <c r="I204" s="10">
        <v>2249868.5377205843</v>
      </c>
      <c r="J204" s="10">
        <v>536894.09756824246</v>
      </c>
      <c r="K204" s="10">
        <v>2288862.2878821483</v>
      </c>
      <c r="L204" s="10">
        <v>1742493.4045516616</v>
      </c>
      <c r="M204" s="10">
        <v>7993958.681860921</v>
      </c>
      <c r="N204" s="10">
        <v>4315045.1307199458</v>
      </c>
      <c r="O204" s="10">
        <v>852356.54392746754</v>
      </c>
      <c r="P204" s="10">
        <v>2084179.4412398075</v>
      </c>
      <c r="Q204" s="10">
        <v>6920773.408564344</v>
      </c>
      <c r="R204" s="10">
        <v>1160330.6813199511</v>
      </c>
      <c r="S204" s="10">
        <v>562878.36328094336</v>
      </c>
      <c r="T204" s="10">
        <v>1981983.120418147</v>
      </c>
      <c r="U204" s="10">
        <v>287159.03002231743</v>
      </c>
      <c r="V204" s="10">
        <v>67734.713254825023</v>
      </c>
      <c r="W204" s="10">
        <v>43180522.648585804</v>
      </c>
    </row>
    <row r="205" spans="3:23">
      <c r="C205" s="10" t="s">
        <v>667</v>
      </c>
      <c r="D205" s="10" t="s">
        <v>751</v>
      </c>
      <c r="E205" s="10" t="s">
        <v>9</v>
      </c>
      <c r="F205" s="10" t="s">
        <v>10</v>
      </c>
      <c r="G205" s="10" t="s">
        <v>11</v>
      </c>
      <c r="H205" s="10" t="s">
        <v>31</v>
      </c>
      <c r="I205" s="10" t="s">
        <v>12</v>
      </c>
      <c r="J205" s="10" t="s">
        <v>13</v>
      </c>
      <c r="K205" s="10" t="s">
        <v>14</v>
      </c>
      <c r="L205" s="10" t="s">
        <v>15</v>
      </c>
      <c r="M205" s="10" t="s">
        <v>16</v>
      </c>
      <c r="N205" s="10" t="s">
        <v>17</v>
      </c>
      <c r="O205" s="10" t="s">
        <v>18</v>
      </c>
      <c r="P205" s="10" t="s">
        <v>19</v>
      </c>
      <c r="Q205" s="10" t="s">
        <v>20</v>
      </c>
      <c r="R205" s="10" t="s">
        <v>60</v>
      </c>
      <c r="S205" s="10" t="s">
        <v>61</v>
      </c>
      <c r="T205" s="10" t="s">
        <v>62</v>
      </c>
      <c r="U205" s="10" t="s">
        <v>63</v>
      </c>
      <c r="V205" s="10" t="s">
        <v>64</v>
      </c>
      <c r="W205" s="10" t="s">
        <v>668</v>
      </c>
    </row>
    <row r="206" spans="3:23">
      <c r="C206" s="10" t="s">
        <v>253</v>
      </c>
      <c r="D206" s="10" t="s">
        <v>752</v>
      </c>
      <c r="E206" s="10">
        <v>6499.7417622826806</v>
      </c>
      <c r="F206" s="10">
        <v>11262.645052324951</v>
      </c>
      <c r="G206" s="10">
        <v>0</v>
      </c>
      <c r="H206" s="10">
        <v>643.11881288089103</v>
      </c>
      <c r="I206" s="10">
        <v>0</v>
      </c>
      <c r="J206" s="10">
        <v>0</v>
      </c>
      <c r="K206" s="10">
        <v>5896.7797732378776</v>
      </c>
      <c r="L206" s="10">
        <v>0</v>
      </c>
      <c r="M206" s="10">
        <v>6161.0344614713022</v>
      </c>
      <c r="N206" s="10">
        <v>0</v>
      </c>
      <c r="O206" s="10">
        <v>0</v>
      </c>
      <c r="P206" s="10">
        <v>0</v>
      </c>
      <c r="Q206" s="10">
        <v>0</v>
      </c>
      <c r="R206" s="10">
        <v>0</v>
      </c>
      <c r="S206" s="10">
        <v>0</v>
      </c>
      <c r="T206" s="10">
        <v>1326.7051549639962</v>
      </c>
      <c r="U206" s="10">
        <v>614.04263283829891</v>
      </c>
      <c r="V206" s="10">
        <v>0</v>
      </c>
      <c r="W206" s="10">
        <v>32404.067649999997</v>
      </c>
    </row>
    <row r="207" spans="3:23">
      <c r="C207" s="10" t="s">
        <v>254</v>
      </c>
      <c r="D207" s="10" t="s">
        <v>753</v>
      </c>
      <c r="E207" s="10">
        <v>62934.532443302553</v>
      </c>
      <c r="F207" s="10">
        <v>16546.092635997356</v>
      </c>
      <c r="G207" s="10">
        <v>7638.3472613477661</v>
      </c>
      <c r="H207" s="10">
        <v>1693.094306322098</v>
      </c>
      <c r="I207" s="10">
        <v>27989.7278198805</v>
      </c>
      <c r="J207" s="10">
        <v>4619.8030154146918</v>
      </c>
      <c r="K207" s="10">
        <v>12862.175775257878</v>
      </c>
      <c r="L207" s="10">
        <v>22933.123866705027</v>
      </c>
      <c r="M207" s="10">
        <v>262304.66474329296</v>
      </c>
      <c r="N207" s="10">
        <v>42780.84642014531</v>
      </c>
      <c r="O207" s="10">
        <v>4596.2125249564688</v>
      </c>
      <c r="P207" s="10">
        <v>18723.007881735699</v>
      </c>
      <c r="Q207" s="10">
        <v>286372.13908085832</v>
      </c>
      <c r="R207" s="10">
        <v>7728.5890370311063</v>
      </c>
      <c r="S207" s="10">
        <v>9269.5216794645858</v>
      </c>
      <c r="T207" s="10">
        <v>20761.701759015348</v>
      </c>
      <c r="U207" s="10">
        <v>4687.1281668943366</v>
      </c>
      <c r="V207" s="10">
        <v>543.74973237806569</v>
      </c>
      <c r="W207" s="10">
        <v>814984.45814999996</v>
      </c>
    </row>
    <row r="208" spans="3:23">
      <c r="C208" s="10" t="s">
        <v>255</v>
      </c>
      <c r="D208" s="10" t="s">
        <v>754</v>
      </c>
      <c r="E208" s="10">
        <v>3589.4421843539503</v>
      </c>
      <c r="F208" s="10">
        <v>1254.6439553637003</v>
      </c>
      <c r="G208" s="10">
        <v>990.21454054060382</v>
      </c>
      <c r="H208" s="10">
        <v>165.94403552646736</v>
      </c>
      <c r="I208" s="10">
        <v>832.01012921773668</v>
      </c>
      <c r="J208" s="10">
        <v>528.29077350012187</v>
      </c>
      <c r="K208" s="10">
        <v>2989.4908628403364</v>
      </c>
      <c r="L208" s="10">
        <v>1720.1297548141092</v>
      </c>
      <c r="M208" s="10">
        <v>3102.0204550529179</v>
      </c>
      <c r="N208" s="10">
        <v>2004.4585796071344</v>
      </c>
      <c r="O208" s="10">
        <v>974.3441861390379</v>
      </c>
      <c r="P208" s="10">
        <v>1973.7842014643379</v>
      </c>
      <c r="Q208" s="10">
        <v>2781.9971942256611</v>
      </c>
      <c r="R208" s="10">
        <v>639.58221630425203</v>
      </c>
      <c r="S208" s="10">
        <v>300.78297974579152</v>
      </c>
      <c r="T208" s="10">
        <v>1339.6220140645287</v>
      </c>
      <c r="U208" s="10">
        <v>221.78530331448007</v>
      </c>
      <c r="V208" s="10">
        <v>50.39919392482966</v>
      </c>
      <c r="W208" s="10">
        <v>25458.942559999996</v>
      </c>
    </row>
    <row r="209" spans="3:23">
      <c r="C209" s="10" t="s">
        <v>256</v>
      </c>
      <c r="D209" s="10" t="s">
        <v>755</v>
      </c>
      <c r="E209" s="10">
        <v>15708.093002358253</v>
      </c>
      <c r="F209" s="10">
        <v>3431.6488791100651</v>
      </c>
      <c r="G209" s="10">
        <v>3147.2781112828725</v>
      </c>
      <c r="H209" s="10">
        <v>1505.5228102465726</v>
      </c>
      <c r="I209" s="10">
        <v>3730.5454552235674</v>
      </c>
      <c r="J209" s="10">
        <v>1659.6937617019523</v>
      </c>
      <c r="K209" s="10">
        <v>8684.6196150882697</v>
      </c>
      <c r="L209" s="10">
        <v>5473.6187915949531</v>
      </c>
      <c r="M209" s="10">
        <v>14725.551447946664</v>
      </c>
      <c r="N209" s="10">
        <v>9292.7299665980481</v>
      </c>
      <c r="O209" s="10">
        <v>2435.6831453148802</v>
      </c>
      <c r="P209" s="10">
        <v>7256.0124795209567</v>
      </c>
      <c r="Q209" s="10">
        <v>12726.788319793852</v>
      </c>
      <c r="R209" s="10">
        <v>2490.2036834580522</v>
      </c>
      <c r="S209" s="10">
        <v>1260.5316615904912</v>
      </c>
      <c r="T209" s="10">
        <v>5153.3101260514886</v>
      </c>
      <c r="U209" s="10">
        <v>773.80730018352267</v>
      </c>
      <c r="V209" s="10">
        <v>231.0339329355395</v>
      </c>
      <c r="W209" s="10">
        <v>99686.672490000012</v>
      </c>
    </row>
    <row r="210" spans="3:23">
      <c r="C210" s="10" t="s">
        <v>756</v>
      </c>
      <c r="D210" s="10" t="s">
        <v>757</v>
      </c>
      <c r="E210" s="10">
        <v>10336.54434349256</v>
      </c>
      <c r="F210" s="10">
        <v>3705.3324588611345</v>
      </c>
      <c r="G210" s="10">
        <v>1584.2071137392711</v>
      </c>
      <c r="H210" s="10">
        <v>879.4871005279274</v>
      </c>
      <c r="I210" s="10">
        <v>2749.0616325040814</v>
      </c>
      <c r="J210" s="10">
        <v>994.13195780440412</v>
      </c>
      <c r="K210" s="10">
        <v>4541.4936918144767</v>
      </c>
      <c r="L210" s="10">
        <v>3684.9322061547264</v>
      </c>
      <c r="M210" s="10">
        <v>6339.5149006416987</v>
      </c>
      <c r="N210" s="10">
        <v>5550.2796077402199</v>
      </c>
      <c r="O210" s="10">
        <v>3853.8365949962513</v>
      </c>
      <c r="P210" s="10">
        <v>2587.1546231936004</v>
      </c>
      <c r="Q210" s="10">
        <v>6067.0203189293015</v>
      </c>
      <c r="R210" s="10">
        <v>2689.7914797140011</v>
      </c>
      <c r="S210" s="10">
        <v>791.09770843255694</v>
      </c>
      <c r="T210" s="10">
        <v>2303.8710016849768</v>
      </c>
      <c r="U210" s="10">
        <v>463.83980367345004</v>
      </c>
      <c r="V210" s="10">
        <v>312.53804504383584</v>
      </c>
      <c r="W210" s="10">
        <v>59434.134588948487</v>
      </c>
    </row>
    <row r="211" spans="3:23">
      <c r="C211" s="10" t="s">
        <v>257</v>
      </c>
      <c r="D211" s="10" t="s">
        <v>758</v>
      </c>
      <c r="E211" s="10">
        <v>166374.8333805931</v>
      </c>
      <c r="F211" s="10">
        <v>89785.814372115798</v>
      </c>
      <c r="G211" s="10">
        <v>4677.6891132132259</v>
      </c>
      <c r="H211" s="10">
        <v>1956.0265458192473</v>
      </c>
      <c r="I211" s="10">
        <v>20244.834029649268</v>
      </c>
      <c r="J211" s="10">
        <v>2746.0348712257446</v>
      </c>
      <c r="K211" s="10">
        <v>91198.629220271163</v>
      </c>
      <c r="L211" s="10">
        <v>74463.380091658706</v>
      </c>
      <c r="M211" s="10">
        <v>32405.789237004617</v>
      </c>
      <c r="N211" s="10">
        <v>69292.521624814341</v>
      </c>
      <c r="O211" s="10">
        <v>90884.325639847026</v>
      </c>
      <c r="P211" s="10">
        <v>9873.8166169050965</v>
      </c>
      <c r="Q211" s="10">
        <v>62653.933770086158</v>
      </c>
      <c r="R211" s="10">
        <v>68564.024291477719</v>
      </c>
      <c r="S211" s="10">
        <v>13490.440738085978</v>
      </c>
      <c r="T211" s="10">
        <v>12404.627762888107</v>
      </c>
      <c r="U211" s="10">
        <v>8605.4832031526748</v>
      </c>
      <c r="V211" s="10">
        <v>6198.535161192066</v>
      </c>
      <c r="W211" s="10">
        <v>825820.73967000004</v>
      </c>
    </row>
    <row r="212" spans="3:23">
      <c r="C212" s="10" t="s">
        <v>258</v>
      </c>
      <c r="D212" s="10" t="s">
        <v>759</v>
      </c>
      <c r="E212" s="10">
        <v>1454.7875320572489</v>
      </c>
      <c r="F212" s="10">
        <v>230.84140469877548</v>
      </c>
      <c r="G212" s="10">
        <v>183.97287801185789</v>
      </c>
      <c r="H212" s="10">
        <v>191.33163420151007</v>
      </c>
      <c r="I212" s="10">
        <v>364.80618128363153</v>
      </c>
      <c r="J212" s="10">
        <v>101.97001546049395</v>
      </c>
      <c r="K212" s="10">
        <v>433.14392989943445</v>
      </c>
      <c r="L212" s="10">
        <v>361.01559480105755</v>
      </c>
      <c r="M212" s="10">
        <v>1301.8984997078589</v>
      </c>
      <c r="N212" s="10">
        <v>874.00369208556936</v>
      </c>
      <c r="O212" s="10">
        <v>190.34004407230992</v>
      </c>
      <c r="P212" s="10">
        <v>476.32906203325001</v>
      </c>
      <c r="Q212" s="10">
        <v>1118.5612586089612</v>
      </c>
      <c r="R212" s="10">
        <v>253.84595019443194</v>
      </c>
      <c r="S212" s="10">
        <v>111.01551137514798</v>
      </c>
      <c r="T212" s="10">
        <v>378.38206938265381</v>
      </c>
      <c r="U212" s="10">
        <v>55.369166283192314</v>
      </c>
      <c r="V212" s="10">
        <v>29.137115842614833</v>
      </c>
      <c r="W212" s="10">
        <v>8110.7515399999993</v>
      </c>
    </row>
    <row r="213" spans="3:23">
      <c r="C213" s="10" t="s">
        <v>259</v>
      </c>
      <c r="D213" s="10" t="s">
        <v>760</v>
      </c>
      <c r="E213" s="10">
        <v>51689.011186552772</v>
      </c>
      <c r="F213" s="10">
        <v>2810.0469066473925</v>
      </c>
      <c r="G213" s="10">
        <v>3672.4579381825492</v>
      </c>
      <c r="H213" s="10">
        <v>4050.5955019128505</v>
      </c>
      <c r="I213" s="10">
        <v>14567.764781615519</v>
      </c>
      <c r="J213" s="10">
        <v>1115.2112796616082</v>
      </c>
      <c r="K213" s="10">
        <v>4153.7645264071598</v>
      </c>
      <c r="L213" s="10">
        <v>3340.4968116565992</v>
      </c>
      <c r="M213" s="10">
        <v>14148.427869870789</v>
      </c>
      <c r="N213" s="10">
        <v>6267.5744271164822</v>
      </c>
      <c r="O213" s="10">
        <v>8770.9926498983605</v>
      </c>
      <c r="P213" s="10">
        <v>4404.5209692561402</v>
      </c>
      <c r="Q213" s="10">
        <v>34934.407837830928</v>
      </c>
      <c r="R213" s="10">
        <v>1904.4590333150504</v>
      </c>
      <c r="S213" s="10">
        <v>804.77868461434196</v>
      </c>
      <c r="T213" s="10">
        <v>2080.0845768939948</v>
      </c>
      <c r="U213" s="10">
        <v>176.44737654276801</v>
      </c>
      <c r="V213" s="10">
        <v>39.16377202470084</v>
      </c>
      <c r="W213" s="10">
        <v>158930.20613000001</v>
      </c>
    </row>
    <row r="214" spans="3:23">
      <c r="C214" s="10" t="s">
        <v>260</v>
      </c>
      <c r="D214" s="10" t="s">
        <v>261</v>
      </c>
      <c r="E214" s="10">
        <v>339775.81814766413</v>
      </c>
      <c r="F214" s="10">
        <v>121031.7160380516</v>
      </c>
      <c r="G214" s="10">
        <v>119755.76938521487</v>
      </c>
      <c r="H214" s="10">
        <v>2994.2706534000836</v>
      </c>
      <c r="I214" s="10">
        <v>56497.220231967141</v>
      </c>
      <c r="J214" s="10">
        <v>54841.545892478352</v>
      </c>
      <c r="K214" s="10">
        <v>200122.27128273415</v>
      </c>
      <c r="L214" s="10">
        <v>95654.408173128322</v>
      </c>
      <c r="M214" s="10">
        <v>193080.32773488649</v>
      </c>
      <c r="N214" s="10">
        <v>98818.7803984825</v>
      </c>
      <c r="O214" s="10">
        <v>21253.760046868578</v>
      </c>
      <c r="P214" s="10">
        <v>156415.4666444266</v>
      </c>
      <c r="Q214" s="10">
        <v>70254.39482876219</v>
      </c>
      <c r="R214" s="10">
        <v>32827.00847021379</v>
      </c>
      <c r="S214" s="10">
        <v>26683.779152375864</v>
      </c>
      <c r="T214" s="10">
        <v>83380.693026438923</v>
      </c>
      <c r="U214" s="10">
        <v>34678.898307174328</v>
      </c>
      <c r="V214" s="10">
        <v>1219.9981013946494</v>
      </c>
      <c r="W214" s="10">
        <v>1709286.1265156623</v>
      </c>
    </row>
    <row r="215" spans="3:23">
      <c r="C215" s="10" t="s">
        <v>262</v>
      </c>
      <c r="D215" s="10" t="s">
        <v>263</v>
      </c>
      <c r="E215" s="10">
        <v>121971.11307766869</v>
      </c>
      <c r="F215" s="10">
        <v>94410.293238697865</v>
      </c>
      <c r="G215" s="10">
        <v>29376.210120433756</v>
      </c>
      <c r="H215" s="10">
        <v>1850.8208651764874</v>
      </c>
      <c r="I215" s="10">
        <v>4168.8505290114945</v>
      </c>
      <c r="J215" s="10">
        <v>30071.498638823537</v>
      </c>
      <c r="K215" s="10">
        <v>162624.29884055193</v>
      </c>
      <c r="L215" s="10">
        <v>142400.4950135416</v>
      </c>
      <c r="M215" s="10">
        <v>77702.121881655985</v>
      </c>
      <c r="N215" s="10">
        <v>74665.911526502867</v>
      </c>
      <c r="O215" s="10">
        <v>26725.943346357824</v>
      </c>
      <c r="P215" s="10">
        <v>64836.573053348278</v>
      </c>
      <c r="Q215" s="10">
        <v>110156.39111418308</v>
      </c>
      <c r="R215" s="10">
        <v>33234.057123954299</v>
      </c>
      <c r="S215" s="10">
        <v>17380.128433420679</v>
      </c>
      <c r="T215" s="10">
        <v>54562.898489345142</v>
      </c>
      <c r="U215" s="10">
        <v>9048.2343796903169</v>
      </c>
      <c r="V215" s="10">
        <v>1556.5940163689286</v>
      </c>
      <c r="W215" s="10">
        <v>1056742.4336887328</v>
      </c>
    </row>
    <row r="216" spans="3:23">
      <c r="C216" s="10" t="s">
        <v>264</v>
      </c>
      <c r="D216" s="10" t="s">
        <v>761</v>
      </c>
      <c r="E216" s="10">
        <v>2712.1984156706244</v>
      </c>
      <c r="F216" s="10">
        <v>683.43113052371905</v>
      </c>
      <c r="G216" s="10">
        <v>619.40820447247052</v>
      </c>
      <c r="H216" s="10">
        <v>275.14079972223851</v>
      </c>
      <c r="I216" s="10">
        <v>377.88401746439428</v>
      </c>
      <c r="J216" s="10">
        <v>352.43644181524542</v>
      </c>
      <c r="K216" s="10">
        <v>1601.6444822630779</v>
      </c>
      <c r="L216" s="10">
        <v>926.2167692631682</v>
      </c>
      <c r="M216" s="10">
        <v>4673.5215063119376</v>
      </c>
      <c r="N216" s="10">
        <v>1592.1487073969579</v>
      </c>
      <c r="O216" s="10">
        <v>671.43956798388922</v>
      </c>
      <c r="P216" s="10">
        <v>1296.8842551871207</v>
      </c>
      <c r="Q216" s="10">
        <v>2983.7396419450038</v>
      </c>
      <c r="R216" s="10">
        <v>724.08371293870641</v>
      </c>
      <c r="S216" s="10">
        <v>571.24007741821958</v>
      </c>
      <c r="T216" s="10">
        <v>1518.8515169977509</v>
      </c>
      <c r="U216" s="10">
        <v>375.9430142497929</v>
      </c>
      <c r="V216" s="10">
        <v>24.467058375687355</v>
      </c>
      <c r="W216" s="10">
        <v>21980.679320000007</v>
      </c>
    </row>
    <row r="217" spans="3:23">
      <c r="C217" s="10" t="s">
        <v>265</v>
      </c>
      <c r="D217" s="10" t="s">
        <v>762</v>
      </c>
      <c r="E217" s="10">
        <v>6266.6633790134829</v>
      </c>
      <c r="F217" s="10">
        <v>2219.5267457032692</v>
      </c>
      <c r="G217" s="10">
        <v>947.13863703712707</v>
      </c>
      <c r="H217" s="10">
        <v>807.0001554430977</v>
      </c>
      <c r="I217" s="10">
        <v>2436.9497796730443</v>
      </c>
      <c r="J217" s="10">
        <v>706.98052460808583</v>
      </c>
      <c r="K217" s="10">
        <v>2862.0362996682647</v>
      </c>
      <c r="L217" s="10">
        <v>1999.8604123660016</v>
      </c>
      <c r="M217" s="10">
        <v>9016.9834329440273</v>
      </c>
      <c r="N217" s="10">
        <v>4230.5383058216621</v>
      </c>
      <c r="O217" s="10">
        <v>652.17822717921285</v>
      </c>
      <c r="P217" s="10">
        <v>2512.1165696411854</v>
      </c>
      <c r="Q217" s="10">
        <v>6272.7294051346798</v>
      </c>
      <c r="R217" s="10">
        <v>1842.5965306864296</v>
      </c>
      <c r="S217" s="10">
        <v>1317.2660200793546</v>
      </c>
      <c r="T217" s="10">
        <v>2871.0242682849753</v>
      </c>
      <c r="U217" s="10">
        <v>552.02623176574707</v>
      </c>
      <c r="V217" s="10">
        <v>283.32153495034544</v>
      </c>
      <c r="W217" s="10">
        <v>47796.936459999997</v>
      </c>
    </row>
    <row r="218" spans="3:23">
      <c r="C218" s="10" t="s">
        <v>266</v>
      </c>
      <c r="D218" s="10" t="s">
        <v>763</v>
      </c>
      <c r="E218" s="10">
        <v>8259.0951128095367</v>
      </c>
      <c r="F218" s="10">
        <v>1479.2982769790881</v>
      </c>
      <c r="G218" s="10">
        <v>1201.5993592719813</v>
      </c>
      <c r="H218" s="10">
        <v>1950.6085299787835</v>
      </c>
      <c r="I218" s="10">
        <v>3059.4321305215703</v>
      </c>
      <c r="J218" s="10">
        <v>671.35384462658055</v>
      </c>
      <c r="K218" s="10">
        <v>2337.315634744959</v>
      </c>
      <c r="L218" s="10">
        <v>2154.5623739969701</v>
      </c>
      <c r="M218" s="10">
        <v>9502.0179163080356</v>
      </c>
      <c r="N218" s="10">
        <v>5320.3655277993494</v>
      </c>
      <c r="O218" s="10">
        <v>1020.4703112953869</v>
      </c>
      <c r="P218" s="10">
        <v>2783.053131729695</v>
      </c>
      <c r="Q218" s="10">
        <v>8061.3795838132201</v>
      </c>
      <c r="R218" s="10">
        <v>1482.9120189931336</v>
      </c>
      <c r="S218" s="10">
        <v>728.64335944675747</v>
      </c>
      <c r="T218" s="10">
        <v>2563.0150970819604</v>
      </c>
      <c r="U218" s="10">
        <v>335.33705727648965</v>
      </c>
      <c r="V218" s="10">
        <v>201.39139332650683</v>
      </c>
      <c r="W218" s="10">
        <v>53111.850660000004</v>
      </c>
    </row>
    <row r="219" spans="3:23">
      <c r="C219" s="10" t="s">
        <v>267</v>
      </c>
      <c r="D219" s="10" t="s">
        <v>268</v>
      </c>
      <c r="E219" s="10">
        <v>5931.9094803174412</v>
      </c>
      <c r="F219" s="10">
        <v>13581.875901612433</v>
      </c>
      <c r="G219" s="10">
        <v>24994.735343906257</v>
      </c>
      <c r="H219" s="10">
        <v>0</v>
      </c>
      <c r="I219" s="10">
        <v>7999.5224994761465</v>
      </c>
      <c r="J219" s="10">
        <v>20876.281351610029</v>
      </c>
      <c r="K219" s="10">
        <v>915.47931284397146</v>
      </c>
      <c r="L219" s="10">
        <v>300.36841858759567</v>
      </c>
      <c r="M219" s="10">
        <v>357.01942821797684</v>
      </c>
      <c r="N219" s="10">
        <v>114.97230922090019</v>
      </c>
      <c r="O219" s="10">
        <v>31950.884934270609</v>
      </c>
      <c r="P219" s="10">
        <v>9976.345282222419</v>
      </c>
      <c r="Q219" s="10">
        <v>419.02719277583361</v>
      </c>
      <c r="R219" s="10">
        <v>14.987503872923996</v>
      </c>
      <c r="S219" s="10">
        <v>134.97522970242545</v>
      </c>
      <c r="T219" s="10">
        <v>14140.178875450682</v>
      </c>
      <c r="U219" s="10">
        <v>99.08701423993098</v>
      </c>
      <c r="V219" s="10">
        <v>2092.2923816724388</v>
      </c>
      <c r="W219" s="10">
        <v>133899.94246000002</v>
      </c>
    </row>
    <row r="220" spans="3:23">
      <c r="C220" s="10" t="s">
        <v>269</v>
      </c>
      <c r="D220" s="10" t="s">
        <v>270</v>
      </c>
      <c r="E220" s="10">
        <v>2421.6716482446109</v>
      </c>
      <c r="F220" s="10">
        <v>351.38109558876795</v>
      </c>
      <c r="G220" s="10">
        <v>280.03897965696399</v>
      </c>
      <c r="H220" s="10">
        <v>291.24029692266305</v>
      </c>
      <c r="I220" s="10">
        <v>555.29897604057123</v>
      </c>
      <c r="J220" s="10">
        <v>155.2162437950285</v>
      </c>
      <c r="K220" s="10">
        <v>659.3210123387156</v>
      </c>
      <c r="L220" s="10">
        <v>549.52903874137291</v>
      </c>
      <c r="M220" s="10">
        <v>2011.7178021839832</v>
      </c>
      <c r="N220" s="10">
        <v>1330.3868743755077</v>
      </c>
      <c r="O220" s="10">
        <v>289.7309228724227</v>
      </c>
      <c r="P220" s="10">
        <v>725.05635588389498</v>
      </c>
      <c r="Q220" s="10">
        <v>1835.2877833663674</v>
      </c>
      <c r="R220" s="10">
        <v>386.39804764004049</v>
      </c>
      <c r="S220" s="10">
        <v>168.9850746890458</v>
      </c>
      <c r="T220" s="10">
        <v>575.9638582355559</v>
      </c>
      <c r="U220" s="10">
        <v>84.281579969643929</v>
      </c>
      <c r="V220" s="10">
        <v>44.351799454845185</v>
      </c>
      <c r="W220" s="10">
        <v>12715.857390000001</v>
      </c>
    </row>
    <row r="221" spans="3:23">
      <c r="C221" s="10" t="s">
        <v>271</v>
      </c>
      <c r="D221" s="10" t="s">
        <v>272</v>
      </c>
      <c r="E221" s="10">
        <v>20560.566434493048</v>
      </c>
      <c r="F221" s="10">
        <v>6083.7397230250062</v>
      </c>
      <c r="G221" s="10">
        <v>6981.5447835236482</v>
      </c>
      <c r="H221" s="10">
        <v>2349.5610406339574</v>
      </c>
      <c r="I221" s="10">
        <v>9457.8490513275519</v>
      </c>
      <c r="J221" s="10">
        <v>1351.8748114949399</v>
      </c>
      <c r="K221" s="10">
        <v>25383.474251088635</v>
      </c>
      <c r="L221" s="10">
        <v>23845.603191560527</v>
      </c>
      <c r="M221" s="10">
        <v>15140.77124336194</v>
      </c>
      <c r="N221" s="10">
        <v>11430.144180377943</v>
      </c>
      <c r="O221" s="10">
        <v>10962.350526466229</v>
      </c>
      <c r="P221" s="10">
        <v>9078.2226593191808</v>
      </c>
      <c r="Q221" s="10">
        <v>12676.874108689361</v>
      </c>
      <c r="R221" s="10">
        <v>3834.1211379331698</v>
      </c>
      <c r="S221" s="10">
        <v>2007.5236069231828</v>
      </c>
      <c r="T221" s="10">
        <v>6904.7552212841829</v>
      </c>
      <c r="U221" s="10">
        <v>1452.7449108187714</v>
      </c>
      <c r="V221" s="10">
        <v>250.85222802415956</v>
      </c>
      <c r="W221" s="10">
        <v>169752.5731103454</v>
      </c>
    </row>
    <row r="222" spans="3:23">
      <c r="C222" s="10" t="s">
        <v>273</v>
      </c>
      <c r="D222" s="10" t="s">
        <v>274</v>
      </c>
      <c r="E222" s="10">
        <v>7467.4919842086438</v>
      </c>
      <c r="F222" s="10">
        <v>521.354324824174</v>
      </c>
      <c r="G222" s="10">
        <v>1385.2717770210729</v>
      </c>
      <c r="H222" s="10">
        <v>1740.2562967937472</v>
      </c>
      <c r="I222" s="10">
        <v>20937.112222471402</v>
      </c>
      <c r="J222" s="10">
        <v>1076.661898329734</v>
      </c>
      <c r="K222" s="10">
        <v>901.12438847193243</v>
      </c>
      <c r="L222" s="10">
        <v>695.59552303175599</v>
      </c>
      <c r="M222" s="10">
        <v>6618.137275603649</v>
      </c>
      <c r="N222" s="10">
        <v>15315.907799427585</v>
      </c>
      <c r="O222" s="10">
        <v>345.03517027571138</v>
      </c>
      <c r="P222" s="10">
        <v>4741.4848654821535</v>
      </c>
      <c r="Q222" s="10">
        <v>2825.5705629364679</v>
      </c>
      <c r="R222" s="10">
        <v>1638.8984982799834</v>
      </c>
      <c r="S222" s="10">
        <v>265.42722062408501</v>
      </c>
      <c r="T222" s="10">
        <v>2614.1469761517264</v>
      </c>
      <c r="U222" s="10">
        <v>122.89197893250609</v>
      </c>
      <c r="V222" s="10">
        <v>120.69309713366465</v>
      </c>
      <c r="W222" s="10">
        <v>69333.061859999987</v>
      </c>
    </row>
    <row r="223" spans="3:23">
      <c r="C223" s="10" t="s">
        <v>275</v>
      </c>
      <c r="D223" s="10" t="s">
        <v>764</v>
      </c>
      <c r="E223" s="10">
        <v>3545.0279149733815</v>
      </c>
      <c r="F223" s="10">
        <v>562.51459787505473</v>
      </c>
      <c r="G223" s="10">
        <v>448.30531866584892</v>
      </c>
      <c r="H223" s="10">
        <v>466.2371441296745</v>
      </c>
      <c r="I223" s="10">
        <v>888.96011802940143</v>
      </c>
      <c r="J223" s="10">
        <v>248.48064980769516</v>
      </c>
      <c r="K223" s="10">
        <v>1055.4856216861936</v>
      </c>
      <c r="L223" s="10">
        <v>879.72321257156955</v>
      </c>
      <c r="M223" s="10">
        <v>3172.4677468191994</v>
      </c>
      <c r="N223" s="10">
        <v>2129.7731922761736</v>
      </c>
      <c r="O223" s="10">
        <v>463.82083617351839</v>
      </c>
      <c r="P223" s="10">
        <v>1160.7192008533855</v>
      </c>
      <c r="Q223" s="10">
        <v>2725.7113489067788</v>
      </c>
      <c r="R223" s="10">
        <v>618.57210053872757</v>
      </c>
      <c r="S223" s="10">
        <v>270.52272455443165</v>
      </c>
      <c r="T223" s="10">
        <v>922.0418576106664</v>
      </c>
      <c r="U223" s="10">
        <v>134.92364745877919</v>
      </c>
      <c r="V223" s="10">
        <v>71.001357069520168</v>
      </c>
      <c r="W223" s="10">
        <v>19764.28859</v>
      </c>
    </row>
    <row r="224" spans="3:23">
      <c r="C224" s="10" t="s">
        <v>276</v>
      </c>
      <c r="D224" s="10" t="s">
        <v>765</v>
      </c>
      <c r="E224" s="10">
        <v>31.581284638565357</v>
      </c>
      <c r="F224" s="10">
        <v>11.038837189552936</v>
      </c>
      <c r="G224" s="10">
        <v>8.7122861023843452</v>
      </c>
      <c r="H224" s="10">
        <v>1.4600390675959096</v>
      </c>
      <c r="I224" s="10">
        <v>7.3203432075126704</v>
      </c>
      <c r="J224" s="10">
        <v>4.6481041991871823</v>
      </c>
      <c r="K224" s="10">
        <v>26.30268354099255</v>
      </c>
      <c r="L224" s="10">
        <v>15.134359215714062</v>
      </c>
      <c r="M224" s="10">
        <v>27.292761915124903</v>
      </c>
      <c r="N224" s="10">
        <v>17.635992919657809</v>
      </c>
      <c r="O224" s="10">
        <v>8.5726526568714245</v>
      </c>
      <c r="P224" s="10">
        <v>17.366108013456707</v>
      </c>
      <c r="Q224" s="10">
        <v>24.477074916403538</v>
      </c>
      <c r="R224" s="10">
        <v>5.6272888614598395</v>
      </c>
      <c r="S224" s="10">
        <v>2.6464036499023287</v>
      </c>
      <c r="T224" s="10">
        <v>11.786506638461082</v>
      </c>
      <c r="U224" s="10">
        <v>1.9513518905962872</v>
      </c>
      <c r="V224" s="10">
        <v>0.4434313765610291</v>
      </c>
      <c r="W224" s="10">
        <v>223.99750999999995</v>
      </c>
    </row>
    <row r="225" spans="3:23">
      <c r="C225" s="10" t="s">
        <v>277</v>
      </c>
      <c r="D225" s="10" t="s">
        <v>766</v>
      </c>
      <c r="E225" s="10">
        <v>31626.064612878712</v>
      </c>
      <c r="F225" s="10">
        <v>12071.977167200215</v>
      </c>
      <c r="G225" s="10">
        <v>6112.7180884932941</v>
      </c>
      <c r="H225" s="10">
        <v>18737.633576416785</v>
      </c>
      <c r="I225" s="10">
        <v>71370.224953909026</v>
      </c>
      <c r="J225" s="10">
        <v>4871.6774976011675</v>
      </c>
      <c r="K225" s="10">
        <v>32385.86613051426</v>
      </c>
      <c r="L225" s="10">
        <v>23614.787189353661</v>
      </c>
      <c r="M225" s="10">
        <v>28287.170160222198</v>
      </c>
      <c r="N225" s="10">
        <v>16288.777336101712</v>
      </c>
      <c r="O225" s="10">
        <v>13635.808865666484</v>
      </c>
      <c r="P225" s="10">
        <v>30782.057454044931</v>
      </c>
      <c r="Q225" s="10">
        <v>5439.6756793272889</v>
      </c>
      <c r="R225" s="10">
        <v>1139.6210058086394</v>
      </c>
      <c r="S225" s="10">
        <v>7399.6058192384553</v>
      </c>
      <c r="T225" s="10">
        <v>8393.2890591498999</v>
      </c>
      <c r="U225" s="10">
        <v>2713.5528443354438</v>
      </c>
      <c r="V225" s="10">
        <v>2830.7174797378443</v>
      </c>
      <c r="W225" s="10">
        <v>317701.22492000007</v>
      </c>
    </row>
    <row r="226" spans="3:23">
      <c r="C226" s="10" t="s">
        <v>767</v>
      </c>
      <c r="D226" s="10" t="s">
        <v>768</v>
      </c>
      <c r="E226" s="10">
        <v>13386.346037736759</v>
      </c>
      <c r="F226" s="10">
        <v>4741.1758476602536</v>
      </c>
      <c r="G226" s="10">
        <v>2023.2019456397327</v>
      </c>
      <c r="H226" s="10">
        <v>1723.8493086203182</v>
      </c>
      <c r="I226" s="10">
        <v>5205.6175757800402</v>
      </c>
      <c r="J226" s="10">
        <v>1510.195357873896</v>
      </c>
      <c r="K226" s="10">
        <v>6113.6534648130846</v>
      </c>
      <c r="L226" s="10">
        <v>4271.9421625159275</v>
      </c>
      <c r="M226" s="10">
        <v>19261.360176797934</v>
      </c>
      <c r="N226" s="10">
        <v>9036.9382018002198</v>
      </c>
      <c r="O226" s="10">
        <v>1393.1310650154926</v>
      </c>
      <c r="P226" s="10">
        <v>5366.1828718878742</v>
      </c>
      <c r="Q226" s="10">
        <v>13399.303798481373</v>
      </c>
      <c r="R226" s="10">
        <v>3936.0076129675126</v>
      </c>
      <c r="S226" s="10">
        <v>2813.8385137435671</v>
      </c>
      <c r="T226" s="10">
        <v>6132.8528458557194</v>
      </c>
      <c r="U226" s="10">
        <v>1179.1943676233423</v>
      </c>
      <c r="V226" s="10">
        <v>605.20884518694254</v>
      </c>
      <c r="W226" s="10">
        <v>102100</v>
      </c>
    </row>
    <row r="227" spans="3:23">
      <c r="C227" s="10" t="s">
        <v>769</v>
      </c>
      <c r="D227" s="10" t="s">
        <v>278</v>
      </c>
      <c r="E227" s="10">
        <v>20243.519270000001</v>
      </c>
      <c r="F227" s="10">
        <v>5294.59</v>
      </c>
      <c r="G227" s="10">
        <v>1883.08</v>
      </c>
      <c r="H227" s="10">
        <v>2201.2800000000002</v>
      </c>
      <c r="I227" s="10">
        <v>0</v>
      </c>
      <c r="J227" s="10">
        <v>904.09</v>
      </c>
      <c r="K227" s="10">
        <v>3835.67</v>
      </c>
      <c r="L227" s="10">
        <v>1180.22</v>
      </c>
      <c r="M227" s="10">
        <v>3088.16</v>
      </c>
      <c r="N227" s="10">
        <v>7201.92</v>
      </c>
      <c r="O227" s="10">
        <v>754.15</v>
      </c>
      <c r="P227" s="10">
        <v>3065.71</v>
      </c>
      <c r="Q227" s="10">
        <v>0</v>
      </c>
      <c r="R227" s="10">
        <v>601.23</v>
      </c>
      <c r="S227" s="10">
        <v>0.18</v>
      </c>
      <c r="T227" s="10">
        <v>26.43</v>
      </c>
      <c r="U227" s="10">
        <v>623.36</v>
      </c>
      <c r="V227" s="10">
        <v>151.15222</v>
      </c>
      <c r="W227" s="10">
        <v>51054.741490000008</v>
      </c>
    </row>
    <row r="228" spans="3:23">
      <c r="C228" s="10" t="s">
        <v>770</v>
      </c>
      <c r="D228" s="10" t="s">
        <v>771</v>
      </c>
      <c r="E228" s="10">
        <v>4803.8345199999994</v>
      </c>
      <c r="F228" s="10">
        <v>0</v>
      </c>
      <c r="G228" s="10">
        <v>0</v>
      </c>
      <c r="H228" s="10">
        <v>0</v>
      </c>
      <c r="I228" s="10">
        <v>0</v>
      </c>
      <c r="J228" s="10">
        <v>0</v>
      </c>
      <c r="K228" s="10">
        <v>0</v>
      </c>
      <c r="L228" s="10">
        <v>0</v>
      </c>
      <c r="M228" s="10">
        <v>0</v>
      </c>
      <c r="N228" s="10">
        <v>0</v>
      </c>
      <c r="O228" s="10">
        <v>0</v>
      </c>
      <c r="P228" s="10">
        <v>0</v>
      </c>
      <c r="Q228" s="10">
        <v>0</v>
      </c>
      <c r="R228" s="10">
        <v>0</v>
      </c>
      <c r="S228" s="10">
        <v>0</v>
      </c>
      <c r="T228" s="10">
        <v>0</v>
      </c>
      <c r="U228" s="10">
        <v>0</v>
      </c>
      <c r="V228" s="10">
        <v>7083.9706699999997</v>
      </c>
      <c r="W228" s="10">
        <v>11887.805189999999</v>
      </c>
    </row>
    <row r="229" spans="3:23">
      <c r="C229" s="10" t="s">
        <v>279</v>
      </c>
      <c r="D229" s="10" t="s">
        <v>772</v>
      </c>
      <c r="E229" s="10">
        <v>0</v>
      </c>
      <c r="F229" s="10">
        <v>0</v>
      </c>
      <c r="G229" s="10">
        <v>0</v>
      </c>
      <c r="H229" s="10">
        <v>0</v>
      </c>
      <c r="I229" s="10">
        <v>12833.798428366728</v>
      </c>
      <c r="J229" s="10">
        <v>0</v>
      </c>
      <c r="K229" s="10">
        <v>0</v>
      </c>
      <c r="L229" s="10">
        <v>0</v>
      </c>
      <c r="M229" s="10">
        <v>136688.79462014735</v>
      </c>
      <c r="N229" s="10">
        <v>0</v>
      </c>
      <c r="O229" s="10">
        <v>0</v>
      </c>
      <c r="P229" s="10">
        <v>36266.860691465488</v>
      </c>
      <c r="Q229" s="10">
        <v>0</v>
      </c>
      <c r="R229" s="10">
        <v>0</v>
      </c>
      <c r="S229" s="10"/>
      <c r="T229" s="10"/>
      <c r="U229" s="10">
        <v>0</v>
      </c>
      <c r="V229" s="10">
        <v>0</v>
      </c>
      <c r="W229" s="10">
        <v>185789.45373997957</v>
      </c>
    </row>
    <row r="230" spans="3:23">
      <c r="C230" s="10" t="s">
        <v>280</v>
      </c>
      <c r="D230" s="10" t="s">
        <v>773</v>
      </c>
      <c r="E230" s="10">
        <v>187038.73105807352</v>
      </c>
      <c r="F230" s="10">
        <v>0</v>
      </c>
      <c r="G230" s="10">
        <v>0</v>
      </c>
      <c r="H230" s="10">
        <v>0</v>
      </c>
      <c r="I230" s="10">
        <v>0</v>
      </c>
      <c r="J230" s="10">
        <v>0</v>
      </c>
      <c r="K230" s="10">
        <v>0</v>
      </c>
      <c r="L230" s="10">
        <v>0</v>
      </c>
      <c r="M230" s="10">
        <v>0</v>
      </c>
      <c r="N230" s="10">
        <v>0</v>
      </c>
      <c r="O230" s="10">
        <v>0</v>
      </c>
      <c r="P230" s="10">
        <v>0</v>
      </c>
      <c r="Q230" s="10">
        <v>0</v>
      </c>
      <c r="R230" s="10">
        <v>0</v>
      </c>
      <c r="S230" s="10">
        <v>0</v>
      </c>
      <c r="T230" s="10">
        <v>0</v>
      </c>
      <c r="U230" s="10">
        <v>0</v>
      </c>
      <c r="V230" s="10">
        <v>0</v>
      </c>
      <c r="W230" s="10">
        <v>187038.73105807352</v>
      </c>
    </row>
    <row r="231" spans="3:23">
      <c r="C231" s="10" t="s">
        <v>281</v>
      </c>
      <c r="D231" s="10" t="s">
        <v>282</v>
      </c>
      <c r="E231" s="10">
        <v>16952.329792344946</v>
      </c>
      <c r="F231" s="10">
        <v>4074.7157074665997</v>
      </c>
      <c r="G231" s="10">
        <v>3356.3672696446311</v>
      </c>
      <c r="H231" s="10">
        <v>6220.907690561754</v>
      </c>
      <c r="I231" s="10">
        <v>21191.240748864162</v>
      </c>
      <c r="J231" s="10">
        <v>1805.1744034995518</v>
      </c>
      <c r="K231" s="10">
        <v>2686.1487150277626</v>
      </c>
      <c r="L231" s="10">
        <v>719.43425061935932</v>
      </c>
      <c r="M231" s="10">
        <v>3128.7990801274073</v>
      </c>
      <c r="N231" s="10">
        <v>1800.0364790009576</v>
      </c>
      <c r="O231" s="10">
        <v>356.85985741069385</v>
      </c>
      <c r="P231" s="10">
        <v>4560.6568530219993</v>
      </c>
      <c r="Q231" s="10">
        <v>2922.4055837195424</v>
      </c>
      <c r="R231" s="10">
        <v>512.40850864095523</v>
      </c>
      <c r="S231" s="10">
        <v>274.52366675877846</v>
      </c>
      <c r="T231" s="10">
        <v>962.02556955870045</v>
      </c>
      <c r="U231" s="10">
        <v>127.10360524617883</v>
      </c>
      <c r="V231" s="10">
        <v>58.034791923630436</v>
      </c>
      <c r="W231" s="10">
        <v>71709.172573437623</v>
      </c>
    </row>
    <row r="232" spans="3:23">
      <c r="C232" s="10" t="s">
        <v>283</v>
      </c>
      <c r="D232" s="10" t="s">
        <v>774</v>
      </c>
      <c r="E232" s="10">
        <v>256270.87881857585</v>
      </c>
      <c r="F232" s="10">
        <v>26452.694754874894</v>
      </c>
      <c r="G232" s="10">
        <v>32268.292737786614</v>
      </c>
      <c r="H232" s="10">
        <v>2543.5180331587044</v>
      </c>
      <c r="I232" s="10">
        <v>4190.9448455400743</v>
      </c>
      <c r="J232" s="10">
        <v>17117.356193634969</v>
      </c>
      <c r="K232" s="10">
        <v>406450.37142219185</v>
      </c>
      <c r="L232" s="10">
        <v>108254.84766489126</v>
      </c>
      <c r="M232" s="10">
        <v>376465.38620739337</v>
      </c>
      <c r="N232" s="10">
        <v>241612.36733146571</v>
      </c>
      <c r="O232" s="10">
        <v>114483.38098421319</v>
      </c>
      <c r="P232" s="10">
        <v>260912.90780027764</v>
      </c>
      <c r="Q232" s="10">
        <v>346354.21881823865</v>
      </c>
      <c r="R232" s="10">
        <v>28437.831780941993</v>
      </c>
      <c r="S232" s="10">
        <v>18771.531227513726</v>
      </c>
      <c r="T232" s="10">
        <v>150673.97546234494</v>
      </c>
      <c r="U232" s="10">
        <v>7816.7923741502618</v>
      </c>
      <c r="V232" s="10">
        <v>900.70354280627794</v>
      </c>
      <c r="W232" s="10">
        <v>2399978</v>
      </c>
    </row>
    <row r="233" spans="3:23">
      <c r="C233" s="10" t="s">
        <v>284</v>
      </c>
      <c r="D233" s="10" t="s">
        <v>775</v>
      </c>
      <c r="E233" s="10">
        <v>61160.889896374851</v>
      </c>
      <c r="F233" s="10">
        <v>10253.98032653548</v>
      </c>
      <c r="G233" s="10">
        <v>7955.4881704224672</v>
      </c>
      <c r="H233" s="10">
        <v>27221.249271477765</v>
      </c>
      <c r="I233" s="10">
        <v>92613.365781806351</v>
      </c>
      <c r="J233" s="10">
        <v>3556.1490092929921</v>
      </c>
      <c r="K233" s="10">
        <v>9167.5909970047742</v>
      </c>
      <c r="L233" s="10">
        <v>8009.7100888937766</v>
      </c>
      <c r="M233" s="10">
        <v>83184.944423070294</v>
      </c>
      <c r="N233" s="10">
        <v>40425.983320571911</v>
      </c>
      <c r="O233" s="10">
        <v>4099.5252539837129</v>
      </c>
      <c r="P233" s="10">
        <v>47990.349557061003</v>
      </c>
      <c r="Q233" s="10">
        <v>152093.82570871807</v>
      </c>
      <c r="R233" s="10">
        <v>5718.4807125612951</v>
      </c>
      <c r="S233" s="10">
        <v>3967.5561055288076</v>
      </c>
      <c r="T233" s="10">
        <v>19983.284283457466</v>
      </c>
      <c r="U233" s="10">
        <v>1409.8361703020705</v>
      </c>
      <c r="V233" s="10">
        <v>1743.7909229368929</v>
      </c>
      <c r="W233" s="10">
        <v>580556</v>
      </c>
    </row>
    <row r="234" spans="3:23">
      <c r="C234" s="10" t="s">
        <v>285</v>
      </c>
      <c r="D234" s="10" t="s">
        <v>776</v>
      </c>
      <c r="E234" s="10">
        <v>45545.663885382979</v>
      </c>
      <c r="F234" s="10">
        <v>6022.5935510508971</v>
      </c>
      <c r="G234" s="10">
        <v>4088.6879824330249</v>
      </c>
      <c r="H234" s="10">
        <v>8883.0947053363907</v>
      </c>
      <c r="I234" s="10">
        <v>41039.228581365904</v>
      </c>
      <c r="J234" s="10">
        <v>23551.695595228095</v>
      </c>
      <c r="K234" s="10">
        <v>7766.0165143871991</v>
      </c>
      <c r="L234" s="10">
        <v>5426.5380878305896</v>
      </c>
      <c r="M234" s="10">
        <v>93397.209678058847</v>
      </c>
      <c r="N234" s="10">
        <v>34708.723148049088</v>
      </c>
      <c r="O234" s="10">
        <v>1769.6585061428434</v>
      </c>
      <c r="P234" s="10">
        <v>27323.857207667301</v>
      </c>
      <c r="Q234" s="10">
        <v>17020.790461743796</v>
      </c>
      <c r="R234" s="10">
        <v>19666.475749564037</v>
      </c>
      <c r="S234" s="10">
        <v>3574.3465821740642</v>
      </c>
      <c r="T234" s="10">
        <v>46434.404993567659</v>
      </c>
      <c r="U234" s="10">
        <v>1497.9002302537647</v>
      </c>
      <c r="V234" s="10">
        <v>1368.1145397635048</v>
      </c>
      <c r="W234" s="10">
        <v>389084.99999999994</v>
      </c>
    </row>
    <row r="235" spans="3:23">
      <c r="C235" s="10" t="s">
        <v>286</v>
      </c>
      <c r="D235" s="10" t="s">
        <v>287</v>
      </c>
      <c r="E235" s="10">
        <v>7647.8329892432266</v>
      </c>
      <c r="F235" s="10">
        <v>4595.9473340318991</v>
      </c>
      <c r="G235" s="10">
        <v>1289.7748597125078</v>
      </c>
      <c r="H235" s="10">
        <v>300.03409054572495</v>
      </c>
      <c r="I235" s="10">
        <v>675.51472343339117</v>
      </c>
      <c r="J235" s="10">
        <v>345.33918932593002</v>
      </c>
      <c r="K235" s="10">
        <v>13240.024866335381</v>
      </c>
      <c r="L235" s="10">
        <v>24702.078382013086</v>
      </c>
      <c r="M235" s="10">
        <v>52604.930698149641</v>
      </c>
      <c r="N235" s="10">
        <v>9597.4036372062947</v>
      </c>
      <c r="O235" s="10">
        <v>658.63379939898539</v>
      </c>
      <c r="P235" s="10">
        <v>3254.4052026799377</v>
      </c>
      <c r="Q235" s="10">
        <v>35070.222178096716</v>
      </c>
      <c r="R235" s="10">
        <v>2072.9332894474896</v>
      </c>
      <c r="S235" s="10">
        <v>2198.8350247061926</v>
      </c>
      <c r="T235" s="10">
        <v>9692.4201848549637</v>
      </c>
      <c r="U235" s="10">
        <v>3296.6792735909385</v>
      </c>
      <c r="V235" s="10">
        <v>64.090277227680701</v>
      </c>
      <c r="W235" s="10">
        <v>171307.1</v>
      </c>
    </row>
    <row r="236" spans="3:23">
      <c r="C236" s="10" t="s">
        <v>288</v>
      </c>
      <c r="D236" s="10" t="s">
        <v>777</v>
      </c>
      <c r="E236" s="10">
        <v>-312884.63542152743</v>
      </c>
      <c r="F236" s="10">
        <v>-60347.729064613966</v>
      </c>
      <c r="G236" s="10">
        <v>-50606.769734527319</v>
      </c>
      <c r="H236" s="10">
        <v>-27814.014743148495</v>
      </c>
      <c r="I236" s="10">
        <v>-67025.438181553152</v>
      </c>
      <c r="J236" s="10">
        <v>-26955.239263387131</v>
      </c>
      <c r="K236" s="10">
        <v>-100293.63337543784</v>
      </c>
      <c r="L236" s="10">
        <v>-96352.611792343116</v>
      </c>
      <c r="M236" s="10">
        <v>-313859.2775187064</v>
      </c>
      <c r="N236" s="10">
        <v>-206445.92183541245</v>
      </c>
      <c r="O236" s="10">
        <v>-46678.39885555784</v>
      </c>
      <c r="P236" s="10">
        <v>-111502.1048015525</v>
      </c>
      <c r="Q236" s="10">
        <v>-185567.16034881229</v>
      </c>
      <c r="R236" s="10">
        <v>-62271.373746032041</v>
      </c>
      <c r="S236" s="10">
        <v>-28721.338190043647</v>
      </c>
      <c r="T236" s="10">
        <v>-100985.10658871538</v>
      </c>
      <c r="U236" s="10">
        <v>-12952.921679930958</v>
      </c>
      <c r="V236" s="10">
        <v>-6682.3248586979953</v>
      </c>
      <c r="W236" s="10">
        <v>-1817946.0000000005</v>
      </c>
    </row>
    <row r="237" spans="3:23">
      <c r="C237" s="10" t="s">
        <v>289</v>
      </c>
      <c r="D237" s="10" t="s">
        <v>778</v>
      </c>
      <c r="E237" s="10">
        <v>-89895.088919803849</v>
      </c>
      <c r="F237" s="10">
        <v>-12687.533772511682</v>
      </c>
      <c r="G237" s="10">
        <v>-9081.3122038014044</v>
      </c>
      <c r="H237" s="10">
        <v>-15847.747382585347</v>
      </c>
      <c r="I237" s="10">
        <v>-33445.537355406537</v>
      </c>
      <c r="J237" s="10">
        <v>-3897.0391614020209</v>
      </c>
      <c r="K237" s="10">
        <v>-30778.731663990977</v>
      </c>
      <c r="L237" s="10">
        <v>-25724.479958690245</v>
      </c>
      <c r="M237" s="10">
        <v>-78681.93063922759</v>
      </c>
      <c r="N237" s="10">
        <v>-52323.621638008197</v>
      </c>
      <c r="O237" s="10">
        <v>-16012.249100052552</v>
      </c>
      <c r="P237" s="10">
        <v>-22494.228569526847</v>
      </c>
      <c r="Q237" s="10">
        <v>-103331.77362637816</v>
      </c>
      <c r="R237" s="10">
        <v>-10358.842837256761</v>
      </c>
      <c r="S237" s="10">
        <v>-4785.4206424565909</v>
      </c>
      <c r="T237" s="10">
        <v>-17298.888584370572</v>
      </c>
      <c r="U237" s="10">
        <v>-2850.6840685767306</v>
      </c>
      <c r="V237" s="10">
        <v>1879.7713440460811</v>
      </c>
      <c r="W237" s="10">
        <v>-527615.33878000011</v>
      </c>
    </row>
    <row r="238" spans="3:23">
      <c r="C238" s="10" t="s">
        <v>290</v>
      </c>
      <c r="D238" s="10" t="s">
        <v>779</v>
      </c>
      <c r="E238" s="10">
        <v>-154050.71417042837</v>
      </c>
      <c r="F238" s="10">
        <v>-52854.479885663917</v>
      </c>
      <c r="G238" s="10">
        <v>-21383.021074605411</v>
      </c>
      <c r="H238" s="10">
        <v>-11085.018167608483</v>
      </c>
      <c r="I238" s="10">
        <v>-20783.57837116066</v>
      </c>
      <c r="J238" s="10">
        <v>-7366.7404713933738</v>
      </c>
      <c r="K238" s="10">
        <v>-80072.509725426324</v>
      </c>
      <c r="L238" s="10">
        <v>-75603.106735362759</v>
      </c>
      <c r="M238" s="10">
        <v>-222472.26557063538</v>
      </c>
      <c r="N238" s="10">
        <v>-136036.00086213308</v>
      </c>
      <c r="O238" s="10">
        <v>-17423.918467471667</v>
      </c>
      <c r="P238" s="10">
        <v>-93093.968333632889</v>
      </c>
      <c r="Q238" s="10">
        <v>-141405.1747237175</v>
      </c>
      <c r="R238" s="10">
        <v>-37176.358286666415</v>
      </c>
      <c r="S238" s="10">
        <v>-37750.550943844864</v>
      </c>
      <c r="T238" s="10">
        <v>-81288.805246130709</v>
      </c>
      <c r="U238" s="10">
        <v>-26510.476724979293</v>
      </c>
      <c r="V238" s="10">
        <v>-1717.3122391384218</v>
      </c>
      <c r="W238" s="10">
        <v>-1218073.9999999998</v>
      </c>
    </row>
    <row r="239" spans="3:23">
      <c r="C239" s="10" t="s">
        <v>291</v>
      </c>
      <c r="D239" s="10" t="s">
        <v>292</v>
      </c>
      <c r="E239" s="10">
        <v>40900.666261324819</v>
      </c>
      <c r="F239" s="10">
        <v>6925.4373096927711</v>
      </c>
      <c r="G239" s="10">
        <v>73216.568289780116</v>
      </c>
      <c r="H239" s="10">
        <v>505.98920215465938</v>
      </c>
      <c r="I239" s="10">
        <v>1139.2143983774952</v>
      </c>
      <c r="J239" s="10">
        <v>8539.8934892262987</v>
      </c>
      <c r="K239" s="10">
        <v>7667.9704059595333</v>
      </c>
      <c r="L239" s="10">
        <v>50624.515130572472</v>
      </c>
      <c r="M239" s="10">
        <v>15249.479601821875</v>
      </c>
      <c r="N239" s="10">
        <v>22101.868918288241</v>
      </c>
      <c r="O239" s="10">
        <v>1110.7457491374494</v>
      </c>
      <c r="P239" s="10">
        <v>17895.434535624245</v>
      </c>
      <c r="Q239" s="10">
        <v>22417.393926311783</v>
      </c>
      <c r="R239" s="10">
        <v>1429.0040423744661</v>
      </c>
      <c r="S239" s="10">
        <v>4508.9189239891657</v>
      </c>
      <c r="T239" s="10">
        <v>14089.78780545161</v>
      </c>
      <c r="U239" s="10">
        <v>468.00809304725516</v>
      </c>
      <c r="V239" s="10">
        <v>108.08434528663315</v>
      </c>
      <c r="W239" s="10">
        <v>288898.98042842094</v>
      </c>
    </row>
    <row r="240" spans="3:23">
      <c r="C240" s="10" t="s">
        <v>293</v>
      </c>
      <c r="D240" s="10" t="s">
        <v>294</v>
      </c>
      <c r="E240" s="10">
        <v>13454.412890823405</v>
      </c>
      <c r="F240" s="10">
        <v>2935.3068860016083</v>
      </c>
      <c r="G240" s="10">
        <v>1594.0512594789966</v>
      </c>
      <c r="H240" s="10">
        <v>314.18139315223539</v>
      </c>
      <c r="I240" s="10">
        <v>517.67546879185147</v>
      </c>
      <c r="J240" s="10">
        <v>1008.3571605462777</v>
      </c>
      <c r="K240" s="10">
        <v>2707.8210771754207</v>
      </c>
      <c r="L240" s="10">
        <v>4930.0474642964555</v>
      </c>
      <c r="M240" s="10">
        <v>26651.112223539873</v>
      </c>
      <c r="N240" s="10">
        <v>9287.1988035092108</v>
      </c>
      <c r="O240" s="10">
        <v>875.03840393310384</v>
      </c>
      <c r="P240" s="10">
        <v>2259.7481484662253</v>
      </c>
      <c r="Q240" s="10">
        <v>36053.079613481517</v>
      </c>
      <c r="R240" s="10">
        <v>1637.3918494126015</v>
      </c>
      <c r="S240" s="10">
        <v>2013.1097948786723</v>
      </c>
      <c r="T240" s="10">
        <v>226782.46946148557</v>
      </c>
      <c r="U240" s="10">
        <v>347.03105853424478</v>
      </c>
      <c r="V240" s="10">
        <v>111.2570424926779</v>
      </c>
      <c r="W240" s="10">
        <v>333479.28999999992</v>
      </c>
    </row>
    <row r="241" spans="3:23">
      <c r="C241" s="10" t="s">
        <v>233</v>
      </c>
      <c r="D241" s="10" t="s">
        <v>780</v>
      </c>
      <c r="E241" s="10">
        <v>0</v>
      </c>
      <c r="F241" s="10">
        <v>0</v>
      </c>
      <c r="G241" s="10">
        <v>0</v>
      </c>
      <c r="H241" s="10">
        <v>0</v>
      </c>
      <c r="I241" s="10">
        <v>0</v>
      </c>
      <c r="J241" s="10">
        <v>0</v>
      </c>
      <c r="K241" s="10">
        <v>0</v>
      </c>
      <c r="L241" s="10">
        <v>0</v>
      </c>
      <c r="M241" s="10">
        <v>0</v>
      </c>
      <c r="N241" s="10">
        <v>0</v>
      </c>
      <c r="O241" s="10">
        <v>0</v>
      </c>
      <c r="P241" s="10">
        <v>0</v>
      </c>
      <c r="Q241" s="10">
        <v>0</v>
      </c>
      <c r="R241" s="10">
        <v>0</v>
      </c>
      <c r="S241" s="10">
        <v>4345.973324465418</v>
      </c>
      <c r="T241" s="10">
        <v>14786.873730217885</v>
      </c>
      <c r="U241" s="10">
        <v>0</v>
      </c>
      <c r="V241" s="10">
        <v>0</v>
      </c>
      <c r="W241" s="10">
        <v>19132.847054683305</v>
      </c>
    </row>
    <row r="242" spans="3:23">
      <c r="C242" s="10"/>
      <c r="D242" s="10" t="s">
        <v>680</v>
      </c>
      <c r="E242" s="10">
        <v>979730.85423569486</v>
      </c>
      <c r="F242" s="10">
        <v>327441.91173691483</v>
      </c>
      <c r="G242" s="10">
        <v>260610.02874208181</v>
      </c>
      <c r="H242" s="10">
        <v>37716.673546787912</v>
      </c>
      <c r="I242" s="10">
        <v>306387.4215266793</v>
      </c>
      <c r="J242" s="10">
        <v>147113.02307640406</v>
      </c>
      <c r="K242" s="10">
        <v>810125.11003330362</v>
      </c>
      <c r="L242" s="10">
        <v>415452.11553798045</v>
      </c>
      <c r="M242" s="10">
        <v>884785.15348595625</v>
      </c>
      <c r="N242" s="10">
        <v>348284.65197314776</v>
      </c>
      <c r="O242" s="10">
        <v>265072.28738944442</v>
      </c>
      <c r="P242" s="10">
        <v>511425.7825777008</v>
      </c>
      <c r="Q242" s="10">
        <v>825357.23749497312</v>
      </c>
      <c r="R242" s="10">
        <v>116224.56780717101</v>
      </c>
      <c r="S242" s="10">
        <v>54170.415472844572</v>
      </c>
      <c r="T242" s="10">
        <v>514198.67313519277</v>
      </c>
      <c r="U242" s="10">
        <v>39649.597969946153</v>
      </c>
      <c r="V242" s="10">
        <v>21775.222276060704</v>
      </c>
      <c r="W242" s="10">
        <v>6865520.728018282</v>
      </c>
    </row>
    <row r="243" spans="3:23">
      <c r="C243" s="10" t="s">
        <v>667</v>
      </c>
      <c r="D243" s="10" t="s">
        <v>55</v>
      </c>
      <c r="E243" s="10" t="s">
        <v>9</v>
      </c>
      <c r="F243" s="10" t="s">
        <v>10</v>
      </c>
      <c r="G243" s="10" t="s">
        <v>11</v>
      </c>
      <c r="H243" s="10" t="s">
        <v>31</v>
      </c>
      <c r="I243" s="10" t="s">
        <v>12</v>
      </c>
      <c r="J243" s="10" t="s">
        <v>13</v>
      </c>
      <c r="K243" s="10" t="s">
        <v>14</v>
      </c>
      <c r="L243" s="10" t="s">
        <v>15</v>
      </c>
      <c r="M243" s="10" t="s">
        <v>16</v>
      </c>
      <c r="N243" s="10" t="s">
        <v>17</v>
      </c>
      <c r="O243" s="10" t="s">
        <v>18</v>
      </c>
      <c r="P243" s="10" t="s">
        <v>19</v>
      </c>
      <c r="Q243" s="10" t="s">
        <v>20</v>
      </c>
      <c r="R243" s="10" t="s">
        <v>60</v>
      </c>
      <c r="S243" s="10" t="s">
        <v>61</v>
      </c>
      <c r="T243" s="10" t="s">
        <v>62</v>
      </c>
      <c r="U243" s="10" t="s">
        <v>63</v>
      </c>
      <c r="V243" s="10" t="s">
        <v>64</v>
      </c>
      <c r="W243" s="10" t="s">
        <v>668</v>
      </c>
    </row>
    <row r="244" spans="3:23">
      <c r="C244" s="10" t="s">
        <v>641</v>
      </c>
      <c r="D244" s="10" t="s">
        <v>781</v>
      </c>
      <c r="E244" s="10">
        <v>899777.32923605794</v>
      </c>
      <c r="F244" s="10">
        <v>0</v>
      </c>
      <c r="G244" s="10">
        <v>0</v>
      </c>
      <c r="H244" s="10">
        <v>0</v>
      </c>
      <c r="I244" s="10">
        <v>0</v>
      </c>
      <c r="J244" s="10">
        <v>0</v>
      </c>
      <c r="K244" s="10">
        <v>0</v>
      </c>
      <c r="L244" s="10">
        <v>0</v>
      </c>
      <c r="M244" s="10">
        <v>0</v>
      </c>
      <c r="N244" s="10">
        <v>0</v>
      </c>
      <c r="O244" s="10">
        <v>131485.02133586773</v>
      </c>
      <c r="P244" s="10">
        <v>0</v>
      </c>
      <c r="Q244" s="10">
        <v>0</v>
      </c>
      <c r="R244" s="10">
        <v>0</v>
      </c>
      <c r="S244" s="10">
        <v>0</v>
      </c>
      <c r="T244" s="10">
        <v>0</v>
      </c>
      <c r="U244" s="10">
        <v>0</v>
      </c>
      <c r="V244" s="10">
        <v>0</v>
      </c>
      <c r="W244" s="10">
        <v>1031262.3505719256</v>
      </c>
    </row>
    <row r="245" spans="3:23">
      <c r="C245" s="10" t="s">
        <v>295</v>
      </c>
      <c r="D245" s="10" t="s">
        <v>782</v>
      </c>
      <c r="E245" s="10">
        <v>14849.084888369598</v>
      </c>
      <c r="F245" s="10">
        <v>875.82822688403189</v>
      </c>
      <c r="G245" s="10">
        <v>3594.9768860917006</v>
      </c>
      <c r="H245" s="10">
        <v>0</v>
      </c>
      <c r="I245" s="10">
        <v>6435.1617418805008</v>
      </c>
      <c r="J245" s="10">
        <v>0</v>
      </c>
      <c r="K245" s="10">
        <v>12442.242945977056</v>
      </c>
      <c r="L245" s="10">
        <v>8909.3777961982614</v>
      </c>
      <c r="M245" s="10">
        <v>0</v>
      </c>
      <c r="N245" s="10">
        <v>18269.309800532712</v>
      </c>
      <c r="O245" s="10">
        <v>8134.7775073167786</v>
      </c>
      <c r="P245" s="10">
        <v>6144.8793880070652</v>
      </c>
      <c r="Q245" s="10">
        <v>0</v>
      </c>
      <c r="R245" s="10">
        <v>1895.7842887422921</v>
      </c>
      <c r="S245" s="10">
        <v>0</v>
      </c>
      <c r="T245" s="10">
        <v>0</v>
      </c>
      <c r="U245" s="10">
        <v>0</v>
      </c>
      <c r="V245" s="10">
        <v>0</v>
      </c>
      <c r="W245" s="10">
        <v>81551.42346999998</v>
      </c>
    </row>
    <row r="246" spans="3:23">
      <c r="C246" s="10" t="s">
        <v>296</v>
      </c>
      <c r="D246" s="10" t="s">
        <v>783</v>
      </c>
      <c r="E246" s="10">
        <v>1998.40671</v>
      </c>
      <c r="F246" s="10">
        <v>888.51283999999998</v>
      </c>
      <c r="G246" s="10">
        <v>9245.3795399999999</v>
      </c>
      <c r="H246" s="10">
        <v>0</v>
      </c>
      <c r="I246" s="10">
        <v>0</v>
      </c>
      <c r="J246" s="10">
        <v>0</v>
      </c>
      <c r="K246" s="10">
        <v>1853.4641300000001</v>
      </c>
      <c r="L246" s="10">
        <v>1175.6240399999999</v>
      </c>
      <c r="M246" s="10">
        <v>129.00861</v>
      </c>
      <c r="N246" s="10">
        <v>0</v>
      </c>
      <c r="O246" s="10">
        <v>0</v>
      </c>
      <c r="P246" s="10">
        <v>4728.2523000000001</v>
      </c>
      <c r="Q246" s="10">
        <v>0</v>
      </c>
      <c r="R246" s="10">
        <v>0</v>
      </c>
      <c r="S246" s="10">
        <v>0</v>
      </c>
      <c r="T246" s="10">
        <v>0</v>
      </c>
      <c r="U246" s="10">
        <v>0</v>
      </c>
      <c r="V246" s="10">
        <v>0</v>
      </c>
      <c r="W246" s="10">
        <v>20018.64817</v>
      </c>
    </row>
    <row r="247" spans="3:23">
      <c r="C247" s="10" t="s">
        <v>642</v>
      </c>
      <c r="D247" s="10" t="s">
        <v>784</v>
      </c>
      <c r="E247" s="10">
        <v>17138.108612458291</v>
      </c>
      <c r="F247" s="10">
        <v>38567.197150223459</v>
      </c>
      <c r="G247" s="10">
        <v>82867.629021541317</v>
      </c>
      <c r="H247" s="10">
        <v>84.675886546448083</v>
      </c>
      <c r="I247" s="10">
        <v>150.37452014779208</v>
      </c>
      <c r="J247" s="10">
        <v>558.93368518565887</v>
      </c>
      <c r="K247" s="10">
        <v>153048.54719902307</v>
      </c>
      <c r="L247" s="10">
        <v>4968.5835446369911</v>
      </c>
      <c r="M247" s="10">
        <v>4783.7006682402234</v>
      </c>
      <c r="N247" s="10">
        <v>1573.5780780398504</v>
      </c>
      <c r="O247" s="10">
        <v>210.15767071541381</v>
      </c>
      <c r="P247" s="10">
        <v>48764.986992785518</v>
      </c>
      <c r="Q247" s="10">
        <v>2450.2279449641642</v>
      </c>
      <c r="R247" s="10">
        <v>68.561300413027482</v>
      </c>
      <c r="S247" s="10">
        <v>54.872241713485124</v>
      </c>
      <c r="T247" s="10">
        <v>116.96873520325984</v>
      </c>
      <c r="U247" s="10">
        <v>30.346608162021553</v>
      </c>
      <c r="V247" s="10">
        <v>0</v>
      </c>
      <c r="W247" s="10">
        <v>355437.44985999999</v>
      </c>
    </row>
    <row r="248" spans="3:23">
      <c r="C248" s="10" t="s">
        <v>1188</v>
      </c>
      <c r="D248" s="10" t="s">
        <v>645</v>
      </c>
      <c r="E248" s="10"/>
      <c r="F248" s="10"/>
      <c r="G248" s="10"/>
      <c r="H248" s="10">
        <v>108164.14089246791</v>
      </c>
      <c r="I248" s="10">
        <v>364946.38518625777</v>
      </c>
      <c r="J248" s="10"/>
      <c r="K248" s="10"/>
      <c r="L248" s="10"/>
      <c r="M248" s="10"/>
      <c r="N248" s="10"/>
      <c r="O248" s="10"/>
      <c r="P248" s="10"/>
      <c r="Q248" s="10"/>
      <c r="R248" s="10"/>
      <c r="S248" s="10"/>
      <c r="T248" s="10"/>
      <c r="U248" s="10"/>
      <c r="V248" s="10">
        <v>29551.476158950118</v>
      </c>
      <c r="W248" s="10">
        <v>502662.00223767583</v>
      </c>
    </row>
    <row r="249" spans="3:23">
      <c r="C249" s="10" t="s">
        <v>297</v>
      </c>
      <c r="D249" s="10" t="s">
        <v>785</v>
      </c>
      <c r="E249" s="10">
        <v>480.05356785252349</v>
      </c>
      <c r="F249" s="10">
        <v>29.866276642695361</v>
      </c>
      <c r="G249" s="10">
        <v>9.1858376798073387</v>
      </c>
      <c r="H249" s="10">
        <v>13007.86208110406</v>
      </c>
      <c r="I249" s="10">
        <v>24855.098407054844</v>
      </c>
      <c r="J249" s="10">
        <v>15.70416407608532</v>
      </c>
      <c r="K249" s="10">
        <v>13.193894941758032</v>
      </c>
      <c r="L249" s="10">
        <v>24.231030710930746</v>
      </c>
      <c r="M249" s="10">
        <v>344.90140855009446</v>
      </c>
      <c r="N249" s="10">
        <v>222.03169235018751</v>
      </c>
      <c r="O249" s="10">
        <v>14.169714260151462</v>
      </c>
      <c r="P249" s="10">
        <v>16.76588445422864</v>
      </c>
      <c r="Q249" s="10">
        <v>130.71375645894247</v>
      </c>
      <c r="R249" s="10">
        <v>35.070462119489285</v>
      </c>
      <c r="S249" s="10">
        <v>17.405699766443256</v>
      </c>
      <c r="T249" s="10">
        <v>16.992473545231775</v>
      </c>
      <c r="U249" s="10">
        <v>8.7722649782100586</v>
      </c>
      <c r="V249" s="10">
        <v>20530.283593454325</v>
      </c>
      <c r="W249" s="10">
        <v>59772.302210000009</v>
      </c>
    </row>
    <row r="250" spans="3:23">
      <c r="C250" s="10" t="s">
        <v>298</v>
      </c>
      <c r="D250" s="10" t="s">
        <v>786</v>
      </c>
      <c r="E250" s="10">
        <v>1067.0423364053449</v>
      </c>
      <c r="F250" s="10">
        <v>169.26677897898438</v>
      </c>
      <c r="G250" s="10">
        <v>142.17433930542745</v>
      </c>
      <c r="H250" s="10">
        <v>97321.718417376629</v>
      </c>
      <c r="I250" s="10">
        <v>169095.39616541055</v>
      </c>
      <c r="J250" s="10">
        <v>83.782742389374022</v>
      </c>
      <c r="K250" s="10">
        <v>311.26378740602246</v>
      </c>
      <c r="L250" s="10">
        <v>252.52743175218546</v>
      </c>
      <c r="M250" s="10">
        <v>1052.7347870966353</v>
      </c>
      <c r="N250" s="10">
        <v>646.40922440682095</v>
      </c>
      <c r="O250" s="10">
        <v>135.89197217291829</v>
      </c>
      <c r="P250" s="10">
        <v>350.66734763627221</v>
      </c>
      <c r="Q250" s="10">
        <v>882.49200297049106</v>
      </c>
      <c r="R250" s="10">
        <v>177.61599441029912</v>
      </c>
      <c r="S250" s="10">
        <v>81.973649747191331</v>
      </c>
      <c r="T250" s="10">
        <v>299.66865769647359</v>
      </c>
      <c r="U250" s="10">
        <v>40.572382175379836</v>
      </c>
      <c r="V250" s="10">
        <v>1194.6181926630245</v>
      </c>
      <c r="W250" s="10">
        <v>273305.81620999996</v>
      </c>
    </row>
    <row r="251" spans="3:23">
      <c r="C251" s="10" t="s">
        <v>299</v>
      </c>
      <c r="D251" s="10" t="s">
        <v>787</v>
      </c>
      <c r="E251" s="10"/>
      <c r="F251" s="10"/>
      <c r="G251" s="10"/>
      <c r="H251" s="10">
        <v>1169.3403999999998</v>
      </c>
      <c r="I251" s="10">
        <v>18655.115129999998</v>
      </c>
      <c r="J251" s="10"/>
      <c r="K251" s="10"/>
      <c r="L251" s="10"/>
      <c r="M251" s="10"/>
      <c r="N251" s="10"/>
      <c r="O251" s="10"/>
      <c r="P251" s="10"/>
      <c r="Q251" s="10"/>
      <c r="R251" s="10"/>
      <c r="S251" s="10"/>
      <c r="T251" s="10"/>
      <c r="U251" s="10"/>
      <c r="V251" s="10"/>
      <c r="W251" s="10">
        <v>19824.455529999999</v>
      </c>
    </row>
    <row r="252" spans="3:23">
      <c r="C252" s="10" t="s">
        <v>300</v>
      </c>
      <c r="D252" s="10" t="s">
        <v>788</v>
      </c>
      <c r="E252" s="10">
        <v>399.89792999999997</v>
      </c>
      <c r="F252" s="10">
        <v>704.02992000000006</v>
      </c>
      <c r="G252" s="10">
        <v>0</v>
      </c>
      <c r="H252" s="10">
        <v>0</v>
      </c>
      <c r="I252" s="10">
        <v>0</v>
      </c>
      <c r="J252" s="10">
        <v>0</v>
      </c>
      <c r="K252" s="10">
        <v>9094.0692500000005</v>
      </c>
      <c r="L252" s="10">
        <v>0</v>
      </c>
      <c r="M252" s="10">
        <v>0</v>
      </c>
      <c r="N252" s="10">
        <v>0</v>
      </c>
      <c r="O252" s="10">
        <v>0</v>
      </c>
      <c r="P252" s="10">
        <v>0</v>
      </c>
      <c r="Q252" s="10">
        <v>0</v>
      </c>
      <c r="R252" s="10">
        <v>0</v>
      </c>
      <c r="S252" s="10">
        <v>0</v>
      </c>
      <c r="T252" s="10">
        <v>0</v>
      </c>
      <c r="U252" s="10">
        <v>0</v>
      </c>
      <c r="V252" s="10">
        <v>0</v>
      </c>
      <c r="W252" s="10">
        <v>10197.997100000001</v>
      </c>
    </row>
    <row r="253" spans="3:23">
      <c r="C253" s="10" t="s">
        <v>643</v>
      </c>
      <c r="D253" s="10" t="s">
        <v>789</v>
      </c>
      <c r="E253" s="10">
        <v>0</v>
      </c>
      <c r="F253" s="10">
        <v>0</v>
      </c>
      <c r="G253" s="10">
        <v>0</v>
      </c>
      <c r="H253" s="10">
        <v>0</v>
      </c>
      <c r="I253" s="10">
        <v>897.43</v>
      </c>
      <c r="J253" s="10">
        <v>0</v>
      </c>
      <c r="K253" s="10">
        <v>0</v>
      </c>
      <c r="L253" s="10">
        <v>0</v>
      </c>
      <c r="M253" s="10">
        <v>0</v>
      </c>
      <c r="N253" s="10">
        <v>0</v>
      </c>
      <c r="O253" s="10">
        <v>0</v>
      </c>
      <c r="P253" s="10">
        <v>0</v>
      </c>
      <c r="Q253" s="10">
        <v>0</v>
      </c>
      <c r="R253" s="10">
        <v>0</v>
      </c>
      <c r="S253" s="10">
        <v>0</v>
      </c>
      <c r="T253" s="10">
        <v>0</v>
      </c>
      <c r="U253" s="10">
        <v>0</v>
      </c>
      <c r="V253" s="10">
        <v>0</v>
      </c>
      <c r="W253" s="10">
        <v>897.43</v>
      </c>
    </row>
    <row r="254" spans="3:23">
      <c r="C254" s="10" t="s">
        <v>301</v>
      </c>
      <c r="D254" s="10" t="s">
        <v>790</v>
      </c>
      <c r="E254" s="10">
        <v>204591.87</v>
      </c>
      <c r="F254" s="10">
        <v>0</v>
      </c>
      <c r="G254" s="10">
        <v>16221.8</v>
      </c>
      <c r="H254" s="10">
        <v>0</v>
      </c>
      <c r="I254" s="10">
        <v>76513.958419999995</v>
      </c>
      <c r="J254" s="10">
        <v>3578.5124999999998</v>
      </c>
      <c r="K254" s="10">
        <v>25037.629999999997</v>
      </c>
      <c r="L254" s="10">
        <v>46681.534999999996</v>
      </c>
      <c r="M254" s="10">
        <v>0</v>
      </c>
      <c r="N254" s="10">
        <v>72833.67</v>
      </c>
      <c r="O254" s="10">
        <v>29027.317490000001</v>
      </c>
      <c r="P254" s="10">
        <v>73360.419379999992</v>
      </c>
      <c r="Q254" s="10">
        <v>0</v>
      </c>
      <c r="R254" s="10">
        <v>28970.942999999999</v>
      </c>
      <c r="S254" s="10">
        <v>0</v>
      </c>
      <c r="T254" s="10">
        <v>0</v>
      </c>
      <c r="U254" s="10">
        <v>0</v>
      </c>
      <c r="V254" s="10">
        <v>10957.52968</v>
      </c>
      <c r="W254" s="10">
        <v>587775.18546999991</v>
      </c>
    </row>
    <row r="255" spans="3:23">
      <c r="C255" s="10" t="s">
        <v>644</v>
      </c>
      <c r="D255" s="10" t="s">
        <v>791</v>
      </c>
      <c r="E255" s="10"/>
      <c r="F255" s="10">
        <v>30000</v>
      </c>
      <c r="G255" s="10"/>
      <c r="H255" s="10"/>
      <c r="I255" s="10"/>
      <c r="J255" s="10"/>
      <c r="K255" s="10"/>
      <c r="L255" s="10"/>
      <c r="M255" s="10"/>
      <c r="N255" s="10"/>
      <c r="O255" s="10">
        <v>20000</v>
      </c>
      <c r="P255" s="10"/>
      <c r="Q255" s="10"/>
      <c r="R255" s="10"/>
      <c r="S255" s="10"/>
      <c r="T255" s="10"/>
      <c r="U255" s="10"/>
      <c r="V255" s="10"/>
      <c r="W255" s="10">
        <v>50000</v>
      </c>
    </row>
    <row r="256" spans="3:23">
      <c r="C256" s="10" t="s">
        <v>302</v>
      </c>
      <c r="D256" s="10" t="s">
        <v>792</v>
      </c>
      <c r="E256" s="10">
        <v>0</v>
      </c>
      <c r="F256" s="10">
        <v>0</v>
      </c>
      <c r="G256" s="10">
        <v>0</v>
      </c>
      <c r="H256" s="10">
        <v>0</v>
      </c>
      <c r="I256" s="10">
        <v>115280.56638713366</v>
      </c>
      <c r="J256" s="10">
        <v>0</v>
      </c>
      <c r="K256" s="10">
        <v>0</v>
      </c>
      <c r="L256" s="10">
        <v>0</v>
      </c>
      <c r="M256" s="10">
        <v>0</v>
      </c>
      <c r="N256" s="10">
        <v>0</v>
      </c>
      <c r="O256" s="10">
        <v>0</v>
      </c>
      <c r="P256" s="10">
        <v>0</v>
      </c>
      <c r="Q256" s="10">
        <v>0</v>
      </c>
      <c r="R256" s="10">
        <v>0</v>
      </c>
      <c r="S256" s="10"/>
      <c r="T256" s="10"/>
      <c r="U256" s="10">
        <v>0</v>
      </c>
      <c r="V256" s="10">
        <v>0</v>
      </c>
      <c r="W256" s="10">
        <v>115280.56638713366</v>
      </c>
    </row>
    <row r="257" spans="3:23">
      <c r="C257" s="10" t="s">
        <v>303</v>
      </c>
      <c r="D257" s="10" t="s">
        <v>793</v>
      </c>
      <c r="E257" s="10">
        <v>0</v>
      </c>
      <c r="F257" s="10">
        <v>0</v>
      </c>
      <c r="G257" s="10">
        <v>0</v>
      </c>
      <c r="H257" s="10">
        <v>0</v>
      </c>
      <c r="I257" s="10">
        <v>29844.212719355735</v>
      </c>
      <c r="J257" s="10">
        <v>0</v>
      </c>
      <c r="K257" s="10">
        <v>0</v>
      </c>
      <c r="L257" s="10">
        <v>0</v>
      </c>
      <c r="M257" s="10">
        <v>0</v>
      </c>
      <c r="N257" s="10">
        <v>0</v>
      </c>
      <c r="O257" s="10">
        <v>0</v>
      </c>
      <c r="P257" s="10">
        <v>0</v>
      </c>
      <c r="Q257" s="10">
        <v>0</v>
      </c>
      <c r="R257" s="10">
        <v>0</v>
      </c>
      <c r="S257" s="10">
        <v>0</v>
      </c>
      <c r="T257" s="10">
        <v>0</v>
      </c>
      <c r="U257" s="10">
        <v>0</v>
      </c>
      <c r="V257" s="10">
        <v>0</v>
      </c>
      <c r="W257" s="10">
        <v>29844.212719355735</v>
      </c>
    </row>
    <row r="258" spans="3:23">
      <c r="C258" s="10" t="s">
        <v>304</v>
      </c>
      <c r="D258" s="10" t="s">
        <v>794</v>
      </c>
      <c r="E258" s="10">
        <v>682743.29</v>
      </c>
      <c r="F258" s="10">
        <v>38584.359999999964</v>
      </c>
      <c r="G258" s="10">
        <v>39350.039999999994</v>
      </c>
      <c r="H258" s="10">
        <v>29729.919999999998</v>
      </c>
      <c r="I258" s="10">
        <v>126047.79999999999</v>
      </c>
      <c r="J258" s="10">
        <v>24159.920000000006</v>
      </c>
      <c r="K258" s="10">
        <v>90577.770000000135</v>
      </c>
      <c r="L258" s="10">
        <v>144212.97999999995</v>
      </c>
      <c r="M258" s="10">
        <v>5302.3499999999549</v>
      </c>
      <c r="N258" s="10">
        <v>160702.60999999999</v>
      </c>
      <c r="O258" s="10">
        <v>156894.65999999995</v>
      </c>
      <c r="P258" s="10">
        <v>267641.47000000003</v>
      </c>
      <c r="Q258" s="10">
        <v>77018.510000000009</v>
      </c>
      <c r="R258" s="10">
        <v>60392.140000000007</v>
      </c>
      <c r="S258" s="10">
        <v>15632.340000000007</v>
      </c>
      <c r="T258" s="10">
        <v>57058.709999999985</v>
      </c>
      <c r="U258" s="10">
        <v>11562.210000000001</v>
      </c>
      <c r="V258" s="10">
        <v>10163.130000000001</v>
      </c>
      <c r="W258" s="10">
        <v>1997774.2099999997</v>
      </c>
    </row>
    <row r="259" spans="3:23">
      <c r="C259" s="10"/>
      <c r="D259" s="10" t="s">
        <v>680</v>
      </c>
      <c r="E259" s="10">
        <v>1823045.0832811436</v>
      </c>
      <c r="F259" s="10">
        <v>109819.06119272913</v>
      </c>
      <c r="G259" s="10">
        <v>151431.18562461826</v>
      </c>
      <c r="H259" s="10">
        <v>249477.65767749504</v>
      </c>
      <c r="I259" s="10">
        <v>932721.49867724092</v>
      </c>
      <c r="J259" s="10">
        <v>28396.853091651123</v>
      </c>
      <c r="K259" s="10">
        <v>292378.18120734807</v>
      </c>
      <c r="L259" s="10">
        <v>206224.85884329831</v>
      </c>
      <c r="M259" s="10">
        <v>11612.695473886908</v>
      </c>
      <c r="N259" s="10">
        <v>254247.60879532955</v>
      </c>
      <c r="O259" s="10">
        <v>345901.99569033296</v>
      </c>
      <c r="P259" s="10">
        <v>401007.44129288313</v>
      </c>
      <c r="Q259" s="10">
        <v>80481.943704393605</v>
      </c>
      <c r="R259" s="10">
        <v>91540.115045685117</v>
      </c>
      <c r="S259" s="10">
        <v>15786.591591227127</v>
      </c>
      <c r="T259" s="10">
        <v>57492.339866444949</v>
      </c>
      <c r="U259" s="10">
        <v>11641.901255315612</v>
      </c>
      <c r="V259" s="10">
        <v>72397.03762506746</v>
      </c>
      <c r="W259" s="10">
        <v>5135604.0499360906</v>
      </c>
    </row>
    <row r="260" spans="3:23">
      <c r="C260" s="10" t="s">
        <v>667</v>
      </c>
      <c r="D260" s="10" t="s">
        <v>28</v>
      </c>
      <c r="E260" s="10" t="s">
        <v>9</v>
      </c>
      <c r="F260" s="10" t="s">
        <v>10</v>
      </c>
      <c r="G260" s="10" t="s">
        <v>11</v>
      </c>
      <c r="H260" s="10" t="s">
        <v>31</v>
      </c>
      <c r="I260" s="10" t="s">
        <v>12</v>
      </c>
      <c r="J260" s="10" t="s">
        <v>13</v>
      </c>
      <c r="K260" s="10" t="s">
        <v>14</v>
      </c>
      <c r="L260" s="10" t="s">
        <v>15</v>
      </c>
      <c r="M260" s="10" t="s">
        <v>16</v>
      </c>
      <c r="N260" s="10" t="s">
        <v>17</v>
      </c>
      <c r="O260" s="10" t="s">
        <v>18</v>
      </c>
      <c r="P260" s="10" t="s">
        <v>19</v>
      </c>
      <c r="Q260" s="10" t="s">
        <v>20</v>
      </c>
      <c r="R260" s="10" t="s">
        <v>60</v>
      </c>
      <c r="S260" s="10" t="s">
        <v>61</v>
      </c>
      <c r="T260" s="10" t="s">
        <v>62</v>
      </c>
      <c r="U260" s="10" t="s">
        <v>63</v>
      </c>
      <c r="V260" s="10" t="s">
        <v>64</v>
      </c>
      <c r="W260" s="10" t="s">
        <v>668</v>
      </c>
    </row>
    <row r="261" spans="3:23">
      <c r="C261" s="10" t="s">
        <v>305</v>
      </c>
      <c r="D261" s="10" t="s">
        <v>795</v>
      </c>
      <c r="E261" s="10">
        <v>5260.0260381547032</v>
      </c>
      <c r="F261" s="10">
        <v>955.02627593002558</v>
      </c>
      <c r="G261" s="10">
        <v>1016.3850566358554</v>
      </c>
      <c r="H261" s="10">
        <v>842.9936811511036</v>
      </c>
      <c r="I261" s="10">
        <v>1324.4286347033649</v>
      </c>
      <c r="J261" s="10">
        <v>693.62912942636331</v>
      </c>
      <c r="K261" s="10">
        <v>2589.9626060714422</v>
      </c>
      <c r="L261" s="10">
        <v>1648.3696024649512</v>
      </c>
      <c r="M261" s="10">
        <v>4852.5228874620107</v>
      </c>
      <c r="N261" s="10">
        <v>2604.3619927828586</v>
      </c>
      <c r="O261" s="10">
        <v>1074.8488284680229</v>
      </c>
      <c r="P261" s="10">
        <v>2026.6369942038275</v>
      </c>
      <c r="Q261" s="10">
        <v>5111.6679812716948</v>
      </c>
      <c r="R261" s="10">
        <v>906.74493298143761</v>
      </c>
      <c r="S261" s="10">
        <v>813.56648462966461</v>
      </c>
      <c r="T261" s="10">
        <v>2772.9365583362669</v>
      </c>
      <c r="U261" s="10">
        <v>282.33602677721649</v>
      </c>
      <c r="V261" s="10">
        <v>348.6599067609971</v>
      </c>
      <c r="W261" s="10">
        <v>35125.103618211811</v>
      </c>
    </row>
    <row r="262" spans="3:23">
      <c r="C262" s="10" t="s">
        <v>306</v>
      </c>
      <c r="D262" s="10" t="s">
        <v>796</v>
      </c>
      <c r="E262" s="10">
        <v>8013.936496565937</v>
      </c>
      <c r="F262" s="10">
        <v>1403.0545067211299</v>
      </c>
      <c r="G262" s="10">
        <v>1190.2757821598532</v>
      </c>
      <c r="H262" s="10">
        <v>1033.302469840921</v>
      </c>
      <c r="I262" s="10">
        <v>1960.7636612590629</v>
      </c>
      <c r="J262" s="10">
        <v>615.04067736929574</v>
      </c>
      <c r="K262" s="10">
        <v>2790.944992179122</v>
      </c>
      <c r="L262" s="10">
        <v>2074.3475040063277</v>
      </c>
      <c r="M262" s="10">
        <v>20723.80813791589</v>
      </c>
      <c r="N262" s="10">
        <v>5030.5078647263117</v>
      </c>
      <c r="O262" s="10">
        <v>1131.8211755408201</v>
      </c>
      <c r="P262" s="10">
        <v>3043.2250892809229</v>
      </c>
      <c r="Q262" s="10">
        <v>6215.8259884141216</v>
      </c>
      <c r="R262" s="10">
        <v>1360.3299829819814</v>
      </c>
      <c r="S262" s="10">
        <v>647.53552150325731</v>
      </c>
      <c r="T262" s="10">
        <v>2313.6906465206835</v>
      </c>
      <c r="U262" s="10">
        <v>328.57886640531706</v>
      </c>
      <c r="V262" s="10">
        <v>143.25245660905574</v>
      </c>
      <c r="W262" s="10">
        <v>60020.241820000017</v>
      </c>
    </row>
    <row r="263" spans="3:23">
      <c r="C263" s="10" t="s">
        <v>307</v>
      </c>
      <c r="D263" s="10" t="s">
        <v>797</v>
      </c>
      <c r="E263" s="10">
        <v>2969.3819584011553</v>
      </c>
      <c r="F263" s="10">
        <v>512.75187402311008</v>
      </c>
      <c r="G263" s="10">
        <v>421.83639314309386</v>
      </c>
      <c r="H263" s="10">
        <v>359.02192169123572</v>
      </c>
      <c r="I263" s="10">
        <v>680.16876789194134</v>
      </c>
      <c r="J263" s="10">
        <v>1192.7372094696007</v>
      </c>
      <c r="K263" s="10">
        <v>985.38890048601684</v>
      </c>
      <c r="L263" s="10">
        <v>887.7956303743149</v>
      </c>
      <c r="M263" s="10">
        <v>3928.4832221816741</v>
      </c>
      <c r="N263" s="10">
        <v>1765.3961782192127</v>
      </c>
      <c r="O263" s="10">
        <v>396.07293351500635</v>
      </c>
      <c r="P263" s="10">
        <v>1164.9428537889903</v>
      </c>
      <c r="Q263" s="10">
        <v>2750.624013955482</v>
      </c>
      <c r="R263" s="10">
        <v>592.3048195815843</v>
      </c>
      <c r="S263" s="10">
        <v>392.03433980327441</v>
      </c>
      <c r="T263" s="10">
        <v>995.62007089244128</v>
      </c>
      <c r="U263" s="10">
        <v>120.57618097813922</v>
      </c>
      <c r="V263" s="10">
        <v>40.458491603726443</v>
      </c>
      <c r="W263" s="10">
        <v>20155.59576</v>
      </c>
    </row>
    <row r="264" spans="3:23">
      <c r="C264" s="10" t="s">
        <v>308</v>
      </c>
      <c r="D264" s="10" t="s">
        <v>309</v>
      </c>
      <c r="E264" s="10">
        <v>454450.33333404781</v>
      </c>
      <c r="F264" s="10">
        <v>73215.638717695052</v>
      </c>
      <c r="G264" s="10">
        <v>43169.246095752278</v>
      </c>
      <c r="H264" s="10">
        <v>34529.573421348898</v>
      </c>
      <c r="I264" s="10">
        <v>88938.908594258668</v>
      </c>
      <c r="J264" s="10">
        <v>22905.700654636184</v>
      </c>
      <c r="K264" s="10">
        <v>155208.45000961318</v>
      </c>
      <c r="L264" s="10">
        <v>96163.308184485824</v>
      </c>
      <c r="M264" s="10">
        <v>161383.61848488566</v>
      </c>
      <c r="N264" s="10">
        <v>180779.43461773644</v>
      </c>
      <c r="O264" s="10">
        <v>67461.908933649247</v>
      </c>
      <c r="P264" s="10">
        <v>140298.21563788757</v>
      </c>
      <c r="Q264" s="10">
        <v>340847.78569394082</v>
      </c>
      <c r="R264" s="10">
        <v>79574.529771754605</v>
      </c>
      <c r="S264" s="10">
        <v>18812.84192548725</v>
      </c>
      <c r="T264" s="10">
        <v>37414.70862264742</v>
      </c>
      <c r="U264" s="10">
        <v>13890.630700594227</v>
      </c>
      <c r="V264" s="10">
        <v>27847.947189579063</v>
      </c>
      <c r="W264" s="10">
        <v>2036892.7805900001</v>
      </c>
    </row>
    <row r="265" spans="3:23">
      <c r="C265" s="10" t="s">
        <v>310</v>
      </c>
      <c r="D265" s="10" t="s">
        <v>488</v>
      </c>
      <c r="E265" s="10">
        <v>20138.826394797918</v>
      </c>
      <c r="F265" s="10">
        <v>4440.4587905950102</v>
      </c>
      <c r="G265" s="10">
        <v>2919.9496951991596</v>
      </c>
      <c r="H265" s="10">
        <v>2840.7108680129718</v>
      </c>
      <c r="I265" s="10">
        <v>5245.9192769449764</v>
      </c>
      <c r="J265" s="10">
        <v>1614.5596674159353</v>
      </c>
      <c r="K265" s="10">
        <v>8522.7214654885993</v>
      </c>
      <c r="L265" s="10">
        <v>7083.3438077264482</v>
      </c>
      <c r="M265" s="10">
        <v>18635.720894552236</v>
      </c>
      <c r="N265" s="10">
        <v>12929.304436676633</v>
      </c>
      <c r="O265" s="10">
        <v>3382.8104404622882</v>
      </c>
      <c r="P265" s="10">
        <v>6961.8744766132322</v>
      </c>
      <c r="Q265" s="10">
        <v>17457.160999976164</v>
      </c>
      <c r="R265" s="10">
        <v>3699.5559898957122</v>
      </c>
      <c r="S265" s="10">
        <v>1660.6561323947885</v>
      </c>
      <c r="T265" s="10">
        <v>6385.1225563301678</v>
      </c>
      <c r="U265" s="10">
        <v>972.8782240252707</v>
      </c>
      <c r="V265" s="10">
        <v>1546.4751728925141</v>
      </c>
      <c r="W265" s="10">
        <v>126438.04929000005</v>
      </c>
    </row>
    <row r="266" spans="3:23">
      <c r="C266" s="10" t="s">
        <v>311</v>
      </c>
      <c r="D266" s="10" t="s">
        <v>798</v>
      </c>
      <c r="E266" s="10">
        <v>3169.2271609863383</v>
      </c>
      <c r="F266" s="10">
        <v>561.12953790551842</v>
      </c>
      <c r="G266" s="10">
        <v>432.37299816255347</v>
      </c>
      <c r="H266" s="10">
        <v>448.07428607790746</v>
      </c>
      <c r="I266" s="10">
        <v>818.37912479688009</v>
      </c>
      <c r="J266" s="10">
        <v>288.62161263505709</v>
      </c>
      <c r="K266" s="10">
        <v>964.9746148353629</v>
      </c>
      <c r="L266" s="10">
        <v>828.85118499506871</v>
      </c>
      <c r="M266" s="10">
        <v>2862.1278562278644</v>
      </c>
      <c r="N266" s="10">
        <v>1985.1275191547409</v>
      </c>
      <c r="O266" s="10">
        <v>445.83972478418991</v>
      </c>
      <c r="P266" s="10">
        <v>1056.8802083823966</v>
      </c>
      <c r="Q266" s="10">
        <v>2464.6011633128051</v>
      </c>
      <c r="R266" s="10">
        <v>603.41540024335586</v>
      </c>
      <c r="S266" s="10">
        <v>248.44471501156013</v>
      </c>
      <c r="T266" s="10">
        <v>846.79180619711406</v>
      </c>
      <c r="U266" s="10">
        <v>157.57265818993449</v>
      </c>
      <c r="V266" s="10">
        <v>58.6683046777896</v>
      </c>
      <c r="W266" s="10">
        <v>18241.099876576438</v>
      </c>
    </row>
    <row r="267" spans="3:23">
      <c r="C267" s="10" t="s">
        <v>312</v>
      </c>
      <c r="D267" s="10" t="s">
        <v>799</v>
      </c>
      <c r="E267" s="10">
        <v>2657.5703863089821</v>
      </c>
      <c r="F267" s="10">
        <v>421.69544867758134</v>
      </c>
      <c r="G267" s="10">
        <v>336.07716708772864</v>
      </c>
      <c r="H267" s="10">
        <v>349.51996344028771</v>
      </c>
      <c r="I267" s="10">
        <v>666.419035603677</v>
      </c>
      <c r="J267" s="10">
        <v>186.2763375460477</v>
      </c>
      <c r="K267" s="10">
        <v>791.25676825289986</v>
      </c>
      <c r="L267" s="10">
        <v>659.49448465664898</v>
      </c>
      <c r="M267" s="10">
        <v>2378.2764304496013</v>
      </c>
      <c r="N267" s="10">
        <v>1596.6086307645912</v>
      </c>
      <c r="O267" s="10">
        <v>347.70855077373005</v>
      </c>
      <c r="P267" s="10">
        <v>870.14631449844205</v>
      </c>
      <c r="Q267" s="10">
        <v>2043.3604293734752</v>
      </c>
      <c r="R267" s="10">
        <v>463.71959138747945</v>
      </c>
      <c r="S267" s="10">
        <v>202.80042889447247</v>
      </c>
      <c r="T267" s="10">
        <v>691.2191369138568</v>
      </c>
      <c r="U267" s="10">
        <v>101.14704270302964</v>
      </c>
      <c r="V267" s="10">
        <v>53.2269726674701</v>
      </c>
      <c r="W267" s="10">
        <v>14816.523120000002</v>
      </c>
    </row>
    <row r="268" spans="3:23">
      <c r="C268" s="10" t="s">
        <v>313</v>
      </c>
      <c r="D268" s="10" t="s">
        <v>489</v>
      </c>
      <c r="E268" s="10">
        <v>592.68257704517418</v>
      </c>
      <c r="F268" s="10">
        <v>104.02269700335306</v>
      </c>
      <c r="G268" s="10">
        <v>88.375364446086067</v>
      </c>
      <c r="H268" s="10">
        <v>76.378868504697465</v>
      </c>
      <c r="I268" s="10">
        <v>144.91543494094026</v>
      </c>
      <c r="J268" s="10">
        <v>45.590807072603191</v>
      </c>
      <c r="K268" s="10">
        <v>207.20245906351192</v>
      </c>
      <c r="L268" s="10">
        <v>153.57937147772125</v>
      </c>
      <c r="M268" s="10">
        <v>551.98293252973701</v>
      </c>
      <c r="N268" s="10">
        <v>372.4620723255664</v>
      </c>
      <c r="O268" s="10">
        <v>83.868864071148749</v>
      </c>
      <c r="P268" s="10">
        <v>225.88842145650275</v>
      </c>
      <c r="Q268" s="10">
        <v>459.80662584410925</v>
      </c>
      <c r="R268" s="10">
        <v>100.53066600691368</v>
      </c>
      <c r="S268" s="10">
        <v>47.960021448582935</v>
      </c>
      <c r="T268" s="10">
        <v>171.56208809526467</v>
      </c>
      <c r="U268" s="10">
        <v>24.346754423800707</v>
      </c>
      <c r="V268" s="10">
        <v>10.560614244286738</v>
      </c>
      <c r="W268" s="10">
        <v>3461.7166400000006</v>
      </c>
    </row>
    <row r="269" spans="3:23">
      <c r="C269" s="10" t="s">
        <v>314</v>
      </c>
      <c r="D269" s="10" t="s">
        <v>800</v>
      </c>
      <c r="E269" s="10">
        <v>2746.1266115562266</v>
      </c>
      <c r="F269" s="10">
        <v>435.74728991242267</v>
      </c>
      <c r="G269" s="10">
        <v>347.27601452462079</v>
      </c>
      <c r="H269" s="10">
        <v>361.16675510017495</v>
      </c>
      <c r="I269" s="10">
        <v>688.6256174236737</v>
      </c>
      <c r="J269" s="10">
        <v>192.48348426582669</v>
      </c>
      <c r="K269" s="10">
        <v>817.6232242304327</v>
      </c>
      <c r="L269" s="10">
        <v>681.47032485769921</v>
      </c>
      <c r="M269" s="10">
        <v>2457.5259526297532</v>
      </c>
      <c r="N269" s="10">
        <v>1649.8112229766666</v>
      </c>
      <c r="O269" s="10">
        <v>359.29498208758781</v>
      </c>
      <c r="P269" s="10">
        <v>899.14154767147784</v>
      </c>
      <c r="Q269" s="10">
        <v>2111.449796781058</v>
      </c>
      <c r="R269" s="10">
        <v>479.17177161872598</v>
      </c>
      <c r="S269" s="10">
        <v>209.55819551993514</v>
      </c>
      <c r="T269" s="10">
        <v>714.25211391386199</v>
      </c>
      <c r="U269" s="10">
        <v>104.51748976356546</v>
      </c>
      <c r="V269" s="10">
        <v>55.000615166292476</v>
      </c>
      <c r="W269" s="10">
        <v>15310.243010000002</v>
      </c>
    </row>
    <row r="270" spans="3:23">
      <c r="C270" s="10" t="s">
        <v>801</v>
      </c>
      <c r="D270" s="10" t="s">
        <v>315</v>
      </c>
      <c r="E270" s="10">
        <v>0</v>
      </c>
      <c r="F270" s="10">
        <v>0</v>
      </c>
      <c r="G270" s="10">
        <v>0</v>
      </c>
      <c r="H270" s="10">
        <v>0</v>
      </c>
      <c r="I270" s="10">
        <v>0</v>
      </c>
      <c r="J270" s="10">
        <v>0</v>
      </c>
      <c r="K270" s="10">
        <v>0</v>
      </c>
      <c r="L270" s="10">
        <v>0</v>
      </c>
      <c r="M270" s="10">
        <v>0</v>
      </c>
      <c r="N270" s="10">
        <v>0</v>
      </c>
      <c r="O270" s="10">
        <v>0</v>
      </c>
      <c r="P270" s="10">
        <v>0</v>
      </c>
      <c r="Q270" s="10">
        <v>1070.4492499999999</v>
      </c>
      <c r="R270" s="10">
        <v>0</v>
      </c>
      <c r="S270" s="10">
        <v>0</v>
      </c>
      <c r="T270" s="10">
        <v>0</v>
      </c>
      <c r="U270" s="10">
        <v>0</v>
      </c>
      <c r="V270" s="10">
        <v>0</v>
      </c>
      <c r="W270" s="10">
        <v>1070.4492499999999</v>
      </c>
    </row>
    <row r="271" spans="3:23">
      <c r="C271" s="10" t="s">
        <v>802</v>
      </c>
      <c r="D271" s="10" t="s">
        <v>803</v>
      </c>
      <c r="E271" s="10">
        <v>103110.05861604915</v>
      </c>
      <c r="F271" s="10">
        <v>20327.531827872084</v>
      </c>
      <c r="G271" s="10">
        <v>23346.650129356171</v>
      </c>
      <c r="H271" s="10">
        <v>20562.390298081256</v>
      </c>
      <c r="I271" s="10">
        <v>34380.070976559138</v>
      </c>
      <c r="J271" s="10">
        <v>10441.554043120226</v>
      </c>
      <c r="K271" s="10">
        <v>38631.473913679118</v>
      </c>
      <c r="L271" s="10">
        <v>34862.707331511105</v>
      </c>
      <c r="M271" s="10">
        <v>164153.92312704277</v>
      </c>
      <c r="N271" s="10">
        <v>93782.155619997793</v>
      </c>
      <c r="O271" s="10">
        <v>12607.662406323076</v>
      </c>
      <c r="P271" s="10">
        <v>45261.283177579855</v>
      </c>
      <c r="Q271" s="10">
        <v>96909.883798882816</v>
      </c>
      <c r="R271" s="10">
        <v>21369.347182235881</v>
      </c>
      <c r="S271" s="10">
        <v>14669.199461127235</v>
      </c>
      <c r="T271" s="10">
        <v>37423.582049008175</v>
      </c>
      <c r="U271" s="10">
        <v>7373.5268880977501</v>
      </c>
      <c r="V271" s="10">
        <v>2121.1338548686681</v>
      </c>
      <c r="W271" s="10">
        <v>781334.13470139261</v>
      </c>
    </row>
    <row r="272" spans="3:23">
      <c r="C272" s="10" t="s">
        <v>804</v>
      </c>
      <c r="D272" s="10" t="s">
        <v>805</v>
      </c>
      <c r="E272" s="10">
        <v>0</v>
      </c>
      <c r="F272" s="10">
        <v>562.22474182203814</v>
      </c>
      <c r="G272" s="10">
        <v>485.12859294106113</v>
      </c>
      <c r="H272" s="10">
        <v>400.19076808669894</v>
      </c>
      <c r="I272" s="10">
        <v>0</v>
      </c>
      <c r="J272" s="10">
        <v>244.13712154689509</v>
      </c>
      <c r="K272" s="10">
        <v>1099.0625213093292</v>
      </c>
      <c r="L272" s="10">
        <v>820.57604794264648</v>
      </c>
      <c r="M272" s="10">
        <v>0</v>
      </c>
      <c r="N272" s="10">
        <v>0</v>
      </c>
      <c r="O272" s="10">
        <v>453.57389965338649</v>
      </c>
      <c r="P272" s="10">
        <v>0</v>
      </c>
      <c r="Q272" s="10">
        <v>2426.868311981505</v>
      </c>
      <c r="R272" s="10">
        <v>522.52794091240889</v>
      </c>
      <c r="S272" s="10">
        <v>0</v>
      </c>
      <c r="T272" s="10">
        <v>0</v>
      </c>
      <c r="U272" s="10">
        <v>131.41044286720765</v>
      </c>
      <c r="V272" s="10">
        <v>48.935610936823629</v>
      </c>
      <c r="W272" s="10">
        <v>7194.6360000000004</v>
      </c>
    </row>
    <row r="273" spans="3:23">
      <c r="C273" s="10" t="s">
        <v>806</v>
      </c>
      <c r="D273" s="10" t="s">
        <v>807</v>
      </c>
      <c r="E273" s="10">
        <v>585.06450990257451</v>
      </c>
      <c r="F273" s="10">
        <v>444.74496902493911</v>
      </c>
      <c r="G273" s="10">
        <v>382.2289054536929</v>
      </c>
      <c r="H273" s="10">
        <v>319.07184003437942</v>
      </c>
      <c r="I273" s="10">
        <v>143.23131509970673</v>
      </c>
      <c r="J273" s="10">
        <v>193.30467425695861</v>
      </c>
      <c r="K273" s="10">
        <v>873.38888909469154</v>
      </c>
      <c r="L273" s="10">
        <v>651.06862596424287</v>
      </c>
      <c r="M273" s="10">
        <v>544.5728258586679</v>
      </c>
      <c r="N273" s="10">
        <v>371.15489654526721</v>
      </c>
      <c r="O273" s="10">
        <v>358.47549190185913</v>
      </c>
      <c r="P273" s="10">
        <v>223.5994927753782</v>
      </c>
      <c r="Q273" s="10">
        <v>1926.5582307093071</v>
      </c>
      <c r="R273" s="10">
        <v>416.60315088315082</v>
      </c>
      <c r="S273" s="10">
        <v>47.297815418230904</v>
      </c>
      <c r="T273" s="10">
        <v>168.70849547885518</v>
      </c>
      <c r="U273" s="10">
        <v>103.9102707527833</v>
      </c>
      <c r="V273" s="10">
        <v>40.027226240556899</v>
      </c>
      <c r="W273" s="10">
        <v>7793.0116253952438</v>
      </c>
    </row>
    <row r="274" spans="3:23">
      <c r="C274" s="10" t="s">
        <v>808</v>
      </c>
      <c r="D274" s="10" t="s">
        <v>809</v>
      </c>
      <c r="E274" s="10">
        <v>0</v>
      </c>
      <c r="F274" s="10">
        <v>0</v>
      </c>
      <c r="G274" s="10">
        <v>0.12940000000000002</v>
      </c>
      <c r="H274" s="10">
        <v>0</v>
      </c>
      <c r="I274" s="10">
        <v>0.21636000000000002</v>
      </c>
      <c r="J274" s="10">
        <v>0</v>
      </c>
      <c r="K274" s="10">
        <v>0</v>
      </c>
      <c r="L274" s="10">
        <v>0</v>
      </c>
      <c r="M274" s="10">
        <v>0</v>
      </c>
      <c r="N274" s="10">
        <v>0</v>
      </c>
      <c r="O274" s="10">
        <v>0</v>
      </c>
      <c r="P274" s="10">
        <v>0</v>
      </c>
      <c r="Q274" s="10">
        <v>193.39845000000003</v>
      </c>
      <c r="R274" s="10">
        <v>0</v>
      </c>
      <c r="S274" s="10">
        <v>0</v>
      </c>
      <c r="T274" s="10">
        <v>0</v>
      </c>
      <c r="U274" s="10">
        <v>0</v>
      </c>
      <c r="V274" s="10">
        <v>0</v>
      </c>
      <c r="W274" s="10">
        <v>193.74421000000004</v>
      </c>
    </row>
    <row r="275" spans="3:23">
      <c r="C275" s="10" t="s">
        <v>810</v>
      </c>
      <c r="D275" s="10" t="s">
        <v>811</v>
      </c>
      <c r="E275" s="10">
        <v>32688.719490297113</v>
      </c>
      <c r="F275" s="10">
        <v>29383.179656069344</v>
      </c>
      <c r="G275" s="10">
        <v>4489.7522929954403</v>
      </c>
      <c r="H275" s="10">
        <v>8015.81564858806</v>
      </c>
      <c r="I275" s="10">
        <v>7795.2191212012485</v>
      </c>
      <c r="J275" s="10">
        <v>5593.0703292601102</v>
      </c>
      <c r="K275" s="10">
        <v>7253.5941185476131</v>
      </c>
      <c r="L275" s="10">
        <v>5280.3610050033067</v>
      </c>
      <c r="M275" s="10">
        <v>83534.827708187542</v>
      </c>
      <c r="N275" s="10">
        <v>38991.954913518399</v>
      </c>
      <c r="O275" s="10">
        <v>1958.1792727429061</v>
      </c>
      <c r="P275" s="10">
        <v>23500.047573420303</v>
      </c>
      <c r="Q275" s="10">
        <v>79346.392159665367</v>
      </c>
      <c r="R275" s="10">
        <v>9034.706363772375</v>
      </c>
      <c r="S275" s="10">
        <v>4002.0144219271492</v>
      </c>
      <c r="T275" s="10">
        <v>36621.433902705088</v>
      </c>
      <c r="U275" s="10">
        <v>1158.4196563402234</v>
      </c>
      <c r="V275" s="10">
        <v>197.88577509999519</v>
      </c>
      <c r="W275" s="10">
        <v>378845.57340934157</v>
      </c>
    </row>
    <row r="276" spans="3:23">
      <c r="C276" s="10" t="s">
        <v>633</v>
      </c>
      <c r="D276" s="10" t="s">
        <v>316</v>
      </c>
      <c r="E276" s="10">
        <v>2195.157573903919</v>
      </c>
      <c r="F276" s="10">
        <v>0</v>
      </c>
      <c r="G276" s="10">
        <v>531.69469997327792</v>
      </c>
      <c r="H276" s="10">
        <v>304.82140185129578</v>
      </c>
      <c r="I276" s="10">
        <v>6658.5524390784012</v>
      </c>
      <c r="J276" s="10">
        <v>6625.2514090693094</v>
      </c>
      <c r="K276" s="10">
        <v>0</v>
      </c>
      <c r="L276" s="10">
        <v>0</v>
      </c>
      <c r="M276" s="10">
        <v>1034.1094184418171</v>
      </c>
      <c r="N276" s="10">
        <v>706.57219976701731</v>
      </c>
      <c r="O276" s="10">
        <v>0</v>
      </c>
      <c r="P276" s="10">
        <v>3682.6299065754488</v>
      </c>
      <c r="Q276" s="10">
        <v>88.251754607654334</v>
      </c>
      <c r="R276" s="10">
        <v>285.81325998605166</v>
      </c>
      <c r="S276" s="10">
        <v>0</v>
      </c>
      <c r="T276" s="10">
        <v>868.90917432846538</v>
      </c>
      <c r="U276" s="10">
        <v>0</v>
      </c>
      <c r="V276" s="10">
        <v>364.0047924173449</v>
      </c>
      <c r="W276" s="10">
        <v>23345.768030000007</v>
      </c>
    </row>
    <row r="277" spans="3:23">
      <c r="C277" s="10" t="s">
        <v>812</v>
      </c>
      <c r="D277" s="10" t="s">
        <v>813</v>
      </c>
      <c r="E277" s="10">
        <v>80.259383539617318</v>
      </c>
      <c r="F277" s="10">
        <v>137.75025646220419</v>
      </c>
      <c r="G277" s="10">
        <v>118.65182155008073</v>
      </c>
      <c r="H277" s="10">
        <v>98.392721129179904</v>
      </c>
      <c r="I277" s="10">
        <v>19.647826727218444</v>
      </c>
      <c r="J277" s="10">
        <v>59.840639005842426</v>
      </c>
      <c r="K277" s="10">
        <v>269.82489719135225</v>
      </c>
      <c r="L277" s="10">
        <v>201.31622255497845</v>
      </c>
      <c r="M277" s="10">
        <v>74.714269076380518</v>
      </c>
      <c r="N277" s="10">
        <v>50.911840254789979</v>
      </c>
      <c r="O277" s="10">
        <v>111.08579137317922</v>
      </c>
      <c r="P277" s="10">
        <v>30.679013940889007</v>
      </c>
      <c r="Q277" s="10">
        <v>595.5345962560516</v>
      </c>
      <c r="R277" s="10">
        <v>128.46999530767647</v>
      </c>
      <c r="S277" s="10">
        <v>6.4883992817401754</v>
      </c>
      <c r="T277" s="10">
        <v>23.149795657468022</v>
      </c>
      <c r="U277" s="10">
        <v>32.19112775873149</v>
      </c>
      <c r="V277" s="10">
        <v>12.169771349017092</v>
      </c>
      <c r="W277" s="10">
        <v>2051.0783684163976</v>
      </c>
    </row>
    <row r="278" spans="3:23">
      <c r="C278" s="10" t="s">
        <v>814</v>
      </c>
      <c r="D278" s="10" t="s">
        <v>815</v>
      </c>
      <c r="E278" s="10">
        <v>1.8427213656479944</v>
      </c>
      <c r="F278" s="10">
        <v>0.34704217558549721</v>
      </c>
      <c r="G278" s="10">
        <v>0.29945334989595357</v>
      </c>
      <c r="H278" s="10">
        <v>0.24702412482942643</v>
      </c>
      <c r="I278" s="10">
        <v>0.44598562635043187</v>
      </c>
      <c r="J278" s="10">
        <v>0.1506975262743486</v>
      </c>
      <c r="K278" s="10">
        <v>0.67841384437044805</v>
      </c>
      <c r="L278" s="10">
        <v>0.50651363365560564</v>
      </c>
      <c r="M278" s="10">
        <v>1.7850312036434761</v>
      </c>
      <c r="N278" s="10">
        <v>1.1445890090831643</v>
      </c>
      <c r="O278" s="10">
        <v>0.27997571294066997</v>
      </c>
      <c r="P278" s="10">
        <v>0.74480612144111003</v>
      </c>
      <c r="Q278" s="10">
        <v>1.4980231146002387</v>
      </c>
      <c r="R278" s="10">
        <v>0.32253869303363403</v>
      </c>
      <c r="S278" s="10">
        <v>0.14945230130143977</v>
      </c>
      <c r="T278" s="10">
        <v>0.57741072353952438</v>
      </c>
      <c r="U278" s="10">
        <v>8.1115188633453711E-2</v>
      </c>
      <c r="V278" s="10">
        <v>3.0206285173583293E-2</v>
      </c>
      <c r="W278" s="10">
        <v>11.131</v>
      </c>
    </row>
    <row r="279" spans="3:23">
      <c r="C279" s="10" t="s">
        <v>317</v>
      </c>
      <c r="D279" s="10" t="s">
        <v>318</v>
      </c>
      <c r="E279" s="10">
        <v>26005.312663546476</v>
      </c>
      <c r="F279" s="10">
        <v>0</v>
      </c>
      <c r="G279" s="10">
        <v>4413.7383616029847</v>
      </c>
      <c r="H279" s="10">
        <v>1102.0669012039277</v>
      </c>
      <c r="I279" s="10">
        <v>0</v>
      </c>
      <c r="J279" s="10">
        <v>1648.6841187551549</v>
      </c>
      <c r="K279" s="10">
        <v>0</v>
      </c>
      <c r="L279" s="10">
        <v>0</v>
      </c>
      <c r="M279" s="10">
        <v>0</v>
      </c>
      <c r="N279" s="10">
        <v>0</v>
      </c>
      <c r="O279" s="10">
        <v>0</v>
      </c>
      <c r="P279" s="10">
        <v>0</v>
      </c>
      <c r="Q279" s="10">
        <v>0</v>
      </c>
      <c r="R279" s="10">
        <v>1729.6222329562393</v>
      </c>
      <c r="S279" s="10">
        <v>0</v>
      </c>
      <c r="T279" s="10">
        <v>0</v>
      </c>
      <c r="U279" s="10">
        <v>0</v>
      </c>
      <c r="V279" s="10">
        <v>0</v>
      </c>
      <c r="W279" s="10">
        <v>34899.424278064784</v>
      </c>
    </row>
    <row r="280" spans="3:23">
      <c r="C280" s="10" t="s">
        <v>816</v>
      </c>
      <c r="D280" s="10" t="s">
        <v>817</v>
      </c>
      <c r="E280" s="10">
        <v>0</v>
      </c>
      <c r="F280" s="10">
        <v>0</v>
      </c>
      <c r="G280" s="10">
        <v>0</v>
      </c>
      <c r="H280" s="10">
        <v>0</v>
      </c>
      <c r="I280" s="10">
        <v>8370.0685224161225</v>
      </c>
      <c r="J280" s="10">
        <v>0</v>
      </c>
      <c r="K280" s="10">
        <v>0</v>
      </c>
      <c r="L280" s="10">
        <v>0</v>
      </c>
      <c r="M280" s="10">
        <v>2394.3852971841507</v>
      </c>
      <c r="N280" s="10">
        <v>8150.8530534814681</v>
      </c>
      <c r="O280" s="10">
        <v>0</v>
      </c>
      <c r="P280" s="10">
        <v>57770.110571801524</v>
      </c>
      <c r="Q280" s="10">
        <v>0</v>
      </c>
      <c r="R280" s="10">
        <v>0</v>
      </c>
      <c r="S280" s="10">
        <v>0</v>
      </c>
      <c r="T280" s="10">
        <v>0</v>
      </c>
      <c r="U280" s="10">
        <v>0</v>
      </c>
      <c r="V280" s="10">
        <v>0</v>
      </c>
      <c r="W280" s="10">
        <v>76685.417444883264</v>
      </c>
    </row>
    <row r="281" spans="3:23">
      <c r="C281" s="10" t="s">
        <v>634</v>
      </c>
      <c r="D281" s="10" t="s">
        <v>646</v>
      </c>
      <c r="E281" s="10">
        <v>1723.3202246216088</v>
      </c>
      <c r="F281" s="10">
        <v>3227.4899004474059</v>
      </c>
      <c r="G281" s="10">
        <v>782.52241413453908</v>
      </c>
      <c r="H281" s="10">
        <v>778.09513032048244</v>
      </c>
      <c r="I281" s="10">
        <v>1059.227652513089</v>
      </c>
      <c r="J281" s="10">
        <v>527.95359482627327</v>
      </c>
      <c r="K281" s="10">
        <v>6186.022309190862</v>
      </c>
      <c r="L281" s="10">
        <v>5691.2733429700147</v>
      </c>
      <c r="M281" s="10">
        <v>2484.8130406393784</v>
      </c>
      <c r="N281" s="10">
        <v>2706.1772313422184</v>
      </c>
      <c r="O281" s="10">
        <v>1990.0640744185309</v>
      </c>
      <c r="P281" s="10">
        <v>548.98319294304304</v>
      </c>
      <c r="Q281" s="10">
        <v>6366.4341246136764</v>
      </c>
      <c r="R281" s="10">
        <v>875.49537422973196</v>
      </c>
      <c r="S281" s="10">
        <v>371.8918403807711</v>
      </c>
      <c r="T281" s="10">
        <v>2917.58003346343</v>
      </c>
      <c r="U281" s="10">
        <v>551.19683485007135</v>
      </c>
      <c r="V281" s="10">
        <v>3069.2145040948753</v>
      </c>
      <c r="W281" s="10">
        <v>41857.754820000002</v>
      </c>
    </row>
    <row r="282" spans="3:23">
      <c r="C282" s="10"/>
      <c r="D282" s="10" t="s">
        <v>680</v>
      </c>
      <c r="E282" s="10">
        <v>666387.8461410905</v>
      </c>
      <c r="F282" s="10">
        <v>136132.79353233677</v>
      </c>
      <c r="G282" s="10">
        <v>84472.590638468391</v>
      </c>
      <c r="H282" s="10">
        <v>72421.833968588297</v>
      </c>
      <c r="I282" s="10">
        <v>158895.20834704442</v>
      </c>
      <c r="J282" s="10">
        <v>53068.58620720396</v>
      </c>
      <c r="K282" s="10">
        <v>227192.57010307795</v>
      </c>
      <c r="L282" s="10">
        <v>157688.36918462493</v>
      </c>
      <c r="M282" s="10">
        <v>471997.19751646882</v>
      </c>
      <c r="N282" s="10">
        <v>353473.93887927907</v>
      </c>
      <c r="O282" s="10">
        <v>92163.495345477932</v>
      </c>
      <c r="P282" s="10">
        <v>287565.02927894128</v>
      </c>
      <c r="Q282" s="10">
        <v>568387.55139270064</v>
      </c>
      <c r="R282" s="10">
        <v>122143.21096542836</v>
      </c>
      <c r="S282" s="10">
        <v>42132.439155129206</v>
      </c>
      <c r="T282" s="10">
        <v>130329.84446121209</v>
      </c>
      <c r="U282" s="10">
        <v>25333.320279715899</v>
      </c>
      <c r="V282" s="10">
        <v>35957.651465493655</v>
      </c>
      <c r="W282" s="10">
        <v>3685743.4768622825</v>
      </c>
    </row>
    <row r="283" spans="3:23">
      <c r="C283" s="10" t="s">
        <v>667</v>
      </c>
      <c r="D283" s="10" t="s">
        <v>818</v>
      </c>
      <c r="E283" s="10" t="s">
        <v>9</v>
      </c>
      <c r="F283" s="10" t="s">
        <v>10</v>
      </c>
      <c r="G283" s="10" t="s">
        <v>11</v>
      </c>
      <c r="H283" s="10" t="s">
        <v>31</v>
      </c>
      <c r="I283" s="10" t="s">
        <v>12</v>
      </c>
      <c r="J283" s="10" t="s">
        <v>13</v>
      </c>
      <c r="K283" s="10" t="s">
        <v>14</v>
      </c>
      <c r="L283" s="10" t="s">
        <v>15</v>
      </c>
      <c r="M283" s="10" t="s">
        <v>16</v>
      </c>
      <c r="N283" s="10" t="s">
        <v>17</v>
      </c>
      <c r="O283" s="10" t="s">
        <v>18</v>
      </c>
      <c r="P283" s="10" t="s">
        <v>19</v>
      </c>
      <c r="Q283" s="10" t="s">
        <v>20</v>
      </c>
      <c r="R283" s="10" t="s">
        <v>60</v>
      </c>
      <c r="S283" s="10" t="s">
        <v>61</v>
      </c>
      <c r="T283" s="10" t="s">
        <v>62</v>
      </c>
      <c r="U283" s="10" t="s">
        <v>63</v>
      </c>
      <c r="V283" s="10" t="s">
        <v>64</v>
      </c>
      <c r="W283" s="10" t="s">
        <v>668</v>
      </c>
    </row>
    <row r="284" spans="3:23">
      <c r="C284" s="10" t="s">
        <v>649</v>
      </c>
      <c r="D284" s="10" t="s">
        <v>819</v>
      </c>
      <c r="E284" s="10">
        <v>11969.958336217216</v>
      </c>
      <c r="F284" s="10">
        <v>1620.3097815478577</v>
      </c>
      <c r="G284" s="10">
        <v>1057.2806689487734</v>
      </c>
      <c r="H284" s="10">
        <v>1264.1417514149794</v>
      </c>
      <c r="I284" s="10">
        <v>2606.8517490254712</v>
      </c>
      <c r="J284" s="10">
        <v>678.62068742805047</v>
      </c>
      <c r="K284" s="10">
        <v>2671.0561637884061</v>
      </c>
      <c r="L284" s="10">
        <v>2961.6321561427299</v>
      </c>
      <c r="M284" s="10">
        <v>9872.5511119461917</v>
      </c>
      <c r="N284" s="10">
        <v>6516.4495232069548</v>
      </c>
      <c r="O284" s="10">
        <v>1391.7386281546194</v>
      </c>
      <c r="P284" s="10">
        <v>3088.7800960243762</v>
      </c>
      <c r="Q284" s="10">
        <v>9234.2781069263292</v>
      </c>
      <c r="R284" s="10">
        <v>2153.4813710554463</v>
      </c>
      <c r="S284" s="10">
        <v>813.04613006034253</v>
      </c>
      <c r="T284" s="10">
        <v>2713.0951266965822</v>
      </c>
      <c r="U284" s="10">
        <v>435.79310376443459</v>
      </c>
      <c r="V284" s="10">
        <v>268.82081293916849</v>
      </c>
      <c r="W284" s="10">
        <v>61317.885305287935</v>
      </c>
    </row>
    <row r="285" spans="3:23">
      <c r="C285" s="10" t="s">
        <v>650</v>
      </c>
      <c r="D285" s="10" t="s">
        <v>820</v>
      </c>
      <c r="E285" s="10">
        <v>417.77132687981424</v>
      </c>
      <c r="F285" s="10">
        <v>56.583914255397339</v>
      </c>
      <c r="G285" s="10">
        <v>42.298119397454379</v>
      </c>
      <c r="H285" s="10">
        <v>43.137683495091245</v>
      </c>
      <c r="I285" s="10">
        <v>87.982859070718973</v>
      </c>
      <c r="J285" s="10">
        <v>25.406227944031549</v>
      </c>
      <c r="K285" s="10">
        <v>113.70293258761679</v>
      </c>
      <c r="L285" s="10">
        <v>107.77116279748873</v>
      </c>
      <c r="M285" s="10">
        <v>292.4607532379631</v>
      </c>
      <c r="N285" s="10">
        <v>195.76370490054478</v>
      </c>
      <c r="O285" s="10">
        <v>57.792814760578345</v>
      </c>
      <c r="P285" s="10">
        <v>123.65844406666426</v>
      </c>
      <c r="Q285" s="10">
        <v>202.51020680295977</v>
      </c>
      <c r="R285" s="10">
        <v>72.061412925417528</v>
      </c>
      <c r="S285" s="10">
        <v>30.612966765297482</v>
      </c>
      <c r="T285" s="10">
        <v>85.352622633861728</v>
      </c>
      <c r="U285" s="10">
        <v>13.538505195938169</v>
      </c>
      <c r="V285" s="10">
        <v>9.6002322831611711</v>
      </c>
      <c r="W285" s="10">
        <v>1978.0058899999995</v>
      </c>
    </row>
    <row r="286" spans="3:23">
      <c r="C286" s="10" t="s">
        <v>651</v>
      </c>
      <c r="D286" s="10" t="s">
        <v>821</v>
      </c>
      <c r="E286" s="10">
        <v>66188.50220369811</v>
      </c>
      <c r="F286" s="10">
        <v>7592.4460457939122</v>
      </c>
      <c r="G286" s="10">
        <v>112.15045635459859</v>
      </c>
      <c r="H286" s="10">
        <v>161.17279429657881</v>
      </c>
      <c r="I286" s="10">
        <v>18263.936619614688</v>
      </c>
      <c r="J286" s="10">
        <v>3422.1399449589967</v>
      </c>
      <c r="K286" s="10">
        <v>296.31017135943739</v>
      </c>
      <c r="L286" s="10">
        <v>325.23048779198973</v>
      </c>
      <c r="M286" s="10">
        <v>1182.2495477310765</v>
      </c>
      <c r="N286" s="10">
        <v>743.21666960341429</v>
      </c>
      <c r="O286" s="10">
        <v>152.40986310289253</v>
      </c>
      <c r="P286" s="10">
        <v>336.89178503761474</v>
      </c>
      <c r="Q286" s="10">
        <v>1038.9347981984995</v>
      </c>
      <c r="R286" s="10">
        <v>248.58713535607365</v>
      </c>
      <c r="S286" s="10">
        <v>3208.7261499094657</v>
      </c>
      <c r="T286" s="10">
        <v>10941.878619083576</v>
      </c>
      <c r="U286" s="10">
        <v>47.138973596407929</v>
      </c>
      <c r="V286" s="10">
        <v>32.829694012159202</v>
      </c>
      <c r="W286" s="10">
        <v>114294.75195949951</v>
      </c>
    </row>
    <row r="287" spans="3:23">
      <c r="C287" s="10" t="s">
        <v>652</v>
      </c>
      <c r="D287" s="10" t="s">
        <v>822</v>
      </c>
      <c r="E287" s="10">
        <v>6872.5965370241984</v>
      </c>
      <c r="F287" s="10">
        <v>1135.7015793375808</v>
      </c>
      <c r="G287" s="10">
        <v>708.61035949200118</v>
      </c>
      <c r="H287" s="10">
        <v>623.92434430389949</v>
      </c>
      <c r="I287" s="10">
        <v>1675.3936478470448</v>
      </c>
      <c r="J287" s="10">
        <v>469.93586212169043</v>
      </c>
      <c r="K287" s="10">
        <v>2568.0981987971127</v>
      </c>
      <c r="L287" s="10">
        <v>1990.7023400377971</v>
      </c>
      <c r="M287" s="10">
        <v>5170.7647724505277</v>
      </c>
      <c r="N287" s="10">
        <v>4006.765165073838</v>
      </c>
      <c r="O287" s="10">
        <v>1065.4213600514117</v>
      </c>
      <c r="P287" s="10">
        <v>2063.6678012771627</v>
      </c>
      <c r="Q287" s="10">
        <v>3617.821900250995</v>
      </c>
      <c r="R287" s="10">
        <v>1055.1929761916356</v>
      </c>
      <c r="S287" s="10">
        <v>477.56720682672869</v>
      </c>
      <c r="T287" s="10">
        <v>1524.5317359326268</v>
      </c>
      <c r="U287" s="10">
        <v>289.98379740643327</v>
      </c>
      <c r="V287" s="10">
        <v>79.943695577319389</v>
      </c>
      <c r="W287" s="10">
        <v>35396.623280000007</v>
      </c>
    </row>
    <row r="288" spans="3:23">
      <c r="C288" s="10" t="s">
        <v>653</v>
      </c>
      <c r="D288" s="10" t="s">
        <v>823</v>
      </c>
      <c r="E288" s="10">
        <v>36228.512955243612</v>
      </c>
      <c r="F288" s="10">
        <v>8749.1924641970145</v>
      </c>
      <c r="G288" s="10">
        <v>5546.7192455712266</v>
      </c>
      <c r="H288" s="10">
        <v>5405.9701943734954</v>
      </c>
      <c r="I288" s="10">
        <v>10885.080275954693</v>
      </c>
      <c r="J288" s="10">
        <v>3676.1645263766827</v>
      </c>
      <c r="K288" s="10">
        <v>13026.080820279469</v>
      </c>
      <c r="L288" s="10">
        <v>13470.074543938636</v>
      </c>
      <c r="M288" s="10">
        <v>20508.821770180635</v>
      </c>
      <c r="N288" s="10">
        <v>21309.808262015526</v>
      </c>
      <c r="O288" s="10">
        <v>5433.5472647687948</v>
      </c>
      <c r="P288" s="10">
        <v>15720.263469779175</v>
      </c>
      <c r="Q288" s="10">
        <v>52785.059343318884</v>
      </c>
      <c r="R288" s="10">
        <v>7250.721847332461</v>
      </c>
      <c r="S288" s="10">
        <v>4889.2858942151533</v>
      </c>
      <c r="T288" s="10">
        <v>8660.0861826137516</v>
      </c>
      <c r="U288" s="10">
        <v>1722.9538383662059</v>
      </c>
      <c r="V288" s="10">
        <v>1372.3273914746046</v>
      </c>
      <c r="W288" s="10">
        <v>236640.67029000001</v>
      </c>
    </row>
    <row r="289" spans="3:23">
      <c r="C289" s="10" t="s">
        <v>654</v>
      </c>
      <c r="D289" s="10" t="s">
        <v>824</v>
      </c>
      <c r="E289" s="10">
        <v>1.5575185925781797E-2</v>
      </c>
      <c r="F289" s="10">
        <v>3.5397850396207721E-3</v>
      </c>
      <c r="G289" s="10">
        <v>8.312575438658552E-4</v>
      </c>
      <c r="H289" s="10">
        <v>6.0897402539974521E-4</v>
      </c>
      <c r="I289" s="10">
        <v>6.7126422898684014E-3</v>
      </c>
      <c r="J289" s="10">
        <v>5.4535689649073146E-4</v>
      </c>
      <c r="K289" s="10">
        <v>6.0564259586811933E-3</v>
      </c>
      <c r="L289" s="10">
        <v>4.896448546059147E-3</v>
      </c>
      <c r="M289" s="10">
        <v>2.1230899258879294E-2</v>
      </c>
      <c r="N289" s="10">
        <v>6.5542582248478828E-3</v>
      </c>
      <c r="O289" s="10">
        <v>6.7616726510541948E-4</v>
      </c>
      <c r="P289" s="10">
        <v>6.7232765140795231E-3</v>
      </c>
      <c r="Q289" s="10">
        <v>1.5076130253289938E-2</v>
      </c>
      <c r="R289" s="10">
        <v>1.3773673057874624E-3</v>
      </c>
      <c r="S289" s="10">
        <v>4.1044341127776992E-3</v>
      </c>
      <c r="T289" s="10">
        <v>1.0745554186712889E-2</v>
      </c>
      <c r="U289" s="10">
        <v>9.5030439012310723E-4</v>
      </c>
      <c r="V289" s="10">
        <v>2.0553226262912122E-4</v>
      </c>
      <c r="W289" s="10">
        <v>0.10640999999999999</v>
      </c>
    </row>
    <row r="290" spans="3:23">
      <c r="C290" s="10" t="s">
        <v>655</v>
      </c>
      <c r="D290" s="10" t="s">
        <v>825</v>
      </c>
      <c r="E290" s="10">
        <v>174.09630469078903</v>
      </c>
      <c r="F290" s="10">
        <v>23.717246954549172</v>
      </c>
      <c r="G290" s="10">
        <v>15.541822510611217</v>
      </c>
      <c r="H290" s="10">
        <v>16.282720350843093</v>
      </c>
      <c r="I290" s="10">
        <v>42.648464182543002</v>
      </c>
      <c r="J290" s="10">
        <v>8.6182599346512614</v>
      </c>
      <c r="K290" s="10">
        <v>32.378087224845942</v>
      </c>
      <c r="L290" s="10">
        <v>34.7114896182199</v>
      </c>
      <c r="M290" s="10">
        <v>188.87254257487629</v>
      </c>
      <c r="N290" s="10">
        <v>80.771069393515887</v>
      </c>
      <c r="O290" s="10">
        <v>17.824128501210563</v>
      </c>
      <c r="P290" s="10">
        <v>35.87201911833386</v>
      </c>
      <c r="Q290" s="10">
        <v>127.95909226038833</v>
      </c>
      <c r="R290" s="10">
        <v>39.240554375441334</v>
      </c>
      <c r="S290" s="10">
        <v>14.259126708344111</v>
      </c>
      <c r="T290" s="10">
        <v>32.324754945622921</v>
      </c>
      <c r="U290" s="10">
        <v>7.9052546663627741</v>
      </c>
      <c r="V290" s="10">
        <v>4.9904153376537934</v>
      </c>
      <c r="W290" s="10">
        <v>898.01335334880241</v>
      </c>
    </row>
    <row r="291" spans="3:23">
      <c r="C291" s="10" t="s">
        <v>656</v>
      </c>
      <c r="D291" s="10" t="s">
        <v>647</v>
      </c>
      <c r="E291" s="10">
        <v>213.64543000011312</v>
      </c>
      <c r="F291" s="10">
        <v>28.920048866400624</v>
      </c>
      <c r="G291" s="10">
        <v>18.870841217961349</v>
      </c>
      <c r="H291" s="10">
        <v>22.56299483056516</v>
      </c>
      <c r="I291" s="10">
        <v>46.528312565797975</v>
      </c>
      <c r="J291" s="10">
        <v>12.112340285585034</v>
      </c>
      <c r="K291" s="10">
        <v>47.674263070774231</v>
      </c>
      <c r="L291" s="10">
        <v>52.86059965528969</v>
      </c>
      <c r="M291" s="10">
        <v>176.20992222905289</v>
      </c>
      <c r="N291" s="10">
        <v>116.30864714434355</v>
      </c>
      <c r="O291" s="10">
        <v>24.840403726403203</v>
      </c>
      <c r="P291" s="10">
        <v>55.129995715545945</v>
      </c>
      <c r="Q291" s="10">
        <v>161.94412279612723</v>
      </c>
      <c r="R291" s="10">
        <v>38.436345440260766</v>
      </c>
      <c r="S291" s="10">
        <v>14.511628627904159</v>
      </c>
      <c r="T291" s="10">
        <v>48.424594195996377</v>
      </c>
      <c r="U291" s="10">
        <v>7.7782396922076451</v>
      </c>
      <c r="V291" s="10">
        <v>4.7980399396710496</v>
      </c>
      <c r="W291" s="10">
        <v>1091.5567699999999</v>
      </c>
    </row>
    <row r="292" spans="3:23">
      <c r="C292" s="10" t="s">
        <v>657</v>
      </c>
      <c r="D292" s="10" t="s">
        <v>648</v>
      </c>
      <c r="E292" s="10">
        <v>2889.1109154877845</v>
      </c>
      <c r="F292" s="10">
        <v>590.18596917734033</v>
      </c>
      <c r="G292" s="10">
        <v>527.75953672748017</v>
      </c>
      <c r="H292" s="10">
        <v>281.38932605249613</v>
      </c>
      <c r="I292" s="10">
        <v>412.24866954363642</v>
      </c>
      <c r="J292" s="10">
        <v>405.97957240585902</v>
      </c>
      <c r="K292" s="10">
        <v>956.43886418514069</v>
      </c>
      <c r="L292" s="10">
        <v>913.58749255966359</v>
      </c>
      <c r="M292" s="10">
        <v>1395.7915163716289</v>
      </c>
      <c r="N292" s="10">
        <v>1033.7864624980605</v>
      </c>
      <c r="O292" s="10">
        <v>336.83658799912052</v>
      </c>
      <c r="P292" s="10">
        <v>514.16398566490443</v>
      </c>
      <c r="Q292" s="10">
        <v>1911.0807625988889</v>
      </c>
      <c r="R292" s="10">
        <v>340.24217750919479</v>
      </c>
      <c r="S292" s="10">
        <v>231.78949158295541</v>
      </c>
      <c r="T292" s="10">
        <v>1624.3103417663979</v>
      </c>
      <c r="U292" s="10">
        <v>85.307097818412217</v>
      </c>
      <c r="V292" s="10">
        <v>292.29560005103491</v>
      </c>
      <c r="W292" s="10">
        <v>14742.304369999998</v>
      </c>
    </row>
    <row r="293" spans="3:23">
      <c r="C293" s="10" t="s">
        <v>658</v>
      </c>
      <c r="D293" s="10" t="s">
        <v>826</v>
      </c>
      <c r="E293" s="10">
        <v>690.92076611398943</v>
      </c>
      <c r="F293" s="10">
        <v>97.55207422457562</v>
      </c>
      <c r="G293" s="10">
        <v>70.925685475916453</v>
      </c>
      <c r="H293" s="10">
        <v>71.185608444403911</v>
      </c>
      <c r="I293" s="10">
        <v>164.58099757636563</v>
      </c>
      <c r="J293" s="10">
        <v>41.877255262265805</v>
      </c>
      <c r="K293" s="10">
        <v>171.042435953519</v>
      </c>
      <c r="L293" s="10">
        <v>180.25596507610561</v>
      </c>
      <c r="M293" s="10">
        <v>569.76947759897178</v>
      </c>
      <c r="N293" s="10">
        <v>392.53819089947325</v>
      </c>
      <c r="O293" s="10">
        <v>86.743199985858894</v>
      </c>
      <c r="P293" s="10">
        <v>197.92606134482912</v>
      </c>
      <c r="Q293" s="10">
        <v>536.01982002626789</v>
      </c>
      <c r="R293" s="10">
        <v>125.35583286652432</v>
      </c>
      <c r="S293" s="10">
        <v>48.722469127155371</v>
      </c>
      <c r="T293" s="10">
        <v>158.38882803928001</v>
      </c>
      <c r="U293" s="10">
        <v>27.018876393765666</v>
      </c>
      <c r="V293" s="10">
        <v>14.68549559073195</v>
      </c>
      <c r="W293" s="10">
        <v>3645.5090400000004</v>
      </c>
    </row>
    <row r="294" spans="3:23">
      <c r="C294" s="10" t="s">
        <v>319</v>
      </c>
      <c r="D294" s="10" t="s">
        <v>827</v>
      </c>
      <c r="E294" s="10">
        <v>45.169867498587983</v>
      </c>
      <c r="F294" s="10">
        <v>5.9976556924852718</v>
      </c>
      <c r="G294" s="10">
        <v>3.8419640108123669</v>
      </c>
      <c r="H294" s="10">
        <v>4.9782164100054214</v>
      </c>
      <c r="I294" s="10">
        <v>9.9602083107818888</v>
      </c>
      <c r="J294" s="10">
        <v>2.5676365205639002</v>
      </c>
      <c r="K294" s="10">
        <v>10.288808481223318</v>
      </c>
      <c r="L294" s="10">
        <v>10.619320053007483</v>
      </c>
      <c r="M294" s="10">
        <v>36.748961785978409</v>
      </c>
      <c r="N294" s="10">
        <v>24.045580289736169</v>
      </c>
      <c r="O294" s="10">
        <v>5.2360663436169892</v>
      </c>
      <c r="P294" s="10">
        <v>11.374408744833888</v>
      </c>
      <c r="Q294" s="10">
        <v>31.790341970927464</v>
      </c>
      <c r="R294" s="10">
        <v>7.9850115826370809</v>
      </c>
      <c r="S294" s="10">
        <v>2.9869241685735219</v>
      </c>
      <c r="T294" s="10">
        <v>10.158672329408276</v>
      </c>
      <c r="U294" s="10">
        <v>1.5107356642430148</v>
      </c>
      <c r="V294" s="10">
        <v>1.0782101425775181</v>
      </c>
      <c r="W294" s="10">
        <v>226.33858999999998</v>
      </c>
    </row>
    <row r="295" spans="3:23">
      <c r="C295" s="10" t="s">
        <v>659</v>
      </c>
      <c r="D295" s="10" t="s">
        <v>828</v>
      </c>
      <c r="E295" s="10">
        <v>6594.5176200000005</v>
      </c>
      <c r="F295" s="10">
        <v>955.05747000000008</v>
      </c>
      <c r="G295" s="10">
        <v>757.66804999999999</v>
      </c>
      <c r="H295" s="10">
        <v>694.12402999999995</v>
      </c>
      <c r="I295" s="10">
        <v>1518.0788</v>
      </c>
      <c r="J295" s="10">
        <v>392.77495999999996</v>
      </c>
      <c r="K295" s="10">
        <v>2005.2790499999999</v>
      </c>
      <c r="L295" s="10">
        <v>1639.0749499999999</v>
      </c>
      <c r="M295" s="10">
        <v>4831.0885799999996</v>
      </c>
      <c r="N295" s="10">
        <v>3538.0445100000002</v>
      </c>
      <c r="O295" s="10">
        <v>1324.97741</v>
      </c>
      <c r="P295" s="10">
        <v>2106.6512699999998</v>
      </c>
      <c r="Q295" s="10">
        <v>4063.0417425200003</v>
      </c>
      <c r="R295" s="10">
        <v>1063.65435</v>
      </c>
      <c r="S295" s="10">
        <v>508.262</v>
      </c>
      <c r="T295" s="10">
        <v>1578.2071479304852</v>
      </c>
      <c r="U295" s="10">
        <v>208.88835</v>
      </c>
      <c r="V295" s="10">
        <v>50.03</v>
      </c>
      <c r="W295" s="10">
        <v>33829.420290450478</v>
      </c>
    </row>
    <row r="296" spans="3:23">
      <c r="C296" s="10" t="s">
        <v>320</v>
      </c>
      <c r="D296" s="10" t="s">
        <v>321</v>
      </c>
      <c r="E296" s="10">
        <v>0</v>
      </c>
      <c r="F296" s="10">
        <v>0</v>
      </c>
      <c r="G296" s="10">
        <v>7259.2232396946856</v>
      </c>
      <c r="H296" s="10">
        <v>3697.8537363642345</v>
      </c>
      <c r="I296" s="10">
        <v>0</v>
      </c>
      <c r="J296" s="10">
        <v>0</v>
      </c>
      <c r="K296" s="10">
        <v>12228.787094069119</v>
      </c>
      <c r="L296" s="10">
        <v>11349.311235004554</v>
      </c>
      <c r="M296" s="10">
        <v>17776.71693244894</v>
      </c>
      <c r="N296" s="10">
        <v>28256.851121045256</v>
      </c>
      <c r="O296" s="10">
        <v>7055.1615053323121</v>
      </c>
      <c r="P296" s="10">
        <v>14890.887552166088</v>
      </c>
      <c r="Q296" s="10">
        <v>33697.870090599834</v>
      </c>
      <c r="R296" s="10">
        <v>15004.496469515667</v>
      </c>
      <c r="S296" s="10"/>
      <c r="T296" s="10"/>
      <c r="U296" s="10">
        <v>1416.2766207440698</v>
      </c>
      <c r="V296" s="10">
        <v>0</v>
      </c>
      <c r="W296" s="10">
        <v>152633.43559698475</v>
      </c>
    </row>
    <row r="297" spans="3:23">
      <c r="C297" s="10"/>
      <c r="D297" s="10" t="s">
        <v>680</v>
      </c>
      <c r="E297" s="10">
        <v>132284.81783804012</v>
      </c>
      <c r="F297" s="10">
        <v>20855.66778983215</v>
      </c>
      <c r="G297" s="10">
        <v>16120.890820659064</v>
      </c>
      <c r="H297" s="10">
        <v>12286.724009310619</v>
      </c>
      <c r="I297" s="10">
        <v>35713.297316334028</v>
      </c>
      <c r="J297" s="10">
        <v>9136.1978185952721</v>
      </c>
      <c r="K297" s="10">
        <v>34127.142946222622</v>
      </c>
      <c r="L297" s="10">
        <v>33035.836639124027</v>
      </c>
      <c r="M297" s="10">
        <v>62002.067119455096</v>
      </c>
      <c r="N297" s="10">
        <v>66214.355460328879</v>
      </c>
      <c r="O297" s="10">
        <v>16952.529908894085</v>
      </c>
      <c r="P297" s="10">
        <v>39145.273612216042</v>
      </c>
      <c r="Q297" s="10">
        <v>107408.32540440033</v>
      </c>
      <c r="R297" s="10">
        <v>27399.456861518069</v>
      </c>
      <c r="S297" s="10">
        <v>10239.774092426032</v>
      </c>
      <c r="T297" s="10">
        <v>27376.769371721781</v>
      </c>
      <c r="U297" s="10">
        <v>4264.0943436128719</v>
      </c>
      <c r="V297" s="10">
        <v>2131.3997928803451</v>
      </c>
      <c r="W297" s="10">
        <v>656694.62114557158</v>
      </c>
    </row>
    <row r="298" spans="3:23">
      <c r="C298" s="10" t="s">
        <v>667</v>
      </c>
      <c r="D298" s="10" t="s">
        <v>76</v>
      </c>
      <c r="E298" s="10" t="s">
        <v>9</v>
      </c>
      <c r="F298" s="10" t="s">
        <v>10</v>
      </c>
      <c r="G298" s="10" t="s">
        <v>11</v>
      </c>
      <c r="H298" s="10" t="s">
        <v>31</v>
      </c>
      <c r="I298" s="10" t="s">
        <v>12</v>
      </c>
      <c r="J298" s="10" t="s">
        <v>13</v>
      </c>
      <c r="K298" s="10" t="s">
        <v>14</v>
      </c>
      <c r="L298" s="10" t="s">
        <v>15</v>
      </c>
      <c r="M298" s="10" t="s">
        <v>16</v>
      </c>
      <c r="N298" s="10" t="s">
        <v>17</v>
      </c>
      <c r="O298" s="10" t="s">
        <v>18</v>
      </c>
      <c r="P298" s="10" t="s">
        <v>19</v>
      </c>
      <c r="Q298" s="10" t="s">
        <v>20</v>
      </c>
      <c r="R298" s="10" t="s">
        <v>60</v>
      </c>
      <c r="S298" s="10" t="s">
        <v>61</v>
      </c>
      <c r="T298" s="10" t="s">
        <v>62</v>
      </c>
      <c r="U298" s="10" t="s">
        <v>63</v>
      </c>
      <c r="V298" s="10" t="s">
        <v>64</v>
      </c>
      <c r="W298" s="10" t="s">
        <v>668</v>
      </c>
    </row>
    <row r="299" spans="3:23">
      <c r="C299" s="10" t="s">
        <v>322</v>
      </c>
      <c r="D299" s="10" t="s">
        <v>829</v>
      </c>
      <c r="E299" s="10">
        <v>8852.0875481039475</v>
      </c>
      <c r="F299" s="10">
        <v>1436.1986120290544</v>
      </c>
      <c r="G299" s="10">
        <v>1190.365011572841</v>
      </c>
      <c r="H299" s="10">
        <v>2080.6621639533428</v>
      </c>
      <c r="I299" s="10">
        <v>2332.429036825095</v>
      </c>
      <c r="J299" s="10">
        <v>647.82106014824126</v>
      </c>
      <c r="K299" s="10">
        <v>4746.6844963225858</v>
      </c>
      <c r="L299" s="10">
        <v>4052.729061310878</v>
      </c>
      <c r="M299" s="10">
        <v>8159.8167505568545</v>
      </c>
      <c r="N299" s="10">
        <v>5307.5894891853368</v>
      </c>
      <c r="O299" s="10">
        <v>1921.8131117135438</v>
      </c>
      <c r="P299" s="10">
        <v>3006.9053795492855</v>
      </c>
      <c r="Q299" s="10">
        <v>7244.1271338840215</v>
      </c>
      <c r="R299" s="10">
        <v>2482.2364500877165</v>
      </c>
      <c r="S299" s="10">
        <v>675.41044905299964</v>
      </c>
      <c r="T299" s="10">
        <v>2395.5358857373653</v>
      </c>
      <c r="U299" s="10">
        <v>597.84239770432748</v>
      </c>
      <c r="V299" s="10">
        <v>210.08037226255715</v>
      </c>
      <c r="W299" s="10">
        <v>57340.334409999996</v>
      </c>
    </row>
    <row r="300" spans="3:23">
      <c r="C300" s="10" t="s">
        <v>323</v>
      </c>
      <c r="D300" s="10" t="s">
        <v>830</v>
      </c>
      <c r="E300" s="10">
        <v>1034.9715977958931</v>
      </c>
      <c r="F300" s="10">
        <v>179.86028116634171</v>
      </c>
      <c r="G300" s="10">
        <v>164.02920955381279</v>
      </c>
      <c r="H300" s="10">
        <v>158.73923640597624</v>
      </c>
      <c r="I300" s="10">
        <v>295.86337043281736</v>
      </c>
      <c r="J300" s="10">
        <v>86.77375845273842</v>
      </c>
      <c r="K300" s="10">
        <v>360.20988678655016</v>
      </c>
      <c r="L300" s="10">
        <v>525.18337371898212</v>
      </c>
      <c r="M300" s="10">
        <v>1012.7364775348244</v>
      </c>
      <c r="N300" s="10">
        <v>629.69153923390923</v>
      </c>
      <c r="O300" s="10">
        <v>136.44775871232085</v>
      </c>
      <c r="P300" s="10">
        <v>385.27806551101975</v>
      </c>
      <c r="Q300" s="10">
        <v>888.35537150231016</v>
      </c>
      <c r="R300" s="10">
        <v>183.10985050894803</v>
      </c>
      <c r="S300" s="10">
        <v>82.155764036894539</v>
      </c>
      <c r="T300" s="10">
        <v>306.44897199549143</v>
      </c>
      <c r="U300" s="10">
        <v>45.408594429602346</v>
      </c>
      <c r="V300" s="10">
        <v>31.940132221567289</v>
      </c>
      <c r="W300" s="10">
        <v>6507.2032400000007</v>
      </c>
    </row>
    <row r="301" spans="3:23">
      <c r="C301" s="10" t="s">
        <v>324</v>
      </c>
      <c r="D301" s="10" t="s">
        <v>325</v>
      </c>
      <c r="E301" s="10">
        <v>505.89797542850005</v>
      </c>
      <c r="F301" s="10">
        <v>78.043810238085285</v>
      </c>
      <c r="G301" s="10">
        <v>61.911811110141187</v>
      </c>
      <c r="H301" s="10">
        <v>71.404129174150398</v>
      </c>
      <c r="I301" s="10">
        <v>139.66269001897206</v>
      </c>
      <c r="J301" s="10">
        <v>34.678977705241394</v>
      </c>
      <c r="K301" s="10">
        <v>155.2498221119159</v>
      </c>
      <c r="L301" s="10">
        <v>105.82861396446148</v>
      </c>
      <c r="M301" s="10">
        <v>476.31151090926221</v>
      </c>
      <c r="N301" s="10">
        <v>300.46992291839172</v>
      </c>
      <c r="O301" s="10">
        <v>65.886946711093927</v>
      </c>
      <c r="P301" s="10">
        <v>173.11203987723127</v>
      </c>
      <c r="Q301" s="10">
        <v>393.10207735697827</v>
      </c>
      <c r="R301" s="10">
        <v>75.896426202905005</v>
      </c>
      <c r="S301" s="10">
        <v>31.390233956357143</v>
      </c>
      <c r="T301" s="10">
        <v>127.83720780528512</v>
      </c>
      <c r="U301" s="10">
        <v>17.397374526077456</v>
      </c>
      <c r="V301" s="10">
        <v>11.495269984950097</v>
      </c>
      <c r="W301" s="10">
        <v>2825.5768400000002</v>
      </c>
    </row>
    <row r="302" spans="3:23">
      <c r="C302" s="10" t="s">
        <v>326</v>
      </c>
      <c r="D302" s="10" t="s">
        <v>831</v>
      </c>
      <c r="E302" s="10">
        <v>177780.98551003195</v>
      </c>
      <c r="F302" s="10">
        <v>29801.312987991594</v>
      </c>
      <c r="G302" s="10">
        <v>26056.333974603243</v>
      </c>
      <c r="H302" s="10">
        <v>69936.333519227948</v>
      </c>
      <c r="I302" s="10">
        <v>50257.953765099439</v>
      </c>
      <c r="J302" s="10">
        <v>13838.094213056582</v>
      </c>
      <c r="K302" s="10">
        <v>160180.36347848596</v>
      </c>
      <c r="L302" s="10">
        <v>138209.0776161504</v>
      </c>
      <c r="M302" s="10">
        <v>171085.97988669443</v>
      </c>
      <c r="N302" s="10">
        <v>106266.33901291121</v>
      </c>
      <c r="O302" s="10">
        <v>62074.429393660146</v>
      </c>
      <c r="P302" s="10">
        <v>63672.458972864661</v>
      </c>
      <c r="Q302" s="10">
        <v>158854.58391806163</v>
      </c>
      <c r="R302" s="10">
        <v>78690.124220481637</v>
      </c>
      <c r="S302" s="10">
        <v>13565.685069598647</v>
      </c>
      <c r="T302" s="10">
        <v>50941.448657795831</v>
      </c>
      <c r="U302" s="10">
        <v>20025.155084041595</v>
      </c>
      <c r="V302" s="10">
        <v>5214.6335992428039</v>
      </c>
      <c r="W302" s="10">
        <v>1396451.2928799998</v>
      </c>
    </row>
    <row r="303" spans="3:23">
      <c r="C303" s="10" t="s">
        <v>327</v>
      </c>
      <c r="D303" s="10" t="s">
        <v>832</v>
      </c>
      <c r="E303" s="10">
        <v>11747.072533612842</v>
      </c>
      <c r="F303" s="10">
        <v>1874.3222992401825</v>
      </c>
      <c r="G303" s="10">
        <v>1540.6131526095326</v>
      </c>
      <c r="H303" s="10">
        <v>1522.9957911736476</v>
      </c>
      <c r="I303" s="10">
        <v>2902.856750650049</v>
      </c>
      <c r="J303" s="10">
        <v>769.80975158355182</v>
      </c>
      <c r="K303" s="10">
        <v>3646.723062665274</v>
      </c>
      <c r="L303" s="10">
        <v>2736.434774680436</v>
      </c>
      <c r="M303" s="10">
        <v>8218.8093659846782</v>
      </c>
      <c r="N303" s="10">
        <v>6497.7496015914749</v>
      </c>
      <c r="O303" s="10">
        <v>1507.1685785671302</v>
      </c>
      <c r="P303" s="10">
        <v>3666.6852903106669</v>
      </c>
      <c r="Q303" s="10">
        <v>9490.8712885598889</v>
      </c>
      <c r="R303" s="10">
        <v>1854.283584591619</v>
      </c>
      <c r="S303" s="10">
        <v>973.32608912246587</v>
      </c>
      <c r="T303" s="10">
        <v>2754.2683287263008</v>
      </c>
      <c r="U303" s="10">
        <v>484.69748449345298</v>
      </c>
      <c r="V303" s="10">
        <v>413.57691183679248</v>
      </c>
      <c r="W303" s="10">
        <v>62602.264639999972</v>
      </c>
    </row>
    <row r="304" spans="3:23">
      <c r="C304" s="10" t="s">
        <v>328</v>
      </c>
      <c r="D304" s="10" t="s">
        <v>833</v>
      </c>
      <c r="E304" s="10">
        <v>13512.164915674626</v>
      </c>
      <c r="F304" s="10">
        <v>2553.1358124515245</v>
      </c>
      <c r="G304" s="10">
        <v>1783.5992096711352</v>
      </c>
      <c r="H304" s="10">
        <v>1930.2244750572781</v>
      </c>
      <c r="I304" s="10">
        <v>3683.7166233623007</v>
      </c>
      <c r="J304" s="10">
        <v>909.78962176563516</v>
      </c>
      <c r="K304" s="10">
        <v>4809.0272663279966</v>
      </c>
      <c r="L304" s="10">
        <v>3373.2094586679068</v>
      </c>
      <c r="M304" s="10">
        <v>6738.161985684199</v>
      </c>
      <c r="N304" s="10">
        <v>7408.014305388363</v>
      </c>
      <c r="O304" s="10">
        <v>1914.4608287202018</v>
      </c>
      <c r="P304" s="10">
        <v>4374.8363574194755</v>
      </c>
      <c r="Q304" s="10">
        <v>11317.086615672384</v>
      </c>
      <c r="R304" s="10">
        <v>1972.5205138353087</v>
      </c>
      <c r="S304" s="10">
        <v>1223.0353408793028</v>
      </c>
      <c r="T304" s="10">
        <v>2857.6361781012238</v>
      </c>
      <c r="U304" s="10">
        <v>760.10325545681235</v>
      </c>
      <c r="V304" s="10">
        <v>869.41898586431216</v>
      </c>
      <c r="W304" s="10">
        <v>71990.141749999981</v>
      </c>
    </row>
    <row r="305" spans="3:23">
      <c r="C305" s="10" t="s">
        <v>329</v>
      </c>
      <c r="D305" s="10" t="s">
        <v>834</v>
      </c>
      <c r="E305" s="10">
        <v>152863.57444370521</v>
      </c>
      <c r="F305" s="10">
        <v>17344.024353547298</v>
      </c>
      <c r="G305" s="10">
        <v>16114.045392004495</v>
      </c>
      <c r="H305" s="10">
        <v>11715.021370826486</v>
      </c>
      <c r="I305" s="10">
        <v>27081.181274661118</v>
      </c>
      <c r="J305" s="10">
        <v>7786.4721658912013</v>
      </c>
      <c r="K305" s="10">
        <v>35471.098486048759</v>
      </c>
      <c r="L305" s="10">
        <v>20508.220573599669</v>
      </c>
      <c r="M305" s="10">
        <v>50826.57712689785</v>
      </c>
      <c r="N305" s="10">
        <v>58891.619199844907</v>
      </c>
      <c r="O305" s="10">
        <v>13181.16002083212</v>
      </c>
      <c r="P305" s="10">
        <v>39512.074789332473</v>
      </c>
      <c r="Q305" s="10">
        <v>78288.14463684427</v>
      </c>
      <c r="R305" s="10">
        <v>16266.433904565234</v>
      </c>
      <c r="S305" s="10">
        <v>7670.8172681574069</v>
      </c>
      <c r="T305" s="10">
        <v>20717.739115667846</v>
      </c>
      <c r="U305" s="10">
        <v>6541.0495026534436</v>
      </c>
      <c r="V305" s="10">
        <v>12464.575544920126</v>
      </c>
      <c r="W305" s="10">
        <v>593243.82917000004</v>
      </c>
    </row>
    <row r="306" spans="3:23">
      <c r="C306" s="10" t="s">
        <v>330</v>
      </c>
      <c r="D306" s="10" t="s">
        <v>331</v>
      </c>
      <c r="E306" s="10">
        <v>994536.57225192036</v>
      </c>
      <c r="F306" s="10">
        <v>179991.36077188363</v>
      </c>
      <c r="G306" s="10">
        <v>128460.11227548802</v>
      </c>
      <c r="H306" s="10">
        <v>143259.37533534618</v>
      </c>
      <c r="I306" s="10">
        <v>271642.63259553438</v>
      </c>
      <c r="J306" s="10">
        <v>65262.096744621558</v>
      </c>
      <c r="K306" s="10">
        <v>332585.70141188061</v>
      </c>
      <c r="L306" s="10">
        <v>237885.62424124539</v>
      </c>
      <c r="M306" s="10">
        <v>520338.89960374881</v>
      </c>
      <c r="N306" s="10">
        <v>546747.22580333194</v>
      </c>
      <c r="O306" s="10">
        <v>135743.27995735579</v>
      </c>
      <c r="P306" s="10">
        <v>311229.38960129465</v>
      </c>
      <c r="Q306" s="10">
        <v>850952.54459721828</v>
      </c>
      <c r="R306" s="10">
        <v>144608.23876933777</v>
      </c>
      <c r="S306" s="10">
        <v>89017.794171310394</v>
      </c>
      <c r="T306" s="10">
        <v>221598.9669465523</v>
      </c>
      <c r="U306" s="10">
        <v>55438.421207459643</v>
      </c>
      <c r="V306" s="10">
        <v>70553.280834470206</v>
      </c>
      <c r="W306" s="10">
        <v>5299851.51712</v>
      </c>
    </row>
    <row r="307" spans="3:23">
      <c r="C307" s="10" t="s">
        <v>332</v>
      </c>
      <c r="D307" s="10" t="s">
        <v>835</v>
      </c>
      <c r="E307" s="10">
        <v>120136.08638477685</v>
      </c>
      <c r="F307" s="10">
        <v>34478.592356676098</v>
      </c>
      <c r="G307" s="10">
        <v>19285.244178238314</v>
      </c>
      <c r="H307" s="10">
        <v>16811.297334987343</v>
      </c>
      <c r="I307" s="10">
        <v>29289.585736663968</v>
      </c>
      <c r="J307" s="10">
        <v>11043.637499076296</v>
      </c>
      <c r="K307" s="10">
        <v>75358.044932631266</v>
      </c>
      <c r="L307" s="10">
        <v>44977.455569040889</v>
      </c>
      <c r="M307" s="10">
        <v>44638.966288266733</v>
      </c>
      <c r="N307" s="10">
        <v>65846.296268851205</v>
      </c>
      <c r="O307" s="10">
        <v>22888.823121170841</v>
      </c>
      <c r="P307" s="10">
        <v>56966.444088555378</v>
      </c>
      <c r="Q307" s="10">
        <v>79599.435548134992</v>
      </c>
      <c r="R307" s="10">
        <v>18147.525069331383</v>
      </c>
      <c r="S307" s="10">
        <v>11304.343106675018</v>
      </c>
      <c r="T307" s="10">
        <v>13712.655615557007</v>
      </c>
      <c r="U307" s="10">
        <v>7713.6821904957415</v>
      </c>
      <c r="V307" s="10">
        <v>1631.9021408705214</v>
      </c>
      <c r="W307" s="10">
        <v>673830.01742999989</v>
      </c>
    </row>
    <row r="308" spans="3:23">
      <c r="C308" s="10" t="s">
        <v>333</v>
      </c>
      <c r="D308" s="10" t="s">
        <v>334</v>
      </c>
      <c r="E308" s="10">
        <v>16070.849045683392</v>
      </c>
      <c r="F308" s="10">
        <v>2706.3845059457808</v>
      </c>
      <c r="G308" s="10">
        <v>2025.5232649130594</v>
      </c>
      <c r="H308" s="10">
        <v>2169.344020085759</v>
      </c>
      <c r="I308" s="10">
        <v>4248.449611308667</v>
      </c>
      <c r="J308" s="10">
        <v>1040.680624462314</v>
      </c>
      <c r="K308" s="10">
        <v>5095.2771651468611</v>
      </c>
      <c r="L308" s="10">
        <v>3843.6730549908411</v>
      </c>
      <c r="M308" s="10">
        <v>9099.1830506996885</v>
      </c>
      <c r="N308" s="10">
        <v>8897.5568112011697</v>
      </c>
      <c r="O308" s="10">
        <v>2189.9082373261663</v>
      </c>
      <c r="P308" s="10">
        <v>4993.9867048323104</v>
      </c>
      <c r="Q308" s="10">
        <v>12468.230813773414</v>
      </c>
      <c r="R308" s="10">
        <v>2433.8044874324137</v>
      </c>
      <c r="S308" s="10">
        <v>1310.3319239555167</v>
      </c>
      <c r="T308" s="10">
        <v>3423.8314832579913</v>
      </c>
      <c r="U308" s="10">
        <v>795.34968738318298</v>
      </c>
      <c r="V308" s="10">
        <v>894.75919760146644</v>
      </c>
      <c r="W308" s="10">
        <v>83707.123689999993</v>
      </c>
    </row>
    <row r="309" spans="3:23">
      <c r="C309" s="10" t="s">
        <v>335</v>
      </c>
      <c r="D309" s="10" t="s">
        <v>836</v>
      </c>
      <c r="E309" s="10">
        <v>241244.24449417187</v>
      </c>
      <c r="F309" s="10">
        <v>38461.674477156659</v>
      </c>
      <c r="G309" s="10">
        <v>22736.87781383019</v>
      </c>
      <c r="H309" s="10">
        <v>31510.736866867454</v>
      </c>
      <c r="I309" s="10">
        <v>61444.970946601323</v>
      </c>
      <c r="J309" s="10">
        <v>14282.069769478647</v>
      </c>
      <c r="K309" s="10">
        <v>102114.83781603565</v>
      </c>
      <c r="L309" s="10">
        <v>42942.460186195298</v>
      </c>
      <c r="M309" s="10">
        <v>49015.673137619116</v>
      </c>
      <c r="N309" s="10">
        <v>123318.4720563689</v>
      </c>
      <c r="O309" s="10">
        <v>23568.77928905205</v>
      </c>
      <c r="P309" s="10">
        <v>71361.607859001437</v>
      </c>
      <c r="Q309" s="10">
        <v>171101.36582722233</v>
      </c>
      <c r="R309" s="10">
        <v>31051.433828480644</v>
      </c>
      <c r="S309" s="10">
        <v>11414.403626120304</v>
      </c>
      <c r="T309" s="10">
        <v>36341.662688461351</v>
      </c>
      <c r="U309" s="10">
        <v>7883.0214716340288</v>
      </c>
      <c r="V309" s="10">
        <v>13826.429395702842</v>
      </c>
      <c r="W309" s="10">
        <v>1093620.7215500004</v>
      </c>
    </row>
    <row r="310" spans="3:23">
      <c r="C310" s="10" t="s">
        <v>336</v>
      </c>
      <c r="D310" s="10" t="s">
        <v>837</v>
      </c>
      <c r="E310" s="10">
        <v>4425.117912562353</v>
      </c>
      <c r="F310" s="10">
        <v>904.99215784063131</v>
      </c>
      <c r="G310" s="10">
        <v>392.6084921221576</v>
      </c>
      <c r="H310" s="10">
        <v>488.8806927533393</v>
      </c>
      <c r="I310" s="10">
        <v>889.35273586294977</v>
      </c>
      <c r="J310" s="10">
        <v>378.44137314477274</v>
      </c>
      <c r="K310" s="10">
        <v>2609.7802378104871</v>
      </c>
      <c r="L310" s="10">
        <v>1445.7182733132406</v>
      </c>
      <c r="M310" s="10">
        <v>1005.911246312111</v>
      </c>
      <c r="N310" s="10">
        <v>2395.5254469054494</v>
      </c>
      <c r="O310" s="10">
        <v>677.14639682328504</v>
      </c>
      <c r="P310" s="10">
        <v>1847.3583140100545</v>
      </c>
      <c r="Q310" s="10">
        <v>3364.5381460876938</v>
      </c>
      <c r="R310" s="10">
        <v>676.19994346201395</v>
      </c>
      <c r="S310" s="10">
        <v>231.32099408887984</v>
      </c>
      <c r="T310" s="10">
        <v>867.7062201079957</v>
      </c>
      <c r="U310" s="10">
        <v>187.04995046806684</v>
      </c>
      <c r="V310" s="10">
        <v>266.90412632451978</v>
      </c>
      <c r="W310" s="10">
        <v>23054.552660000005</v>
      </c>
    </row>
    <row r="311" spans="3:23">
      <c r="C311" s="10" t="s">
        <v>337</v>
      </c>
      <c r="D311" s="10" t="s">
        <v>838</v>
      </c>
      <c r="E311" s="10">
        <v>5561.1392325986553</v>
      </c>
      <c r="F311" s="10">
        <v>572.6586492163741</v>
      </c>
      <c r="G311" s="10">
        <v>267.25057037100686</v>
      </c>
      <c r="H311" s="10">
        <v>277.94036231294172</v>
      </c>
      <c r="I311" s="10">
        <v>757.0783770656775</v>
      </c>
      <c r="J311" s="10">
        <v>148.49105608662006</v>
      </c>
      <c r="K311" s="10">
        <v>799.95943761785293</v>
      </c>
      <c r="L311" s="10">
        <v>1406.6687827981525</v>
      </c>
      <c r="M311" s="10">
        <v>2178.735610914217</v>
      </c>
      <c r="N311" s="10">
        <v>1567.9191483682971</v>
      </c>
      <c r="O311" s="10">
        <v>1047.7603361424692</v>
      </c>
      <c r="P311" s="10">
        <v>704.47119593241587</v>
      </c>
      <c r="Q311" s="10">
        <v>2117.8034551857436</v>
      </c>
      <c r="R311" s="10">
        <v>2405.2775084737177</v>
      </c>
      <c r="S311" s="10">
        <v>170.3543722112195</v>
      </c>
      <c r="T311" s="10">
        <v>680.36361573742749</v>
      </c>
      <c r="U311" s="10">
        <v>80.432732422637329</v>
      </c>
      <c r="V311" s="10">
        <v>42.326406544572357</v>
      </c>
      <c r="W311" s="10">
        <v>20786.630850000001</v>
      </c>
    </row>
    <row r="312" spans="3:23">
      <c r="C312" s="10" t="s">
        <v>839</v>
      </c>
      <c r="D312" s="10" t="s">
        <v>338</v>
      </c>
      <c r="E312" s="10">
        <v>564.94389787679847</v>
      </c>
      <c r="F312" s="10">
        <v>108.27983385029287</v>
      </c>
      <c r="G312" s="10">
        <v>77.022101736295696</v>
      </c>
      <c r="H312" s="10">
        <v>87.597073692188872</v>
      </c>
      <c r="I312" s="10">
        <v>150.81050240690652</v>
      </c>
      <c r="J312" s="10">
        <v>43.167737439404547</v>
      </c>
      <c r="K312" s="10">
        <v>187.15409926846618</v>
      </c>
      <c r="L312" s="10">
        <v>144.46790613329492</v>
      </c>
      <c r="M312" s="10">
        <v>628.28681207302884</v>
      </c>
      <c r="N312" s="10">
        <v>361.4611076146885</v>
      </c>
      <c r="O312" s="10">
        <v>71.660191794824499</v>
      </c>
      <c r="P312" s="10">
        <v>199.86373399902783</v>
      </c>
      <c r="Q312" s="10">
        <v>586.84141766776611</v>
      </c>
      <c r="R312" s="10">
        <v>102.89555197645072</v>
      </c>
      <c r="S312" s="10">
        <v>55.126454275053007</v>
      </c>
      <c r="T312" s="10">
        <v>10992.995290464618</v>
      </c>
      <c r="U312" s="10">
        <v>25.523377148224725</v>
      </c>
      <c r="V312" s="10">
        <v>11.653830582670249</v>
      </c>
      <c r="W312" s="10">
        <v>14399.750920000002</v>
      </c>
    </row>
    <row r="313" spans="3:23">
      <c r="C313" s="10" t="s">
        <v>339</v>
      </c>
      <c r="D313" s="10" t="s">
        <v>340</v>
      </c>
      <c r="E313" s="10">
        <v>263142.67034628941</v>
      </c>
      <c r="F313" s="10">
        <v>46856.9295964556</v>
      </c>
      <c r="G313" s="10">
        <v>49203.334698617553</v>
      </c>
      <c r="H313" s="10">
        <v>7920.637399345881</v>
      </c>
      <c r="I313" s="10">
        <v>65045.273565524192</v>
      </c>
      <c r="J313" s="10">
        <v>23376.557448019077</v>
      </c>
      <c r="K313" s="10">
        <v>16922.708666224433</v>
      </c>
      <c r="L313" s="10">
        <v>13062.96948166891</v>
      </c>
      <c r="M313" s="10">
        <v>265454.91895123874</v>
      </c>
      <c r="N313" s="10">
        <v>133404.00167461688</v>
      </c>
      <c r="O313" s="10">
        <v>6479.6045261612289</v>
      </c>
      <c r="P313" s="10">
        <v>67364.774933273191</v>
      </c>
      <c r="Q313" s="10">
        <v>224540.45761322687</v>
      </c>
      <c r="R313" s="10">
        <v>9303.9450161870864</v>
      </c>
      <c r="S313" s="10">
        <v>21251.469611611985</v>
      </c>
      <c r="T313" s="10">
        <v>72800.715949971011</v>
      </c>
      <c r="U313" s="10">
        <v>14858.836554560163</v>
      </c>
      <c r="V313" s="10">
        <v>1053.7539950603373</v>
      </c>
      <c r="W313" s="10">
        <v>1302043.5600280524</v>
      </c>
    </row>
    <row r="314" spans="3:23">
      <c r="C314" s="10" t="s">
        <v>341</v>
      </c>
      <c r="D314" s="10" t="s">
        <v>840</v>
      </c>
      <c r="E314" s="10">
        <v>16297.099587414192</v>
      </c>
      <c r="F314" s="10">
        <v>3123.5796017956368</v>
      </c>
      <c r="G314" s="10">
        <v>2221.8787868067166</v>
      </c>
      <c r="H314" s="10">
        <v>2526.9380533055769</v>
      </c>
      <c r="I314" s="10">
        <v>4350.4740661687938</v>
      </c>
      <c r="J314" s="10">
        <v>1245.2721742057713</v>
      </c>
      <c r="K314" s="10">
        <v>5398.8882886140073</v>
      </c>
      <c r="L314" s="10">
        <v>4167.5073618601255</v>
      </c>
      <c r="M314" s="10">
        <v>329669.69734281173</v>
      </c>
      <c r="N314" s="10">
        <v>10427.172839484781</v>
      </c>
      <c r="O314" s="10">
        <v>2067.2022240129386</v>
      </c>
      <c r="P314" s="10">
        <v>5765.5267879447711</v>
      </c>
      <c r="Q314" s="10">
        <v>16928.783657446569</v>
      </c>
      <c r="R314" s="10">
        <v>2968.2576694152813</v>
      </c>
      <c r="S314" s="10">
        <v>1590.2487284100105</v>
      </c>
      <c r="T314" s="10">
        <v>5572.7797779741668</v>
      </c>
      <c r="U314" s="10">
        <v>736.28022314254781</v>
      </c>
      <c r="V314" s="10">
        <v>336.18141251620045</v>
      </c>
      <c r="W314" s="10">
        <v>415393.76858332974</v>
      </c>
    </row>
    <row r="315" spans="3:23">
      <c r="C315" s="10" t="s">
        <v>342</v>
      </c>
      <c r="D315" s="10" t="s">
        <v>841</v>
      </c>
      <c r="E315" s="10">
        <v>46109.196432798402</v>
      </c>
      <c r="F315" s="10">
        <v>8837.5078436597669</v>
      </c>
      <c r="G315" s="10">
        <v>6286.3360981028382</v>
      </c>
      <c r="H315" s="10">
        <v>7149.4367723789037</v>
      </c>
      <c r="I315" s="10">
        <v>12308.746241428607</v>
      </c>
      <c r="J315" s="10">
        <v>3523.234240839678</v>
      </c>
      <c r="K315" s="10">
        <v>15275.012543378361</v>
      </c>
      <c r="L315" s="10">
        <v>11791.080649193695</v>
      </c>
      <c r="M315" s="10">
        <v>932730.68322292599</v>
      </c>
      <c r="N315" s="10">
        <v>29501.480193803571</v>
      </c>
      <c r="O315" s="10">
        <v>5848.7114778964151</v>
      </c>
      <c r="P315" s="10">
        <v>16312.338632894571</v>
      </c>
      <c r="Q315" s="10">
        <v>47896.412907261518</v>
      </c>
      <c r="R315" s="10">
        <v>8398.0572867043138</v>
      </c>
      <c r="S315" s="10">
        <v>4499.2724381393637</v>
      </c>
      <c r="T315" s="10">
        <v>15767.001734331798</v>
      </c>
      <c r="U315" s="10">
        <v>2083.1491675170532</v>
      </c>
      <c r="V315" s="10">
        <v>951.15420407298529</v>
      </c>
      <c r="W315" s="10">
        <v>1175268.8120873277</v>
      </c>
    </row>
    <row r="316" spans="3:23">
      <c r="C316" s="10" t="s">
        <v>232</v>
      </c>
      <c r="D316" s="10" t="s">
        <v>842</v>
      </c>
      <c r="E316" s="10">
        <v>23949.34588543493</v>
      </c>
      <c r="F316" s="10">
        <v>4590.2455147212058</v>
      </c>
      <c r="G316" s="10">
        <v>3265.154225469616</v>
      </c>
      <c r="H316" s="10">
        <v>3713.4530070872047</v>
      </c>
      <c r="I316" s="10">
        <v>6393.2239977692007</v>
      </c>
      <c r="J316" s="10">
        <v>1829.9853824660581</v>
      </c>
      <c r="K316" s="10">
        <v>7933.9174634912015</v>
      </c>
      <c r="L316" s="10">
        <v>6124.3459152918495</v>
      </c>
      <c r="M316" s="10">
        <v>26634.606080612353</v>
      </c>
      <c r="N316" s="10">
        <v>15323.215496141947</v>
      </c>
      <c r="O316" s="10">
        <v>3037.849821833328</v>
      </c>
      <c r="P316" s="10">
        <v>8472.7097920458109</v>
      </c>
      <c r="Q316" s="10">
        <v>24877.635008439858</v>
      </c>
      <c r="R316" s="10">
        <v>4361.9927104587832</v>
      </c>
      <c r="S316" s="10">
        <v>57234.749664464282</v>
      </c>
      <c r="T316" s="10">
        <v>411122.00229547539</v>
      </c>
      <c r="U316" s="10">
        <v>1081.9980351757752</v>
      </c>
      <c r="V316" s="10">
        <v>494.03422280258928</v>
      </c>
      <c r="W316" s="10">
        <v>610440.46451918129</v>
      </c>
    </row>
    <row r="317" spans="3:23">
      <c r="C317" s="10"/>
      <c r="D317" s="10" t="s">
        <v>680</v>
      </c>
      <c r="E317" s="10">
        <v>2098334.0199958803</v>
      </c>
      <c r="F317" s="10">
        <v>373899.10346586572</v>
      </c>
      <c r="G317" s="10">
        <v>281132.240266821</v>
      </c>
      <c r="H317" s="10">
        <v>303331.0176039816</v>
      </c>
      <c r="I317" s="10">
        <v>543214.26188738446</v>
      </c>
      <c r="J317" s="10">
        <v>146247.07359844338</v>
      </c>
      <c r="K317" s="10">
        <v>773650.63856084819</v>
      </c>
      <c r="L317" s="10">
        <v>537302.65489382436</v>
      </c>
      <c r="M317" s="10">
        <v>2427913.9544514846</v>
      </c>
      <c r="N317" s="10">
        <v>1123091.7999177626</v>
      </c>
      <c r="O317" s="10">
        <v>284422.09221848584</v>
      </c>
      <c r="P317" s="10">
        <v>660009.82253864838</v>
      </c>
      <c r="Q317" s="10">
        <v>1700910.3200335465</v>
      </c>
      <c r="R317" s="10">
        <v>325982.23279153323</v>
      </c>
      <c r="S317" s="10">
        <v>222301.23530606611</v>
      </c>
      <c r="T317" s="10">
        <v>872981.59596372035</v>
      </c>
      <c r="U317" s="10">
        <v>119355.39829071239</v>
      </c>
      <c r="V317" s="10">
        <v>109278.10058288201</v>
      </c>
      <c r="W317" s="10">
        <v>12903357.56236789</v>
      </c>
    </row>
    <row r="318" spans="3:23">
      <c r="C318" s="10" t="s">
        <v>667</v>
      </c>
      <c r="D318" s="10" t="s">
        <v>843</v>
      </c>
      <c r="E318" s="10" t="s">
        <v>9</v>
      </c>
      <c r="F318" s="10" t="s">
        <v>10</v>
      </c>
      <c r="G318" s="10" t="s">
        <v>11</v>
      </c>
      <c r="H318" s="10" t="s">
        <v>31</v>
      </c>
      <c r="I318" s="10" t="s">
        <v>12</v>
      </c>
      <c r="J318" s="10" t="s">
        <v>13</v>
      </c>
      <c r="K318" s="10" t="s">
        <v>14</v>
      </c>
      <c r="L318" s="10" t="s">
        <v>15</v>
      </c>
      <c r="M318" s="10" t="s">
        <v>16</v>
      </c>
      <c r="N318" s="10" t="s">
        <v>17</v>
      </c>
      <c r="O318" s="10" t="s">
        <v>18</v>
      </c>
      <c r="P318" s="10" t="s">
        <v>19</v>
      </c>
      <c r="Q318" s="10" t="s">
        <v>20</v>
      </c>
      <c r="R318" s="10" t="s">
        <v>60</v>
      </c>
      <c r="S318" s="10" t="s">
        <v>61</v>
      </c>
      <c r="T318" s="10" t="s">
        <v>62</v>
      </c>
      <c r="U318" s="10" t="s">
        <v>63</v>
      </c>
      <c r="V318" s="10" t="s">
        <v>64</v>
      </c>
      <c r="W318" s="10" t="s">
        <v>668</v>
      </c>
    </row>
    <row r="319" spans="3:23">
      <c r="C319" s="10" t="s">
        <v>343</v>
      </c>
      <c r="D319" s="10" t="s">
        <v>1189</v>
      </c>
      <c r="E319" s="10">
        <v>135157.43964919762</v>
      </c>
      <c r="F319" s="10">
        <v>48614.990101856216</v>
      </c>
      <c r="G319" s="10">
        <v>22746.56852598711</v>
      </c>
      <c r="H319" s="10">
        <v>10927.652067516996</v>
      </c>
      <c r="I319" s="10">
        <v>31984.15950473366</v>
      </c>
      <c r="J319" s="10">
        <v>10282.075199801451</v>
      </c>
      <c r="K319" s="10">
        <v>37483.548352750084</v>
      </c>
      <c r="L319" s="10">
        <v>43760.255378855341</v>
      </c>
      <c r="M319" s="10">
        <v>106412.10663080135</v>
      </c>
      <c r="N319" s="10">
        <v>85665.816585755092</v>
      </c>
      <c r="O319" s="10">
        <v>18768.452005250165</v>
      </c>
      <c r="P319" s="10">
        <v>24356.429832376489</v>
      </c>
      <c r="Q319" s="10">
        <v>118779.90304231246</v>
      </c>
      <c r="R319" s="10">
        <v>20971.975688142767</v>
      </c>
      <c r="S319" s="10">
        <v>10627.079618645705</v>
      </c>
      <c r="T319" s="10">
        <v>36221.031888139827</v>
      </c>
      <c r="U319" s="10">
        <v>12677.540903590414</v>
      </c>
      <c r="V319" s="10">
        <v>973.41816825877277</v>
      </c>
      <c r="W319" s="10">
        <v>776410.4431439715</v>
      </c>
    </row>
    <row r="320" spans="3:23">
      <c r="C320" s="10" t="s">
        <v>844</v>
      </c>
      <c r="D320" s="10" t="s">
        <v>845</v>
      </c>
      <c r="E320" s="10">
        <v>2932.9305665477245</v>
      </c>
      <c r="F320" s="10">
        <v>177.35329417678693</v>
      </c>
      <c r="G320" s="10">
        <v>140.44930965720422</v>
      </c>
      <c r="H320" s="10">
        <v>3798.0623624174823</v>
      </c>
      <c r="I320" s="10">
        <v>1556.2028529051049</v>
      </c>
      <c r="J320" s="10">
        <v>107.24145769188834</v>
      </c>
      <c r="K320" s="10">
        <v>5593.9140746214316</v>
      </c>
      <c r="L320" s="10">
        <v>372.0070997384305</v>
      </c>
      <c r="M320" s="10">
        <v>2555.2541749399215</v>
      </c>
      <c r="N320" s="10">
        <v>730.60778348316978</v>
      </c>
      <c r="O320" s="10">
        <v>1041.2822466625912</v>
      </c>
      <c r="P320" s="10">
        <v>1684.2479406905263</v>
      </c>
      <c r="Q320" s="10">
        <v>2098.1446564804742</v>
      </c>
      <c r="R320" s="10">
        <v>731.28880632938433</v>
      </c>
      <c r="S320" s="10">
        <v>156.40320431815354</v>
      </c>
      <c r="T320" s="10">
        <v>647.0619592041985</v>
      </c>
      <c r="U320" s="10">
        <v>305.20499502199283</v>
      </c>
      <c r="V320" s="10">
        <v>21.197955113534423</v>
      </c>
      <c r="W320" s="10">
        <v>24648.854740000002</v>
      </c>
    </row>
    <row r="321" spans="3:23">
      <c r="C321" s="10" t="s">
        <v>344</v>
      </c>
      <c r="D321" s="10" t="s">
        <v>846</v>
      </c>
      <c r="E321" s="10">
        <v>257.00615235842378</v>
      </c>
      <c r="F321" s="10">
        <v>40.780979984581968</v>
      </c>
      <c r="G321" s="10">
        <v>32.501076943703566</v>
      </c>
      <c r="H321" s="10">
        <v>33.801091944362661</v>
      </c>
      <c r="I321" s="10">
        <v>64.447509304462628</v>
      </c>
      <c r="J321" s="10">
        <v>18.014260331452473</v>
      </c>
      <c r="K321" s="10">
        <v>76.52021507459537</v>
      </c>
      <c r="L321" s="10">
        <v>63.77785547144515</v>
      </c>
      <c r="M321" s="10">
        <v>229.99641995691391</v>
      </c>
      <c r="N321" s="10">
        <v>154.40352704447659</v>
      </c>
      <c r="O321" s="10">
        <v>33.625915323580145</v>
      </c>
      <c r="P321" s="10">
        <v>84.149401058274321</v>
      </c>
      <c r="Q321" s="10">
        <v>197.60763611010395</v>
      </c>
      <c r="R321" s="10">
        <v>44.845016549586234</v>
      </c>
      <c r="S321" s="10">
        <v>19.612258698892145</v>
      </c>
      <c r="T321" s="10">
        <v>66.845857302568064</v>
      </c>
      <c r="U321" s="10">
        <v>9.7816458226128358</v>
      </c>
      <c r="V321" s="10">
        <v>5.1474307199640119</v>
      </c>
      <c r="W321" s="10">
        <v>1432.8642499999996</v>
      </c>
    </row>
    <row r="322" spans="3:23">
      <c r="C322" s="10"/>
      <c r="D322" s="10" t="s">
        <v>680</v>
      </c>
      <c r="E322" s="10">
        <v>138347.37636810378</v>
      </c>
      <c r="F322" s="10">
        <v>48833.124376017586</v>
      </c>
      <c r="G322" s="10">
        <v>22919.518912588017</v>
      </c>
      <c r="H322" s="10">
        <v>14759.51552187884</v>
      </c>
      <c r="I322" s="10">
        <v>33604.809866943222</v>
      </c>
      <c r="J322" s="10">
        <v>10407.330917824793</v>
      </c>
      <c r="K322" s="10">
        <v>43153.982642446113</v>
      </c>
      <c r="L322" s="10">
        <v>44196.040334065219</v>
      </c>
      <c r="M322" s="10">
        <v>109197.35722569819</v>
      </c>
      <c r="N322" s="10">
        <v>86550.827896282732</v>
      </c>
      <c r="O322" s="10">
        <v>19843.360167236337</v>
      </c>
      <c r="P322" s="10">
        <v>26124.82717412529</v>
      </c>
      <c r="Q322" s="10">
        <v>121075.65533490304</v>
      </c>
      <c r="R322" s="10">
        <v>21748.109511021736</v>
      </c>
      <c r="S322" s="10">
        <v>10803.09508166275</v>
      </c>
      <c r="T322" s="10">
        <v>36934.939704646597</v>
      </c>
      <c r="U322" s="10">
        <v>12992.527544435021</v>
      </c>
      <c r="V322" s="10">
        <v>999.76355409227131</v>
      </c>
      <c r="W322" s="10">
        <v>802492.16213397146</v>
      </c>
    </row>
    <row r="323" spans="3:23">
      <c r="C323" s="10" t="s">
        <v>667</v>
      </c>
      <c r="D323" s="10" t="s">
        <v>847</v>
      </c>
      <c r="E323" s="10" t="s">
        <v>9</v>
      </c>
      <c r="F323" s="10" t="s">
        <v>10</v>
      </c>
      <c r="G323" s="10" t="s">
        <v>11</v>
      </c>
      <c r="H323" s="10" t="s">
        <v>31</v>
      </c>
      <c r="I323" s="10" t="s">
        <v>12</v>
      </c>
      <c r="J323" s="10" t="s">
        <v>13</v>
      </c>
      <c r="K323" s="10" t="s">
        <v>14</v>
      </c>
      <c r="L323" s="10" t="s">
        <v>15</v>
      </c>
      <c r="M323" s="10" t="s">
        <v>16</v>
      </c>
      <c r="N323" s="10" t="s">
        <v>17</v>
      </c>
      <c r="O323" s="10" t="s">
        <v>18</v>
      </c>
      <c r="P323" s="10" t="s">
        <v>19</v>
      </c>
      <c r="Q323" s="10" t="s">
        <v>20</v>
      </c>
      <c r="R323" s="10" t="s">
        <v>60</v>
      </c>
      <c r="S323" s="10" t="s">
        <v>61</v>
      </c>
      <c r="T323" s="10" t="s">
        <v>62</v>
      </c>
      <c r="U323" s="10" t="s">
        <v>63</v>
      </c>
      <c r="V323" s="10" t="s">
        <v>64</v>
      </c>
      <c r="W323" s="10" t="s">
        <v>668</v>
      </c>
    </row>
    <row r="324" spans="3:23">
      <c r="C324" s="10" t="s">
        <v>660</v>
      </c>
      <c r="D324" s="10" t="s">
        <v>661</v>
      </c>
      <c r="E324" s="10">
        <v>3152.3090832801231</v>
      </c>
      <c r="F324" s="10">
        <v>553.43806410082016</v>
      </c>
      <c r="G324" s="10">
        <v>407.09126876251469</v>
      </c>
      <c r="H324" s="10">
        <v>528.36974031554769</v>
      </c>
      <c r="I324" s="10">
        <v>821.6584331688905</v>
      </c>
      <c r="J324" s="10">
        <v>330.28523933145453</v>
      </c>
      <c r="K324" s="10">
        <v>1299.9972133849628</v>
      </c>
      <c r="L324" s="10">
        <v>923.86956796283994</v>
      </c>
      <c r="M324" s="10">
        <v>3297.3295420783329</v>
      </c>
      <c r="N324" s="10">
        <v>1952.6010574940733</v>
      </c>
      <c r="O324" s="10">
        <v>489.91279290121577</v>
      </c>
      <c r="P324" s="10">
        <v>1095.4286059290671</v>
      </c>
      <c r="Q324" s="10">
        <v>6858.085385052299</v>
      </c>
      <c r="R324" s="10">
        <v>600.51015351898957</v>
      </c>
      <c r="S324" s="10">
        <v>260.98476255865478</v>
      </c>
      <c r="T324" s="10">
        <v>927.27249870079902</v>
      </c>
      <c r="U324" s="10">
        <v>156.59343784206621</v>
      </c>
      <c r="V324" s="10">
        <v>76.850834164855314</v>
      </c>
      <c r="W324" s="10">
        <v>23732.587680547509</v>
      </c>
    </row>
    <row r="325" spans="3:23">
      <c r="C325" s="10" t="s">
        <v>345</v>
      </c>
      <c r="D325" s="10" t="s">
        <v>346</v>
      </c>
      <c r="E325" s="10">
        <v>3945.9423821523478</v>
      </c>
      <c r="F325" s="10">
        <v>472.43377406971297</v>
      </c>
      <c r="G325" s="10">
        <v>329.75082912749741</v>
      </c>
      <c r="H325" s="10">
        <v>2251.312639948394</v>
      </c>
      <c r="I325" s="10">
        <v>676.75429115877455</v>
      </c>
      <c r="J325" s="10">
        <v>198.81122606755531</v>
      </c>
      <c r="K325" s="10">
        <v>6426.7816489839724</v>
      </c>
      <c r="L325" s="10">
        <v>1004.3644064335241</v>
      </c>
      <c r="M325" s="10">
        <v>3694.210920516136</v>
      </c>
      <c r="N325" s="10">
        <v>1543.3442290868552</v>
      </c>
      <c r="O325" s="10">
        <v>344.49024087401074</v>
      </c>
      <c r="P325" s="10">
        <v>925.45959360776999</v>
      </c>
      <c r="Q325" s="10">
        <v>7080.5041636580909</v>
      </c>
      <c r="R325" s="10">
        <v>438.29381803358353</v>
      </c>
      <c r="S325" s="10">
        <v>238.78240365239523</v>
      </c>
      <c r="T325" s="10">
        <v>834.12943527651532</v>
      </c>
      <c r="U325" s="10">
        <v>108.67854623766425</v>
      </c>
      <c r="V325" s="10">
        <v>59.125871115201548</v>
      </c>
      <c r="W325" s="10">
        <v>30573.170419999999</v>
      </c>
    </row>
    <row r="326" spans="3:23">
      <c r="C326" s="10" t="s">
        <v>347</v>
      </c>
      <c r="D326" s="10" t="s">
        <v>848</v>
      </c>
      <c r="E326" s="10">
        <v>1461.7666050558109</v>
      </c>
      <c r="F326" s="10">
        <v>258.44955854564006</v>
      </c>
      <c r="G326" s="10">
        <v>266.63812496465243</v>
      </c>
      <c r="H326" s="10">
        <v>193.66386909064749</v>
      </c>
      <c r="I326" s="10">
        <v>663.01691724512125</v>
      </c>
      <c r="J326" s="10">
        <v>123.11882451679173</v>
      </c>
      <c r="K326" s="10">
        <v>6305.8016985615996</v>
      </c>
      <c r="L326" s="10">
        <v>737.07249689560501</v>
      </c>
      <c r="M326" s="10">
        <v>6032.94654988812</v>
      </c>
      <c r="N326" s="10">
        <v>874.47426990410986</v>
      </c>
      <c r="O326" s="10">
        <v>262.15770954214406</v>
      </c>
      <c r="P326" s="10">
        <v>643.69452388070158</v>
      </c>
      <c r="Q326" s="10">
        <v>23971.049645756219</v>
      </c>
      <c r="R326" s="10">
        <v>291.41464596435389</v>
      </c>
      <c r="S326" s="10">
        <v>120.5741090892225</v>
      </c>
      <c r="T326" s="10">
        <v>519.3831539310587</v>
      </c>
      <c r="U326" s="10">
        <v>125.04177852430259</v>
      </c>
      <c r="V326" s="10">
        <v>815.72353864389856</v>
      </c>
      <c r="W326" s="10">
        <v>43665.988020000004</v>
      </c>
    </row>
    <row r="327" spans="3:23">
      <c r="C327" s="10" t="s">
        <v>348</v>
      </c>
      <c r="D327" s="10" t="s">
        <v>349</v>
      </c>
      <c r="E327" s="10">
        <v>6566.9939454722517</v>
      </c>
      <c r="F327" s="10">
        <v>1043.7426362447677</v>
      </c>
      <c r="G327" s="10">
        <v>700.70891728672905</v>
      </c>
      <c r="H327" s="10">
        <v>2032.0265296604503</v>
      </c>
      <c r="I327" s="10">
        <v>1388.0488570708021</v>
      </c>
      <c r="J327" s="10">
        <v>5261.4471155578585</v>
      </c>
      <c r="K327" s="10">
        <v>5671.3976526028755</v>
      </c>
      <c r="L327" s="10">
        <v>6308.2384317992964</v>
      </c>
      <c r="M327" s="10">
        <v>9082.4624643873613</v>
      </c>
      <c r="N327" s="10">
        <v>5872.702156834891</v>
      </c>
      <c r="O327" s="10">
        <v>4118.1509452459586</v>
      </c>
      <c r="P327" s="10">
        <v>1888.8771133453406</v>
      </c>
      <c r="Q327" s="10">
        <v>72599.63522191532</v>
      </c>
      <c r="R327" s="10">
        <v>4091.6188495226206</v>
      </c>
      <c r="S327" s="10">
        <v>501.51316593748572</v>
      </c>
      <c r="T327" s="10">
        <v>2184.6976955193759</v>
      </c>
      <c r="U327" s="10">
        <v>1583.5163454071583</v>
      </c>
      <c r="V327" s="10">
        <v>106.02077618946282</v>
      </c>
      <c r="W327" s="10">
        <v>131001.79882000001</v>
      </c>
    </row>
    <row r="328" spans="3:23">
      <c r="C328" s="10" t="s">
        <v>350</v>
      </c>
      <c r="D328" s="10" t="s">
        <v>849</v>
      </c>
      <c r="E328" s="10">
        <v>183.64957584733702</v>
      </c>
      <c r="F328" s="10">
        <v>12.35456495769033</v>
      </c>
      <c r="G328" s="10">
        <v>2.8833674744329256</v>
      </c>
      <c r="H328" s="10">
        <v>2.9986996825215408</v>
      </c>
      <c r="I328" s="10">
        <v>5.7175290670699113</v>
      </c>
      <c r="J328" s="10">
        <v>1.5981541905718302</v>
      </c>
      <c r="K328" s="10">
        <v>442.67337612768176</v>
      </c>
      <c r="L328" s="10">
        <v>5.6581200178068221</v>
      </c>
      <c r="M328" s="10">
        <v>409.37256528515326</v>
      </c>
      <c r="N328" s="10">
        <v>538.85837773286698</v>
      </c>
      <c r="O328" s="10">
        <v>55.4029813799105</v>
      </c>
      <c r="P328" s="10">
        <v>33.675314605689536</v>
      </c>
      <c r="Q328" s="10">
        <v>390.74131559844182</v>
      </c>
      <c r="R328" s="10">
        <v>3.9784731543959917</v>
      </c>
      <c r="S328" s="10">
        <v>1.7399223087438371</v>
      </c>
      <c r="T328" s="10">
        <v>58.350123727552599</v>
      </c>
      <c r="U328" s="10">
        <v>0.86778907234975544</v>
      </c>
      <c r="V328" s="10">
        <v>0.45665976978391831</v>
      </c>
      <c r="W328" s="10">
        <v>2150.9769099999999</v>
      </c>
    </row>
    <row r="329" spans="3:23">
      <c r="C329" s="10" t="s">
        <v>351</v>
      </c>
      <c r="D329" s="10" t="s">
        <v>352</v>
      </c>
      <c r="E329" s="10">
        <v>1314.574600296125</v>
      </c>
      <c r="F329" s="10">
        <v>318.67228760195019</v>
      </c>
      <c r="G329" s="10">
        <v>346.51506329708394</v>
      </c>
      <c r="H329" s="10">
        <v>104.45711850622703</v>
      </c>
      <c r="I329" s="10">
        <v>443.55055631439836</v>
      </c>
      <c r="J329" s="10">
        <v>126.51332419113544</v>
      </c>
      <c r="K329" s="10">
        <v>622.97581373433877</v>
      </c>
      <c r="L329" s="10">
        <v>289.45095214884157</v>
      </c>
      <c r="M329" s="10">
        <v>1155.9470203503738</v>
      </c>
      <c r="N329" s="10">
        <v>634.24770162917798</v>
      </c>
      <c r="O329" s="10">
        <v>130.88678427194603</v>
      </c>
      <c r="P329" s="10">
        <v>481.06277538092331</v>
      </c>
      <c r="Q329" s="10">
        <v>2936.5351798817546</v>
      </c>
      <c r="R329" s="10">
        <v>136.23127675144593</v>
      </c>
      <c r="S329" s="10">
        <v>68.354442766465084</v>
      </c>
      <c r="T329" s="10">
        <v>344.44266827641815</v>
      </c>
      <c r="U329" s="10">
        <v>76.286393934525904</v>
      </c>
      <c r="V329" s="10">
        <v>18.162790666869611</v>
      </c>
      <c r="W329" s="10">
        <v>9548.8667500000029</v>
      </c>
    </row>
    <row r="330" spans="3:23">
      <c r="C330" s="10" t="s">
        <v>353</v>
      </c>
      <c r="D330" s="10" t="s">
        <v>354</v>
      </c>
      <c r="E330" s="10">
        <v>1261.2797623682516</v>
      </c>
      <c r="F330" s="10">
        <v>200.13616122451575</v>
      </c>
      <c r="G330" s="10">
        <v>159.50182603837999</v>
      </c>
      <c r="H330" s="10">
        <v>165.88176128918965</v>
      </c>
      <c r="I330" s="10">
        <v>316.28168615744039</v>
      </c>
      <c r="J330" s="10">
        <v>88.406529499757625</v>
      </c>
      <c r="K330" s="10">
        <v>375.52952643349346</v>
      </c>
      <c r="L330" s="10">
        <v>312.99530246729682</v>
      </c>
      <c r="M330" s="10">
        <v>1128.7271812242154</v>
      </c>
      <c r="N330" s="10">
        <v>757.74856793265485</v>
      </c>
      <c r="O330" s="10">
        <v>165.02206697990746</v>
      </c>
      <c r="P330" s="10">
        <v>412.97041178295416</v>
      </c>
      <c r="Q330" s="10">
        <v>969.77644320168986</v>
      </c>
      <c r="R330" s="10">
        <v>220.08076965480674</v>
      </c>
      <c r="S330" s="10">
        <v>96.248843711513487</v>
      </c>
      <c r="T330" s="10">
        <v>328.05178490942711</v>
      </c>
      <c r="U330" s="10">
        <v>48.004266845369706</v>
      </c>
      <c r="V330" s="10">
        <v>25.261458279134651</v>
      </c>
      <c r="W330" s="10">
        <v>7031.904349999998</v>
      </c>
    </row>
    <row r="331" spans="3:23">
      <c r="C331" s="10" t="s">
        <v>355</v>
      </c>
      <c r="D331" s="10" t="s">
        <v>356</v>
      </c>
      <c r="E331" s="10">
        <v>350.17087348743752</v>
      </c>
      <c r="F331" s="10">
        <v>97.12518408921882</v>
      </c>
      <c r="G331" s="10">
        <v>18.345075313474549</v>
      </c>
      <c r="H331" s="10">
        <v>36.31697700057434</v>
      </c>
      <c r="I331" s="10">
        <v>65.636510509407927</v>
      </c>
      <c r="J331" s="10">
        <v>62.488000371482208</v>
      </c>
      <c r="K331" s="10">
        <v>63.223078842384083</v>
      </c>
      <c r="L331" s="10">
        <v>15.87301903734881</v>
      </c>
      <c r="M331" s="10">
        <v>966.56712657561911</v>
      </c>
      <c r="N331" s="10">
        <v>95.827410803535159</v>
      </c>
      <c r="O331" s="10">
        <v>9.3240846928002608</v>
      </c>
      <c r="P331" s="10">
        <v>42.242473022861901</v>
      </c>
      <c r="Q331" s="10">
        <v>1143.0831952646133</v>
      </c>
      <c r="R331" s="10">
        <v>14.742986225087222</v>
      </c>
      <c r="S331" s="10">
        <v>14.269949233907955</v>
      </c>
      <c r="T331" s="10">
        <v>276.94947240378201</v>
      </c>
      <c r="U331" s="10">
        <v>4.0646141464292755</v>
      </c>
      <c r="V331" s="10">
        <v>0.47478898003548875</v>
      </c>
      <c r="W331" s="10">
        <v>3276.7248200000004</v>
      </c>
    </row>
    <row r="332" spans="3:23">
      <c r="C332" s="10" t="s">
        <v>357</v>
      </c>
      <c r="D332" s="10" t="s">
        <v>850</v>
      </c>
      <c r="E332" s="10">
        <v>4199.2353454305603</v>
      </c>
      <c r="F332" s="10">
        <v>630.08199611638668</v>
      </c>
      <c r="G332" s="10">
        <v>582.94746074590614</v>
      </c>
      <c r="H332" s="10">
        <v>446.87207747569198</v>
      </c>
      <c r="I332" s="10">
        <v>869.66924773365861</v>
      </c>
      <c r="J332" s="10">
        <v>283.92249968263729</v>
      </c>
      <c r="K332" s="10">
        <v>1003.2608331524466</v>
      </c>
      <c r="L332" s="10">
        <v>755.39290272136918</v>
      </c>
      <c r="M332" s="10">
        <v>9017.3134519951655</v>
      </c>
      <c r="N332" s="10">
        <v>2167.6151257554588</v>
      </c>
      <c r="O332" s="10">
        <v>385.89435224232517</v>
      </c>
      <c r="P332" s="10">
        <v>989.46043814147379</v>
      </c>
      <c r="Q332" s="10">
        <v>42018.088075012231</v>
      </c>
      <c r="R332" s="10">
        <v>558.14644268386542</v>
      </c>
      <c r="S332" s="10">
        <v>314.68352238431902</v>
      </c>
      <c r="T332" s="10">
        <v>1541.6133156575484</v>
      </c>
      <c r="U332" s="10">
        <v>121.37593699610581</v>
      </c>
      <c r="V332" s="10">
        <v>53.364896072861441</v>
      </c>
      <c r="W332" s="10">
        <v>65938.937919999997</v>
      </c>
    </row>
    <row r="333" spans="3:23">
      <c r="C333" s="10" t="s">
        <v>358</v>
      </c>
      <c r="D333" s="10" t="s">
        <v>359</v>
      </c>
      <c r="E333" s="10">
        <v>2436.7479986807271</v>
      </c>
      <c r="F333" s="10">
        <v>608.29686635690177</v>
      </c>
      <c r="G333" s="10">
        <v>319.04504031329111</v>
      </c>
      <c r="H333" s="10">
        <v>494.49380556950473</v>
      </c>
      <c r="I333" s="10">
        <v>532.54292629716042</v>
      </c>
      <c r="J333" s="10">
        <v>191.85894469722672</v>
      </c>
      <c r="K333" s="10">
        <v>1019.9302458310549</v>
      </c>
      <c r="L333" s="10">
        <v>1034.5981883811253</v>
      </c>
      <c r="M333" s="10">
        <v>4120.9086121909795</v>
      </c>
      <c r="N333" s="10">
        <v>1889.6610210672511</v>
      </c>
      <c r="O333" s="10">
        <v>503.68709391547537</v>
      </c>
      <c r="P333" s="10">
        <v>826.94066740676317</v>
      </c>
      <c r="Q333" s="10">
        <v>17498.315407995658</v>
      </c>
      <c r="R333" s="10">
        <v>501.37878398501675</v>
      </c>
      <c r="S333" s="10">
        <v>194.58972809070042</v>
      </c>
      <c r="T333" s="10">
        <v>1148.7459637184611</v>
      </c>
      <c r="U333" s="10">
        <v>110.68942588752978</v>
      </c>
      <c r="V333" s="10">
        <v>37.758379615171243</v>
      </c>
      <c r="W333" s="10">
        <v>33470.189100000003</v>
      </c>
    </row>
    <row r="334" spans="3:23">
      <c r="C334" s="10" t="s">
        <v>360</v>
      </c>
      <c r="D334" s="10" t="s">
        <v>361</v>
      </c>
      <c r="E334" s="10">
        <v>6879.2925949541295</v>
      </c>
      <c r="F334" s="10">
        <v>1375.8585189908258</v>
      </c>
      <c r="G334" s="10">
        <v>917.23901266055077</v>
      </c>
      <c r="H334" s="10">
        <v>1375.8585189908258</v>
      </c>
      <c r="I334" s="10">
        <v>2293.0975316513764</v>
      </c>
      <c r="J334" s="10">
        <v>458.61950633027539</v>
      </c>
      <c r="K334" s="10">
        <v>2293.0975316513764</v>
      </c>
      <c r="L334" s="10">
        <v>1375.8585189908258</v>
      </c>
      <c r="M334" s="10">
        <v>9631.0096329357821</v>
      </c>
      <c r="N334" s="10">
        <v>5503.4340759633033</v>
      </c>
      <c r="O334" s="10">
        <v>458.61950633027539</v>
      </c>
      <c r="P334" s="10">
        <v>1834.4780253211015</v>
      </c>
      <c r="Q334" s="10">
        <v>9631.0096329357821</v>
      </c>
      <c r="R334" s="10">
        <v>1375.8585189908258</v>
      </c>
      <c r="S334" s="10">
        <v>917.23901266055077</v>
      </c>
      <c r="T334" s="10">
        <v>3210.3365443119269</v>
      </c>
      <c r="U334" s="10">
        <v>458.61950633027539</v>
      </c>
      <c r="V334" s="10">
        <v>0</v>
      </c>
      <c r="W334" s="10">
        <v>49989.526190000011</v>
      </c>
    </row>
    <row r="335" spans="3:23">
      <c r="C335" s="10" t="s">
        <v>851</v>
      </c>
      <c r="D335" s="10" t="s">
        <v>362</v>
      </c>
      <c r="E335" s="10">
        <v>18072.789064866251</v>
      </c>
      <c r="F335" s="10">
        <v>4374.4191370443004</v>
      </c>
      <c r="G335" s="10">
        <v>2768.9080475489172</v>
      </c>
      <c r="H335" s="10">
        <v>2821.8268858912261</v>
      </c>
      <c r="I335" s="10">
        <v>5384.9607403553646</v>
      </c>
      <c r="J335" s="10">
        <v>1959.1762061838181</v>
      </c>
      <c r="K335" s="10">
        <v>5394.7334828153798</v>
      </c>
      <c r="L335" s="10">
        <v>4132.1890362159247</v>
      </c>
      <c r="M335" s="10">
        <v>19554.476531397751</v>
      </c>
      <c r="N335" s="10">
        <v>10939.75265650226</v>
      </c>
      <c r="O335" s="10">
        <v>2441.2765895104285</v>
      </c>
      <c r="P335" s="10">
        <v>6252.1321076301692</v>
      </c>
      <c r="Q335" s="10">
        <v>13676.0898268939</v>
      </c>
      <c r="R335" s="10">
        <v>2924.8955877032959</v>
      </c>
      <c r="S335" s="10">
        <v>2278.9027767387629</v>
      </c>
      <c r="T335" s="10">
        <v>6388.0833840447222</v>
      </c>
      <c r="U335" s="10">
        <v>1051.1168018365149</v>
      </c>
      <c r="V335" s="10">
        <v>507.35128682101322</v>
      </c>
      <c r="W335" s="10">
        <v>110923.08014999998</v>
      </c>
    </row>
    <row r="336" spans="3:23">
      <c r="C336" s="10" t="s">
        <v>363</v>
      </c>
      <c r="D336" s="10" t="s">
        <v>852</v>
      </c>
      <c r="E336" s="10">
        <v>4493.4273448144368</v>
      </c>
      <c r="F336" s="10">
        <v>811.21369770578758</v>
      </c>
      <c r="G336" s="10">
        <v>577.03620085858483</v>
      </c>
      <c r="H336" s="10">
        <v>1978.0026280347568</v>
      </c>
      <c r="I336" s="10">
        <v>1150.8926630167339</v>
      </c>
      <c r="J336" s="10">
        <v>323.40518695501504</v>
      </c>
      <c r="K336" s="10">
        <v>3564.6157436922849</v>
      </c>
      <c r="L336" s="10">
        <v>1082.328446275925</v>
      </c>
      <c r="M336" s="10">
        <v>4721.9602576017551</v>
      </c>
      <c r="N336" s="10">
        <v>2708.0038014312859</v>
      </c>
      <c r="O336" s="10">
        <v>1465.1874850067361</v>
      </c>
      <c r="P336" s="10">
        <v>1497.3443616361697</v>
      </c>
      <c r="Q336" s="10">
        <v>80597.328290301914</v>
      </c>
      <c r="R336" s="10">
        <v>770.87559361884712</v>
      </c>
      <c r="S336" s="10">
        <v>412.99781523218337</v>
      </c>
      <c r="T336" s="10">
        <v>1447.2867243695855</v>
      </c>
      <c r="U336" s="10">
        <v>191.21670599326262</v>
      </c>
      <c r="V336" s="10">
        <v>87.308473454765618</v>
      </c>
      <c r="W336" s="10">
        <v>107880.43142000002</v>
      </c>
    </row>
    <row r="337" spans="3:23">
      <c r="C337" s="10" t="s">
        <v>364</v>
      </c>
      <c r="D337" s="10" t="s">
        <v>365</v>
      </c>
      <c r="E337" s="10">
        <v>1835.6810061868505</v>
      </c>
      <c r="F337" s="10">
        <v>822.98992415301825</v>
      </c>
      <c r="G337" s="10">
        <v>241.88909242885887</v>
      </c>
      <c r="H337" s="10">
        <v>1214.7154274778495</v>
      </c>
      <c r="I337" s="10">
        <v>1308.8407799386264</v>
      </c>
      <c r="J337" s="10">
        <v>329.17479286116821</v>
      </c>
      <c r="K337" s="10">
        <v>1419.8959953087885</v>
      </c>
      <c r="L337" s="10">
        <v>3751.3659306631189</v>
      </c>
      <c r="M337" s="10">
        <v>3738.9886554172604</v>
      </c>
      <c r="N337" s="10">
        <v>1855.393779483647</v>
      </c>
      <c r="O337" s="10">
        <v>615.10100977229149</v>
      </c>
      <c r="P337" s="10">
        <v>5119.6086813230268</v>
      </c>
      <c r="Q337" s="10">
        <v>3965.1096949826633</v>
      </c>
      <c r="R337" s="10">
        <v>480.56559837441011</v>
      </c>
      <c r="S337" s="10">
        <v>404.78943644659671</v>
      </c>
      <c r="T337" s="10">
        <v>1492.3797089082709</v>
      </c>
      <c r="U337" s="10">
        <v>123.29217145594572</v>
      </c>
      <c r="V337" s="10">
        <v>100.32801447859323</v>
      </c>
      <c r="W337" s="10">
        <v>28820.109699660985</v>
      </c>
    </row>
    <row r="338" spans="3:23">
      <c r="C338" s="10" t="s">
        <v>366</v>
      </c>
      <c r="D338" s="10" t="s">
        <v>853</v>
      </c>
      <c r="E338" s="10">
        <v>1606.7426025252325</v>
      </c>
      <c r="F338" s="10">
        <v>478.71334552143475</v>
      </c>
      <c r="G338" s="10">
        <v>125.00167043721325</v>
      </c>
      <c r="H338" s="10">
        <v>131.96439626057406</v>
      </c>
      <c r="I338" s="10">
        <v>257.49840384119113</v>
      </c>
      <c r="J338" s="10">
        <v>250.09589987761797</v>
      </c>
      <c r="K338" s="10">
        <v>931.66861318469057</v>
      </c>
      <c r="L338" s="10">
        <v>298.14557903355092</v>
      </c>
      <c r="M338" s="10">
        <v>1017.4760278253511</v>
      </c>
      <c r="N338" s="10">
        <v>560.47561805195357</v>
      </c>
      <c r="O338" s="10">
        <v>321.52934866142658</v>
      </c>
      <c r="P338" s="10">
        <v>307.67399847452248</v>
      </c>
      <c r="Q338" s="10">
        <v>2007.1919767621976</v>
      </c>
      <c r="R338" s="10">
        <v>411.90835382127426</v>
      </c>
      <c r="S338" s="10">
        <v>131.51918389677158</v>
      </c>
      <c r="T338" s="10">
        <v>451.69478347653046</v>
      </c>
      <c r="U338" s="10">
        <v>28.504122355882188</v>
      </c>
      <c r="V338" s="10">
        <v>13.847977867634089</v>
      </c>
      <c r="W338" s="10">
        <v>9331.6519018750496</v>
      </c>
    </row>
    <row r="339" spans="3:23">
      <c r="C339" s="10" t="s">
        <v>854</v>
      </c>
      <c r="D339" s="10" t="s">
        <v>367</v>
      </c>
      <c r="E339" s="10">
        <v>65777.071959545443</v>
      </c>
      <c r="F339" s="10">
        <v>10437.312221559776</v>
      </c>
      <c r="G339" s="10">
        <v>8318.1887175497504</v>
      </c>
      <c r="H339" s="10">
        <v>8650.9090803198469</v>
      </c>
      <c r="I339" s="10">
        <v>16494.424037060089</v>
      </c>
      <c r="J339" s="10">
        <v>4610.4939015912096</v>
      </c>
      <c r="K339" s="10">
        <v>19584.261493873066</v>
      </c>
      <c r="L339" s="10">
        <v>16323.035656049868</v>
      </c>
      <c r="M339" s="10">
        <v>58864.31483105271</v>
      </c>
      <c r="N339" s="10">
        <v>39517.388264885521</v>
      </c>
      <c r="O339" s="10">
        <v>8606.0751139532676</v>
      </c>
      <c r="P339" s="10">
        <v>21536.843215501871</v>
      </c>
      <c r="Q339" s="10">
        <v>50574.865935671223</v>
      </c>
      <c r="R339" s="10">
        <v>11477.444619673348</v>
      </c>
      <c r="S339" s="10">
        <v>5019.4788719576991</v>
      </c>
      <c r="T339" s="10">
        <v>17108.247120312211</v>
      </c>
      <c r="U339" s="10">
        <v>2503.4732252614995</v>
      </c>
      <c r="V339" s="10">
        <v>1317.4117341815843</v>
      </c>
      <c r="W339" s="10">
        <v>366721.24</v>
      </c>
    </row>
    <row r="340" spans="3:23">
      <c r="C340" s="10" t="s">
        <v>368</v>
      </c>
      <c r="D340" s="10" t="s">
        <v>855</v>
      </c>
      <c r="E340" s="10">
        <v>0</v>
      </c>
      <c r="F340" s="10">
        <v>0</v>
      </c>
      <c r="G340" s="10">
        <v>0</v>
      </c>
      <c r="H340" s="10">
        <v>20089.032865917172</v>
      </c>
      <c r="I340" s="10">
        <v>0</v>
      </c>
      <c r="J340" s="10">
        <v>0</v>
      </c>
      <c r="K340" s="10">
        <v>0</v>
      </c>
      <c r="L340" s="10">
        <v>0</v>
      </c>
      <c r="M340" s="10">
        <v>66156.398058334278</v>
      </c>
      <c r="N340" s="10">
        <v>41331.382385507975</v>
      </c>
      <c r="O340" s="10">
        <v>0</v>
      </c>
      <c r="P340" s="10">
        <v>30980.550235719373</v>
      </c>
      <c r="Q340" s="10">
        <v>0</v>
      </c>
      <c r="R340" s="10">
        <v>0</v>
      </c>
      <c r="S340" s="10">
        <v>6190.2365059007197</v>
      </c>
      <c r="T340" s="10">
        <v>21098.62369732872</v>
      </c>
      <c r="U340" s="10">
        <v>0</v>
      </c>
      <c r="V340" s="10">
        <v>0</v>
      </c>
      <c r="W340" s="10">
        <v>185846.22374870823</v>
      </c>
    </row>
    <row r="341" spans="3:23">
      <c r="C341" s="10" t="s">
        <v>369</v>
      </c>
      <c r="D341" s="10" t="s">
        <v>856</v>
      </c>
      <c r="E341" s="10">
        <v>45406.484512459603</v>
      </c>
      <c r="F341" s="10">
        <v>7879.8882559458625</v>
      </c>
      <c r="G341" s="10">
        <v>6091.6220993055258</v>
      </c>
      <c r="H341" s="10">
        <v>5816.8143632433203</v>
      </c>
      <c r="I341" s="10">
        <v>12010.596951804198</v>
      </c>
      <c r="J341" s="10">
        <v>3148.4464457114791</v>
      </c>
      <c r="K341" s="10">
        <v>16975.965647296147</v>
      </c>
      <c r="L341" s="10">
        <v>13129.06241538697</v>
      </c>
      <c r="M341" s="10">
        <v>28667.299679141175</v>
      </c>
      <c r="N341" s="10">
        <v>25545.781442184958</v>
      </c>
      <c r="O341" s="10">
        <v>6912.1471639070996</v>
      </c>
      <c r="P341" s="10">
        <v>18541.836032090625</v>
      </c>
      <c r="Q341" s="10">
        <v>31129.413454652156</v>
      </c>
      <c r="R341" s="10">
        <v>9765.252003495094</v>
      </c>
      <c r="S341" s="10">
        <v>3459.8752294346232</v>
      </c>
      <c r="T341" s="10">
        <v>10746.566937545975</v>
      </c>
      <c r="U341" s="10">
        <v>1964.1460221994655</v>
      </c>
      <c r="V341" s="10">
        <v>744.80134419573358</v>
      </c>
      <c r="W341" s="10">
        <v>247936.00000000003</v>
      </c>
    </row>
    <row r="342" spans="3:23">
      <c r="C342" s="10" t="s">
        <v>857</v>
      </c>
      <c r="D342" s="10" t="s">
        <v>490</v>
      </c>
      <c r="E342" s="10">
        <v>2726.3545849027541</v>
      </c>
      <c r="F342" s="10">
        <v>411.95684907341723</v>
      </c>
      <c r="G342" s="10">
        <v>364.32435357890245</v>
      </c>
      <c r="H342" s="10">
        <v>805.62454307726625</v>
      </c>
      <c r="I342" s="10">
        <v>50.1420375332197</v>
      </c>
      <c r="J342" s="10">
        <v>390.93799871701901</v>
      </c>
      <c r="K342" s="10">
        <v>1079.6370539141108</v>
      </c>
      <c r="L342" s="10">
        <v>693.74602736553732</v>
      </c>
      <c r="M342" s="10">
        <v>4036.7828071648837</v>
      </c>
      <c r="N342" s="10">
        <v>1005.0199768761626</v>
      </c>
      <c r="O342" s="10">
        <v>355.96744056900616</v>
      </c>
      <c r="P342" s="10">
        <v>967.32858260355215</v>
      </c>
      <c r="Q342" s="10">
        <v>166.37099088287027</v>
      </c>
      <c r="R342" s="10">
        <v>34.890727776372067</v>
      </c>
      <c r="S342" s="10">
        <v>15.258907945461431</v>
      </c>
      <c r="T342" s="10">
        <v>52.00802206290264</v>
      </c>
      <c r="U342" s="10">
        <v>7.61040507643252</v>
      </c>
      <c r="V342" s="10">
        <v>831.71867088012868</v>
      </c>
      <c r="W342" s="10">
        <v>13995.679979999997</v>
      </c>
    </row>
    <row r="343" spans="3:23">
      <c r="C343" s="10"/>
      <c r="D343" s="10" t="s">
        <v>680</v>
      </c>
      <c r="E343" s="10">
        <v>171670.51384232569</v>
      </c>
      <c r="F343" s="10">
        <v>30787.083043302027</v>
      </c>
      <c r="G343" s="10">
        <v>22537.636167692261</v>
      </c>
      <c r="H343" s="10">
        <v>49141.141927751589</v>
      </c>
      <c r="I343" s="10">
        <v>44733.330099923514</v>
      </c>
      <c r="J343" s="10">
        <v>18138.799796334075</v>
      </c>
      <c r="K343" s="10">
        <v>74475.446649390651</v>
      </c>
      <c r="L343" s="10">
        <v>52173.244997846778</v>
      </c>
      <c r="M343" s="10">
        <v>235294.49191536239</v>
      </c>
      <c r="N343" s="10">
        <v>145293.71191912793</v>
      </c>
      <c r="O343" s="10">
        <v>27640.832709756225</v>
      </c>
      <c r="P343" s="10">
        <v>94377.607157403952</v>
      </c>
      <c r="Q343" s="10">
        <v>367213.19383641897</v>
      </c>
      <c r="R343" s="10">
        <v>34098.08720294763</v>
      </c>
      <c r="S343" s="10">
        <v>20642.03858994678</v>
      </c>
      <c r="T343" s="10">
        <v>70158.863034481779</v>
      </c>
      <c r="U343" s="10">
        <v>8663.0974954027806</v>
      </c>
      <c r="V343" s="10">
        <v>4795.967495376728</v>
      </c>
      <c r="W343" s="10">
        <v>1471835.0878807919</v>
      </c>
    </row>
    <row r="344" spans="3:23">
      <c r="C344" s="10" t="s">
        <v>667</v>
      </c>
      <c r="D344" s="10" t="s">
        <v>3</v>
      </c>
      <c r="E344" s="10" t="s">
        <v>9</v>
      </c>
      <c r="F344" s="10" t="s">
        <v>10</v>
      </c>
      <c r="G344" s="10" t="s">
        <v>11</v>
      </c>
      <c r="H344" s="10" t="s">
        <v>31</v>
      </c>
      <c r="I344" s="10" t="s">
        <v>12</v>
      </c>
      <c r="J344" s="10" t="s">
        <v>13</v>
      </c>
      <c r="K344" s="10" t="s">
        <v>14</v>
      </c>
      <c r="L344" s="10" t="s">
        <v>15</v>
      </c>
      <c r="M344" s="10" t="s">
        <v>16</v>
      </c>
      <c r="N344" s="10" t="s">
        <v>17</v>
      </c>
      <c r="O344" s="10" t="s">
        <v>18</v>
      </c>
      <c r="P344" s="10" t="s">
        <v>19</v>
      </c>
      <c r="Q344" s="10" t="s">
        <v>20</v>
      </c>
      <c r="R344" s="10" t="s">
        <v>60</v>
      </c>
      <c r="S344" s="10" t="s">
        <v>61</v>
      </c>
      <c r="T344" s="10" t="s">
        <v>62</v>
      </c>
      <c r="U344" s="10" t="s">
        <v>63</v>
      </c>
      <c r="V344" s="10" t="s">
        <v>64</v>
      </c>
      <c r="W344" s="10" t="s">
        <v>668</v>
      </c>
    </row>
    <row r="345" spans="3:23">
      <c r="C345" s="10" t="s">
        <v>370</v>
      </c>
      <c r="D345" s="10" t="s">
        <v>858</v>
      </c>
      <c r="E345" s="10">
        <v>2366359.9545100001</v>
      </c>
      <c r="F345" s="10">
        <v>438299.31550999999</v>
      </c>
      <c r="G345" s="10">
        <v>321006.44218000001</v>
      </c>
      <c r="H345" s="10">
        <v>180381.08108</v>
      </c>
      <c r="I345" s="10">
        <v>478778.39199000003</v>
      </c>
      <c r="J345" s="10">
        <v>148327.38912000001</v>
      </c>
      <c r="K345" s="10">
        <v>1053178.66203</v>
      </c>
      <c r="L345" s="10">
        <v>496071.22168999998</v>
      </c>
      <c r="M345" s="10">
        <v>1037625.07669</v>
      </c>
      <c r="N345" s="10">
        <v>991653.31070999999</v>
      </c>
      <c r="O345" s="10">
        <v>376724.74244</v>
      </c>
      <c r="P345" s="10">
        <v>860864.61045000004</v>
      </c>
      <c r="Q345" s="10">
        <v>2174004.8964999998</v>
      </c>
      <c r="R345" s="10">
        <v>417600.46176999999</v>
      </c>
      <c r="S345" s="10">
        <v>119206.05806</v>
      </c>
      <c r="T345" s="10">
        <v>300825.95470999996</v>
      </c>
      <c r="U345" s="10">
        <v>94392.566349999994</v>
      </c>
      <c r="V345" s="10">
        <v>87830.603170000002</v>
      </c>
      <c r="W345" s="10">
        <v>11943130.73896</v>
      </c>
    </row>
    <row r="346" spans="3:23">
      <c r="C346" s="10" t="s">
        <v>371</v>
      </c>
      <c r="D346" s="10" t="s">
        <v>859</v>
      </c>
      <c r="E346" s="10">
        <v>3320.27153</v>
      </c>
      <c r="F346" s="10">
        <v>390.82731000000001</v>
      </c>
      <c r="G346" s="10">
        <v>357.43376000000001</v>
      </c>
      <c r="H346" s="10">
        <v>228.53111999999999</v>
      </c>
      <c r="I346" s="10">
        <v>9420.1772300000011</v>
      </c>
      <c r="J346" s="10">
        <v>220.55279999999999</v>
      </c>
      <c r="K346" s="10">
        <v>828.21539000000007</v>
      </c>
      <c r="L346" s="10">
        <v>790.15041000000008</v>
      </c>
      <c r="M346" s="10">
        <v>1997.1776399999999</v>
      </c>
      <c r="N346" s="10">
        <v>1329.15428</v>
      </c>
      <c r="O346" s="10">
        <v>396.70684</v>
      </c>
      <c r="P346" s="10">
        <v>884.63468</v>
      </c>
      <c r="Q346" s="10">
        <v>18060.290919999999</v>
      </c>
      <c r="R346" s="10">
        <v>477.11124000000001</v>
      </c>
      <c r="S346" s="10">
        <v>103.01576</v>
      </c>
      <c r="T346" s="10">
        <v>976.62867000000006</v>
      </c>
      <c r="U346" s="10">
        <v>94.720399999999998</v>
      </c>
      <c r="V346" s="10">
        <v>400.81810999999999</v>
      </c>
      <c r="W346" s="10">
        <v>40276.418089999992</v>
      </c>
    </row>
    <row r="347" spans="3:23">
      <c r="C347" s="10" t="s">
        <v>372</v>
      </c>
      <c r="D347" s="10" t="s">
        <v>860</v>
      </c>
      <c r="E347" s="10">
        <v>7319.877237201139</v>
      </c>
      <c r="F347" s="10">
        <v>42.101962293632404</v>
      </c>
      <c r="G347" s="10">
        <v>37.591037762171787</v>
      </c>
      <c r="H347" s="10">
        <v>14.886050953820025</v>
      </c>
      <c r="I347" s="10">
        <v>3972.6208707063147</v>
      </c>
      <c r="J347" s="10">
        <v>77.587901941122567</v>
      </c>
      <c r="K347" s="10">
        <v>127.20807178718933</v>
      </c>
      <c r="L347" s="10">
        <v>420.86925878527529</v>
      </c>
      <c r="M347" s="10">
        <v>62.10039438310779</v>
      </c>
      <c r="N347" s="10">
        <v>878.87846287957632</v>
      </c>
      <c r="O347" s="10">
        <v>151.86779255917401</v>
      </c>
      <c r="P347" s="10">
        <v>24.358992469887315</v>
      </c>
      <c r="Q347" s="10">
        <v>1235.6925933181108</v>
      </c>
      <c r="R347" s="10">
        <v>201.97090163640823</v>
      </c>
      <c r="S347" s="10">
        <v>3.308011323071117</v>
      </c>
      <c r="T347" s="10">
        <v>0</v>
      </c>
      <c r="U347" s="10">
        <v>0</v>
      </c>
      <c r="V347" s="10">
        <v>0</v>
      </c>
      <c r="W347" s="10">
        <v>14570.919540000001</v>
      </c>
    </row>
    <row r="348" spans="3:23">
      <c r="C348" s="10" t="s">
        <v>373</v>
      </c>
      <c r="D348" s="10" t="s">
        <v>861</v>
      </c>
      <c r="E348" s="10">
        <v>25796.261699999999</v>
      </c>
      <c r="F348" s="10">
        <v>9106.1653399999996</v>
      </c>
      <c r="G348" s="10">
        <v>9784.8708399999996</v>
      </c>
      <c r="H348" s="10">
        <v>2334.68777</v>
      </c>
      <c r="I348" s="10">
        <v>685.86096999999995</v>
      </c>
      <c r="J348" s="10">
        <v>4262.6604800000005</v>
      </c>
      <c r="K348" s="10">
        <v>6868.1065799999997</v>
      </c>
      <c r="L348" s="10">
        <v>12810.09966</v>
      </c>
      <c r="M348" s="10">
        <v>60082.76311</v>
      </c>
      <c r="N348" s="10">
        <v>42351.309740000004</v>
      </c>
      <c r="O348" s="10">
        <v>4399.7438099999999</v>
      </c>
      <c r="P348" s="10">
        <v>3561.16014</v>
      </c>
      <c r="Q348" s="10">
        <v>70588.091589999996</v>
      </c>
      <c r="R348" s="10">
        <v>8982.4857400000001</v>
      </c>
      <c r="S348" s="10">
        <v>1369.3810600000002</v>
      </c>
      <c r="T348" s="10">
        <v>11861.57245</v>
      </c>
      <c r="U348" s="10">
        <v>661.81058999999993</v>
      </c>
      <c r="V348" s="10">
        <v>146.03164000000001</v>
      </c>
      <c r="W348" s="10">
        <v>275653.06320999993</v>
      </c>
    </row>
    <row r="349" spans="3:23">
      <c r="C349" s="10" t="s">
        <v>374</v>
      </c>
      <c r="D349" s="10" t="s">
        <v>862</v>
      </c>
      <c r="E349" s="10">
        <v>1294.2611215655452</v>
      </c>
      <c r="F349" s="10">
        <v>241.94157404519549</v>
      </c>
      <c r="G349" s="10">
        <v>178.91761852225954</v>
      </c>
      <c r="H349" s="10">
        <v>98.843673095945263</v>
      </c>
      <c r="I349" s="10">
        <v>264.14123209808713</v>
      </c>
      <c r="J349" s="10">
        <v>82.562622785716471</v>
      </c>
      <c r="K349" s="10">
        <v>573.18418847352814</v>
      </c>
      <c r="L349" s="10">
        <v>275.37234201467828</v>
      </c>
      <c r="M349" s="10">
        <v>594.16381523575797</v>
      </c>
      <c r="N349" s="10">
        <v>559.38443117049667</v>
      </c>
      <c r="O349" s="10">
        <v>206.1335395262218</v>
      </c>
      <c r="P349" s="10">
        <v>467.52185686601587</v>
      </c>
      <c r="Q349" s="10">
        <v>1222.4975638847889</v>
      </c>
      <c r="R349" s="10">
        <v>230.73790681831747</v>
      </c>
      <c r="S349" s="10">
        <v>65.201822335205605</v>
      </c>
      <c r="T349" s="10">
        <v>169.47080223795041</v>
      </c>
      <c r="U349" s="10">
        <v>51.408468448546842</v>
      </c>
      <c r="V349" s="10">
        <v>47.749790875743422</v>
      </c>
      <c r="W349" s="10">
        <v>6623.4943700000003</v>
      </c>
    </row>
    <row r="350" spans="3:23">
      <c r="C350" s="10" t="s">
        <v>375</v>
      </c>
      <c r="D350" s="10" t="s">
        <v>376</v>
      </c>
      <c r="E350" s="10">
        <v>69046.589518867535</v>
      </c>
      <c r="F350" s="10">
        <v>12445.788531459448</v>
      </c>
      <c r="G350" s="10">
        <v>8169.2220213871988</v>
      </c>
      <c r="H350" s="10">
        <v>6332.3395854322098</v>
      </c>
      <c r="I350" s="10">
        <v>15460.501117927126</v>
      </c>
      <c r="J350" s="10">
        <v>4163.3517983959937</v>
      </c>
      <c r="K350" s="10">
        <v>26297.163726041566</v>
      </c>
      <c r="L350" s="10">
        <v>15523.383182683028</v>
      </c>
      <c r="M350" s="10">
        <v>32376.873847100833</v>
      </c>
      <c r="N350" s="10">
        <v>31415.307400846468</v>
      </c>
      <c r="O350" s="10">
        <v>10264.834511259764</v>
      </c>
      <c r="P350" s="10">
        <v>23746.689550945142</v>
      </c>
      <c r="Q350" s="10">
        <v>60129.541442741851</v>
      </c>
      <c r="R350" s="10">
        <v>12120.644730519305</v>
      </c>
      <c r="S350" s="10">
        <v>3410.3596723451251</v>
      </c>
      <c r="T350" s="10">
        <v>7478.1613830056504</v>
      </c>
      <c r="U350" s="10">
        <v>2427.252504042372</v>
      </c>
      <c r="V350" s="10">
        <v>3740.661824999444</v>
      </c>
      <c r="W350" s="10">
        <v>344548.66635000007</v>
      </c>
    </row>
    <row r="351" spans="3:23">
      <c r="C351" s="10" t="s">
        <v>377</v>
      </c>
      <c r="D351" s="10" t="s">
        <v>863</v>
      </c>
      <c r="E351" s="10">
        <v>138909.53402092704</v>
      </c>
      <c r="F351" s="10">
        <v>43801.763264393499</v>
      </c>
      <c r="G351" s="10">
        <v>25894.780373826798</v>
      </c>
      <c r="H351" s="10">
        <v>23531.889163493532</v>
      </c>
      <c r="I351" s="10">
        <v>53935.698853126727</v>
      </c>
      <c r="J351" s="10">
        <v>13758.021080241422</v>
      </c>
      <c r="K351" s="10">
        <v>56926.210702318902</v>
      </c>
      <c r="L351" s="10">
        <v>50331.897335914247</v>
      </c>
      <c r="M351" s="10">
        <v>334194.78254170576</v>
      </c>
      <c r="N351" s="10">
        <v>178326.30694711398</v>
      </c>
      <c r="O351" s="10">
        <v>16517.529580662798</v>
      </c>
      <c r="P351" s="10">
        <v>69863.033724126755</v>
      </c>
      <c r="Q351" s="10">
        <v>187231.60273132168</v>
      </c>
      <c r="R351" s="10">
        <v>46440.580613261023</v>
      </c>
      <c r="S351" s="10">
        <v>27182.374613448792</v>
      </c>
      <c r="T351" s="10">
        <v>120136.10720687185</v>
      </c>
      <c r="U351" s="10">
        <v>8838.4438051713005</v>
      </c>
      <c r="V351" s="10">
        <v>661.73328207389625</v>
      </c>
      <c r="W351" s="10">
        <v>1396482.28984</v>
      </c>
    </row>
    <row r="352" spans="3:23">
      <c r="C352" s="10" t="s">
        <v>378</v>
      </c>
      <c r="D352" s="10" t="s">
        <v>379</v>
      </c>
      <c r="E352" s="10">
        <v>122.50511000000002</v>
      </c>
      <c r="F352" s="10">
        <v>48.164870000000001</v>
      </c>
      <c r="G352" s="10">
        <v>93.118479999999991</v>
      </c>
      <c r="H352" s="10">
        <v>28.050800000000002</v>
      </c>
      <c r="I352" s="10">
        <v>0</v>
      </c>
      <c r="J352" s="10">
        <v>18.178000000000001</v>
      </c>
      <c r="K352" s="10">
        <v>81.155820000000006</v>
      </c>
      <c r="L352" s="10">
        <v>49.984949999999998</v>
      </c>
      <c r="M352" s="10">
        <v>260.12428999999997</v>
      </c>
      <c r="N352" s="10">
        <v>141.43711999999999</v>
      </c>
      <c r="O352" s="10">
        <v>18.55772</v>
      </c>
      <c r="P352" s="10">
        <v>1834.86294</v>
      </c>
      <c r="Q352" s="10">
        <v>191.84477999999996</v>
      </c>
      <c r="R352" s="10">
        <v>42.606830000000002</v>
      </c>
      <c r="S352" s="10">
        <v>79.154630000000012</v>
      </c>
      <c r="T352" s="10">
        <v>82.164050000000003</v>
      </c>
      <c r="U352" s="10">
        <v>34.096139999999998</v>
      </c>
      <c r="V352" s="10">
        <v>0</v>
      </c>
      <c r="W352" s="10">
        <v>3126.0065299999997</v>
      </c>
    </row>
    <row r="353" spans="3:23">
      <c r="C353" s="10" t="s">
        <v>864</v>
      </c>
      <c r="D353" s="10" t="s">
        <v>865</v>
      </c>
      <c r="E353" s="10">
        <v>5011486.1584433448</v>
      </c>
      <c r="F353" s="10">
        <v>820550.66992001235</v>
      </c>
      <c r="G353" s="10">
        <v>675202.71000881528</v>
      </c>
      <c r="H353" s="10">
        <v>755668.20557727164</v>
      </c>
      <c r="I353" s="10">
        <v>1414064.5677794176</v>
      </c>
      <c r="J353" s="10">
        <v>366891.78985429066</v>
      </c>
      <c r="K353" s="10">
        <v>1445314.1017012475</v>
      </c>
      <c r="L353" s="10">
        <v>1422324.4181662428</v>
      </c>
      <c r="M353" s="10">
        <v>4948813.7593409326</v>
      </c>
      <c r="N353" s="10">
        <v>3245382.0211726478</v>
      </c>
      <c r="O353" s="10">
        <v>680469.31068520574</v>
      </c>
      <c r="P353" s="10">
        <v>1663359.8539027073</v>
      </c>
      <c r="Q353" s="10">
        <v>4003535.2354809656</v>
      </c>
      <c r="R353" s="10">
        <v>875623.71698224335</v>
      </c>
      <c r="S353" s="10">
        <v>424035.72794437507</v>
      </c>
      <c r="T353" s="10">
        <v>1275408.4716856885</v>
      </c>
      <c r="U353" s="10">
        <v>202736.73381747931</v>
      </c>
      <c r="V353" s="10">
        <v>72688.001975186722</v>
      </c>
      <c r="W353" s="10">
        <v>29303555.454438072</v>
      </c>
    </row>
    <row r="354" spans="3:23">
      <c r="C354" s="10" t="s">
        <v>380</v>
      </c>
      <c r="D354" s="10" t="s">
        <v>866</v>
      </c>
      <c r="E354" s="10">
        <v>330133.94914760161</v>
      </c>
      <c r="F354" s="10">
        <v>26743.869886016535</v>
      </c>
      <c r="G354" s="10">
        <v>21753.662395269293</v>
      </c>
      <c r="H354" s="10">
        <v>14393.686126063667</v>
      </c>
      <c r="I354" s="10">
        <v>60739.150245493685</v>
      </c>
      <c r="J354" s="10">
        <v>11929.91832590052</v>
      </c>
      <c r="K354" s="10">
        <v>76621.213623976655</v>
      </c>
      <c r="L354" s="10">
        <v>52432.081680825868</v>
      </c>
      <c r="M354" s="10">
        <v>137671.35647549192</v>
      </c>
      <c r="N354" s="10">
        <v>151355.15402738922</v>
      </c>
      <c r="O354" s="10">
        <v>47202.328599606219</v>
      </c>
      <c r="P354" s="10">
        <v>81169.408600507799</v>
      </c>
      <c r="Q354" s="10">
        <v>160027.30052917515</v>
      </c>
      <c r="R354" s="10">
        <v>50656.937100522744</v>
      </c>
      <c r="S354" s="10">
        <v>17971.90638336166</v>
      </c>
      <c r="T354" s="10">
        <v>61254.754387649729</v>
      </c>
      <c r="U354" s="10">
        <v>5441.9758979734897</v>
      </c>
      <c r="V354" s="10">
        <v>5538.8887638918895</v>
      </c>
      <c r="W354" s="10">
        <v>1313037.5421967176</v>
      </c>
    </row>
    <row r="355" spans="3:23">
      <c r="C355" s="10" t="s">
        <v>867</v>
      </c>
      <c r="D355" s="10" t="s">
        <v>868</v>
      </c>
      <c r="E355" s="10">
        <v>43.818064250000006</v>
      </c>
      <c r="F355" s="10">
        <v>4.3308551875000001</v>
      </c>
      <c r="G355" s="10">
        <v>6.8784170625000014</v>
      </c>
      <c r="H355" s="10">
        <v>5.09512375</v>
      </c>
      <c r="I355" s="10">
        <v>10.1902475</v>
      </c>
      <c r="J355" s="10">
        <v>15.030615062500001</v>
      </c>
      <c r="K355" s="10">
        <v>739.55721231250004</v>
      </c>
      <c r="L355" s="10">
        <v>160.49639812500001</v>
      </c>
      <c r="M355" s="10">
        <v>14.011590312500001</v>
      </c>
      <c r="N355" s="10">
        <v>38.9776966875</v>
      </c>
      <c r="O355" s="10">
        <v>29.296961562500005</v>
      </c>
      <c r="P355" s="10">
        <v>12.737809374999999</v>
      </c>
      <c r="Q355" s="10">
        <v>2075.7534157500004</v>
      </c>
      <c r="R355" s="10">
        <v>11.464028437500001</v>
      </c>
      <c r="S355" s="10">
        <v>3.5665866250000002</v>
      </c>
      <c r="T355" s="10">
        <v>7.6426856250000013</v>
      </c>
      <c r="U355" s="10">
        <v>0</v>
      </c>
      <c r="V355" s="10">
        <v>0.50951237500000002</v>
      </c>
      <c r="W355" s="10">
        <v>3179.3572200000008</v>
      </c>
    </row>
    <row r="356" spans="3:23">
      <c r="C356" s="10" t="s">
        <v>869</v>
      </c>
      <c r="D356" s="10" t="s">
        <v>381</v>
      </c>
      <c r="E356" s="10">
        <v>15740233.878534945</v>
      </c>
      <c r="F356" s="10">
        <v>3617101.2400336484</v>
      </c>
      <c r="G356" s="10">
        <v>4216269.2156032454</v>
      </c>
      <c r="H356" s="10">
        <v>1929866.2110677452</v>
      </c>
      <c r="I356" s="10">
        <v>3100260.7631028914</v>
      </c>
      <c r="J356" s="10">
        <v>1675878.6306997393</v>
      </c>
      <c r="K356" s="10">
        <v>6957003.1257942999</v>
      </c>
      <c r="L356" s="10">
        <v>3936902.3881001761</v>
      </c>
      <c r="M356" s="10">
        <v>20215384.084675573</v>
      </c>
      <c r="N356" s="10">
        <v>10199643.557124179</v>
      </c>
      <c r="O356" s="10">
        <v>2158597.0273962971</v>
      </c>
      <c r="P356" s="10">
        <v>7453388.4972122097</v>
      </c>
      <c r="Q356" s="10">
        <v>14767090.178300697</v>
      </c>
      <c r="R356" s="10">
        <v>2463202.6467622188</v>
      </c>
      <c r="S356" s="10">
        <v>1707252.1371902348</v>
      </c>
      <c r="T356" s="10">
        <v>7642348.3986150138</v>
      </c>
      <c r="U356" s="10">
        <v>754036.62827023689</v>
      </c>
      <c r="V356" s="10">
        <v>184466.64454664922</v>
      </c>
      <c r="W356" s="10">
        <v>108718925.25303</v>
      </c>
    </row>
    <row r="357" spans="3:23">
      <c r="C357" s="10" t="s">
        <v>870</v>
      </c>
      <c r="D357" s="10" t="s">
        <v>871</v>
      </c>
      <c r="E357" s="10">
        <v>655158.87982343987</v>
      </c>
      <c r="F357" s="10">
        <v>118837.30495000051</v>
      </c>
      <c r="G357" s="10">
        <v>118645.93921270721</v>
      </c>
      <c r="H357" s="10">
        <v>78897.101960771601</v>
      </c>
      <c r="I357" s="10">
        <v>143640.39293603163</v>
      </c>
      <c r="J357" s="10">
        <v>57779.000798787594</v>
      </c>
      <c r="K357" s="10">
        <v>185561.35907401374</v>
      </c>
      <c r="L357" s="10">
        <v>140759.93399901289</v>
      </c>
      <c r="M357" s="10">
        <v>731483.97282635083</v>
      </c>
      <c r="N357" s="10">
        <v>367639.09786461917</v>
      </c>
      <c r="O357" s="10">
        <v>85544.817277948197</v>
      </c>
      <c r="P357" s="10">
        <v>280389.30338828376</v>
      </c>
      <c r="Q357" s="10">
        <v>645355.03778629284</v>
      </c>
      <c r="R357" s="10">
        <v>144411.48263334803</v>
      </c>
      <c r="S357" s="10">
        <v>74245.058488635928</v>
      </c>
      <c r="T357" s="10">
        <v>354858.02266403195</v>
      </c>
      <c r="U357" s="10">
        <v>22246.527056320487</v>
      </c>
      <c r="V357" s="10">
        <v>10195.760034735313</v>
      </c>
      <c r="W357" s="10">
        <v>4215648.9927753313</v>
      </c>
    </row>
    <row r="358" spans="3:23">
      <c r="C358" s="10" t="s">
        <v>872</v>
      </c>
      <c r="D358" s="10" t="s">
        <v>873</v>
      </c>
      <c r="E358" s="10">
        <v>400934.72257301194</v>
      </c>
      <c r="F358" s="10">
        <v>114356.0958485645</v>
      </c>
      <c r="G358" s="10">
        <v>81370.634761160531</v>
      </c>
      <c r="H358" s="10">
        <v>90007.355069052181</v>
      </c>
      <c r="I358" s="10">
        <v>123399.73296141505</v>
      </c>
      <c r="J358" s="10">
        <v>53034.373639575628</v>
      </c>
      <c r="K358" s="10">
        <v>167821.9697499653</v>
      </c>
      <c r="L358" s="10">
        <v>128812.25639067656</v>
      </c>
      <c r="M358" s="10">
        <v>680538.65445937403</v>
      </c>
      <c r="N358" s="10">
        <v>334827.97536455729</v>
      </c>
      <c r="O358" s="10">
        <v>45951.653970311105</v>
      </c>
      <c r="P358" s="10">
        <v>207132.952406786</v>
      </c>
      <c r="Q358" s="10">
        <v>1060411.2189194192</v>
      </c>
      <c r="R358" s="10">
        <v>106004.13868566001</v>
      </c>
      <c r="S358" s="10">
        <v>69539.982658326553</v>
      </c>
      <c r="T358" s="10">
        <v>224952.18978706011</v>
      </c>
      <c r="U358" s="10">
        <v>27253.274872538084</v>
      </c>
      <c r="V358" s="10">
        <v>6347.3112570391586</v>
      </c>
      <c r="W358" s="10">
        <v>3922696.493374493</v>
      </c>
    </row>
    <row r="359" spans="3:23">
      <c r="C359" s="10" t="s">
        <v>874</v>
      </c>
      <c r="D359" s="10" t="s">
        <v>875</v>
      </c>
      <c r="E359" s="10">
        <v>632770.81334723718</v>
      </c>
      <c r="F359" s="10">
        <v>42296.782293514974</v>
      </c>
      <c r="G359" s="10">
        <v>52722.580676626327</v>
      </c>
      <c r="H359" s="10">
        <v>42220.721617839503</v>
      </c>
      <c r="I359" s="10">
        <v>251192.59607947845</v>
      </c>
      <c r="J359" s="10">
        <v>34920.496489173194</v>
      </c>
      <c r="K359" s="10">
        <v>125452.52297822248</v>
      </c>
      <c r="L359" s="10">
        <v>113222.13599616992</v>
      </c>
      <c r="M359" s="10">
        <v>326443.17329640989</v>
      </c>
      <c r="N359" s="10">
        <v>266116.24352000694</v>
      </c>
      <c r="O359" s="10">
        <v>80540.432626592912</v>
      </c>
      <c r="P359" s="10">
        <v>254098.62257994423</v>
      </c>
      <c r="Q359" s="10">
        <v>193333.81815457781</v>
      </c>
      <c r="R359" s="10">
        <v>81122.464219355636</v>
      </c>
      <c r="S359" s="10">
        <v>13409.133830000002</v>
      </c>
      <c r="T359" s="10">
        <v>55157.698799999998</v>
      </c>
      <c r="U359" s="10">
        <v>9307.246980824566</v>
      </c>
      <c r="V359" s="10">
        <v>23016.519994025944</v>
      </c>
      <c r="W359" s="10">
        <v>2597344.00348</v>
      </c>
    </row>
    <row r="360" spans="3:23">
      <c r="C360" s="10" t="s">
        <v>876</v>
      </c>
      <c r="D360" s="10" t="s">
        <v>382</v>
      </c>
      <c r="E360" s="10">
        <v>285076.22786610969</v>
      </c>
      <c r="F360" s="10">
        <v>34795.800435000325</v>
      </c>
      <c r="G360" s="10">
        <v>37593.969602366633</v>
      </c>
      <c r="H360" s="10">
        <v>22988.141670928577</v>
      </c>
      <c r="I360" s="10">
        <v>74827.306548557608</v>
      </c>
      <c r="J360" s="10">
        <v>18665.847406326207</v>
      </c>
      <c r="K360" s="10">
        <v>87043.460501951427</v>
      </c>
      <c r="L360" s="10">
        <v>61084.365381620701</v>
      </c>
      <c r="M360" s="10">
        <v>183829.47991325794</v>
      </c>
      <c r="N360" s="10">
        <v>148796.98617826388</v>
      </c>
      <c r="O360" s="10">
        <v>40760.904785587387</v>
      </c>
      <c r="P360" s="10">
        <v>93105.622835482631</v>
      </c>
      <c r="Q360" s="10">
        <v>150038.20281888224</v>
      </c>
      <c r="R360" s="10">
        <v>58401.516635975473</v>
      </c>
      <c r="S360" s="10">
        <v>16543.71214926922</v>
      </c>
      <c r="T360" s="10">
        <v>59029.057936314595</v>
      </c>
      <c r="U360" s="10">
        <v>8572.0796225483155</v>
      </c>
      <c r="V360" s="10">
        <v>9734.1662815571362</v>
      </c>
      <c r="W360" s="10">
        <v>1390886.8485699999</v>
      </c>
    </row>
    <row r="361" spans="3:23">
      <c r="C361" s="10" t="s">
        <v>383</v>
      </c>
      <c r="D361" s="10" t="s">
        <v>877</v>
      </c>
      <c r="E361" s="10">
        <v>66261.650107966008</v>
      </c>
      <c r="F361" s="10">
        <v>12527.923663776355</v>
      </c>
      <c r="G361" s="10">
        <v>16044.342746988354</v>
      </c>
      <c r="H361" s="10">
        <v>6573.0339735432926</v>
      </c>
      <c r="I361" s="10">
        <v>11982.365734692119</v>
      </c>
      <c r="J361" s="10">
        <v>4829.1761580069806</v>
      </c>
      <c r="K361" s="10">
        <v>27681.911790086659</v>
      </c>
      <c r="L361" s="10">
        <v>17381.393961069014</v>
      </c>
      <c r="M361" s="10">
        <v>45643.855909915008</v>
      </c>
      <c r="N361" s="10">
        <v>33548.2062633475</v>
      </c>
      <c r="O361" s="10">
        <v>8472.0872003395598</v>
      </c>
      <c r="P361" s="10">
        <v>26886.594490512649</v>
      </c>
      <c r="Q361" s="10">
        <v>39716.544392265045</v>
      </c>
      <c r="R361" s="10">
        <v>9003.5659250341378</v>
      </c>
      <c r="S361" s="10">
        <v>4494.9242270244213</v>
      </c>
      <c r="T361" s="10">
        <v>19035.007216155904</v>
      </c>
      <c r="U361" s="10">
        <v>3030.9223532657215</v>
      </c>
      <c r="V361" s="10">
        <v>2159.2720660112727</v>
      </c>
      <c r="W361" s="10">
        <v>355272.77817999996</v>
      </c>
    </row>
    <row r="362" spans="3:23">
      <c r="C362" s="10"/>
      <c r="D362" s="10" t="s">
        <v>680</v>
      </c>
      <c r="E362" s="10">
        <v>25734269.352656465</v>
      </c>
      <c r="F362" s="10">
        <v>5291590.0862479126</v>
      </c>
      <c r="G362" s="10">
        <v>5585132.3097357396</v>
      </c>
      <c r="H362" s="10">
        <v>3153569.8614299414</v>
      </c>
      <c r="I362" s="10">
        <v>5742634.4578993348</v>
      </c>
      <c r="J362" s="10">
        <v>2394854.5677902265</v>
      </c>
      <c r="K362" s="10">
        <v>10218119.128934696</v>
      </c>
      <c r="L362" s="10">
        <v>6449352.4489033176</v>
      </c>
      <c r="M362" s="10">
        <v>28737015.41081604</v>
      </c>
      <c r="N362" s="10">
        <v>15994003.308303706</v>
      </c>
      <c r="O362" s="10">
        <v>3556247.9757374581</v>
      </c>
      <c r="P362" s="10">
        <v>11020790.465560218</v>
      </c>
      <c r="Q362" s="10">
        <v>23534247.747919291</v>
      </c>
      <c r="R362" s="10">
        <v>4274534.5327050304</v>
      </c>
      <c r="S362" s="10">
        <v>2478915.003087305</v>
      </c>
      <c r="T362" s="10">
        <v>10133581.303049656</v>
      </c>
      <c r="U362" s="10">
        <v>1139125.6871288491</v>
      </c>
      <c r="V362" s="10">
        <v>406974.67224942072</v>
      </c>
      <c r="W362" s="10">
        <v>165844958.32015461</v>
      </c>
    </row>
    <row r="363" spans="3:23">
      <c r="C363" s="10" t="s">
        <v>667</v>
      </c>
      <c r="D363" s="10" t="s">
        <v>4</v>
      </c>
      <c r="E363" s="10" t="s">
        <v>9</v>
      </c>
      <c r="F363" s="10" t="s">
        <v>10</v>
      </c>
      <c r="G363" s="10" t="s">
        <v>11</v>
      </c>
      <c r="H363" s="10" t="s">
        <v>31</v>
      </c>
      <c r="I363" s="10" t="s">
        <v>12</v>
      </c>
      <c r="J363" s="10" t="s">
        <v>13</v>
      </c>
      <c r="K363" s="10" t="s">
        <v>14</v>
      </c>
      <c r="L363" s="10" t="s">
        <v>15</v>
      </c>
      <c r="M363" s="10" t="s">
        <v>16</v>
      </c>
      <c r="N363" s="10" t="s">
        <v>17</v>
      </c>
      <c r="O363" s="10" t="s">
        <v>18</v>
      </c>
      <c r="P363" s="10" t="s">
        <v>19</v>
      </c>
      <c r="Q363" s="10" t="s">
        <v>20</v>
      </c>
      <c r="R363" s="10" t="s">
        <v>60</v>
      </c>
      <c r="S363" s="10" t="s">
        <v>61</v>
      </c>
      <c r="T363" s="10" t="s">
        <v>62</v>
      </c>
      <c r="U363" s="10" t="s">
        <v>63</v>
      </c>
      <c r="V363" s="10" t="s">
        <v>64</v>
      </c>
      <c r="W363" s="10" t="s">
        <v>668</v>
      </c>
    </row>
    <row r="364" spans="3:23">
      <c r="C364" s="10" t="s">
        <v>384</v>
      </c>
      <c r="D364" s="10" t="s">
        <v>878</v>
      </c>
      <c r="E364" s="10">
        <v>12555.779595171394</v>
      </c>
      <c r="F364" s="10">
        <v>1992.3141592634502</v>
      </c>
      <c r="G364" s="10">
        <v>1587.8077429902944</v>
      </c>
      <c r="H364" s="10">
        <v>1651.3186810316859</v>
      </c>
      <c r="I364" s="10">
        <v>3148.5188773072105</v>
      </c>
      <c r="J364" s="10">
        <v>880.06874627778882</v>
      </c>
      <c r="K364" s="10">
        <v>3738.3188932840353</v>
      </c>
      <c r="L364" s="10">
        <v>3115.8036062708061</v>
      </c>
      <c r="M364" s="10">
        <v>11236.246020407139</v>
      </c>
      <c r="N364" s="10">
        <v>7543.2305277418418</v>
      </c>
      <c r="O364" s="10">
        <v>1642.7606016993875</v>
      </c>
      <c r="P364" s="10">
        <v>4111.0351758423358</v>
      </c>
      <c r="Q364" s="10">
        <v>9653.9242448215809</v>
      </c>
      <c r="R364" s="10">
        <v>2190.8586178636006</v>
      </c>
      <c r="S364" s="10">
        <v>958.13736491161262</v>
      </c>
      <c r="T364" s="10">
        <v>3265.6877799984436</v>
      </c>
      <c r="U364" s="10">
        <v>477.87256413797775</v>
      </c>
      <c r="V364" s="10">
        <v>251.47260097940676</v>
      </c>
      <c r="W364" s="10">
        <v>70001.155799999993</v>
      </c>
    </row>
    <row r="365" spans="3:23">
      <c r="C365" s="10" t="s">
        <v>385</v>
      </c>
      <c r="D365" s="10" t="s">
        <v>879</v>
      </c>
      <c r="E365" s="10">
        <v>76777.045095913316</v>
      </c>
      <c r="F365" s="10">
        <v>12282.141956664329</v>
      </c>
      <c r="G365" s="10">
        <v>9933.0000737773498</v>
      </c>
      <c r="H365" s="10">
        <v>9844.6745287734102</v>
      </c>
      <c r="I365" s="10">
        <v>18997.958632583461</v>
      </c>
      <c r="J365" s="10">
        <v>5434.4824715432023</v>
      </c>
      <c r="K365" s="10">
        <v>23479.983078648344</v>
      </c>
      <c r="L365" s="10">
        <v>19147.99835216915</v>
      </c>
      <c r="M365" s="10">
        <v>67338.153306763124</v>
      </c>
      <c r="N365" s="10">
        <v>45376.277269490558</v>
      </c>
      <c r="O365" s="10">
        <v>10334.78447693047</v>
      </c>
      <c r="P365" s="10">
        <v>25784.872825724411</v>
      </c>
      <c r="Q365" s="10">
        <v>57624.058786734175</v>
      </c>
      <c r="R365" s="10">
        <v>13224.443147868276</v>
      </c>
      <c r="S365" s="10">
        <v>5914.7222444993495</v>
      </c>
      <c r="T365" s="10">
        <v>20159.568829390493</v>
      </c>
      <c r="U365" s="10">
        <v>3188.8731955778549</v>
      </c>
      <c r="V365" s="10">
        <v>7284.3460807769643</v>
      </c>
      <c r="W365" s="10">
        <v>432127.38435382827</v>
      </c>
    </row>
    <row r="366" spans="3:23">
      <c r="C366" s="10" t="s">
        <v>386</v>
      </c>
      <c r="D366" s="10" t="s">
        <v>880</v>
      </c>
      <c r="E366" s="10">
        <v>694.82801049480099</v>
      </c>
      <c r="F366" s="10">
        <v>110.25326408995062</v>
      </c>
      <c r="G366" s="10">
        <v>87.868163561461955</v>
      </c>
      <c r="H366" s="10">
        <v>91.382814196212607</v>
      </c>
      <c r="I366" s="10">
        <v>174.23681985991649</v>
      </c>
      <c r="J366" s="10">
        <v>48.702385338940992</v>
      </c>
      <c r="K366" s="10">
        <v>206.87593785212624</v>
      </c>
      <c r="L366" s="10">
        <v>172.4263797741599</v>
      </c>
      <c r="M366" s="10">
        <v>621.80595068681146</v>
      </c>
      <c r="N366" s="10">
        <v>417.43707115646964</v>
      </c>
      <c r="O366" s="10">
        <v>90.90921610610242</v>
      </c>
      <c r="P366" s="10">
        <v>227.50179474344949</v>
      </c>
      <c r="Q366" s="10">
        <v>534.24137670245057</v>
      </c>
      <c r="R366" s="10">
        <v>121.24057476375086</v>
      </c>
      <c r="S366" s="10">
        <v>53.022647777147384</v>
      </c>
      <c r="T366" s="10">
        <v>180.72086451295559</v>
      </c>
      <c r="U366" s="10">
        <v>26.445131542268655</v>
      </c>
      <c r="V366" s="10">
        <v>13.916316841024395</v>
      </c>
      <c r="W366" s="10">
        <v>3873.8147199999999</v>
      </c>
    </row>
    <row r="367" spans="3:23">
      <c r="C367" s="10" t="s">
        <v>387</v>
      </c>
      <c r="D367" s="10" t="s">
        <v>881</v>
      </c>
      <c r="E367" s="10">
        <v>24150.711413573525</v>
      </c>
      <c r="F367" s="10">
        <v>1906.0928293022848</v>
      </c>
      <c r="G367" s="10">
        <v>1491.7085507518677</v>
      </c>
      <c r="H367" s="10">
        <v>1147.7649071649562</v>
      </c>
      <c r="I367" s="10">
        <v>6289.2887115148606</v>
      </c>
      <c r="J367" s="10">
        <v>492.98503591099819</v>
      </c>
      <c r="K367" s="10">
        <v>3226.7776625392275</v>
      </c>
      <c r="L367" s="10">
        <v>3071.3905450958036</v>
      </c>
      <c r="M367" s="10">
        <v>11376.347961959716</v>
      </c>
      <c r="N367" s="10">
        <v>6777.1903104336288</v>
      </c>
      <c r="O367" s="10">
        <v>870.09822644832229</v>
      </c>
      <c r="P367" s="10">
        <v>2588.904290312822</v>
      </c>
      <c r="Q367" s="10">
        <v>11731.106732024069</v>
      </c>
      <c r="R367" s="10">
        <v>4152.4616139888085</v>
      </c>
      <c r="S367" s="10">
        <v>817.04437768664855</v>
      </c>
      <c r="T367" s="10">
        <v>2330.4768105519997</v>
      </c>
      <c r="U367" s="10">
        <v>301.83057930927441</v>
      </c>
      <c r="V367" s="10">
        <v>6785.2056214311851</v>
      </c>
      <c r="W367" s="10">
        <v>89507.386180000001</v>
      </c>
    </row>
    <row r="368" spans="3:23">
      <c r="C368" s="10" t="s">
        <v>388</v>
      </c>
      <c r="D368" s="10" t="s">
        <v>882</v>
      </c>
      <c r="E368" s="10">
        <v>3409.9378504092579</v>
      </c>
      <c r="F368" s="10">
        <v>714.26537181132039</v>
      </c>
      <c r="G368" s="10">
        <v>560.60464004666881</v>
      </c>
      <c r="H368" s="10">
        <v>356.932746905096</v>
      </c>
      <c r="I368" s="10">
        <v>1120.6222674023938</v>
      </c>
      <c r="J368" s="10">
        <v>339.11236063825447</v>
      </c>
      <c r="K368" s="10">
        <v>1508.1450515777678</v>
      </c>
      <c r="L368" s="10">
        <v>894.95629667217418</v>
      </c>
      <c r="M368" s="10">
        <v>3832.2491003043942</v>
      </c>
      <c r="N368" s="10">
        <v>2356.9703799409244</v>
      </c>
      <c r="O368" s="10">
        <v>617.28325635259694</v>
      </c>
      <c r="P368" s="10">
        <v>1681.307191164824</v>
      </c>
      <c r="Q368" s="10">
        <v>3145.4721513755158</v>
      </c>
      <c r="R368" s="10">
        <v>1032.2566989807065</v>
      </c>
      <c r="S368" s="10">
        <v>330.86184895442966</v>
      </c>
      <c r="T368" s="10">
        <v>687.67110083555804</v>
      </c>
      <c r="U368" s="10">
        <v>221.58646904150788</v>
      </c>
      <c r="V368" s="10">
        <v>176.3144575866078</v>
      </c>
      <c r="W368" s="10">
        <v>22986.549239999997</v>
      </c>
    </row>
    <row r="369" spans="3:23">
      <c r="C369" s="10" t="s">
        <v>389</v>
      </c>
      <c r="D369" s="10" t="s">
        <v>883</v>
      </c>
      <c r="E369" s="10">
        <v>2170.9741151415647</v>
      </c>
      <c r="F369" s="10">
        <v>484.42573659700224</v>
      </c>
      <c r="G369" s="10">
        <v>277.08863125479604</v>
      </c>
      <c r="H369" s="10">
        <v>234.37754308811731</v>
      </c>
      <c r="I369" s="10">
        <v>413.75596871106603</v>
      </c>
      <c r="J369" s="10">
        <v>474.76866632660688</v>
      </c>
      <c r="K369" s="10">
        <v>1116.7672446719168</v>
      </c>
      <c r="L369" s="10">
        <v>896.51026200642855</v>
      </c>
      <c r="M369" s="10">
        <v>2143.8000496779241</v>
      </c>
      <c r="N369" s="10">
        <v>1004.3599932326429</v>
      </c>
      <c r="O369" s="10">
        <v>157.45364535430383</v>
      </c>
      <c r="P369" s="10">
        <v>922.06748775340407</v>
      </c>
      <c r="Q369" s="10">
        <v>2171.2623876568905</v>
      </c>
      <c r="R369" s="10">
        <v>864.70626568554326</v>
      </c>
      <c r="S369" s="10">
        <v>224.96817365832936</v>
      </c>
      <c r="T369" s="10">
        <v>409.61661363678166</v>
      </c>
      <c r="U369" s="10">
        <v>245.85286806372523</v>
      </c>
      <c r="V369" s="10">
        <v>341.86240748296052</v>
      </c>
      <c r="W369" s="10">
        <v>14554.618060000004</v>
      </c>
    </row>
    <row r="370" spans="3:23">
      <c r="C370" s="10" t="s">
        <v>390</v>
      </c>
      <c r="D370" s="10" t="s">
        <v>884</v>
      </c>
      <c r="E370" s="10">
        <v>3043.7146285435983</v>
      </c>
      <c r="F370" s="10">
        <v>789.42137895836686</v>
      </c>
      <c r="G370" s="10">
        <v>464.20829325155466</v>
      </c>
      <c r="H370" s="10">
        <v>880.53767616583696</v>
      </c>
      <c r="I370" s="10">
        <v>1588.3140371973313</v>
      </c>
      <c r="J370" s="10">
        <v>439.28069291860481</v>
      </c>
      <c r="K370" s="10">
        <v>880.67640427453318</v>
      </c>
      <c r="L370" s="10">
        <v>704.98377647376446</v>
      </c>
      <c r="M370" s="10">
        <v>2150.2240653906929</v>
      </c>
      <c r="N370" s="10">
        <v>1686.2296831804069</v>
      </c>
      <c r="O370" s="10">
        <v>1240.7094745986356</v>
      </c>
      <c r="P370" s="10">
        <v>1501.5643670251698</v>
      </c>
      <c r="Q370" s="10">
        <v>1856.7407972943131</v>
      </c>
      <c r="R370" s="10">
        <v>664.6924430274521</v>
      </c>
      <c r="S370" s="10">
        <v>269.21858810204611</v>
      </c>
      <c r="T370" s="10">
        <v>917.59687651299384</v>
      </c>
      <c r="U370" s="10">
        <v>349.66400708347226</v>
      </c>
      <c r="V370" s="10">
        <v>241.23168090132611</v>
      </c>
      <c r="W370" s="10">
        <v>19669.008870900099</v>
      </c>
    </row>
    <row r="371" spans="3:23">
      <c r="C371" s="10" t="s">
        <v>885</v>
      </c>
      <c r="D371" s="10" t="s">
        <v>886</v>
      </c>
      <c r="E371" s="10">
        <v>309517.29685015831</v>
      </c>
      <c r="F371" s="10">
        <v>31391.059188068051</v>
      </c>
      <c r="G371" s="10">
        <v>29105.906595671091</v>
      </c>
      <c r="H371" s="10">
        <v>23785.4050247056</v>
      </c>
      <c r="I371" s="10">
        <v>28761.865892660371</v>
      </c>
      <c r="J371" s="10">
        <v>26795.128206681988</v>
      </c>
      <c r="K371" s="10">
        <v>109569.09250024785</v>
      </c>
      <c r="L371" s="10">
        <v>73439.638045252766</v>
      </c>
      <c r="M371" s="10">
        <v>238288.79252646255</v>
      </c>
      <c r="N371" s="10">
        <v>78847.188923575653</v>
      </c>
      <c r="O371" s="10">
        <v>46633.155984207879</v>
      </c>
      <c r="P371" s="10">
        <v>85265.779211070912</v>
      </c>
      <c r="Q371" s="10">
        <v>172504.60327741542</v>
      </c>
      <c r="R371" s="10">
        <v>58073.073285349616</v>
      </c>
      <c r="S371" s="10">
        <v>14791.815979316911</v>
      </c>
      <c r="T371" s="10">
        <v>88385.117974539753</v>
      </c>
      <c r="U371" s="10">
        <v>13670.084354208813</v>
      </c>
      <c r="V371" s="10">
        <v>5719.3106663693561</v>
      </c>
      <c r="W371" s="10">
        <v>1434544.314485963</v>
      </c>
    </row>
    <row r="372" spans="3:23">
      <c r="C372" s="10" t="s">
        <v>887</v>
      </c>
      <c r="D372" s="10" t="s">
        <v>391</v>
      </c>
      <c r="E372" s="10">
        <v>2.9731679255886183</v>
      </c>
      <c r="F372" s="10">
        <v>0</v>
      </c>
      <c r="G372" s="10">
        <v>4.1910921360707034</v>
      </c>
      <c r="H372" s="10">
        <v>0</v>
      </c>
      <c r="I372" s="10">
        <v>0</v>
      </c>
      <c r="J372" s="10">
        <v>0</v>
      </c>
      <c r="K372" s="10">
        <v>0</v>
      </c>
      <c r="L372" s="10">
        <v>0</v>
      </c>
      <c r="M372" s="10">
        <v>0</v>
      </c>
      <c r="N372" s="10">
        <v>4.8000542413117451</v>
      </c>
      <c r="O372" s="10">
        <v>0</v>
      </c>
      <c r="P372" s="10">
        <v>21.627538907687061</v>
      </c>
      <c r="Q372" s="10">
        <v>74.018915045495703</v>
      </c>
      <c r="R372" s="10">
        <v>0</v>
      </c>
      <c r="S372" s="10">
        <v>0</v>
      </c>
      <c r="T372" s="10">
        <v>13.513792396701042</v>
      </c>
      <c r="U372" s="10">
        <v>0</v>
      </c>
      <c r="V372" s="10">
        <v>513.32100934714515</v>
      </c>
      <c r="W372" s="10">
        <v>634.44557000000009</v>
      </c>
    </row>
    <row r="373" spans="3:23">
      <c r="C373" s="10" t="s">
        <v>888</v>
      </c>
      <c r="D373" s="10" t="s">
        <v>889</v>
      </c>
      <c r="E373" s="10">
        <v>3373.7843234663274</v>
      </c>
      <c r="F373" s="10">
        <v>1269.7920332530036</v>
      </c>
      <c r="G373" s="10">
        <v>716.35574346253395</v>
      </c>
      <c r="H373" s="10">
        <v>581.5018197021717</v>
      </c>
      <c r="I373" s="10">
        <v>881.32465271556009</v>
      </c>
      <c r="J373" s="10">
        <v>182.21679540496248</v>
      </c>
      <c r="K373" s="10">
        <v>1379.8046471145651</v>
      </c>
      <c r="L373" s="10">
        <v>671.11712513720977</v>
      </c>
      <c r="M373" s="10">
        <v>4709.129928518787</v>
      </c>
      <c r="N373" s="10">
        <v>2298.0302154844057</v>
      </c>
      <c r="O373" s="10">
        <v>456.74874691947605</v>
      </c>
      <c r="P373" s="10">
        <v>1243.1487768816467</v>
      </c>
      <c r="Q373" s="10">
        <v>4383.0960655729868</v>
      </c>
      <c r="R373" s="10">
        <v>439.32673495144422</v>
      </c>
      <c r="S373" s="10">
        <v>433.07350201318917</v>
      </c>
      <c r="T373" s="10">
        <v>1416.8406028604118</v>
      </c>
      <c r="U373" s="10">
        <v>163.84351078085811</v>
      </c>
      <c r="V373" s="10">
        <v>3.1966608819096707</v>
      </c>
      <c r="W373" s="10">
        <v>24602.331885121446</v>
      </c>
    </row>
    <row r="374" spans="3:23">
      <c r="C374" s="10" t="s">
        <v>890</v>
      </c>
      <c r="D374" s="10" t="s">
        <v>891</v>
      </c>
      <c r="E374" s="10">
        <v>5560.4483448454439</v>
      </c>
      <c r="F374" s="10">
        <v>452.54902759032962</v>
      </c>
      <c r="G374" s="10">
        <v>482.32110264606661</v>
      </c>
      <c r="H374" s="10">
        <v>394.98120885628589</v>
      </c>
      <c r="I374" s="10">
        <v>1426.0778951197867</v>
      </c>
      <c r="J374" s="10">
        <v>387.95300689992047</v>
      </c>
      <c r="K374" s="10">
        <v>1487.8543033485314</v>
      </c>
      <c r="L374" s="10">
        <v>1134.1731103816453</v>
      </c>
      <c r="M374" s="10">
        <v>3519.1271639939059</v>
      </c>
      <c r="N374" s="10">
        <v>1884.0757130624945</v>
      </c>
      <c r="O374" s="10">
        <v>765.56359134728609</v>
      </c>
      <c r="P374" s="10">
        <v>1893.4473019236084</v>
      </c>
      <c r="Q374" s="10">
        <v>2326.6324110487099</v>
      </c>
      <c r="R374" s="10">
        <v>857.99506431209295</v>
      </c>
      <c r="S374" s="10">
        <v>334.00024017124065</v>
      </c>
      <c r="T374" s="10">
        <v>1138.3967923476043</v>
      </c>
      <c r="U374" s="10">
        <v>150.99458613490049</v>
      </c>
      <c r="V374" s="10">
        <v>205.3411612609633</v>
      </c>
      <c r="W374" s="10">
        <v>24401.932025290818</v>
      </c>
    </row>
    <row r="375" spans="3:23">
      <c r="C375" s="10" t="s">
        <v>892</v>
      </c>
      <c r="D375" s="10" t="s">
        <v>893</v>
      </c>
      <c r="E375" s="10">
        <v>1614.3357146433548</v>
      </c>
      <c r="F375" s="10">
        <v>0</v>
      </c>
      <c r="G375" s="10">
        <v>1148.5390216115516</v>
      </c>
      <c r="H375" s="10">
        <v>619.30406600161712</v>
      </c>
      <c r="I375" s="10">
        <v>0</v>
      </c>
      <c r="J375" s="10">
        <v>642.38620637810186</v>
      </c>
      <c r="K375" s="10">
        <v>0</v>
      </c>
      <c r="L375" s="10">
        <v>0</v>
      </c>
      <c r="M375" s="10">
        <v>0</v>
      </c>
      <c r="N375" s="10">
        <v>0</v>
      </c>
      <c r="O375" s="10">
        <v>0</v>
      </c>
      <c r="P375" s="10">
        <v>0</v>
      </c>
      <c r="Q375" s="10">
        <v>0</v>
      </c>
      <c r="R375" s="10">
        <v>875.00940304784979</v>
      </c>
      <c r="S375" s="10">
        <v>0</v>
      </c>
      <c r="T375" s="10">
        <v>848.11945267992417</v>
      </c>
      <c r="U375" s="10">
        <v>0</v>
      </c>
      <c r="V375" s="10">
        <v>0</v>
      </c>
      <c r="W375" s="10">
        <v>5747.6938643623998</v>
      </c>
    </row>
    <row r="376" spans="3:23">
      <c r="C376" s="10"/>
      <c r="D376" s="10" t="s">
        <v>680</v>
      </c>
      <c r="E376" s="10">
        <v>442871.82911028649</v>
      </c>
      <c r="F376" s="10">
        <v>51392.314945598089</v>
      </c>
      <c r="G376" s="10">
        <v>45859.599651161298</v>
      </c>
      <c r="H376" s="10">
        <v>39588.181016590992</v>
      </c>
      <c r="I376" s="10">
        <v>62801.963755071964</v>
      </c>
      <c r="J376" s="10">
        <v>36117.084574319379</v>
      </c>
      <c r="K376" s="10">
        <v>146594.2957235589</v>
      </c>
      <c r="L376" s="10">
        <v>103248.99749923391</v>
      </c>
      <c r="M376" s="10">
        <v>345215.87607416505</v>
      </c>
      <c r="N376" s="10">
        <v>148195.79014154035</v>
      </c>
      <c r="O376" s="10">
        <v>62809.467219964463</v>
      </c>
      <c r="P376" s="10">
        <v>125241.25596135025</v>
      </c>
      <c r="Q376" s="10">
        <v>266005.15714569157</v>
      </c>
      <c r="R376" s="10">
        <v>82496.063849839149</v>
      </c>
      <c r="S376" s="10">
        <v>24126.864967090907</v>
      </c>
      <c r="T376" s="10">
        <v>119753.3274902636</v>
      </c>
      <c r="U376" s="10">
        <v>18797.047265880654</v>
      </c>
      <c r="V376" s="10">
        <v>21535.518663858849</v>
      </c>
      <c r="W376" s="10">
        <v>2142650.6350554661</v>
      </c>
    </row>
    <row r="377" spans="3:23">
      <c r="C377" s="10" t="s">
        <v>667</v>
      </c>
      <c r="D377" s="10" t="s">
        <v>1010</v>
      </c>
      <c r="E377" s="10" t="s">
        <v>9</v>
      </c>
      <c r="F377" s="10" t="s">
        <v>10</v>
      </c>
      <c r="G377" s="10" t="s">
        <v>11</v>
      </c>
      <c r="H377" s="10" t="s">
        <v>31</v>
      </c>
      <c r="I377" s="10" t="s">
        <v>12</v>
      </c>
      <c r="J377" s="10" t="s">
        <v>13</v>
      </c>
      <c r="K377" s="10" t="s">
        <v>14</v>
      </c>
      <c r="L377" s="10" t="s">
        <v>15</v>
      </c>
      <c r="M377" s="10" t="s">
        <v>16</v>
      </c>
      <c r="N377" s="10" t="s">
        <v>17</v>
      </c>
      <c r="O377" s="10" t="s">
        <v>18</v>
      </c>
      <c r="P377" s="10" t="s">
        <v>19</v>
      </c>
      <c r="Q377" s="10" t="s">
        <v>20</v>
      </c>
      <c r="R377" s="10" t="s">
        <v>60</v>
      </c>
      <c r="S377" s="10" t="s">
        <v>61</v>
      </c>
      <c r="T377" s="10" t="s">
        <v>62</v>
      </c>
      <c r="U377" s="10" t="s">
        <v>63</v>
      </c>
      <c r="V377" s="10" t="s">
        <v>64</v>
      </c>
      <c r="W377" s="10" t="s">
        <v>668</v>
      </c>
    </row>
    <row r="378" spans="3:23">
      <c r="C378" s="10" t="s">
        <v>393</v>
      </c>
      <c r="D378" s="10" t="s">
        <v>1011</v>
      </c>
      <c r="E378" s="10">
        <v>22115.143243011342</v>
      </c>
      <c r="F378" s="10">
        <v>5229.9500802448301</v>
      </c>
      <c r="G378" s="10">
        <v>3479.967347664342</v>
      </c>
      <c r="H378" s="10">
        <v>5143.5938094571093</v>
      </c>
      <c r="I378" s="10">
        <v>7212.1818610505279</v>
      </c>
      <c r="J378" s="10">
        <v>1904.1291771926544</v>
      </c>
      <c r="K378" s="10">
        <v>11016.399942564418</v>
      </c>
      <c r="L378" s="10">
        <v>5999.8135766830837</v>
      </c>
      <c r="M378" s="10">
        <v>262.59377657032383</v>
      </c>
      <c r="N378" s="10">
        <v>14309.355646913329</v>
      </c>
      <c r="O378" s="10">
        <v>3267.2836070793855</v>
      </c>
      <c r="P378" s="10">
        <v>8699.1623357440021</v>
      </c>
      <c r="Q378" s="10">
        <v>20180.763970501492</v>
      </c>
      <c r="R378" s="10">
        <v>3388.8722398494001</v>
      </c>
      <c r="S378" s="10">
        <v>1827.7215056337461</v>
      </c>
      <c r="T378" s="10">
        <v>4808.6188786834045</v>
      </c>
      <c r="U378" s="10">
        <v>866.59839884313089</v>
      </c>
      <c r="V378" s="10">
        <v>168.41929231345924</v>
      </c>
      <c r="W378" s="10">
        <v>119880.56868999997</v>
      </c>
    </row>
    <row r="379" spans="3:23">
      <c r="C379" s="10" t="s">
        <v>394</v>
      </c>
      <c r="D379" s="10" t="s">
        <v>1012</v>
      </c>
      <c r="E379" s="10">
        <v>22769.188588167908</v>
      </c>
      <c r="F379" s="10">
        <v>3996.2452894580078</v>
      </c>
      <c r="G379" s="10">
        <v>3721.5796566451036</v>
      </c>
      <c r="H379" s="10">
        <v>2906.8983752820573</v>
      </c>
      <c r="I379" s="10">
        <v>5389.2486366902804</v>
      </c>
      <c r="J379" s="10">
        <v>1811.3347060486567</v>
      </c>
      <c r="K379" s="10">
        <v>7516.3122922684706</v>
      </c>
      <c r="L379" s="10">
        <v>5615.4947322498701</v>
      </c>
      <c r="M379" s="10">
        <v>22668.301756507943</v>
      </c>
      <c r="N379" s="10">
        <v>13776.49229436761</v>
      </c>
      <c r="O379" s="10">
        <v>3042.0138943480129</v>
      </c>
      <c r="P379" s="10">
        <v>8301.2289838760935</v>
      </c>
      <c r="Q379" s="10">
        <v>18514.5844788008</v>
      </c>
      <c r="R379" s="10">
        <v>3821.938093448437</v>
      </c>
      <c r="S379" s="10">
        <v>1921.9974596074283</v>
      </c>
      <c r="T379" s="10">
        <v>7239.6717068229564</v>
      </c>
      <c r="U379" s="10">
        <v>914.26170209462066</v>
      </c>
      <c r="V379" s="10">
        <v>507.84063331575203</v>
      </c>
      <c r="W379" s="10">
        <v>134434.63328000001</v>
      </c>
    </row>
    <row r="380" spans="3:23">
      <c r="C380" s="10" t="s">
        <v>635</v>
      </c>
      <c r="D380" s="10" t="s">
        <v>1013</v>
      </c>
      <c r="E380" s="10">
        <v>72775.527875724438</v>
      </c>
      <c r="F380" s="10">
        <v>14780.459952115352</v>
      </c>
      <c r="G380" s="10">
        <v>15051.42190129648</v>
      </c>
      <c r="H380" s="10">
        <v>9543.6671333937738</v>
      </c>
      <c r="I380" s="10">
        <v>16352.009714203634</v>
      </c>
      <c r="J380" s="10">
        <v>6720.2735221919802</v>
      </c>
      <c r="K380" s="10">
        <v>27568.834526432984</v>
      </c>
      <c r="L380" s="10">
        <v>18623.310087026959</v>
      </c>
      <c r="M380" s="10">
        <v>83416.827372014552</v>
      </c>
      <c r="N380" s="10">
        <v>46345.369595195436</v>
      </c>
      <c r="O380" s="10">
        <v>9825.6626740322772</v>
      </c>
      <c r="P380" s="10">
        <v>30112.313109679435</v>
      </c>
      <c r="Q380" s="10">
        <v>66564.613899486256</v>
      </c>
      <c r="R380" s="10">
        <v>12290.255638893965</v>
      </c>
      <c r="S380" s="10">
        <v>7182.9470399441725</v>
      </c>
      <c r="T380" s="10">
        <v>28865.468362320069</v>
      </c>
      <c r="U380" s="10">
        <v>3257.7072378796911</v>
      </c>
      <c r="V380" s="10">
        <v>1219.2726881686795</v>
      </c>
      <c r="W380" s="10">
        <v>470495.94233000017</v>
      </c>
    </row>
    <row r="381" spans="3:23">
      <c r="C381" s="10" t="s">
        <v>999</v>
      </c>
      <c r="D381" s="10" t="s">
        <v>1014</v>
      </c>
      <c r="E381" s="10">
        <v>6748.1327007115033</v>
      </c>
      <c r="F381" s="10">
        <v>1318.5164638054182</v>
      </c>
      <c r="G381" s="10">
        <v>1445.8458691566343</v>
      </c>
      <c r="H381" s="10">
        <v>809.44791894904722</v>
      </c>
      <c r="I381" s="10">
        <v>1446.7200846335859</v>
      </c>
      <c r="J381" s="10">
        <v>618.1857232454937</v>
      </c>
      <c r="K381" s="10">
        <v>2519.4527794046244</v>
      </c>
      <c r="L381" s="10">
        <v>1635.46263259937</v>
      </c>
      <c r="M381" s="10">
        <v>7514.6588895349378</v>
      </c>
      <c r="N381" s="10">
        <v>4058.9139484308398</v>
      </c>
      <c r="O381" s="10">
        <v>931.38324321081075</v>
      </c>
      <c r="P381" s="10">
        <v>2784.1119086764184</v>
      </c>
      <c r="Q381" s="10">
        <v>5665.01178297142</v>
      </c>
      <c r="R381" s="10">
        <v>1051.1187975777282</v>
      </c>
      <c r="S381" s="10">
        <v>630.36271776953367</v>
      </c>
      <c r="T381" s="10">
        <v>2637.8670451611652</v>
      </c>
      <c r="U381" s="10">
        <v>285.86126462553437</v>
      </c>
      <c r="V381" s="10">
        <v>172.04425953593986</v>
      </c>
      <c r="W381" s="10">
        <v>42273.098030000001</v>
      </c>
    </row>
    <row r="382" spans="3:23">
      <c r="C382" s="10" t="s">
        <v>1000</v>
      </c>
      <c r="D382" s="10" t="s">
        <v>395</v>
      </c>
      <c r="E382" s="10">
        <v>1362.2664097502284</v>
      </c>
      <c r="F382" s="10">
        <v>296.96469964576789</v>
      </c>
      <c r="G382" s="10">
        <v>344.22406854203234</v>
      </c>
      <c r="H382" s="10">
        <v>162.0881064521862</v>
      </c>
      <c r="I382" s="10">
        <v>278.6696147042295</v>
      </c>
      <c r="J382" s="10">
        <v>140.57459399693602</v>
      </c>
      <c r="K382" s="10">
        <v>576.91652467056588</v>
      </c>
      <c r="L382" s="10">
        <v>334.44942154931664</v>
      </c>
      <c r="M382" s="10">
        <v>1673.6716555734642</v>
      </c>
      <c r="N382" s="10">
        <v>854.1586238620032</v>
      </c>
      <c r="O382" s="10">
        <v>186.42221222165958</v>
      </c>
      <c r="P382" s="10">
        <v>631.33137603230523</v>
      </c>
      <c r="Q382" s="10">
        <v>1229.6385789925437</v>
      </c>
      <c r="R382" s="10">
        <v>216.77564457736619</v>
      </c>
      <c r="S382" s="10">
        <v>139.481871708672</v>
      </c>
      <c r="T382" s="10">
        <v>627.23084189108727</v>
      </c>
      <c r="U382" s="10">
        <v>62.438553349978598</v>
      </c>
      <c r="V382" s="10">
        <v>36.0008524796581</v>
      </c>
      <c r="W382" s="10">
        <v>9153.3036500000017</v>
      </c>
    </row>
    <row r="383" spans="3:23">
      <c r="C383" s="10" t="s">
        <v>396</v>
      </c>
      <c r="D383" s="10" t="s">
        <v>1015</v>
      </c>
      <c r="E383" s="10">
        <v>33881.114931294956</v>
      </c>
      <c r="F383" s="10">
        <v>7385.8498214607844</v>
      </c>
      <c r="G383" s="10">
        <v>8561.2440745190997</v>
      </c>
      <c r="H383" s="10">
        <v>4031.3155520801552</v>
      </c>
      <c r="I383" s="10">
        <v>6930.8302517602324</v>
      </c>
      <c r="J383" s="10">
        <v>3496.2500297600232</v>
      </c>
      <c r="K383" s="10">
        <v>14348.570102165679</v>
      </c>
      <c r="L383" s="10">
        <v>8318.1374869950341</v>
      </c>
      <c r="M383" s="10">
        <v>41626.117559583872</v>
      </c>
      <c r="N383" s="10">
        <v>21243.896419593428</v>
      </c>
      <c r="O383" s="10">
        <v>4636.5324380173051</v>
      </c>
      <c r="P383" s="10">
        <v>15701.929342150503</v>
      </c>
      <c r="Q383" s="10">
        <v>30582.509941237724</v>
      </c>
      <c r="R383" s="10">
        <v>5391.4568220014489</v>
      </c>
      <c r="S383" s="10">
        <v>3469.0727836856308</v>
      </c>
      <c r="T383" s="10">
        <v>15599.944394475122</v>
      </c>
      <c r="U383" s="10">
        <v>1552.9178338782438</v>
      </c>
      <c r="V383" s="10">
        <v>895.38214534081635</v>
      </c>
      <c r="W383" s="10">
        <v>227653.07193000009</v>
      </c>
    </row>
    <row r="384" spans="3:23">
      <c r="C384" s="10" t="s">
        <v>1001</v>
      </c>
      <c r="D384" s="10" t="s">
        <v>1016</v>
      </c>
      <c r="E384" s="10">
        <v>40610.111560648445</v>
      </c>
      <c r="F384" s="10">
        <v>8106.6707305524233</v>
      </c>
      <c r="G384" s="10">
        <v>10103.228276560538</v>
      </c>
      <c r="H384" s="10">
        <v>5752.8486648002436</v>
      </c>
      <c r="I384" s="10">
        <v>9618.5578476959636</v>
      </c>
      <c r="J384" s="10">
        <v>4293.7663437241436</v>
      </c>
      <c r="K384" s="10">
        <v>14605.229797233265</v>
      </c>
      <c r="L384" s="10">
        <v>8529.2710749555117</v>
      </c>
      <c r="M384" s="10">
        <v>34763.801509128018</v>
      </c>
      <c r="N384" s="10">
        <v>23526.168527346232</v>
      </c>
      <c r="O384" s="10">
        <v>5586.6799538169817</v>
      </c>
      <c r="P384" s="10">
        <v>23000.810652145603</v>
      </c>
      <c r="Q384" s="10">
        <v>23995.37553217154</v>
      </c>
      <c r="R384" s="10">
        <v>5889.3508700253587</v>
      </c>
      <c r="S384" s="10">
        <v>3009.7347436038353</v>
      </c>
      <c r="T384" s="10">
        <v>16217.391495875854</v>
      </c>
      <c r="U384" s="10">
        <v>1472.877875448572</v>
      </c>
      <c r="V384" s="10">
        <v>2648.4267442674827</v>
      </c>
      <c r="W384" s="10">
        <v>241730.30220000003</v>
      </c>
    </row>
    <row r="385" spans="3:23">
      <c r="C385" s="10" t="s">
        <v>1002</v>
      </c>
      <c r="D385" s="10" t="s">
        <v>1017</v>
      </c>
      <c r="E385" s="10">
        <v>67906.351440508122</v>
      </c>
      <c r="F385" s="10">
        <v>16498.285877004739</v>
      </c>
      <c r="G385" s="10">
        <v>12323.325066321573</v>
      </c>
      <c r="H385" s="10">
        <v>15218.758360506208</v>
      </c>
      <c r="I385" s="10">
        <v>22514.230299183208</v>
      </c>
      <c r="J385" s="10">
        <v>6351.8795043251657</v>
      </c>
      <c r="K385" s="10">
        <v>27397.731211903741</v>
      </c>
      <c r="L385" s="10">
        <v>20520.835352404461</v>
      </c>
      <c r="M385" s="10">
        <v>93065.531967803443</v>
      </c>
      <c r="N385" s="10">
        <v>69583.073597056602</v>
      </c>
      <c r="O385" s="10">
        <v>8559.7263705012883</v>
      </c>
      <c r="P385" s="10">
        <v>36071.983742231008</v>
      </c>
      <c r="Q385" s="10">
        <v>97249.389846296282</v>
      </c>
      <c r="R385" s="10">
        <v>16133.075422216927</v>
      </c>
      <c r="S385" s="10">
        <v>8293.5206525266221</v>
      </c>
      <c r="T385" s="10">
        <v>28199.789951944709</v>
      </c>
      <c r="U385" s="10">
        <v>4057.4653979713967</v>
      </c>
      <c r="V385" s="10">
        <v>2126.5306529516993</v>
      </c>
      <c r="W385" s="10">
        <v>552071.48471365718</v>
      </c>
    </row>
    <row r="386" spans="3:23">
      <c r="C386" s="10" t="s">
        <v>397</v>
      </c>
      <c r="D386" s="10" t="s">
        <v>1018</v>
      </c>
      <c r="E386" s="10">
        <v>11381.449080707622</v>
      </c>
      <c r="F386" s="10">
        <v>2481.0775510537933</v>
      </c>
      <c r="G386" s="10">
        <v>2875.9196295410929</v>
      </c>
      <c r="H386" s="10">
        <v>1354.2120079963784</v>
      </c>
      <c r="I386" s="10">
        <v>2328.2259676931512</v>
      </c>
      <c r="J386" s="10">
        <v>1174.4711402747016</v>
      </c>
      <c r="K386" s="10">
        <v>4820.016116055267</v>
      </c>
      <c r="L386" s="10">
        <v>2794.2545115926268</v>
      </c>
      <c r="M386" s="10">
        <v>13983.174355173016</v>
      </c>
      <c r="N386" s="10">
        <v>7136.3154921474816</v>
      </c>
      <c r="O386" s="10">
        <v>1557.5183390910393</v>
      </c>
      <c r="P386" s="10">
        <v>5274.6407442302088</v>
      </c>
      <c r="Q386" s="10">
        <v>10273.371474411755</v>
      </c>
      <c r="R386" s="10">
        <v>1811.1148766761648</v>
      </c>
      <c r="S386" s="10">
        <v>1165.341675586872</v>
      </c>
      <c r="T386" s="10">
        <v>5240.3816446899564</v>
      </c>
      <c r="U386" s="10">
        <v>521.66096920507925</v>
      </c>
      <c r="V386" s="10">
        <v>300.77954387381658</v>
      </c>
      <c r="W386" s="10">
        <v>76473.925120000014</v>
      </c>
    </row>
    <row r="387" spans="3:23">
      <c r="C387" s="10" t="s">
        <v>398</v>
      </c>
      <c r="D387" s="10" t="s">
        <v>1019</v>
      </c>
      <c r="E387" s="10">
        <v>296.17513142593896</v>
      </c>
      <c r="F387" s="10">
        <v>64.564139816510703</v>
      </c>
      <c r="G387" s="10">
        <v>74.838965426080293</v>
      </c>
      <c r="H387" s="10">
        <v>35.240145310387433</v>
      </c>
      <c r="I387" s="10">
        <v>60.586541052989588</v>
      </c>
      <c r="J387" s="10">
        <v>30.562816901449008</v>
      </c>
      <c r="K387" s="10">
        <v>125.42945072500872</v>
      </c>
      <c r="L387" s="10">
        <v>72.713825044588717</v>
      </c>
      <c r="M387" s="10">
        <v>363.87884117632046</v>
      </c>
      <c r="N387" s="10">
        <v>185.70563060958978</v>
      </c>
      <c r="O387" s="10">
        <v>40.530708832193653</v>
      </c>
      <c r="P387" s="10">
        <v>137.25997494423325</v>
      </c>
      <c r="Q387" s="10">
        <v>267.34004827021715</v>
      </c>
      <c r="R387" s="10">
        <v>47.129955317929181</v>
      </c>
      <c r="S387" s="10">
        <v>30.32524430549989</v>
      </c>
      <c r="T387" s="10">
        <v>136.36846339443701</v>
      </c>
      <c r="U387" s="10">
        <v>13.574985488973526</v>
      </c>
      <c r="V387" s="10">
        <v>7.8270719576529517</v>
      </c>
      <c r="W387" s="10">
        <v>1990.0519399999998</v>
      </c>
    </row>
    <row r="388" spans="3:23">
      <c r="C388" s="10" t="s">
        <v>399</v>
      </c>
      <c r="D388" s="10" t="s">
        <v>1020</v>
      </c>
      <c r="E388" s="10">
        <v>0</v>
      </c>
      <c r="F388" s="10">
        <v>0</v>
      </c>
      <c r="G388" s="10">
        <v>0</v>
      </c>
      <c r="H388" s="10">
        <v>0</v>
      </c>
      <c r="I388" s="10">
        <v>0</v>
      </c>
      <c r="J388" s="10">
        <v>0</v>
      </c>
      <c r="K388" s="10">
        <v>0</v>
      </c>
      <c r="L388" s="10">
        <v>0</v>
      </c>
      <c r="M388" s="10">
        <v>3567.7391105757997</v>
      </c>
      <c r="N388" s="10">
        <v>0</v>
      </c>
      <c r="O388" s="10">
        <v>0</v>
      </c>
      <c r="P388" s="10">
        <v>0</v>
      </c>
      <c r="Q388" s="10">
        <v>0</v>
      </c>
      <c r="R388" s="10">
        <v>0</v>
      </c>
      <c r="S388" s="10"/>
      <c r="T388" s="10"/>
      <c r="U388" s="10">
        <v>0</v>
      </c>
      <c r="V388" s="10">
        <v>0</v>
      </c>
      <c r="W388" s="10">
        <v>3567.7391105757997</v>
      </c>
    </row>
    <row r="389" spans="3:23">
      <c r="C389" s="10" t="s">
        <v>400</v>
      </c>
      <c r="D389" s="10" t="s">
        <v>1021</v>
      </c>
      <c r="E389" s="10">
        <v>0</v>
      </c>
      <c r="F389" s="10">
        <v>0</v>
      </c>
      <c r="G389" s="10">
        <v>0</v>
      </c>
      <c r="H389" s="10">
        <v>0</v>
      </c>
      <c r="I389" s="10">
        <v>0</v>
      </c>
      <c r="J389" s="10">
        <v>0</v>
      </c>
      <c r="K389" s="10">
        <v>0</v>
      </c>
      <c r="L389" s="10">
        <v>0</v>
      </c>
      <c r="M389" s="10">
        <v>14110.859665813303</v>
      </c>
      <c r="N389" s="10">
        <v>0</v>
      </c>
      <c r="O389" s="10">
        <v>0</v>
      </c>
      <c r="P389" s="10">
        <v>0</v>
      </c>
      <c r="Q389" s="10">
        <v>0</v>
      </c>
      <c r="R389" s="10">
        <v>0</v>
      </c>
      <c r="S389" s="10">
        <v>0</v>
      </c>
      <c r="T389" s="10">
        <v>0</v>
      </c>
      <c r="U389" s="10">
        <v>0</v>
      </c>
      <c r="V389" s="10">
        <v>0</v>
      </c>
      <c r="W389" s="10">
        <v>14110.859665813303</v>
      </c>
    </row>
    <row r="390" spans="3:23">
      <c r="C390" s="10"/>
      <c r="D390" s="10" t="s">
        <v>680</v>
      </c>
      <c r="E390" s="10">
        <v>279845.46096195054</v>
      </c>
      <c r="F390" s="10">
        <v>60158.58460515763</v>
      </c>
      <c r="G390" s="10">
        <v>57981.594855672985</v>
      </c>
      <c r="H390" s="10">
        <v>44958.070074227551</v>
      </c>
      <c r="I390" s="10">
        <v>72131.260818667812</v>
      </c>
      <c r="J390" s="10">
        <v>26541.427557661205</v>
      </c>
      <c r="K390" s="10">
        <v>110494.892743424</v>
      </c>
      <c r="L390" s="10">
        <v>72443.742701100826</v>
      </c>
      <c r="M390" s="10">
        <v>317017.15645945503</v>
      </c>
      <c r="N390" s="10">
        <v>201019.44977552257</v>
      </c>
      <c r="O390" s="10">
        <v>37633.753441150955</v>
      </c>
      <c r="P390" s="10">
        <v>130714.77216970982</v>
      </c>
      <c r="Q390" s="10">
        <v>274522.59955314</v>
      </c>
      <c r="R390" s="10">
        <v>50041.088360584719</v>
      </c>
      <c r="S390" s="10">
        <v>27670.505694372012</v>
      </c>
      <c r="T390" s="10">
        <v>109572.73278525876</v>
      </c>
      <c r="U390" s="10">
        <v>13005.36421878522</v>
      </c>
      <c r="V390" s="10">
        <v>8082.5238842049566</v>
      </c>
      <c r="W390" s="10">
        <v>1893834.9806600467</v>
      </c>
    </row>
    <row r="391" spans="3:23">
      <c r="C391" s="10" t="s">
        <v>667</v>
      </c>
      <c r="D391" s="10" t="s">
        <v>894</v>
      </c>
      <c r="E391" s="10" t="s">
        <v>9</v>
      </c>
      <c r="F391" s="10" t="s">
        <v>10</v>
      </c>
      <c r="G391" s="10" t="s">
        <v>11</v>
      </c>
      <c r="H391" s="10" t="s">
        <v>31</v>
      </c>
      <c r="I391" s="10" t="s">
        <v>12</v>
      </c>
      <c r="J391" s="10" t="s">
        <v>13</v>
      </c>
      <c r="K391" s="10" t="s">
        <v>14</v>
      </c>
      <c r="L391" s="10" t="s">
        <v>15</v>
      </c>
      <c r="M391" s="10" t="s">
        <v>16</v>
      </c>
      <c r="N391" s="10" t="s">
        <v>17</v>
      </c>
      <c r="O391" s="10" t="s">
        <v>18</v>
      </c>
      <c r="P391" s="10" t="s">
        <v>19</v>
      </c>
      <c r="Q391" s="10" t="s">
        <v>20</v>
      </c>
      <c r="R391" s="10" t="s">
        <v>60</v>
      </c>
      <c r="S391" s="10" t="s">
        <v>61</v>
      </c>
      <c r="T391" s="10" t="s">
        <v>62</v>
      </c>
      <c r="U391" s="10" t="s">
        <v>63</v>
      </c>
      <c r="V391" s="10" t="s">
        <v>64</v>
      </c>
      <c r="W391" s="10" t="s">
        <v>668</v>
      </c>
    </row>
    <row r="392" spans="3:23">
      <c r="C392" s="10" t="s">
        <v>401</v>
      </c>
      <c r="D392" s="10" t="s">
        <v>895</v>
      </c>
      <c r="E392" s="10">
        <v>908958.35176597175</v>
      </c>
      <c r="F392" s="10">
        <v>111965.80191662149</v>
      </c>
      <c r="G392" s="10">
        <v>105933.24595604096</v>
      </c>
      <c r="H392" s="10">
        <v>79547.476310398721</v>
      </c>
      <c r="I392" s="10">
        <v>222015.87279637565</v>
      </c>
      <c r="J392" s="10">
        <v>52869.922198614739</v>
      </c>
      <c r="K392" s="10">
        <v>213523.62186598376</v>
      </c>
      <c r="L392" s="10">
        <v>174822.58847722632</v>
      </c>
      <c r="M392" s="10">
        <v>610539.49382925942</v>
      </c>
      <c r="N392" s="10">
        <v>405075.49569061707</v>
      </c>
      <c r="O392" s="10">
        <v>150155.01583186261</v>
      </c>
      <c r="P392" s="10">
        <v>250136.10215266136</v>
      </c>
      <c r="Q392" s="10">
        <v>604245.54884358135</v>
      </c>
      <c r="R392" s="10">
        <v>127175.20045046891</v>
      </c>
      <c r="S392" s="10">
        <v>54171.315455828211</v>
      </c>
      <c r="T392" s="10">
        <v>249603.35811047611</v>
      </c>
      <c r="U392" s="10">
        <v>24708.963423410281</v>
      </c>
      <c r="V392" s="10">
        <v>84696.00262687575</v>
      </c>
      <c r="W392" s="10">
        <v>4430143.3777022734</v>
      </c>
    </row>
    <row r="393" spans="3:23">
      <c r="C393" s="10" t="s">
        <v>402</v>
      </c>
      <c r="D393" s="10" t="s">
        <v>896</v>
      </c>
      <c r="E393" s="10">
        <v>1303.124422336705</v>
      </c>
      <c r="F393" s="10">
        <v>125.73834268247812</v>
      </c>
      <c r="G393" s="10">
        <v>96.39228891012236</v>
      </c>
      <c r="H393" s="10">
        <v>41.479891065284903</v>
      </c>
      <c r="I393" s="10">
        <v>110.05739320966714</v>
      </c>
      <c r="J393" s="10">
        <v>36.382128752121382</v>
      </c>
      <c r="K393" s="10">
        <v>224.33728473307892</v>
      </c>
      <c r="L393" s="10">
        <v>232.47556178610103</v>
      </c>
      <c r="M393" s="10">
        <v>630.40907846024982</v>
      </c>
      <c r="N393" s="10">
        <v>1002.3662578503126</v>
      </c>
      <c r="O393" s="10">
        <v>118.95424834937077</v>
      </c>
      <c r="P393" s="10">
        <v>187.62360058062822</v>
      </c>
      <c r="Q393" s="10">
        <v>405.55334527963367</v>
      </c>
      <c r="R393" s="10">
        <v>320.30119295607426</v>
      </c>
      <c r="S393" s="10">
        <v>142.7179616419125</v>
      </c>
      <c r="T393" s="10">
        <v>582.77308634058693</v>
      </c>
      <c r="U393" s="10">
        <v>20.972543052634705</v>
      </c>
      <c r="V393" s="10">
        <v>8.8774720130376092</v>
      </c>
      <c r="W393" s="10">
        <v>5590.5361000000003</v>
      </c>
    </row>
    <row r="394" spans="3:23">
      <c r="C394" s="10" t="s">
        <v>403</v>
      </c>
      <c r="D394" s="10" t="s">
        <v>897</v>
      </c>
      <c r="E394" s="10">
        <v>5332.7339409755768</v>
      </c>
      <c r="F394" s="10">
        <v>1256.695581370574</v>
      </c>
      <c r="G394" s="10">
        <v>797.27455602013913</v>
      </c>
      <c r="H394" s="10">
        <v>994.2440203110616</v>
      </c>
      <c r="I394" s="10">
        <v>1538.6657725715061</v>
      </c>
      <c r="J394" s="10">
        <v>452.40900862166052</v>
      </c>
      <c r="K394" s="10">
        <v>2005.1650387187094</v>
      </c>
      <c r="L394" s="10">
        <v>1420.8586808610282</v>
      </c>
      <c r="M394" s="10">
        <v>7475.4286681211906</v>
      </c>
      <c r="N394" s="10">
        <v>3690.8758697398748</v>
      </c>
      <c r="O394" s="10">
        <v>648.03813779557561</v>
      </c>
      <c r="P394" s="10">
        <v>2074.0198683958479</v>
      </c>
      <c r="Q394" s="10">
        <v>7459.4753979743782</v>
      </c>
      <c r="R394" s="10">
        <v>1025.634921180128</v>
      </c>
      <c r="S394" s="10">
        <v>671.61363664151554</v>
      </c>
      <c r="T394" s="10">
        <v>2405.6502606737604</v>
      </c>
      <c r="U394" s="10">
        <v>291.55105530399368</v>
      </c>
      <c r="V394" s="10">
        <v>114.27126472348198</v>
      </c>
      <c r="W394" s="10">
        <v>39654.605679999993</v>
      </c>
    </row>
    <row r="395" spans="3:23">
      <c r="C395" s="10" t="s">
        <v>404</v>
      </c>
      <c r="D395" s="10" t="s">
        <v>898</v>
      </c>
      <c r="E395" s="10">
        <v>6960.4742272455023</v>
      </c>
      <c r="F395" s="10">
        <v>1384.1080519844065</v>
      </c>
      <c r="G395" s="10">
        <v>893.14056061349925</v>
      </c>
      <c r="H395" s="10">
        <v>1280.762456387587</v>
      </c>
      <c r="I395" s="10">
        <v>2076.1441057753473</v>
      </c>
      <c r="J395" s="10">
        <v>547.91198948263332</v>
      </c>
      <c r="K395" s="10">
        <v>2174.9896020940128</v>
      </c>
      <c r="L395" s="10">
        <v>1690.2189237880291</v>
      </c>
      <c r="M395" s="10">
        <v>8947.2648575231833</v>
      </c>
      <c r="N395" s="10">
        <v>4686.9807485554566</v>
      </c>
      <c r="O395" s="10">
        <v>884.67214080072597</v>
      </c>
      <c r="P395" s="10">
        <v>2571.1033387710258</v>
      </c>
      <c r="Q395" s="10">
        <v>7395.777429478354</v>
      </c>
      <c r="R395" s="10">
        <v>1458.9559327829049</v>
      </c>
      <c r="S395" s="10">
        <v>734.72636246382683</v>
      </c>
      <c r="T395" s="10">
        <v>2515.0517401135903</v>
      </c>
      <c r="U395" s="10">
        <v>349.37315233648866</v>
      </c>
      <c r="V395" s="10">
        <v>105.96859980341937</v>
      </c>
      <c r="W395" s="10">
        <v>46657.624219999991</v>
      </c>
    </row>
    <row r="396" spans="3:23">
      <c r="C396" s="10" t="s">
        <v>405</v>
      </c>
      <c r="D396" s="10" t="s">
        <v>899</v>
      </c>
      <c r="E396" s="10">
        <v>4056.392881240582</v>
      </c>
      <c r="F396" s="10">
        <v>847.54459592061164</v>
      </c>
      <c r="G396" s="10">
        <v>2601.5399470794441</v>
      </c>
      <c r="H396" s="10">
        <v>1108.3231649111099</v>
      </c>
      <c r="I396" s="10">
        <v>1396.2528151909369</v>
      </c>
      <c r="J396" s="10">
        <v>327.93741193213771</v>
      </c>
      <c r="K396" s="10">
        <v>1437.4938457834812</v>
      </c>
      <c r="L396" s="10">
        <v>1035.6187447469918</v>
      </c>
      <c r="M396" s="10">
        <v>5592.8378859753757</v>
      </c>
      <c r="N396" s="10">
        <v>3257.7397627927025</v>
      </c>
      <c r="O396" s="10">
        <v>516.52071422911285</v>
      </c>
      <c r="P396" s="10">
        <v>3140.7285742675699</v>
      </c>
      <c r="Q396" s="10">
        <v>9044.8550559483883</v>
      </c>
      <c r="R396" s="10">
        <v>828.56280690053973</v>
      </c>
      <c r="S396" s="10">
        <v>431.08523562341168</v>
      </c>
      <c r="T396" s="10">
        <v>1491.6908346993143</v>
      </c>
      <c r="U396" s="10">
        <v>194.75624181569776</v>
      </c>
      <c r="V396" s="10">
        <v>84.8983509425953</v>
      </c>
      <c r="W396" s="10">
        <v>37394.778869999995</v>
      </c>
    </row>
    <row r="397" spans="3:23">
      <c r="C397" s="10" t="s">
        <v>900</v>
      </c>
      <c r="D397" s="10" t="s">
        <v>901</v>
      </c>
      <c r="E397" s="10">
        <v>4159.479941606076</v>
      </c>
      <c r="F397" s="10">
        <v>980.21017385683012</v>
      </c>
      <c r="G397" s="10">
        <v>621.86629980493274</v>
      </c>
      <c r="H397" s="10">
        <v>775.5005416206991</v>
      </c>
      <c r="I397" s="10">
        <v>1200.1441453267335</v>
      </c>
      <c r="J397" s="10">
        <v>352.87457007829482</v>
      </c>
      <c r="K397" s="10">
        <v>1564.0089774729006</v>
      </c>
      <c r="L397" s="10">
        <v>1105.6227771547917</v>
      </c>
      <c r="M397" s="10">
        <v>5830.7607212575031</v>
      </c>
      <c r="N397" s="10">
        <v>2877.86665303979</v>
      </c>
      <c r="O397" s="10">
        <v>505.46336370633429</v>
      </c>
      <c r="P397" s="10">
        <v>1617.7150663373989</v>
      </c>
      <c r="Q397" s="10">
        <v>5817.7286957575425</v>
      </c>
      <c r="R397" s="10">
        <v>799.98513506920335</v>
      </c>
      <c r="S397" s="10">
        <v>523.85202056572837</v>
      </c>
      <c r="T397" s="10">
        <v>1876.383505448498</v>
      </c>
      <c r="U397" s="10">
        <v>227.40695108993054</v>
      </c>
      <c r="V397" s="10">
        <v>89.130460806812295</v>
      </c>
      <c r="W397" s="10">
        <v>30926.000000000004</v>
      </c>
    </row>
    <row r="398" spans="3:23">
      <c r="C398" s="10" t="s">
        <v>902</v>
      </c>
      <c r="D398" s="10" t="s">
        <v>491</v>
      </c>
      <c r="E398" s="10">
        <v>2874.6522218090904</v>
      </c>
      <c r="F398" s="10">
        <v>0</v>
      </c>
      <c r="G398" s="10">
        <v>215.69530774934543</v>
      </c>
      <c r="H398" s="10">
        <v>209.05086985272351</v>
      </c>
      <c r="I398" s="10">
        <v>1920.9655867927063</v>
      </c>
      <c r="J398" s="10">
        <v>147.20088737144366</v>
      </c>
      <c r="K398" s="10">
        <v>0</v>
      </c>
      <c r="L398" s="10">
        <v>0</v>
      </c>
      <c r="M398" s="10">
        <v>249.37166691373397</v>
      </c>
      <c r="N398" s="10">
        <v>718.65069861760503</v>
      </c>
      <c r="O398" s="10">
        <v>0</v>
      </c>
      <c r="P398" s="10">
        <v>4082.9431360092262</v>
      </c>
      <c r="Q398" s="10">
        <v>306.01122858036922</v>
      </c>
      <c r="R398" s="10">
        <v>201.7965092697527</v>
      </c>
      <c r="S398" s="10">
        <v>0</v>
      </c>
      <c r="T398" s="10">
        <v>438.44570607562741</v>
      </c>
      <c r="U398" s="10">
        <v>0</v>
      </c>
      <c r="V398" s="10">
        <v>153.75678095837611</v>
      </c>
      <c r="W398" s="10">
        <v>11518.540599999998</v>
      </c>
    </row>
    <row r="399" spans="3:23">
      <c r="C399" s="10" t="s">
        <v>903</v>
      </c>
      <c r="D399" s="10" t="s">
        <v>904</v>
      </c>
      <c r="E399" s="10">
        <v>12107.463360735046</v>
      </c>
      <c r="F399" s="10">
        <v>0</v>
      </c>
      <c r="G399" s="10">
        <v>1987.1897530911774</v>
      </c>
      <c r="H399" s="10">
        <v>1273.3466579491665</v>
      </c>
      <c r="I399" s="10">
        <v>1397.3444869895138</v>
      </c>
      <c r="J399" s="10">
        <v>166.06179791119425</v>
      </c>
      <c r="K399" s="10">
        <v>0</v>
      </c>
      <c r="L399" s="10">
        <v>0</v>
      </c>
      <c r="M399" s="10">
        <v>2283.6873474072618</v>
      </c>
      <c r="N399" s="10">
        <v>2413.9201231470661</v>
      </c>
      <c r="O399" s="10">
        <v>0</v>
      </c>
      <c r="P399" s="10">
        <v>13601.187513033226</v>
      </c>
      <c r="Q399" s="10">
        <v>0</v>
      </c>
      <c r="R399" s="10">
        <v>106.30235087006959</v>
      </c>
      <c r="S399" s="10">
        <v>0</v>
      </c>
      <c r="T399" s="10">
        <v>2569.8326878751673</v>
      </c>
      <c r="U399" s="10">
        <v>0</v>
      </c>
      <c r="V399" s="10">
        <v>0</v>
      </c>
      <c r="W399" s="10">
        <v>37906.336079008892</v>
      </c>
    </row>
    <row r="400" spans="3:23">
      <c r="C400" s="10" t="s">
        <v>406</v>
      </c>
      <c r="D400" s="10" t="s">
        <v>485</v>
      </c>
      <c r="E400" s="10">
        <v>2550.7209146263817</v>
      </c>
      <c r="F400" s="10">
        <v>828.21113903289495</v>
      </c>
      <c r="G400" s="10">
        <v>0</v>
      </c>
      <c r="H400" s="10">
        <v>628.5277435803647</v>
      </c>
      <c r="I400" s="10">
        <v>991.16305045849469</v>
      </c>
      <c r="J400" s="10">
        <v>369.18604606735295</v>
      </c>
      <c r="K400" s="10">
        <v>1057.7553666482088</v>
      </c>
      <c r="L400" s="10">
        <v>0</v>
      </c>
      <c r="M400" s="10">
        <v>2684.2451125690905</v>
      </c>
      <c r="N400" s="10">
        <v>0</v>
      </c>
      <c r="O400" s="10">
        <v>599.55775047930115</v>
      </c>
      <c r="P400" s="10">
        <v>1198.7685796371138</v>
      </c>
      <c r="Q400" s="10">
        <v>0</v>
      </c>
      <c r="R400" s="10">
        <v>710.86896648266736</v>
      </c>
      <c r="S400" s="10">
        <v>0</v>
      </c>
      <c r="T400" s="10">
        <v>884.14045438799735</v>
      </c>
      <c r="U400" s="10">
        <v>259.97713052274935</v>
      </c>
      <c r="V400" s="10">
        <v>0</v>
      </c>
      <c r="W400" s="10">
        <v>12763.122254492619</v>
      </c>
    </row>
    <row r="401" spans="3:23">
      <c r="C401" s="10"/>
      <c r="D401" s="10" t="s">
        <v>680</v>
      </c>
      <c r="E401" s="10">
        <v>948303.39367654687</v>
      </c>
      <c r="F401" s="10">
        <v>117388.3098014693</v>
      </c>
      <c r="G401" s="10">
        <v>113146.34466930963</v>
      </c>
      <c r="H401" s="10">
        <v>85858.711656076717</v>
      </c>
      <c r="I401" s="10">
        <v>232646.61015269058</v>
      </c>
      <c r="J401" s="10">
        <v>55269.886038831581</v>
      </c>
      <c r="K401" s="10">
        <v>221987.37198143415</v>
      </c>
      <c r="L401" s="10">
        <v>180307.38316556325</v>
      </c>
      <c r="M401" s="10">
        <v>644233.49916748703</v>
      </c>
      <c r="N401" s="10">
        <v>423723.89580435993</v>
      </c>
      <c r="O401" s="10">
        <v>153428.222187223</v>
      </c>
      <c r="P401" s="10">
        <v>278610.19182969339</v>
      </c>
      <c r="Q401" s="10">
        <v>634674.94999660004</v>
      </c>
      <c r="R401" s="10">
        <v>132627.60826598023</v>
      </c>
      <c r="S401" s="10">
        <v>56675.310672764601</v>
      </c>
      <c r="T401" s="10">
        <v>262367.32638609066</v>
      </c>
      <c r="U401" s="10">
        <v>26053.000497531775</v>
      </c>
      <c r="V401" s="10">
        <v>85252.905556123471</v>
      </c>
      <c r="W401" s="10">
        <v>4652554.9215057744</v>
      </c>
    </row>
    <row r="402" spans="3:23">
      <c r="C402" s="10" t="s">
        <v>667</v>
      </c>
      <c r="D402" s="10" t="s">
        <v>75</v>
      </c>
      <c r="E402" s="10" t="s">
        <v>9</v>
      </c>
      <c r="F402" s="10" t="s">
        <v>10</v>
      </c>
      <c r="G402" s="10" t="s">
        <v>11</v>
      </c>
      <c r="H402" s="10" t="s">
        <v>31</v>
      </c>
      <c r="I402" s="10" t="s">
        <v>12</v>
      </c>
      <c r="J402" s="10" t="s">
        <v>13</v>
      </c>
      <c r="K402" s="10" t="s">
        <v>14</v>
      </c>
      <c r="L402" s="10" t="s">
        <v>15</v>
      </c>
      <c r="M402" s="10" t="s">
        <v>16</v>
      </c>
      <c r="N402" s="10" t="s">
        <v>17</v>
      </c>
      <c r="O402" s="10" t="s">
        <v>18</v>
      </c>
      <c r="P402" s="10" t="s">
        <v>19</v>
      </c>
      <c r="Q402" s="10" t="s">
        <v>20</v>
      </c>
      <c r="R402" s="10" t="s">
        <v>60</v>
      </c>
      <c r="S402" s="10" t="s">
        <v>61</v>
      </c>
      <c r="T402" s="10" t="s">
        <v>62</v>
      </c>
      <c r="U402" s="10" t="s">
        <v>63</v>
      </c>
      <c r="V402" s="10" t="s">
        <v>64</v>
      </c>
      <c r="W402" s="10" t="s">
        <v>668</v>
      </c>
    </row>
    <row r="403" spans="3:23">
      <c r="C403" s="10" t="s">
        <v>482</v>
      </c>
      <c r="D403" s="10" t="s">
        <v>483</v>
      </c>
      <c r="E403" s="10">
        <v>7163.5564749463047</v>
      </c>
      <c r="F403" s="10">
        <v>3639.6853141829711</v>
      </c>
      <c r="G403" s="10">
        <v>611.81353288925175</v>
      </c>
      <c r="H403" s="10">
        <v>783.32563162031352</v>
      </c>
      <c r="I403" s="10">
        <v>500.16087365208148</v>
      </c>
      <c r="J403" s="10">
        <v>688.96844952537595</v>
      </c>
      <c r="K403" s="10">
        <v>3406.4086348794563</v>
      </c>
      <c r="L403" s="10">
        <v>3539.4306665388171</v>
      </c>
      <c r="M403" s="10">
        <v>2832.4478688035106</v>
      </c>
      <c r="N403" s="10">
        <v>2793.6440677797027</v>
      </c>
      <c r="O403" s="10">
        <v>1902.2600592139245</v>
      </c>
      <c r="P403" s="10">
        <v>1802.4965630619804</v>
      </c>
      <c r="Q403" s="10">
        <v>435.01545800588701</v>
      </c>
      <c r="R403" s="10">
        <v>2356.735010444876</v>
      </c>
      <c r="S403" s="10">
        <v>480.23866292280843</v>
      </c>
      <c r="T403" s="10">
        <v>1636.8316177028355</v>
      </c>
      <c r="U403" s="10">
        <v>513.03734705525426</v>
      </c>
      <c r="V403" s="10">
        <v>0</v>
      </c>
      <c r="W403" s="10">
        <v>35086.056233225339</v>
      </c>
    </row>
    <row r="404" spans="3:23">
      <c r="C404" s="10" t="s">
        <v>484</v>
      </c>
      <c r="D404" s="10" t="s">
        <v>666</v>
      </c>
      <c r="E404" s="10">
        <v>4831.3575222016916</v>
      </c>
      <c r="F404" s="10">
        <v>4539.6648193650453</v>
      </c>
      <c r="G404" s="10">
        <v>1131.5855010609605</v>
      </c>
      <c r="H404" s="10">
        <v>348.50884444743184</v>
      </c>
      <c r="I404" s="10">
        <v>433.29075743691311</v>
      </c>
      <c r="J404" s="10">
        <v>875.41400287448516</v>
      </c>
      <c r="K404" s="10">
        <v>6391.7470411561235</v>
      </c>
      <c r="L404" s="10">
        <v>3001.9704703598641</v>
      </c>
      <c r="M404" s="10">
        <v>6043.7823078408501</v>
      </c>
      <c r="N404" s="10">
        <v>2739.3659500627814</v>
      </c>
      <c r="O404" s="10">
        <v>2874.9571138265401</v>
      </c>
      <c r="P404" s="10">
        <v>5993.2011473627554</v>
      </c>
      <c r="Q404" s="10">
        <v>924.96678649494447</v>
      </c>
      <c r="R404" s="10">
        <v>1178.2752733925904</v>
      </c>
      <c r="S404" s="10">
        <v>611.65473455660481</v>
      </c>
      <c r="T404" s="10">
        <v>2084.7463687046179</v>
      </c>
      <c r="U404" s="10">
        <v>227.73248778298213</v>
      </c>
      <c r="V404" s="10">
        <v>455.04390999999998</v>
      </c>
      <c r="W404" s="10">
        <v>44687.265038927188</v>
      </c>
    </row>
    <row r="405" spans="3:23">
      <c r="C405" s="10" t="s">
        <v>407</v>
      </c>
      <c r="D405" s="10" t="s">
        <v>905</v>
      </c>
      <c r="E405" s="10">
        <v>1090932.8241794615</v>
      </c>
      <c r="F405" s="10">
        <v>462300.8463680938</v>
      </c>
      <c r="G405" s="10">
        <v>59037.846745451199</v>
      </c>
      <c r="H405" s="10">
        <v>27305.671098127143</v>
      </c>
      <c r="I405" s="10">
        <v>304488.11303036776</v>
      </c>
      <c r="J405" s="10">
        <v>58762.145714293794</v>
      </c>
      <c r="K405" s="10">
        <v>1365568.8878774042</v>
      </c>
      <c r="L405" s="10">
        <v>1125568.7739788669</v>
      </c>
      <c r="M405" s="10">
        <v>308394.53963106003</v>
      </c>
      <c r="N405" s="10">
        <v>169794.23000624578</v>
      </c>
      <c r="O405" s="10">
        <v>545187.70854182716</v>
      </c>
      <c r="P405" s="10">
        <v>289468.59380708041</v>
      </c>
      <c r="Q405" s="10">
        <v>42524.512153834214</v>
      </c>
      <c r="R405" s="10">
        <v>135256.61879597115</v>
      </c>
      <c r="S405" s="10">
        <v>111739.90301263549</v>
      </c>
      <c r="T405" s="10">
        <v>54857.028172757593</v>
      </c>
      <c r="U405" s="10">
        <v>45980.953976520694</v>
      </c>
      <c r="V405" s="10">
        <v>0</v>
      </c>
      <c r="W405" s="10">
        <v>6197169.197089999</v>
      </c>
    </row>
    <row r="406" spans="3:23">
      <c r="C406" s="10" t="s">
        <v>408</v>
      </c>
      <c r="D406" s="10" t="s">
        <v>906</v>
      </c>
      <c r="E406" s="10">
        <v>2521.3603113600934</v>
      </c>
      <c r="F406" s="10">
        <v>723.59194639475038</v>
      </c>
      <c r="G406" s="10">
        <v>300.30152015655619</v>
      </c>
      <c r="H406" s="10">
        <v>60.766268576712193</v>
      </c>
      <c r="I406" s="10">
        <v>354.57881473810062</v>
      </c>
      <c r="J406" s="10">
        <v>447.54209821765471</v>
      </c>
      <c r="K406" s="10">
        <v>2143.6852059596331</v>
      </c>
      <c r="L406" s="10">
        <v>1700.7437887091787</v>
      </c>
      <c r="M406" s="10">
        <v>5635.0544477381209</v>
      </c>
      <c r="N406" s="10">
        <v>1753.6758261011182</v>
      </c>
      <c r="O406" s="10">
        <v>716.35798365269738</v>
      </c>
      <c r="P406" s="10">
        <v>2313.6061842104164</v>
      </c>
      <c r="Q406" s="10">
        <v>4743.4382617999372</v>
      </c>
      <c r="R406" s="10">
        <v>891.2404692914655</v>
      </c>
      <c r="S406" s="10">
        <v>359.89807235920398</v>
      </c>
      <c r="T406" s="10">
        <v>1226.6662171732232</v>
      </c>
      <c r="U406" s="10">
        <v>401.51049576349226</v>
      </c>
      <c r="V406" s="10">
        <v>0</v>
      </c>
      <c r="W406" s="10">
        <v>26294.017912202355</v>
      </c>
    </row>
    <row r="407" spans="3:23">
      <c r="C407" s="10" t="s">
        <v>409</v>
      </c>
      <c r="D407" s="10" t="s">
        <v>410</v>
      </c>
      <c r="E407" s="10">
        <v>112918.18634987733</v>
      </c>
      <c r="F407" s="10">
        <v>54169.036235063453</v>
      </c>
      <c r="G407" s="10">
        <v>39391.108841557718</v>
      </c>
      <c r="H407" s="10">
        <v>9281.5117161210892</v>
      </c>
      <c r="I407" s="10">
        <v>6288.1539296959472</v>
      </c>
      <c r="J407" s="10">
        <v>19785.82650293547</v>
      </c>
      <c r="K407" s="10">
        <v>141102.60612303112</v>
      </c>
      <c r="L407" s="10">
        <v>204462.6784401779</v>
      </c>
      <c r="M407" s="10">
        <v>54724.672344186831</v>
      </c>
      <c r="N407" s="10">
        <v>40377.278847936999</v>
      </c>
      <c r="O407" s="10">
        <v>154123.22740857711</v>
      </c>
      <c r="P407" s="10">
        <v>116101.46958313452</v>
      </c>
      <c r="Q407" s="10">
        <v>7607.0449091620749</v>
      </c>
      <c r="R407" s="10">
        <v>36774.74446006686</v>
      </c>
      <c r="S407" s="10">
        <v>15267.744794995691</v>
      </c>
      <c r="T407" s="10">
        <v>19082.270339698294</v>
      </c>
      <c r="U407" s="10">
        <v>11670.304989217968</v>
      </c>
      <c r="V407" s="10">
        <v>0</v>
      </c>
      <c r="W407" s="10">
        <v>1043127.8658154365</v>
      </c>
    </row>
    <row r="408" spans="3:23">
      <c r="C408" s="10" t="s">
        <v>411</v>
      </c>
      <c r="D408" s="10" t="s">
        <v>907</v>
      </c>
      <c r="E408" s="10">
        <v>0</v>
      </c>
      <c r="F408" s="10">
        <v>0</v>
      </c>
      <c r="G408" s="10">
        <v>0</v>
      </c>
      <c r="H408" s="10">
        <v>0</v>
      </c>
      <c r="I408" s="10">
        <v>0</v>
      </c>
      <c r="J408" s="10">
        <v>0</v>
      </c>
      <c r="K408" s="10">
        <v>500</v>
      </c>
      <c r="L408" s="10">
        <v>0</v>
      </c>
      <c r="M408" s="10">
        <v>0</v>
      </c>
      <c r="N408" s="10">
        <v>0</v>
      </c>
      <c r="O408" s="10">
        <v>0</v>
      </c>
      <c r="P408" s="10">
        <v>17014</v>
      </c>
      <c r="Q408" s="10">
        <v>0</v>
      </c>
      <c r="R408" s="10">
        <v>0</v>
      </c>
      <c r="S408" s="10">
        <v>0</v>
      </c>
      <c r="T408" s="10">
        <v>0</v>
      </c>
      <c r="U408" s="10">
        <v>2625</v>
      </c>
      <c r="V408" s="10">
        <v>0</v>
      </c>
      <c r="W408" s="10">
        <v>20139</v>
      </c>
    </row>
    <row r="409" spans="3:23">
      <c r="C409" s="10" t="s">
        <v>412</v>
      </c>
      <c r="D409" s="10" t="s">
        <v>908</v>
      </c>
      <c r="E409" s="10">
        <v>1951.4378789216512</v>
      </c>
      <c r="F409" s="10">
        <v>0.65768248206314672</v>
      </c>
      <c r="G409" s="10">
        <v>412.71141660134037</v>
      </c>
      <c r="H409" s="10">
        <v>583.89431628786986</v>
      </c>
      <c r="I409" s="10">
        <v>665.55030196879125</v>
      </c>
      <c r="J409" s="10">
        <v>344.78221166824676</v>
      </c>
      <c r="K409" s="10">
        <v>3.1318213431578417</v>
      </c>
      <c r="L409" s="10">
        <v>1.127455683536823</v>
      </c>
      <c r="M409" s="10">
        <v>993.69475274116348</v>
      </c>
      <c r="N409" s="10">
        <v>695.25985382579927</v>
      </c>
      <c r="O409" s="10">
        <v>0.75163712235788194</v>
      </c>
      <c r="P409" s="10">
        <v>5531.2577013432328</v>
      </c>
      <c r="Q409" s="10">
        <v>113.79003790446254</v>
      </c>
      <c r="R409" s="10">
        <v>204.03816050673336</v>
      </c>
      <c r="S409" s="10">
        <v>0.37581856117894097</v>
      </c>
      <c r="T409" s="10">
        <v>980.6799273995648</v>
      </c>
      <c r="U409" s="10">
        <v>828.6799273995648</v>
      </c>
      <c r="V409" s="10">
        <v>25.273798239283781</v>
      </c>
      <c r="W409" s="10">
        <v>13337.0947</v>
      </c>
    </row>
    <row r="410" spans="3:23">
      <c r="C410" s="10" t="s">
        <v>413</v>
      </c>
      <c r="D410" s="10" t="s">
        <v>414</v>
      </c>
      <c r="E410" s="10">
        <v>9187.5703877189881</v>
      </c>
      <c r="F410" s="10">
        <v>89.866507284216169</v>
      </c>
      <c r="G410" s="10">
        <v>705.83801196698016</v>
      </c>
      <c r="H410" s="10">
        <v>379.0381825637952</v>
      </c>
      <c r="I410" s="10">
        <v>4140.5156058776565</v>
      </c>
      <c r="J410" s="10">
        <v>1456.8945734420329</v>
      </c>
      <c r="K410" s="10">
        <v>164.89309542078314</v>
      </c>
      <c r="L410" s="10">
        <v>59.267788546338892</v>
      </c>
      <c r="M410" s="10">
        <v>1825.1115589616902</v>
      </c>
      <c r="N410" s="10">
        <v>1213.0140722484025</v>
      </c>
      <c r="O410" s="10">
        <v>28.485293719945819</v>
      </c>
      <c r="P410" s="10">
        <v>18937.946437519837</v>
      </c>
      <c r="Q410" s="10">
        <v>172.46126706292671</v>
      </c>
      <c r="R410" s="10">
        <v>1812.8582851528463</v>
      </c>
      <c r="S410" s="10">
        <v>40.109131318568878</v>
      </c>
      <c r="T410" s="10">
        <v>1229.5998642369516</v>
      </c>
      <c r="U410" s="10">
        <v>1230.2890245688857</v>
      </c>
      <c r="V410" s="10">
        <v>831.45208238915325</v>
      </c>
      <c r="W410" s="10">
        <v>43505.211169999995</v>
      </c>
    </row>
    <row r="411" spans="3:23">
      <c r="C411" s="10" t="s">
        <v>415</v>
      </c>
      <c r="D411" s="10" t="s">
        <v>416</v>
      </c>
      <c r="E411" s="10">
        <v>64448.202999380068</v>
      </c>
      <c r="F411" s="10">
        <v>17110.610852078633</v>
      </c>
      <c r="G411" s="10">
        <v>2531.050292936708</v>
      </c>
      <c r="H411" s="10">
        <v>932.18438598159639</v>
      </c>
      <c r="I411" s="10">
        <v>5543.8886410565265</v>
      </c>
      <c r="J411" s="10">
        <v>1519.1229843161941</v>
      </c>
      <c r="K411" s="10">
        <v>22084.673807231055</v>
      </c>
      <c r="L411" s="10">
        <v>26730.639990357751</v>
      </c>
      <c r="M411" s="10">
        <v>19739.30222448425</v>
      </c>
      <c r="N411" s="10">
        <v>18946.295638965825</v>
      </c>
      <c r="O411" s="10">
        <v>9243.1840329004954</v>
      </c>
      <c r="P411" s="10">
        <v>24437.329208718049</v>
      </c>
      <c r="Q411" s="10">
        <v>1629.4092063563673</v>
      </c>
      <c r="R411" s="10">
        <v>11721.956905585408</v>
      </c>
      <c r="S411" s="10">
        <v>5336.2772424667828</v>
      </c>
      <c r="T411" s="10">
        <v>4036.995612617608</v>
      </c>
      <c r="U411" s="10">
        <v>3701.6420992447747</v>
      </c>
      <c r="V411" s="10">
        <v>32.4206653219006</v>
      </c>
      <c r="W411" s="10">
        <v>239725.18679000001</v>
      </c>
    </row>
    <row r="412" spans="3:23">
      <c r="C412" s="10" t="s">
        <v>909</v>
      </c>
      <c r="D412" s="10" t="s">
        <v>910</v>
      </c>
      <c r="E412" s="10">
        <v>12231.02971409278</v>
      </c>
      <c r="F412" s="10">
        <v>3350.0702263105741</v>
      </c>
      <c r="G412" s="10">
        <v>1206.0234140225532</v>
      </c>
      <c r="H412" s="10">
        <v>1645.5128898037781</v>
      </c>
      <c r="I412" s="10">
        <v>2798.0586189540568</v>
      </c>
      <c r="J412" s="10">
        <v>1065.6734340508581</v>
      </c>
      <c r="K412" s="10">
        <v>8749.8012338552617</v>
      </c>
      <c r="L412" s="10">
        <v>7108.6652680574061</v>
      </c>
      <c r="M412" s="10">
        <v>6949.8137153480984</v>
      </c>
      <c r="N412" s="10">
        <v>4649.8225519798161</v>
      </c>
      <c r="O412" s="10">
        <v>4210.1532488797184</v>
      </c>
      <c r="P412" s="10">
        <v>4424.762048704938</v>
      </c>
      <c r="Q412" s="10">
        <v>5347.7819644736574</v>
      </c>
      <c r="R412" s="10">
        <v>1926.6258565738869</v>
      </c>
      <c r="S412" s="10">
        <v>986.05346692315561</v>
      </c>
      <c r="T412" s="10">
        <v>1904.8389403677538</v>
      </c>
      <c r="U412" s="10">
        <v>505.54866558899943</v>
      </c>
      <c r="V412" s="10">
        <v>115.13084026057656</v>
      </c>
      <c r="W412" s="10">
        <v>69175.366098247876</v>
      </c>
    </row>
    <row r="413" spans="3:23">
      <c r="C413" s="10"/>
      <c r="D413" s="10" t="s">
        <v>680</v>
      </c>
      <c r="E413" s="10">
        <v>1306185.5258179603</v>
      </c>
      <c r="F413" s="10">
        <v>545924.02995125542</v>
      </c>
      <c r="G413" s="10">
        <v>105328.27927664325</v>
      </c>
      <c r="H413" s="10">
        <v>41320.413333529737</v>
      </c>
      <c r="I413" s="10">
        <v>325212.31057374785</v>
      </c>
      <c r="J413" s="10">
        <v>84946.369971324108</v>
      </c>
      <c r="K413" s="10">
        <v>1550115.8348402809</v>
      </c>
      <c r="L413" s="10">
        <v>1372173.2978472975</v>
      </c>
      <c r="M413" s="10">
        <v>407138.41885116446</v>
      </c>
      <c r="N413" s="10">
        <v>242962.58681514623</v>
      </c>
      <c r="O413" s="10">
        <v>718287.08531971998</v>
      </c>
      <c r="P413" s="10">
        <v>486024.66268113611</v>
      </c>
      <c r="Q413" s="10">
        <v>63498.420045094477</v>
      </c>
      <c r="R413" s="10">
        <v>192123.09321698584</v>
      </c>
      <c r="S413" s="10">
        <v>134822.25493673951</v>
      </c>
      <c r="T413" s="10">
        <v>87039.657060658457</v>
      </c>
      <c r="U413" s="10">
        <v>67684.699013142599</v>
      </c>
      <c r="V413" s="10">
        <v>1459.3212962109142</v>
      </c>
      <c r="W413" s="10">
        <v>7732246.2608480379</v>
      </c>
    </row>
    <row r="414" spans="3:23">
      <c r="C414" s="10" t="s">
        <v>667</v>
      </c>
      <c r="D414" s="10" t="s">
        <v>113</v>
      </c>
      <c r="E414" s="10" t="s">
        <v>9</v>
      </c>
      <c r="F414" s="10" t="s">
        <v>10</v>
      </c>
      <c r="G414" s="10" t="s">
        <v>11</v>
      </c>
      <c r="H414" s="10" t="s">
        <v>31</v>
      </c>
      <c r="I414" s="10" t="s">
        <v>12</v>
      </c>
      <c r="J414" s="10" t="s">
        <v>13</v>
      </c>
      <c r="K414" s="10" t="s">
        <v>14</v>
      </c>
      <c r="L414" s="10" t="s">
        <v>15</v>
      </c>
      <c r="M414" s="10" t="s">
        <v>16</v>
      </c>
      <c r="N414" s="10" t="s">
        <v>17</v>
      </c>
      <c r="O414" s="10" t="s">
        <v>18</v>
      </c>
      <c r="P414" s="10" t="s">
        <v>19</v>
      </c>
      <c r="Q414" s="10" t="s">
        <v>20</v>
      </c>
      <c r="R414" s="10" t="s">
        <v>60</v>
      </c>
      <c r="S414" s="10" t="s">
        <v>61</v>
      </c>
      <c r="T414" s="10" t="s">
        <v>62</v>
      </c>
      <c r="U414" s="10" t="s">
        <v>63</v>
      </c>
      <c r="V414" s="10" t="s">
        <v>64</v>
      </c>
      <c r="W414" s="10" t="s">
        <v>668</v>
      </c>
    </row>
    <row r="415" spans="3:23">
      <c r="C415" s="10" t="s">
        <v>417</v>
      </c>
      <c r="D415" s="10" t="s">
        <v>911</v>
      </c>
      <c r="E415" s="10">
        <v>5763.5526816201827</v>
      </c>
      <c r="F415" s="10">
        <v>1895.7380008646373</v>
      </c>
      <c r="G415" s="10">
        <v>1473.148606571026</v>
      </c>
      <c r="H415" s="10">
        <v>775.27382981761195</v>
      </c>
      <c r="I415" s="10">
        <v>5248.4665019655322</v>
      </c>
      <c r="J415" s="10">
        <v>744.38342726173937</v>
      </c>
      <c r="K415" s="10">
        <v>2671.6697172961553</v>
      </c>
      <c r="L415" s="10">
        <v>2240.061615109591</v>
      </c>
      <c r="M415" s="10">
        <v>9422.7736057639213</v>
      </c>
      <c r="N415" s="10">
        <v>4524.143830138717</v>
      </c>
      <c r="O415" s="10">
        <v>723.82604498907767</v>
      </c>
      <c r="P415" s="10">
        <v>3592.3313931090156</v>
      </c>
      <c r="Q415" s="10">
        <v>17422.116076765706</v>
      </c>
      <c r="R415" s="10">
        <v>1427.6286740852318</v>
      </c>
      <c r="S415" s="10">
        <v>1171.4909483140589</v>
      </c>
      <c r="T415" s="10">
        <v>3876.787242512265</v>
      </c>
      <c r="U415" s="10">
        <v>468.08992508083946</v>
      </c>
      <c r="V415" s="10">
        <v>80.15517873469409</v>
      </c>
      <c r="W415" s="10">
        <v>63521.637299999988</v>
      </c>
    </row>
    <row r="416" spans="3:23">
      <c r="C416" s="10" t="s">
        <v>418</v>
      </c>
      <c r="D416" s="10" t="s">
        <v>912</v>
      </c>
      <c r="E416" s="10">
        <v>496.92855281292071</v>
      </c>
      <c r="F416" s="10">
        <v>127.6026990592011</v>
      </c>
      <c r="G416" s="10">
        <v>86.24371203644111</v>
      </c>
      <c r="H416" s="10">
        <v>60.344403460026264</v>
      </c>
      <c r="I416" s="10">
        <v>113.48628390429324</v>
      </c>
      <c r="J416" s="10">
        <v>47.574631966307649</v>
      </c>
      <c r="K416" s="10">
        <v>209.46289836499969</v>
      </c>
      <c r="L416" s="10">
        <v>162.75398172355074</v>
      </c>
      <c r="M416" s="10">
        <v>690.40363496237501</v>
      </c>
      <c r="N416" s="10">
        <v>370.37574858954906</v>
      </c>
      <c r="O416" s="10">
        <v>66.779409077073538</v>
      </c>
      <c r="P416" s="10">
        <v>215.14600207388344</v>
      </c>
      <c r="Q416" s="10">
        <v>461.90403974728707</v>
      </c>
      <c r="R416" s="10">
        <v>105.94814117621196</v>
      </c>
      <c r="S416" s="10">
        <v>80.043090957452847</v>
      </c>
      <c r="T416" s="10">
        <v>255.94736434170548</v>
      </c>
      <c r="U416" s="10">
        <v>35.087358319667622</v>
      </c>
      <c r="V416" s="10">
        <v>8.2284674270534168</v>
      </c>
      <c r="W416" s="10">
        <v>3594.260420000001</v>
      </c>
    </row>
    <row r="417" spans="3:23">
      <c r="C417" s="10" t="s">
        <v>419</v>
      </c>
      <c r="D417" s="10" t="s">
        <v>913</v>
      </c>
      <c r="E417" s="10">
        <v>991.89022821313597</v>
      </c>
      <c r="F417" s="10">
        <v>434.3669110137576</v>
      </c>
      <c r="G417" s="10">
        <v>258.3905762764042</v>
      </c>
      <c r="H417" s="10">
        <v>101.98284896654991</v>
      </c>
      <c r="I417" s="10">
        <v>185.52468914837181</v>
      </c>
      <c r="J417" s="10">
        <v>141.92545519400352</v>
      </c>
      <c r="K417" s="10">
        <v>644.77878320650427</v>
      </c>
      <c r="L417" s="10">
        <v>470.20565415719182</v>
      </c>
      <c r="M417" s="10">
        <v>2283.562430416549</v>
      </c>
      <c r="N417" s="10">
        <v>1004.0125634900087</v>
      </c>
      <c r="O417" s="10">
        <v>139.79091128024626</v>
      </c>
      <c r="P417" s="10">
        <v>622.70321047488312</v>
      </c>
      <c r="Q417" s="10">
        <v>1216.1599929077886</v>
      </c>
      <c r="R417" s="10">
        <v>282.37961130989936</v>
      </c>
      <c r="S417" s="10">
        <v>315.00465077018606</v>
      </c>
      <c r="T417" s="10">
        <v>977.81220512434777</v>
      </c>
      <c r="U417" s="10">
        <v>129.64372812697465</v>
      </c>
      <c r="V417" s="10">
        <v>10.069959923195974</v>
      </c>
      <c r="W417" s="10">
        <v>10210.20441</v>
      </c>
    </row>
    <row r="418" spans="3:23">
      <c r="C418" s="10" t="s">
        <v>420</v>
      </c>
      <c r="D418" s="10" t="s">
        <v>914</v>
      </c>
      <c r="E418" s="10">
        <v>21327.622269046635</v>
      </c>
      <c r="F418" s="10">
        <v>60.849904469077153</v>
      </c>
      <c r="G418" s="10">
        <v>2569.6037693666622</v>
      </c>
      <c r="H418" s="10">
        <v>7133.4396858572136</v>
      </c>
      <c r="I418" s="10">
        <v>6296.1801044307031</v>
      </c>
      <c r="J418" s="10">
        <v>3591.4314774664554</v>
      </c>
      <c r="K418" s="10">
        <v>192.78111327371346</v>
      </c>
      <c r="L418" s="10">
        <v>462.5669729109494</v>
      </c>
      <c r="M418" s="10">
        <v>15205.038938799997</v>
      </c>
      <c r="N418" s="10">
        <v>3828.8305831901539</v>
      </c>
      <c r="O418" s="10">
        <v>148.62454542889643</v>
      </c>
      <c r="P418" s="10">
        <v>50930.618296919682</v>
      </c>
      <c r="Q418" s="10">
        <v>2373.6847690238237</v>
      </c>
      <c r="R418" s="10">
        <v>10139.855762413479</v>
      </c>
      <c r="S418" s="10">
        <v>6.4619367577781048</v>
      </c>
      <c r="T418" s="10">
        <v>13079.203194675521</v>
      </c>
      <c r="U418" s="10">
        <v>51.15699933241001</v>
      </c>
      <c r="V418" s="10">
        <v>96.390556636856743</v>
      </c>
      <c r="W418" s="10">
        <v>137494.34088</v>
      </c>
    </row>
    <row r="419" spans="3:23">
      <c r="C419" s="10" t="s">
        <v>915</v>
      </c>
      <c r="D419" s="10" t="s">
        <v>916</v>
      </c>
      <c r="E419" s="10">
        <v>542.67128765615541</v>
      </c>
      <c r="F419" s="10">
        <v>237.78631035893684</v>
      </c>
      <c r="G419" s="10">
        <v>561.29878542988774</v>
      </c>
      <c r="H419" s="10">
        <v>9.0867212463221332</v>
      </c>
      <c r="I419" s="10">
        <v>0</v>
      </c>
      <c r="J419" s="10">
        <v>3.4666682579296442</v>
      </c>
      <c r="K419" s="10">
        <v>926.27609003025339</v>
      </c>
      <c r="L419" s="10">
        <v>139.36159790111785</v>
      </c>
      <c r="M419" s="10">
        <v>174.72115056030839</v>
      </c>
      <c r="N419" s="10">
        <v>453.6458304490929</v>
      </c>
      <c r="O419" s="10">
        <v>186.56122383484328</v>
      </c>
      <c r="P419" s="10">
        <v>466.30288287516521</v>
      </c>
      <c r="Q419" s="10">
        <v>85.995035910071138</v>
      </c>
      <c r="R419" s="10">
        <v>89.889264637226333</v>
      </c>
      <c r="S419" s="10">
        <v>0</v>
      </c>
      <c r="T419" s="10">
        <v>44.756150852688975</v>
      </c>
      <c r="U419" s="10">
        <v>0</v>
      </c>
      <c r="V419" s="10">
        <v>0</v>
      </c>
      <c r="W419" s="10">
        <v>3921.8189999999995</v>
      </c>
    </row>
    <row r="420" spans="3:23">
      <c r="C420" s="10" t="s">
        <v>421</v>
      </c>
      <c r="D420" s="10" t="s">
        <v>917</v>
      </c>
      <c r="E420" s="10">
        <v>7137.3978761845492</v>
      </c>
      <c r="F420" s="10">
        <v>1132.5412923374308</v>
      </c>
      <c r="G420" s="10">
        <v>902.59752703580432</v>
      </c>
      <c r="H420" s="10">
        <v>938.70064837965469</v>
      </c>
      <c r="I420" s="10">
        <v>1789.7918466696919</v>
      </c>
      <c r="J420" s="10">
        <v>500.27963241686263</v>
      </c>
      <c r="K420" s="10">
        <v>2125.0667174571272</v>
      </c>
      <c r="L420" s="10">
        <v>1771.1946815757913</v>
      </c>
      <c r="M420" s="10">
        <v>6387.3021881638297</v>
      </c>
      <c r="N420" s="10">
        <v>4287.9884231943743</v>
      </c>
      <c r="O420" s="10">
        <v>933.8357639025445</v>
      </c>
      <c r="P420" s="10">
        <v>2336.9392167620736</v>
      </c>
      <c r="Q420" s="10">
        <v>5487.8231876843893</v>
      </c>
      <c r="R420" s="10">
        <v>1245.4049171246882</v>
      </c>
      <c r="S420" s="10">
        <v>544.65814261689843</v>
      </c>
      <c r="T420" s="10">
        <v>1856.3971156523437</v>
      </c>
      <c r="U420" s="10">
        <v>271.64913166180088</v>
      </c>
      <c r="V420" s="10">
        <v>142.95090118014465</v>
      </c>
      <c r="W420" s="10">
        <v>39792.519209999999</v>
      </c>
    </row>
    <row r="421" spans="3:23">
      <c r="C421" s="10" t="s">
        <v>1190</v>
      </c>
      <c r="D421" s="10" t="s">
        <v>1201</v>
      </c>
      <c r="E421" s="10">
        <v>276923.15739555989</v>
      </c>
      <c r="F421" s="10">
        <v>73998.818779105626</v>
      </c>
      <c r="G421" s="10">
        <v>75798.83717579575</v>
      </c>
      <c r="H421" s="10">
        <v>43027.022707515855</v>
      </c>
      <c r="I421" s="10">
        <v>64330.620813301364</v>
      </c>
      <c r="J421" s="10">
        <v>32687.357913510928</v>
      </c>
      <c r="K421" s="10">
        <v>100521.28973859272</v>
      </c>
      <c r="L421" s="10">
        <v>85025.106403645899</v>
      </c>
      <c r="M421" s="10">
        <v>343572.5237365131</v>
      </c>
      <c r="N421" s="10">
        <v>190702.41497869045</v>
      </c>
      <c r="O421" s="10">
        <v>34465.267374085081</v>
      </c>
      <c r="P421" s="10">
        <v>143248.53966814815</v>
      </c>
      <c r="Q421" s="10">
        <v>226828.55535177354</v>
      </c>
      <c r="R421" s="10">
        <v>58106.609241108723</v>
      </c>
      <c r="S421" s="10">
        <v>35280.681359121118</v>
      </c>
      <c r="T421" s="10">
        <v>125304.58471517148</v>
      </c>
      <c r="U421" s="10">
        <v>12518.596860938773</v>
      </c>
      <c r="V421" s="10">
        <v>3101.7186497462035</v>
      </c>
      <c r="W421" s="10">
        <v>1925441.7028623242</v>
      </c>
    </row>
    <row r="422" spans="3:23">
      <c r="C422" s="10" t="s">
        <v>422</v>
      </c>
      <c r="D422" s="10" t="s">
        <v>423</v>
      </c>
      <c r="E422" s="10">
        <v>18716.605738082711</v>
      </c>
      <c r="F422" s="10">
        <v>6352.5780281303496</v>
      </c>
      <c r="G422" s="10">
        <v>2753.6579906762659</v>
      </c>
      <c r="H422" s="10">
        <v>597.54179182003816</v>
      </c>
      <c r="I422" s="10">
        <v>1876.5392707855165</v>
      </c>
      <c r="J422" s="10">
        <v>1760.6500553494138</v>
      </c>
      <c r="K422" s="10">
        <v>8791.3590420544861</v>
      </c>
      <c r="L422" s="10">
        <v>3486.4255014083296</v>
      </c>
      <c r="M422" s="10">
        <v>42239.042992659248</v>
      </c>
      <c r="N422" s="10">
        <v>16914.181705937459</v>
      </c>
      <c r="O422" s="10">
        <v>1194.6935048577752</v>
      </c>
      <c r="P422" s="10">
        <v>13439.015381749598</v>
      </c>
      <c r="Q422" s="10">
        <v>22045.697426713727</v>
      </c>
      <c r="R422" s="10">
        <v>6700.825842041354</v>
      </c>
      <c r="S422" s="10">
        <v>5335.4220019098702</v>
      </c>
      <c r="T422" s="10">
        <v>14781.004995578676</v>
      </c>
      <c r="U422" s="10">
        <v>1082.3571317598689</v>
      </c>
      <c r="V422" s="10">
        <v>26.728438485294149</v>
      </c>
      <c r="W422" s="10">
        <v>168094.32683999999</v>
      </c>
    </row>
    <row r="423" spans="3:23">
      <c r="C423" s="10" t="s">
        <v>424</v>
      </c>
      <c r="D423" s="10" t="s">
        <v>425</v>
      </c>
      <c r="E423" s="10">
        <v>881.0340514978609</v>
      </c>
      <c r="F423" s="10">
        <v>247.36197809851689</v>
      </c>
      <c r="G423" s="10">
        <v>113.57134227119114</v>
      </c>
      <c r="H423" s="10">
        <v>34.241900965335731</v>
      </c>
      <c r="I423" s="10">
        <v>107.8065426443987</v>
      </c>
      <c r="J423" s="10">
        <v>65.727744549214435</v>
      </c>
      <c r="K423" s="10">
        <v>359.35701451854538</v>
      </c>
      <c r="L423" s="10">
        <v>164.3020359693185</v>
      </c>
      <c r="M423" s="10">
        <v>1962.1540424607635</v>
      </c>
      <c r="N423" s="10">
        <v>693.1388435955389</v>
      </c>
      <c r="O423" s="10">
        <v>43.70587790104522</v>
      </c>
      <c r="P423" s="10">
        <v>521.84420348939182</v>
      </c>
      <c r="Q423" s="10">
        <v>1211.1201740670726</v>
      </c>
      <c r="R423" s="10">
        <v>329.70724274725069</v>
      </c>
      <c r="S423" s="10">
        <v>178.61586910542923</v>
      </c>
      <c r="T423" s="10">
        <v>571.70022279480986</v>
      </c>
      <c r="U423" s="10">
        <v>40.341529710164565</v>
      </c>
      <c r="V423" s="10">
        <v>10.356183614150728</v>
      </c>
      <c r="W423" s="10">
        <v>7536.0867999999964</v>
      </c>
    </row>
    <row r="424" spans="3:23">
      <c r="C424" s="10" t="s">
        <v>426</v>
      </c>
      <c r="D424" s="10" t="s">
        <v>918</v>
      </c>
      <c r="E424" s="10">
        <v>694.70851602153664</v>
      </c>
      <c r="F424" s="10">
        <v>145.40085555212499</v>
      </c>
      <c r="G424" s="10">
        <v>99.373924201721593</v>
      </c>
      <c r="H424" s="10">
        <v>203.06852310187043</v>
      </c>
      <c r="I424" s="10">
        <v>294.75451291328164</v>
      </c>
      <c r="J424" s="10">
        <v>56.939843503505202</v>
      </c>
      <c r="K424" s="10">
        <v>229.6913727749737</v>
      </c>
      <c r="L424" s="10">
        <v>147.78377455483255</v>
      </c>
      <c r="M424" s="10">
        <v>1080.115679743667</v>
      </c>
      <c r="N424" s="10">
        <v>512.7309992175575</v>
      </c>
      <c r="O424" s="10">
        <v>71.239672050545309</v>
      </c>
      <c r="P424" s="10">
        <v>268.20081782433982</v>
      </c>
      <c r="Q424" s="10">
        <v>1005.6589278738946</v>
      </c>
      <c r="R424" s="10">
        <v>138.35588989271119</v>
      </c>
      <c r="S424" s="10">
        <v>71.676430846158567</v>
      </c>
      <c r="T424" s="10">
        <v>277.02039430909861</v>
      </c>
      <c r="U424" s="10">
        <v>31.647440486197883</v>
      </c>
      <c r="V424" s="10">
        <v>12.649175131983617</v>
      </c>
      <c r="W424" s="10">
        <v>5341.0167500000007</v>
      </c>
    </row>
    <row r="425" spans="3:23">
      <c r="C425" s="10" t="s">
        <v>427</v>
      </c>
      <c r="D425" s="10" t="s">
        <v>428</v>
      </c>
      <c r="E425" s="10">
        <v>12745.119256683915</v>
      </c>
      <c r="F425" s="10">
        <v>3976.2257480046555</v>
      </c>
      <c r="G425" s="10">
        <v>3469.0468956841719</v>
      </c>
      <c r="H425" s="10">
        <v>10715.098581489294</v>
      </c>
      <c r="I425" s="10">
        <v>11472.58893604205</v>
      </c>
      <c r="J425" s="10">
        <v>632.52005479767627</v>
      </c>
      <c r="K425" s="10">
        <v>2468.4266374869121</v>
      </c>
      <c r="L425" s="10">
        <v>1260.7381663546357</v>
      </c>
      <c r="M425" s="10">
        <v>18558.428470012113</v>
      </c>
      <c r="N425" s="10">
        <v>7324.8449430969222</v>
      </c>
      <c r="O425" s="10">
        <v>1083.5730684308623</v>
      </c>
      <c r="P425" s="10">
        <v>5408.2380899445852</v>
      </c>
      <c r="Q425" s="10">
        <v>10741.609050909507</v>
      </c>
      <c r="R425" s="10">
        <v>1398.2143991952516</v>
      </c>
      <c r="S425" s="10">
        <v>909.24460175217109</v>
      </c>
      <c r="T425" s="10">
        <v>3079.1977488052034</v>
      </c>
      <c r="U425" s="10">
        <v>597.34332596852437</v>
      </c>
      <c r="V425" s="10">
        <v>268.6987230215301</v>
      </c>
      <c r="W425" s="10">
        <v>96109.15669767998</v>
      </c>
    </row>
    <row r="426" spans="3:23">
      <c r="C426" s="10" t="s">
        <v>919</v>
      </c>
      <c r="D426" s="10" t="s">
        <v>920</v>
      </c>
      <c r="E426" s="10">
        <v>16852.674295324421</v>
      </c>
      <c r="F426" s="10">
        <v>7380.0949618873137</v>
      </c>
      <c r="G426" s="10">
        <v>4390.1755447395299</v>
      </c>
      <c r="H426" s="10">
        <v>1732.7358294865871</v>
      </c>
      <c r="I426" s="10">
        <v>3152.1503801799549</v>
      </c>
      <c r="J426" s="10">
        <v>2411.3792056496086</v>
      </c>
      <c r="K426" s="10">
        <v>10955.090106583737</v>
      </c>
      <c r="L426" s="10">
        <v>7989.0118038630035</v>
      </c>
      <c r="M426" s="10">
        <v>38798.783149802461</v>
      </c>
      <c r="N426" s="10">
        <v>17058.638385209535</v>
      </c>
      <c r="O426" s="10">
        <v>2375.1123161043593</v>
      </c>
      <c r="P426" s="10">
        <v>10580.015903262909</v>
      </c>
      <c r="Q426" s="10">
        <v>20663.121450849663</v>
      </c>
      <c r="R426" s="10">
        <v>4797.7603586426967</v>
      </c>
      <c r="S426" s="10">
        <v>5352.0748868610099</v>
      </c>
      <c r="T426" s="10">
        <v>16613.482163887853</v>
      </c>
      <c r="U426" s="10">
        <v>2202.7069754396425</v>
      </c>
      <c r="V426" s="10">
        <v>171.09328222570787</v>
      </c>
      <c r="W426" s="10">
        <v>173476.10100000002</v>
      </c>
    </row>
    <row r="427" spans="3:23">
      <c r="C427" s="10" t="s">
        <v>429</v>
      </c>
      <c r="D427" s="10" t="s">
        <v>921</v>
      </c>
      <c r="E427" s="10">
        <v>1805.7012296419211</v>
      </c>
      <c r="F427" s="10">
        <v>2008.5838179318539</v>
      </c>
      <c r="G427" s="10">
        <v>439.66101623642999</v>
      </c>
      <c r="H427" s="10">
        <v>47.336295337393068</v>
      </c>
      <c r="I427" s="10">
        <v>95.285076082670329</v>
      </c>
      <c r="J427" s="10">
        <v>1170.6159673056886</v>
      </c>
      <c r="K427" s="10">
        <v>491.43453227562361</v>
      </c>
      <c r="L427" s="10">
        <v>755.92909366673427</v>
      </c>
      <c r="M427" s="10">
        <v>7469.8344674905784</v>
      </c>
      <c r="N427" s="10">
        <v>2022.6909629462464</v>
      </c>
      <c r="O427" s="10">
        <v>31.734056856995867</v>
      </c>
      <c r="P427" s="10">
        <v>850.97390935038584</v>
      </c>
      <c r="Q427" s="10">
        <v>10220.006759170641</v>
      </c>
      <c r="R427" s="10">
        <v>221.15585113984565</v>
      </c>
      <c r="S427" s="10">
        <v>611.58330628251474</v>
      </c>
      <c r="T427" s="10">
        <v>7192.9295328287608</v>
      </c>
      <c r="U427" s="10">
        <v>37.559435715212054</v>
      </c>
      <c r="V427" s="10">
        <v>1.3239497405036789</v>
      </c>
      <c r="W427" s="10">
        <v>35474.339260000001</v>
      </c>
    </row>
    <row r="428" spans="3:23">
      <c r="C428" s="10" t="s">
        <v>430</v>
      </c>
      <c r="D428" s="10" t="s">
        <v>431</v>
      </c>
      <c r="E428" s="10">
        <v>6668.9354978349802</v>
      </c>
      <c r="F428" s="10">
        <v>908.10893584607072</v>
      </c>
      <c r="G428" s="10">
        <v>709.2855216372991</v>
      </c>
      <c r="H428" s="10">
        <v>694.17500166629998</v>
      </c>
      <c r="I428" s="10">
        <v>1187.511174591998</v>
      </c>
      <c r="J428" s="10">
        <v>322.87653264530638</v>
      </c>
      <c r="K428" s="10">
        <v>1544.7471342905096</v>
      </c>
      <c r="L428" s="10">
        <v>1323.9254107828226</v>
      </c>
      <c r="M428" s="10">
        <v>6759.129461410037</v>
      </c>
      <c r="N428" s="10">
        <v>3380.2609897262819</v>
      </c>
      <c r="O428" s="10">
        <v>608.47035355921707</v>
      </c>
      <c r="P428" s="10">
        <v>2452.0379758234585</v>
      </c>
      <c r="Q428" s="10">
        <v>6951.4499522387669</v>
      </c>
      <c r="R428" s="10">
        <v>869.65134993802315</v>
      </c>
      <c r="S428" s="10">
        <v>538.35010343346369</v>
      </c>
      <c r="T428" s="10">
        <v>1916.7709003554601</v>
      </c>
      <c r="U428" s="10">
        <v>175.32020902659121</v>
      </c>
      <c r="V428" s="10">
        <v>92.25938519341409</v>
      </c>
      <c r="W428" s="10">
        <v>37103.265889999995</v>
      </c>
    </row>
    <row r="429" spans="3:23">
      <c r="C429" s="10" t="s">
        <v>432</v>
      </c>
      <c r="D429" s="10" t="s">
        <v>922</v>
      </c>
      <c r="E429" s="10">
        <v>4306.5416549558931</v>
      </c>
      <c r="F429" s="10">
        <v>683.34935728929986</v>
      </c>
      <c r="G429" s="10">
        <v>544.60658005488528</v>
      </c>
      <c r="H429" s="10">
        <v>566.39037278136482</v>
      </c>
      <c r="I429" s="10">
        <v>1079.9192191740105</v>
      </c>
      <c r="J429" s="10">
        <v>301.85721932612267</v>
      </c>
      <c r="K429" s="10">
        <v>1282.2163619077569</v>
      </c>
      <c r="L429" s="10">
        <v>1068.6981176562977</v>
      </c>
      <c r="M429" s="10">
        <v>3853.9511756661404</v>
      </c>
      <c r="N429" s="10">
        <v>2587.2735527428417</v>
      </c>
      <c r="O429" s="10">
        <v>563.45501342342141</v>
      </c>
      <c r="P429" s="10">
        <v>1410.055353039372</v>
      </c>
      <c r="Q429" s="10">
        <v>3311.2262427815604</v>
      </c>
      <c r="R429" s="10">
        <v>751.44867162029038</v>
      </c>
      <c r="S429" s="10">
        <v>328.63419128099224</v>
      </c>
      <c r="T429" s="10">
        <v>1120.1073059654768</v>
      </c>
      <c r="U429" s="10">
        <v>163.90683570235848</v>
      </c>
      <c r="V429" s="10">
        <v>86.25328463191569</v>
      </c>
      <c r="W429" s="10">
        <v>24009.890510000001</v>
      </c>
    </row>
    <row r="430" spans="3:23">
      <c r="C430" s="10" t="s">
        <v>433</v>
      </c>
      <c r="D430" s="10" t="s">
        <v>923</v>
      </c>
      <c r="E430" s="10">
        <v>800.91535280185133</v>
      </c>
      <c r="F430" s="10">
        <v>186.44951058766023</v>
      </c>
      <c r="G430" s="10">
        <v>149.13551283547815</v>
      </c>
      <c r="H430" s="10">
        <v>219.83594107664587</v>
      </c>
      <c r="I430" s="10">
        <v>61.908969864312951</v>
      </c>
      <c r="J430" s="10">
        <v>82.719600116956485</v>
      </c>
      <c r="K430" s="10">
        <v>324.47304776317281</v>
      </c>
      <c r="L430" s="10">
        <v>276.01582084497596</v>
      </c>
      <c r="M430" s="10">
        <v>1101.02177114248</v>
      </c>
      <c r="N430" s="10">
        <v>639.43736643832221</v>
      </c>
      <c r="O430" s="10">
        <v>155.36686336647759</v>
      </c>
      <c r="P430" s="10">
        <v>188.10255811303853</v>
      </c>
      <c r="Q430" s="10">
        <v>761.11543704529697</v>
      </c>
      <c r="R430" s="10">
        <v>207.87368946037589</v>
      </c>
      <c r="S430" s="10">
        <v>126.6893878095505</v>
      </c>
      <c r="T430" s="10">
        <v>320.00813402058662</v>
      </c>
      <c r="U430" s="10">
        <v>41.995422324459916</v>
      </c>
      <c r="V430" s="10">
        <v>7.0794743883588529</v>
      </c>
      <c r="W430" s="10">
        <v>5650.143860000002</v>
      </c>
    </row>
    <row r="431" spans="3:23">
      <c r="C431" s="10" t="s">
        <v>434</v>
      </c>
      <c r="D431" s="10" t="s">
        <v>924</v>
      </c>
      <c r="E431" s="10">
        <v>34.765534554631571</v>
      </c>
      <c r="F431" s="10">
        <v>11.521877445854669</v>
      </c>
      <c r="G431" s="10">
        <v>8.9623148422013656</v>
      </c>
      <c r="H431" s="10">
        <v>4.7748741690719552</v>
      </c>
      <c r="I431" s="10">
        <v>7.4300786548839248</v>
      </c>
      <c r="J431" s="10">
        <v>4.5439930647916347</v>
      </c>
      <c r="K431" s="10">
        <v>16.479734874364198</v>
      </c>
      <c r="L431" s="10">
        <v>12.779135850162127</v>
      </c>
      <c r="M431" s="10">
        <v>58.616632068240747</v>
      </c>
      <c r="N431" s="10">
        <v>28.138402768282539</v>
      </c>
      <c r="O431" s="10">
        <v>4.4121520144961233</v>
      </c>
      <c r="P431" s="10">
        <v>21.918007293944665</v>
      </c>
      <c r="Q431" s="10">
        <v>34.341397284017376</v>
      </c>
      <c r="R431" s="10">
        <v>8.7159612358929834</v>
      </c>
      <c r="S431" s="10">
        <v>7.1334192736261954</v>
      </c>
      <c r="T431" s="10">
        <v>24.262463912193731</v>
      </c>
      <c r="U431" s="10">
        <v>2.8054472099638779</v>
      </c>
      <c r="V431" s="10">
        <v>0.37056348338035322</v>
      </c>
      <c r="W431" s="10">
        <v>291.97199000000001</v>
      </c>
    </row>
    <row r="432" spans="3:23">
      <c r="C432" s="10"/>
      <c r="D432" s="10" t="s">
        <v>680</v>
      </c>
      <c r="E432" s="10">
        <v>376690.22141849319</v>
      </c>
      <c r="F432" s="10">
        <v>99787.378967982368</v>
      </c>
      <c r="G432" s="10">
        <v>94327.596795691119</v>
      </c>
      <c r="H432" s="10">
        <v>66861.049957137133</v>
      </c>
      <c r="I432" s="10">
        <v>97299.964400353041</v>
      </c>
      <c r="J432" s="10">
        <v>44526.249422382512</v>
      </c>
      <c r="K432" s="10">
        <v>133754.60004275155</v>
      </c>
      <c r="L432" s="10">
        <v>106756.8597679752</v>
      </c>
      <c r="M432" s="10">
        <v>499617.40352763579</v>
      </c>
      <c r="N432" s="10">
        <v>256332.74810942137</v>
      </c>
      <c r="O432" s="10">
        <v>42796.448151162964</v>
      </c>
      <c r="P432" s="10">
        <v>236552.98287025391</v>
      </c>
      <c r="Q432" s="10">
        <v>330821.58527274668</v>
      </c>
      <c r="R432" s="10">
        <v>86821.42486776915</v>
      </c>
      <c r="S432" s="10">
        <v>50857.764327092278</v>
      </c>
      <c r="T432" s="10">
        <v>191291.97185078845</v>
      </c>
      <c r="U432" s="10">
        <v>17850.207756803447</v>
      </c>
      <c r="V432" s="10">
        <v>4116.3261735643873</v>
      </c>
      <c r="W432" s="10">
        <v>2737062.7836800036</v>
      </c>
    </row>
    <row r="433" spans="3:23">
      <c r="C433" s="10" t="s">
        <v>667</v>
      </c>
      <c r="D433" s="10" t="s">
        <v>69</v>
      </c>
      <c r="E433" s="10" t="s">
        <v>9</v>
      </c>
      <c r="F433" s="10" t="s">
        <v>10</v>
      </c>
      <c r="G433" s="10" t="s">
        <v>11</v>
      </c>
      <c r="H433" s="10" t="s">
        <v>31</v>
      </c>
      <c r="I433" s="10" t="s">
        <v>12</v>
      </c>
      <c r="J433" s="10" t="s">
        <v>13</v>
      </c>
      <c r="K433" s="10" t="s">
        <v>14</v>
      </c>
      <c r="L433" s="10" t="s">
        <v>15</v>
      </c>
      <c r="M433" s="10" t="s">
        <v>16</v>
      </c>
      <c r="N433" s="10" t="s">
        <v>17</v>
      </c>
      <c r="O433" s="10" t="s">
        <v>18</v>
      </c>
      <c r="P433" s="10" t="s">
        <v>19</v>
      </c>
      <c r="Q433" s="10" t="s">
        <v>20</v>
      </c>
      <c r="R433" s="10" t="s">
        <v>60</v>
      </c>
      <c r="S433" s="10" t="s">
        <v>61</v>
      </c>
      <c r="T433" s="10" t="s">
        <v>62</v>
      </c>
      <c r="U433" s="10" t="s">
        <v>63</v>
      </c>
      <c r="V433" s="10" t="s">
        <v>64</v>
      </c>
      <c r="W433" s="10" t="s">
        <v>668</v>
      </c>
    </row>
    <row r="434" spans="3:23">
      <c r="C434" s="10" t="s">
        <v>636</v>
      </c>
      <c r="D434" s="10" t="s">
        <v>925</v>
      </c>
      <c r="E434" s="10">
        <v>4881289.9221754754</v>
      </c>
      <c r="F434" s="10">
        <v>918887.17586426123</v>
      </c>
      <c r="G434" s="10">
        <v>885959.85778149008</v>
      </c>
      <c r="H434" s="10">
        <v>517796.82604708738</v>
      </c>
      <c r="I434" s="10">
        <v>1340140.0373991255</v>
      </c>
      <c r="J434" s="10">
        <v>420407.29814111901</v>
      </c>
      <c r="K434" s="10">
        <v>1844920.695023065</v>
      </c>
      <c r="L434" s="10">
        <v>1257932.7061391138</v>
      </c>
      <c r="M434" s="10">
        <v>4428297.0414374759</v>
      </c>
      <c r="N434" s="10">
        <v>2683086.9701642944</v>
      </c>
      <c r="O434" s="10">
        <v>769763.89954844443</v>
      </c>
      <c r="P434" s="10">
        <v>1954902.7666856637</v>
      </c>
      <c r="Q434" s="10">
        <v>3411712.906705969</v>
      </c>
      <c r="R434" s="10">
        <v>777929.06105236069</v>
      </c>
      <c r="S434" s="10">
        <v>275385.57010976109</v>
      </c>
      <c r="T434" s="10">
        <v>1226361.0059599262</v>
      </c>
      <c r="U434" s="10">
        <v>215755.50245888348</v>
      </c>
      <c r="V434" s="10">
        <v>175554.43862648957</v>
      </c>
      <c r="W434" s="10">
        <v>27986083.681320012</v>
      </c>
    </row>
    <row r="435" spans="3:23">
      <c r="C435" s="10" t="s">
        <v>637</v>
      </c>
      <c r="D435" s="10" t="s">
        <v>926</v>
      </c>
      <c r="E435" s="10">
        <v>52109.774622670033</v>
      </c>
      <c r="F435" s="10">
        <v>9809.4979813467216</v>
      </c>
      <c r="G435" s="10">
        <v>9457.9853378491061</v>
      </c>
      <c r="H435" s="10">
        <v>5527.6937727194545</v>
      </c>
      <c r="I435" s="10">
        <v>14306.545283129071</v>
      </c>
      <c r="J435" s="10">
        <v>4488.020565288567</v>
      </c>
      <c r="K435" s="10">
        <v>19695.286112303911</v>
      </c>
      <c r="L435" s="10">
        <v>13428.948260090294</v>
      </c>
      <c r="M435" s="10">
        <v>47273.889580543531</v>
      </c>
      <c r="N435" s="10">
        <v>28643.055327058246</v>
      </c>
      <c r="O435" s="10">
        <v>8217.5457630387973</v>
      </c>
      <c r="P435" s="10">
        <v>20869.389895985361</v>
      </c>
      <c r="Q435" s="10">
        <v>36421.436439995065</v>
      </c>
      <c r="R435" s="10">
        <v>8304.7122154541357</v>
      </c>
      <c r="S435" s="10">
        <v>2939.8540593875578</v>
      </c>
      <c r="T435" s="10">
        <v>13091.90739445395</v>
      </c>
      <c r="U435" s="10">
        <v>2303.2785976626897</v>
      </c>
      <c r="V435" s="10">
        <v>1874.1157310235403</v>
      </c>
      <c r="W435" s="10">
        <v>298762.9369400001</v>
      </c>
    </row>
    <row r="436" spans="3:23">
      <c r="C436" s="10"/>
      <c r="D436" s="10" t="s">
        <v>680</v>
      </c>
      <c r="E436" s="10">
        <v>4933399.6967981458</v>
      </c>
      <c r="F436" s="10">
        <v>928696.6738456079</v>
      </c>
      <c r="G436" s="10">
        <v>895417.8431193392</v>
      </c>
      <c r="H436" s="10">
        <v>523324.51981980685</v>
      </c>
      <c r="I436" s="10">
        <v>1354446.5826822545</v>
      </c>
      <c r="J436" s="10">
        <v>424895.31870640756</v>
      </c>
      <c r="K436" s="10">
        <v>1864615.9811353688</v>
      </c>
      <c r="L436" s="10">
        <v>1271361.6543992041</v>
      </c>
      <c r="M436" s="10">
        <v>4475570.9310180191</v>
      </c>
      <c r="N436" s="10">
        <v>2711730.0254913527</v>
      </c>
      <c r="O436" s="10">
        <v>777981.44531148323</v>
      </c>
      <c r="P436" s="10">
        <v>1975772.1565816491</v>
      </c>
      <c r="Q436" s="10">
        <v>3448134.3431459642</v>
      </c>
      <c r="R436" s="10">
        <v>786233.77326781477</v>
      </c>
      <c r="S436" s="10">
        <v>278325.42416914867</v>
      </c>
      <c r="T436" s="10">
        <v>1239452.9133543801</v>
      </c>
      <c r="U436" s="10">
        <v>218058.78105654617</v>
      </c>
      <c r="V436" s="10">
        <v>177428.55435751312</v>
      </c>
      <c r="W436" s="10">
        <v>28284846.618260011</v>
      </c>
    </row>
    <row r="437" spans="3:23">
      <c r="D437" s="10" t="s">
        <v>927</v>
      </c>
      <c r="E437" s="10" t="s">
        <v>9</v>
      </c>
      <c r="F437" s="10" t="s">
        <v>10</v>
      </c>
      <c r="G437" s="10" t="s">
        <v>11</v>
      </c>
      <c r="H437" s="10" t="s">
        <v>31</v>
      </c>
      <c r="I437" s="10" t="s">
        <v>12</v>
      </c>
      <c r="J437" s="10" t="s">
        <v>13</v>
      </c>
      <c r="K437" s="10" t="s">
        <v>14</v>
      </c>
      <c r="L437" s="10" t="s">
        <v>15</v>
      </c>
      <c r="M437" s="10" t="s">
        <v>16</v>
      </c>
      <c r="N437" s="10" t="s">
        <v>17</v>
      </c>
      <c r="O437" s="10" t="s">
        <v>18</v>
      </c>
      <c r="P437" s="10" t="s">
        <v>19</v>
      </c>
      <c r="Q437" s="10" t="s">
        <v>20</v>
      </c>
      <c r="R437" s="10" t="s">
        <v>60</v>
      </c>
      <c r="S437" s="10" t="s">
        <v>61</v>
      </c>
      <c r="T437" s="10" t="s">
        <v>62</v>
      </c>
      <c r="U437" s="10" t="s">
        <v>63</v>
      </c>
      <c r="V437" s="10" t="s">
        <v>64</v>
      </c>
      <c r="W437" s="10" t="s">
        <v>668</v>
      </c>
    </row>
    <row r="438" spans="3:23">
      <c r="C438" s="15" t="s">
        <v>438</v>
      </c>
      <c r="D438" s="10" t="s">
        <v>928</v>
      </c>
      <c r="E438" s="10">
        <v>8576400.6365719344</v>
      </c>
      <c r="F438" s="10">
        <v>2339875.7415281972</v>
      </c>
      <c r="G438" s="10">
        <v>1849159.0749856797</v>
      </c>
      <c r="H438" s="10">
        <v>1731023.7095327405</v>
      </c>
      <c r="I438" s="10">
        <v>2364679.0711969454</v>
      </c>
      <c r="J438" s="10">
        <v>947051.19744027872</v>
      </c>
      <c r="K438" s="10">
        <v>3793110.2887879983</v>
      </c>
      <c r="L438" s="10">
        <v>2298495.9066225518</v>
      </c>
      <c r="M438" s="10">
        <v>15277079.93168911</v>
      </c>
      <c r="N438" s="10">
        <v>6397616.9215749241</v>
      </c>
      <c r="O438" s="10">
        <v>1036178.9097570472</v>
      </c>
      <c r="P438" s="10">
        <v>3738345.4533853456</v>
      </c>
      <c r="Q438" s="10">
        <v>17724237.842415735</v>
      </c>
      <c r="R438" s="10">
        <v>1581700.1779307621</v>
      </c>
      <c r="S438" s="10">
        <v>1346207.888955889</v>
      </c>
      <c r="T438" s="10">
        <v>5084513.464062823</v>
      </c>
      <c r="U438" s="10">
        <v>517951.76558282046</v>
      </c>
      <c r="V438" s="10">
        <v>160815.29324681126</v>
      </c>
      <c r="W438" s="10">
        <v>76764443.275267586</v>
      </c>
    </row>
    <row r="439" spans="3:23">
      <c r="C439" s="15" t="s">
        <v>439</v>
      </c>
      <c r="D439" s="10" t="s">
        <v>929</v>
      </c>
      <c r="E439" s="10">
        <v>3223686.8484483398</v>
      </c>
      <c r="F439" s="10">
        <v>677870.51793394622</v>
      </c>
      <c r="G439" s="10">
        <v>480963.07073401322</v>
      </c>
      <c r="H439" s="10">
        <v>506104.0738809749</v>
      </c>
      <c r="I439" s="10">
        <v>840980.20993156882</v>
      </c>
      <c r="J439" s="10">
        <v>292216.43630884547</v>
      </c>
      <c r="K439" s="10">
        <v>1171514.891124873</v>
      </c>
      <c r="L439" s="10">
        <v>799759.13380943122</v>
      </c>
      <c r="M439" s="10">
        <v>3674787.037119688</v>
      </c>
      <c r="N439" s="10">
        <v>2081152.2229942649</v>
      </c>
      <c r="O439" s="10">
        <v>433983.96096497559</v>
      </c>
      <c r="P439" s="10">
        <v>1214528.7177209398</v>
      </c>
      <c r="Q439" s="10">
        <v>3816064.5165555319</v>
      </c>
      <c r="R439" s="10">
        <v>576403.84006878431</v>
      </c>
      <c r="S439" s="10">
        <v>307223.35942513816</v>
      </c>
      <c r="T439" s="10">
        <v>1180339.8599229795</v>
      </c>
      <c r="U439" s="10">
        <v>152638.78974304537</v>
      </c>
      <c r="V439" s="10">
        <v>106635.48916684123</v>
      </c>
      <c r="W439" s="10">
        <v>21536852.975854184</v>
      </c>
    </row>
    <row r="440" spans="3:23">
      <c r="C440" s="15" t="s">
        <v>440</v>
      </c>
      <c r="D440" s="10" t="s">
        <v>930</v>
      </c>
      <c r="E440" s="10">
        <v>263001.21391773754</v>
      </c>
      <c r="F440" s="10">
        <v>41732.258711620954</v>
      </c>
      <c r="G440" s="10">
        <v>33259.214269341443</v>
      </c>
      <c r="H440" s="10">
        <v>34589.554108085009</v>
      </c>
      <c r="I440" s="10">
        <v>65950.846022588608</v>
      </c>
      <c r="J440" s="10">
        <v>18434.470504016543</v>
      </c>
      <c r="K440" s="10">
        <v>78305.166118352325</v>
      </c>
      <c r="L440" s="10">
        <v>65265.571489772585</v>
      </c>
      <c r="M440" s="10">
        <v>235361.43820029247</v>
      </c>
      <c r="N440" s="10">
        <v>158005.22545174221</v>
      </c>
      <c r="O440" s="10">
        <v>34410.291224714201</v>
      </c>
      <c r="P440" s="10">
        <v>86112.314532891003</v>
      </c>
      <c r="Q440" s="10">
        <v>202217.1364360665</v>
      </c>
      <c r="R440" s="10">
        <v>45891.095144888786</v>
      </c>
      <c r="S440" s="10">
        <v>20069.744627295411</v>
      </c>
      <c r="T440" s="10">
        <v>68405.139155693178</v>
      </c>
      <c r="U440" s="10">
        <v>10009.817671106897</v>
      </c>
      <c r="V440" s="10">
        <v>5267.5024137943228</v>
      </c>
      <c r="W440" s="10">
        <v>1466288</v>
      </c>
    </row>
    <row r="441" spans="3:23">
      <c r="C441" s="15" t="s">
        <v>442</v>
      </c>
      <c r="D441" s="10" t="s">
        <v>441</v>
      </c>
      <c r="E441" s="10">
        <v>267772.39252638805</v>
      </c>
      <c r="F441" s="10">
        <v>98234.80252635428</v>
      </c>
      <c r="G441" s="10">
        <v>77365.879995279363</v>
      </c>
      <c r="H441" s="10">
        <v>46774.709183069826</v>
      </c>
      <c r="I441" s="10">
        <v>61389.334514813396</v>
      </c>
      <c r="J441" s="10">
        <v>45245.587707323102</v>
      </c>
      <c r="K441" s="10">
        <v>166071.68403513142</v>
      </c>
      <c r="L441" s="10">
        <v>76403.228653459199</v>
      </c>
      <c r="M441" s="10">
        <v>452428.20261658466</v>
      </c>
      <c r="N441" s="10">
        <v>239523.05978010621</v>
      </c>
      <c r="O441" s="10">
        <v>40771.413518974332</v>
      </c>
      <c r="P441" s="10">
        <v>185072.7461725614</v>
      </c>
      <c r="Q441" s="10">
        <v>429515.37482684536</v>
      </c>
      <c r="R441" s="10">
        <v>46264.891841190554</v>
      </c>
      <c r="S441" s="10">
        <v>28975.343904098117</v>
      </c>
      <c r="T441" s="10">
        <v>139782.00309962628</v>
      </c>
      <c r="U441" s="10">
        <v>21570.14585345237</v>
      </c>
      <c r="V441" s="10">
        <v>7293.074236770658</v>
      </c>
      <c r="W441" s="10">
        <v>2430453.8749920283</v>
      </c>
    </row>
    <row r="442" spans="3:23">
      <c r="C442" s="15" t="s">
        <v>662</v>
      </c>
      <c r="D442" s="10" t="s">
        <v>663</v>
      </c>
      <c r="E442" s="10">
        <v>3671.069970738582</v>
      </c>
      <c r="F442" s="10">
        <v>582.51458038990029</v>
      </c>
      <c r="G442" s="10">
        <v>464.24463574046251</v>
      </c>
      <c r="H442" s="10">
        <v>482.81402011758661</v>
      </c>
      <c r="I442" s="10">
        <v>920.56674101153465</v>
      </c>
      <c r="J442" s="10">
        <v>257.31528035809242</v>
      </c>
      <c r="K442" s="10">
        <v>1093.0129926346783</v>
      </c>
      <c r="L442" s="10">
        <v>911.00142105860209</v>
      </c>
      <c r="M442" s="10">
        <v>3285.2635741719132</v>
      </c>
      <c r="N442" s="10">
        <v>2205.4964299788362</v>
      </c>
      <c r="O442" s="10">
        <v>480.31180129430612</v>
      </c>
      <c r="P442" s="10">
        <v>1201.9881098015396</v>
      </c>
      <c r="Q442" s="10">
        <v>2822.6229304454332</v>
      </c>
      <c r="R442" s="10">
        <v>640.56518523676027</v>
      </c>
      <c r="S442" s="10">
        <v>280.14105229453912</v>
      </c>
      <c r="T442" s="10">
        <v>954.82468866932834</v>
      </c>
      <c r="U442" s="10">
        <v>139.72080401295304</v>
      </c>
      <c r="V442" s="10">
        <v>73.525782044951882</v>
      </c>
      <c r="W442" s="10">
        <v>20466.999999999996</v>
      </c>
    </row>
    <row r="443" spans="3:23">
      <c r="D443" s="10" t="s">
        <v>680</v>
      </c>
      <c r="E443" s="10">
        <v>12334532.161435138</v>
      </c>
      <c r="F443" s="10">
        <v>3158295.8352805087</v>
      </c>
      <c r="G443" s="10">
        <v>2441211.4846200543</v>
      </c>
      <c r="H443" s="10">
        <v>2318974.8607249884</v>
      </c>
      <c r="I443" s="10">
        <v>3333920.0284069278</v>
      </c>
      <c r="J443" s="10">
        <v>1303205.0072408218</v>
      </c>
      <c r="K443" s="10">
        <v>5210095.0430589896</v>
      </c>
      <c r="L443" s="10">
        <v>3240834.8419962735</v>
      </c>
      <c r="M443" s="10">
        <v>19642941.873199843</v>
      </c>
      <c r="N443" s="10">
        <v>8878502.9262310136</v>
      </c>
      <c r="O443" s="10">
        <v>1545824.8872670056</v>
      </c>
      <c r="P443" s="10">
        <v>5225261.2199215395</v>
      </c>
      <c r="Q443" s="10">
        <v>22174857.493164625</v>
      </c>
      <c r="R443" s="10">
        <v>2250900.5701708626</v>
      </c>
      <c r="S443" s="10">
        <v>1702756.4779647151</v>
      </c>
      <c r="T443" s="10">
        <v>6473995.2909297906</v>
      </c>
      <c r="U443" s="10">
        <v>702310.2396544381</v>
      </c>
      <c r="V443" s="10">
        <v>280084.88484626252</v>
      </c>
      <c r="W443" s="10">
        <v>102218505.1261138</v>
      </c>
    </row>
    <row r="444" spans="3:23">
      <c r="D444" s="10" t="s">
        <v>1124</v>
      </c>
      <c r="E444" s="10" t="s">
        <v>9</v>
      </c>
      <c r="F444" s="10" t="s">
        <v>10</v>
      </c>
      <c r="G444" s="10" t="s">
        <v>11</v>
      </c>
      <c r="H444" s="10" t="s">
        <v>31</v>
      </c>
      <c r="I444" s="10" t="s">
        <v>12</v>
      </c>
      <c r="J444" s="10" t="s">
        <v>13</v>
      </c>
      <c r="K444" s="10" t="s">
        <v>14</v>
      </c>
      <c r="L444" s="10" t="s">
        <v>15</v>
      </c>
      <c r="M444" s="10" t="s">
        <v>16</v>
      </c>
      <c r="N444" s="10" t="s">
        <v>17</v>
      </c>
      <c r="O444" s="10" t="s">
        <v>18</v>
      </c>
      <c r="P444" s="10" t="s">
        <v>19</v>
      </c>
      <c r="Q444" s="10" t="s">
        <v>20</v>
      </c>
      <c r="R444" s="10" t="s">
        <v>60</v>
      </c>
      <c r="S444" s="10" t="s">
        <v>61</v>
      </c>
      <c r="T444" s="10" t="s">
        <v>62</v>
      </c>
      <c r="U444" s="10" t="s">
        <v>63</v>
      </c>
      <c r="V444" s="10" t="s">
        <v>64</v>
      </c>
      <c r="W444" s="10" t="s">
        <v>668</v>
      </c>
    </row>
    <row r="445" spans="3:23">
      <c r="C445" s="15" t="s">
        <v>443</v>
      </c>
      <c r="D445" s="10" t="s">
        <v>931</v>
      </c>
      <c r="E445" s="10">
        <v>9387668.4004770163</v>
      </c>
      <c r="F445" s="10">
        <v>1774362.2283144183</v>
      </c>
      <c r="G445" s="10">
        <v>1351753.160081361</v>
      </c>
      <c r="H445" s="10">
        <v>1461860.4273577263</v>
      </c>
      <c r="I445" s="10">
        <v>205439.93999776046</v>
      </c>
      <c r="J445" s="10">
        <v>778102.69812960317</v>
      </c>
      <c r="K445" s="10">
        <v>3092820.0214350149</v>
      </c>
      <c r="L445" s="10">
        <v>2352752.5977290301</v>
      </c>
      <c r="M445" s="10">
        <v>10371090.186391203</v>
      </c>
      <c r="N445" s="10">
        <v>5905957.4629032183</v>
      </c>
      <c r="O445" s="10">
        <v>1192654.3438347173</v>
      </c>
      <c r="P445" s="10">
        <v>3417670.9949345752</v>
      </c>
      <c r="Q445" s="10">
        <v>9347521.6238693576</v>
      </c>
      <c r="R445" s="10">
        <v>1576775.9560073176</v>
      </c>
      <c r="S445" s="10">
        <v>946299.06469718274</v>
      </c>
      <c r="T445" s="10">
        <v>3524832.6749227894</v>
      </c>
      <c r="U445" s="10">
        <v>423347.04742437322</v>
      </c>
      <c r="V445" s="10">
        <v>18019.210593331994</v>
      </c>
      <c r="W445" s="10">
        <v>57128928.039099999</v>
      </c>
    </row>
    <row r="446" spans="3:23">
      <c r="C446" s="15" t="s">
        <v>444</v>
      </c>
      <c r="D446" s="10" t="s">
        <v>932</v>
      </c>
      <c r="E446" s="10">
        <v>3535285.8793329448</v>
      </c>
      <c r="F446" s="10">
        <v>569752.42013284669</v>
      </c>
      <c r="G446" s="10">
        <v>462887.50466814282</v>
      </c>
      <c r="H446" s="10">
        <v>496341.89327014913</v>
      </c>
      <c r="I446" s="10">
        <v>155306.50116975448</v>
      </c>
      <c r="J446" s="10">
        <v>274511.35118708166</v>
      </c>
      <c r="K446" s="10">
        <v>1040992.739138099</v>
      </c>
      <c r="L446" s="10">
        <v>914389.39418306248</v>
      </c>
      <c r="M446" s="10">
        <v>3186019.7505528517</v>
      </c>
      <c r="N446" s="10">
        <v>2066583.2159203619</v>
      </c>
      <c r="O446" s="10">
        <v>462520.38953553897</v>
      </c>
      <c r="P446" s="10">
        <v>1134583.4828308965</v>
      </c>
      <c r="Q446" s="10">
        <v>2929424.0961165256</v>
      </c>
      <c r="R446" s="10">
        <v>597505.69930264668</v>
      </c>
      <c r="S446" s="10">
        <v>258696.55894315263</v>
      </c>
      <c r="T446" s="10">
        <v>915860.75160328229</v>
      </c>
      <c r="U446" s="10">
        <v>126210.22475692257</v>
      </c>
      <c r="V446" s="10">
        <v>27310.287355739274</v>
      </c>
      <c r="W446" s="10">
        <v>19154182.140000001</v>
      </c>
    </row>
    <row r="447" spans="3:23">
      <c r="C447" s="15" t="s">
        <v>445</v>
      </c>
      <c r="D447" s="10" t="s">
        <v>933</v>
      </c>
      <c r="E447" s="10">
        <v>267807.20792448713</v>
      </c>
      <c r="F447" s="10">
        <v>44150.860130466972</v>
      </c>
      <c r="G447" s="10">
        <v>34917.382699929913</v>
      </c>
      <c r="H447" s="10">
        <v>43801.74899447737</v>
      </c>
      <c r="I447" s="10">
        <v>62173.523836670211</v>
      </c>
      <c r="J447" s="10">
        <v>19470.12552510055</v>
      </c>
      <c r="K447" s="10">
        <v>79083.790624202069</v>
      </c>
      <c r="L447" s="10">
        <v>66082.7142185501</v>
      </c>
      <c r="M447" s="10">
        <v>267345.27235216234</v>
      </c>
      <c r="N447" s="10">
        <v>167139.06986290443</v>
      </c>
      <c r="O447" s="10">
        <v>33518.441321479739</v>
      </c>
      <c r="P447" s="10">
        <v>87534.416240371676</v>
      </c>
      <c r="Q447" s="10">
        <v>226868.09200027186</v>
      </c>
      <c r="R447" s="10">
        <v>44993.761358636664</v>
      </c>
      <c r="S447" s="10">
        <v>20725.796059462478</v>
      </c>
      <c r="T447" s="10">
        <v>77638.794406015732</v>
      </c>
      <c r="U447" s="10">
        <v>10019.785193077869</v>
      </c>
      <c r="V447" s="10">
        <v>4641.2172517327899</v>
      </c>
      <c r="W447" s="10">
        <v>1557911.9999999998</v>
      </c>
    </row>
    <row r="448" spans="3:23">
      <c r="C448" s="15" t="s">
        <v>446</v>
      </c>
      <c r="D448" s="10" t="s">
        <v>934</v>
      </c>
      <c r="E448" s="10">
        <v>50586.957022352806</v>
      </c>
      <c r="F448" s="10">
        <v>7477.9474632846322</v>
      </c>
      <c r="G448" s="10">
        <v>4952.1750413483742</v>
      </c>
      <c r="H448" s="10">
        <v>8136.2772568145665</v>
      </c>
      <c r="I448" s="10">
        <v>2065.1935408628688</v>
      </c>
      <c r="J448" s="10">
        <v>4585.4450998205421</v>
      </c>
      <c r="K448" s="10">
        <v>12308.954164802413</v>
      </c>
      <c r="L448" s="10">
        <v>11280.929045222329</v>
      </c>
      <c r="M448" s="10">
        <v>66057.467314681053</v>
      </c>
      <c r="N448" s="10">
        <v>34478.122146105743</v>
      </c>
      <c r="O448" s="10">
        <v>5315.221769268137</v>
      </c>
      <c r="P448" s="10">
        <v>15343.408550569191</v>
      </c>
      <c r="Q448" s="10">
        <v>56007.100617737378</v>
      </c>
      <c r="R448" s="10">
        <v>10014.517682386992</v>
      </c>
      <c r="S448" s="10">
        <v>4972.435888957094</v>
      </c>
      <c r="T448" s="10">
        <v>17438.085771616461</v>
      </c>
      <c r="U448" s="10">
        <v>1530.3652964093712</v>
      </c>
      <c r="V448" s="10">
        <v>303.17632776010822</v>
      </c>
      <c r="W448" s="10">
        <v>312853.78000000003</v>
      </c>
    </row>
    <row r="449" spans="3:23">
      <c r="C449" s="15" t="s">
        <v>448</v>
      </c>
      <c r="D449" s="10" t="s">
        <v>447</v>
      </c>
      <c r="E449" s="10">
        <v>217716.09983880623</v>
      </c>
      <c r="F449" s="10">
        <v>39179.519790269107</v>
      </c>
      <c r="G449" s="10">
        <v>31518.268557884101</v>
      </c>
      <c r="H449" s="10">
        <v>35594.820213580439</v>
      </c>
      <c r="I449" s="10">
        <v>4764.5033980986163</v>
      </c>
      <c r="J449" s="10">
        <v>17854.698296104882</v>
      </c>
      <c r="K449" s="10">
        <v>70665.286265798757</v>
      </c>
      <c r="L449" s="10">
        <v>53156.339742783341</v>
      </c>
      <c r="M449" s="10">
        <v>241878.37764304029</v>
      </c>
      <c r="N449" s="10">
        <v>138072.71916132225</v>
      </c>
      <c r="O449" s="10">
        <v>26892.67202191264</v>
      </c>
      <c r="P449" s="10">
        <v>76553.425472468123</v>
      </c>
      <c r="Q449" s="10">
        <v>215669.29538406315</v>
      </c>
      <c r="R449" s="10">
        <v>36302.000700730779</v>
      </c>
      <c r="S449" s="10">
        <v>19699.157598639809</v>
      </c>
      <c r="T449" s="10">
        <v>75529.929526862092</v>
      </c>
      <c r="U449" s="10">
        <v>9211.8993319968158</v>
      </c>
      <c r="V449" s="10">
        <v>344.98705563804867</v>
      </c>
      <c r="W449" s="10">
        <v>1310603.9999999998</v>
      </c>
    </row>
    <row r="450" spans="3:23">
      <c r="C450" s="15" t="s">
        <v>449</v>
      </c>
      <c r="D450" s="10" t="s">
        <v>935</v>
      </c>
      <c r="E450" s="10">
        <v>230469.44989410945</v>
      </c>
      <c r="F450" s="10">
        <v>40533.593268794553</v>
      </c>
      <c r="G450" s="10">
        <v>33536.567688769719</v>
      </c>
      <c r="H450" s="10">
        <v>36204.017552022531</v>
      </c>
      <c r="I450" s="10">
        <v>55321.739602853573</v>
      </c>
      <c r="J450" s="10">
        <v>19678.303284382921</v>
      </c>
      <c r="K450" s="10">
        <v>72921.114242505893</v>
      </c>
      <c r="L450" s="10">
        <v>56881.490697865142</v>
      </c>
      <c r="M450" s="10">
        <v>233028.73104055243</v>
      </c>
      <c r="N450" s="10">
        <v>149209.23336877357</v>
      </c>
      <c r="O450" s="10">
        <v>30101.791290806301</v>
      </c>
      <c r="P450" s="10">
        <v>84478.176699101707</v>
      </c>
      <c r="Q450" s="10">
        <v>224800.44549125509</v>
      </c>
      <c r="R450" s="10">
        <v>42477.426125426253</v>
      </c>
      <c r="S450" s="10">
        <v>19956.855211045775</v>
      </c>
      <c r="T450" s="10">
        <v>74377.645120732835</v>
      </c>
      <c r="U450" s="10">
        <v>9469.6912966348318</v>
      </c>
      <c r="V450" s="10">
        <v>4165.7281243672314</v>
      </c>
      <c r="W450" s="10">
        <v>1417611.9999999998</v>
      </c>
    </row>
    <row r="451" spans="3:23">
      <c r="C451" s="15" t="s">
        <v>451</v>
      </c>
      <c r="D451" s="10" t="s">
        <v>450</v>
      </c>
      <c r="E451" s="10">
        <v>810299.74372841907</v>
      </c>
      <c r="F451" s="10">
        <v>146741.51667035586</v>
      </c>
      <c r="G451" s="10">
        <v>104605.78394947216</v>
      </c>
      <c r="H451" s="10">
        <v>135377.735118251</v>
      </c>
      <c r="I451" s="10">
        <v>200920.22663270475</v>
      </c>
      <c r="J451" s="10">
        <v>59720.816553272198</v>
      </c>
      <c r="K451" s="10">
        <v>257681.76678491978</v>
      </c>
      <c r="L451" s="10">
        <v>190168.23972574138</v>
      </c>
      <c r="M451" s="10">
        <v>896193.92966280621</v>
      </c>
      <c r="N451" s="10">
        <v>506384.09457629145</v>
      </c>
      <c r="O451" s="10">
        <v>92389.484559819917</v>
      </c>
      <c r="P451" s="10">
        <v>248850.3752403165</v>
      </c>
      <c r="Q451" s="10">
        <v>931937.38445296045</v>
      </c>
      <c r="R451" s="10">
        <v>129086.6533862596</v>
      </c>
      <c r="S451" s="10">
        <v>75308.589861617467</v>
      </c>
      <c r="T451" s="10">
        <v>306260.65194085002</v>
      </c>
      <c r="U451" s="10">
        <v>34083.226318259229</v>
      </c>
      <c r="V451" s="10">
        <v>15650.367992894064</v>
      </c>
      <c r="W451" s="10">
        <v>5141660.5871552099</v>
      </c>
    </row>
    <row r="452" spans="3:23">
      <c r="C452" s="15" t="s">
        <v>452</v>
      </c>
      <c r="D452" s="10" t="s">
        <v>936</v>
      </c>
      <c r="E452" s="10">
        <v>35618.061732926188</v>
      </c>
      <c r="F452" s="10">
        <v>5522.8906422778073</v>
      </c>
      <c r="G452" s="10">
        <v>4584.9392112184887</v>
      </c>
      <c r="H452" s="10">
        <v>5279.2930571355246</v>
      </c>
      <c r="I452" s="10">
        <v>2027.9182861496249</v>
      </c>
      <c r="J452" s="10">
        <v>2960.5370456710298</v>
      </c>
      <c r="K452" s="10">
        <v>10781.956333417857</v>
      </c>
      <c r="L452" s="10">
        <v>9064.8013948426069</v>
      </c>
      <c r="M452" s="10">
        <v>33667.562378082708</v>
      </c>
      <c r="N452" s="10">
        <v>20736.766658421435</v>
      </c>
      <c r="O452" s="10">
        <v>4568.8128843776676</v>
      </c>
      <c r="P452" s="10">
        <v>12145.602812255873</v>
      </c>
      <c r="Q452" s="10">
        <v>30498.307073215492</v>
      </c>
      <c r="R452" s="10">
        <v>6404.6407063711658</v>
      </c>
      <c r="S452" s="10">
        <v>2869.8199157007207</v>
      </c>
      <c r="T452" s="10">
        <v>9143.1183474099398</v>
      </c>
      <c r="U452" s="10">
        <v>1276.0413234024877</v>
      </c>
      <c r="V452" s="10">
        <v>470.00828712344236</v>
      </c>
      <c r="W452" s="10">
        <v>197621.07809000005</v>
      </c>
    </row>
    <row r="453" spans="3:23">
      <c r="C453" s="15" t="s">
        <v>453</v>
      </c>
      <c r="D453" s="10" t="s">
        <v>937</v>
      </c>
      <c r="E453" s="10">
        <v>155247.23701912822</v>
      </c>
      <c r="F453" s="10">
        <v>30212.076213095825</v>
      </c>
      <c r="G453" s="10">
        <v>22020.520748542473</v>
      </c>
      <c r="H453" s="10">
        <v>31739.105418209616</v>
      </c>
      <c r="I453" s="10">
        <v>35931.748403043821</v>
      </c>
      <c r="J453" s="10">
        <v>13795.548345740899</v>
      </c>
      <c r="K453" s="10">
        <v>61433.521326274815</v>
      </c>
      <c r="L453" s="10">
        <v>44082.279768777749</v>
      </c>
      <c r="M453" s="10">
        <v>147792.58971874628</v>
      </c>
      <c r="N453" s="10">
        <v>139800.28586107091</v>
      </c>
      <c r="O453" s="10">
        <v>19116.817660254274</v>
      </c>
      <c r="P453" s="10">
        <v>51241.837797608496</v>
      </c>
      <c r="Q453" s="10">
        <v>254135.49015053085</v>
      </c>
      <c r="R453" s="10">
        <v>23336.533380918387</v>
      </c>
      <c r="S453" s="10">
        <v>11349.299374996583</v>
      </c>
      <c r="T453" s="10">
        <v>33287.545506252529</v>
      </c>
      <c r="U453" s="10">
        <v>5253.2015296426898</v>
      </c>
      <c r="V453" s="10">
        <v>2103.0909035772106</v>
      </c>
      <c r="W453" s="10">
        <v>1081878.7291264117</v>
      </c>
    </row>
    <row r="454" spans="3:23">
      <c r="C454" s="15" t="s">
        <v>454</v>
      </c>
      <c r="D454" s="10" t="s">
        <v>938</v>
      </c>
      <c r="E454" s="10">
        <v>178285.46620594242</v>
      </c>
      <c r="F454" s="10">
        <v>28996.825275058058</v>
      </c>
      <c r="G454" s="10">
        <v>27661.434347042374</v>
      </c>
      <c r="H454" s="10">
        <v>23922.434289469009</v>
      </c>
      <c r="I454" s="10">
        <v>2909822.9111958188</v>
      </c>
      <c r="J454" s="10">
        <v>14307.417783209248</v>
      </c>
      <c r="K454" s="10">
        <v>56150.027720480342</v>
      </c>
      <c r="L454" s="10">
        <v>44415.45801135974</v>
      </c>
      <c r="M454" s="10">
        <v>163755.67979867064</v>
      </c>
      <c r="N454" s="10">
        <v>108168.01565421307</v>
      </c>
      <c r="O454" s="10">
        <v>23060.495720405306</v>
      </c>
      <c r="P454" s="10">
        <v>65361.426148120314</v>
      </c>
      <c r="Q454" s="10">
        <v>151615.33232868713</v>
      </c>
      <c r="R454" s="10">
        <v>30908.720725166513</v>
      </c>
      <c r="S454" s="10">
        <v>15042.25302610725</v>
      </c>
      <c r="T454" s="10">
        <v>56715.249732104079</v>
      </c>
      <c r="U454" s="10">
        <v>6889.6087203483312</v>
      </c>
      <c r="V454" s="10">
        <v>3619.1649783743401</v>
      </c>
      <c r="W454" s="10">
        <v>3908697.9216605769</v>
      </c>
    </row>
    <row r="455" spans="3:23">
      <c r="C455" s="15" t="s">
        <v>456</v>
      </c>
      <c r="D455" s="10" t="s">
        <v>455</v>
      </c>
      <c r="E455" s="10">
        <v>0</v>
      </c>
      <c r="F455" s="10">
        <v>0</v>
      </c>
      <c r="G455" s="10">
        <v>0</v>
      </c>
      <c r="H455" s="10">
        <v>0</v>
      </c>
      <c r="I455" s="10">
        <v>0</v>
      </c>
      <c r="J455" s="10">
        <v>0</v>
      </c>
      <c r="K455" s="10">
        <v>0</v>
      </c>
      <c r="L455" s="10">
        <v>0</v>
      </c>
      <c r="M455" s="10">
        <v>0</v>
      </c>
      <c r="N455" s="10">
        <v>0</v>
      </c>
      <c r="O455" s="10">
        <v>0</v>
      </c>
      <c r="P455" s="10">
        <v>0</v>
      </c>
      <c r="Q455" s="10">
        <v>0</v>
      </c>
      <c r="R455" s="10">
        <v>0</v>
      </c>
      <c r="S455" s="10">
        <v>0</v>
      </c>
      <c r="T455" s="10">
        <v>0</v>
      </c>
      <c r="U455" s="10">
        <v>0</v>
      </c>
      <c r="V455" s="10">
        <v>211655.60170288454</v>
      </c>
      <c r="W455" s="10">
        <v>211655.60170288454</v>
      </c>
    </row>
    <row r="456" spans="3:23">
      <c r="D456" s="10" t="s">
        <v>680</v>
      </c>
      <c r="E456" s="10">
        <v>14868984.503176132</v>
      </c>
      <c r="F456" s="10">
        <v>2686929.8779008677</v>
      </c>
      <c r="G456" s="10">
        <v>2078437.7369937112</v>
      </c>
      <c r="H456" s="10">
        <v>2278257.7525278348</v>
      </c>
      <c r="I456" s="10">
        <v>3633774.2060637171</v>
      </c>
      <c r="J456" s="10">
        <v>1204986.9412499873</v>
      </c>
      <c r="K456" s="10">
        <v>4754839.1780355144</v>
      </c>
      <c r="L456" s="10">
        <v>3742274.2445172346</v>
      </c>
      <c r="M456" s="10">
        <v>15606829.546852795</v>
      </c>
      <c r="N456" s="10">
        <v>9236528.986112684</v>
      </c>
      <c r="O456" s="10">
        <v>1890138.4705985803</v>
      </c>
      <c r="P456" s="10">
        <v>5193763.1467262832</v>
      </c>
      <c r="Q456" s="10">
        <v>14368477.167484602</v>
      </c>
      <c r="R456" s="10">
        <v>2497805.9093758608</v>
      </c>
      <c r="S456" s="10">
        <v>1374919.8305768627</v>
      </c>
      <c r="T456" s="10">
        <v>5091084.4468779145</v>
      </c>
      <c r="U456" s="10">
        <v>627291.09119106736</v>
      </c>
      <c r="V456" s="10">
        <v>288282.84057342308</v>
      </c>
      <c r="W456" s="10">
        <v>91423605.876835078</v>
      </c>
    </row>
    <row r="457" spans="3:23">
      <c r="D457" s="10" t="s">
        <v>939</v>
      </c>
      <c r="E457" s="10" t="s">
        <v>9</v>
      </c>
      <c r="F457" s="10" t="s">
        <v>10</v>
      </c>
      <c r="G457" s="10" t="s">
        <v>11</v>
      </c>
      <c r="H457" s="10" t="s">
        <v>31</v>
      </c>
      <c r="I457" s="10" t="s">
        <v>12</v>
      </c>
      <c r="J457" s="10" t="s">
        <v>13</v>
      </c>
      <c r="K457" s="10" t="s">
        <v>14</v>
      </c>
      <c r="L457" s="10" t="s">
        <v>15</v>
      </c>
      <c r="M457" s="10" t="s">
        <v>16</v>
      </c>
      <c r="N457" s="10" t="s">
        <v>17</v>
      </c>
      <c r="O457" s="10" t="s">
        <v>18</v>
      </c>
      <c r="P457" s="10" t="s">
        <v>19</v>
      </c>
      <c r="Q457" s="10" t="s">
        <v>20</v>
      </c>
      <c r="R457" s="10" t="s">
        <v>60</v>
      </c>
      <c r="S457" s="10" t="s">
        <v>61</v>
      </c>
      <c r="T457" s="10" t="s">
        <v>62</v>
      </c>
      <c r="U457" s="10" t="s">
        <v>63</v>
      </c>
      <c r="V457" s="10" t="s">
        <v>64</v>
      </c>
      <c r="W457" s="10" t="s">
        <v>668</v>
      </c>
    </row>
    <row r="458" spans="3:23">
      <c r="C458" s="15" t="s">
        <v>458</v>
      </c>
      <c r="D458" s="10" t="s">
        <v>457</v>
      </c>
      <c r="E458" s="10">
        <v>12923.201392272022</v>
      </c>
      <c r="F458" s="10">
        <v>-718.93612416088581</v>
      </c>
      <c r="G458" s="10">
        <v>-631.70638206286822</v>
      </c>
      <c r="H458" s="10">
        <v>-4813.2682226956822</v>
      </c>
      <c r="I458" s="10">
        <v>-30414.979802998714</v>
      </c>
      <c r="J458" s="10">
        <v>-716.89158700156258</v>
      </c>
      <c r="K458" s="10">
        <v>-33642.923618578818</v>
      </c>
      <c r="L458" s="10">
        <v>-8176.3877927660942</v>
      </c>
      <c r="M458" s="10">
        <v>-10394.974975187331</v>
      </c>
      <c r="N458" s="10">
        <v>-29895.629209687002</v>
      </c>
      <c r="O458" s="10">
        <v>-2646.0069587424514</v>
      </c>
      <c r="P458" s="10">
        <v>-14426.64090476511</v>
      </c>
      <c r="Q458" s="10">
        <v>-236729.65713034663</v>
      </c>
      <c r="R458" s="10">
        <v>-1043.6239823062206</v>
      </c>
      <c r="S458" s="10">
        <v>-291321.88895588898</v>
      </c>
      <c r="T458" s="10">
        <v>-819522.46406282345</v>
      </c>
      <c r="U458" s="10">
        <v>-5894.6107643105206</v>
      </c>
      <c r="V458" s="10">
        <v>-15023.886185573676</v>
      </c>
      <c r="W458" s="10">
        <v>-1493091.2752676241</v>
      </c>
    </row>
    <row r="459" spans="3:23">
      <c r="C459" s="15" t="s">
        <v>460</v>
      </c>
      <c r="D459" s="10" t="s">
        <v>459</v>
      </c>
      <c r="E459" s="10">
        <v>-13744.313733292995</v>
      </c>
      <c r="F459" s="10">
        <v>-2876.3909805575354</v>
      </c>
      <c r="G459" s="10">
        <v>-2043.4806397378929</v>
      </c>
      <c r="H459" s="10">
        <v>-2151.2669740111551</v>
      </c>
      <c r="I459" s="10">
        <v>-3583.2925885301561</v>
      </c>
      <c r="J459" s="10">
        <v>-1238.2334419670651</v>
      </c>
      <c r="K459" s="10">
        <v>-4979.1489783399347</v>
      </c>
      <c r="L459" s="10">
        <v>-3408.6527261346214</v>
      </c>
      <c r="M459" s="10">
        <v>-15589.300094549621</v>
      </c>
      <c r="N459" s="10">
        <v>-8842.4731483610558</v>
      </c>
      <c r="O459" s="10">
        <v>-1851.6549656127297</v>
      </c>
      <c r="P459" s="10">
        <v>-5158.7968519553124</v>
      </c>
      <c r="Q459" s="10">
        <v>-16150.316665007147</v>
      </c>
      <c r="R459" s="10">
        <v>-2455.546493900019</v>
      </c>
      <c r="S459" s="10">
        <v>-79713.547443915144</v>
      </c>
      <c r="T459" s="10">
        <v>-15549.930054466939</v>
      </c>
      <c r="U459" s="10">
        <v>-647.32164529932561</v>
      </c>
      <c r="V459" s="10">
        <v>-453.30842854103764</v>
      </c>
      <c r="W459" s="10">
        <v>-180436.97585417968</v>
      </c>
    </row>
    <row r="460" spans="3:23">
      <c r="C460" s="15" t="s">
        <v>461</v>
      </c>
      <c r="D460" s="10" t="s">
        <v>940</v>
      </c>
      <c r="E460" s="10">
        <v>102232.22360286076</v>
      </c>
      <c r="F460" s="10">
        <v>29581.385178693847</v>
      </c>
      <c r="G460" s="10">
        <v>46974.135801304699</v>
      </c>
      <c r="H460" s="10">
        <v>21800.824491308776</v>
      </c>
      <c r="I460" s="10">
        <v>-416.70775552136911</v>
      </c>
      <c r="J460" s="10">
        <v>32950.422862816624</v>
      </c>
      <c r="K460" s="10">
        <v>-24583.851079553569</v>
      </c>
      <c r="L460" s="10">
        <v>-4820.2879328667623</v>
      </c>
      <c r="M460" s="10">
        <v>-131520.95880526456</v>
      </c>
      <c r="N460" s="10">
        <v>-81444.688316916901</v>
      </c>
      <c r="O460" s="10">
        <v>16484.937160661822</v>
      </c>
      <c r="P460" s="10">
        <v>-20298.569847526116</v>
      </c>
      <c r="Q460" s="10">
        <v>14682.867966489051</v>
      </c>
      <c r="R460" s="10">
        <v>1092.9353547756982</v>
      </c>
      <c r="S460" s="10">
        <v>48247.146223665717</v>
      </c>
      <c r="T460" s="10">
        <v>-77879.913420222147</v>
      </c>
      <c r="U460" s="10">
        <v>-2714.6686812621956</v>
      </c>
      <c r="V460" s="10">
        <v>-4815.1651078980367</v>
      </c>
      <c r="W460" s="10">
        <v>-34447.932304454625</v>
      </c>
    </row>
    <row r="461" spans="3:23">
      <c r="C461" s="15" t="s">
        <v>664</v>
      </c>
      <c r="D461" s="10" t="s">
        <v>941</v>
      </c>
      <c r="E461" s="10">
        <v>0</v>
      </c>
      <c r="F461" s="10">
        <v>0</v>
      </c>
      <c r="G461" s="10">
        <v>0</v>
      </c>
      <c r="H461" s="10">
        <v>0</v>
      </c>
      <c r="I461" s="10">
        <v>0</v>
      </c>
      <c r="J461" s="10">
        <v>0</v>
      </c>
      <c r="K461" s="10">
        <v>0</v>
      </c>
      <c r="L461" s="10">
        <v>0</v>
      </c>
      <c r="M461" s="10">
        <v>0</v>
      </c>
      <c r="N461" s="10">
        <v>0</v>
      </c>
      <c r="O461" s="10">
        <v>0</v>
      </c>
      <c r="P461" s="10">
        <v>0</v>
      </c>
      <c r="Q461" s="10">
        <v>0</v>
      </c>
      <c r="R461" s="10">
        <v>0</v>
      </c>
      <c r="S461" s="10">
        <v>0</v>
      </c>
      <c r="T461" s="10">
        <v>0</v>
      </c>
      <c r="U461" s="10">
        <v>0</v>
      </c>
      <c r="V461" s="10">
        <v>2840</v>
      </c>
      <c r="W461" s="10">
        <v>2840</v>
      </c>
    </row>
    <row r="462" spans="3:23">
      <c r="C462" s="15" t="s">
        <v>1125</v>
      </c>
      <c r="D462" s="10" t="s">
        <v>1126</v>
      </c>
      <c r="E462" s="10">
        <v>198745.87480060052</v>
      </c>
      <c r="F462" s="10">
        <v>4193.1474691370822</v>
      </c>
      <c r="G462" s="10">
        <v>24373.51383338889</v>
      </c>
      <c r="H462" s="10">
        <v>32703.413922938729</v>
      </c>
      <c r="I462" s="10">
        <v>3049.7330409245537</v>
      </c>
      <c r="J462" s="10">
        <v>2129.0216266815141</v>
      </c>
      <c r="K462" s="10">
        <v>73589.953313236998</v>
      </c>
      <c r="L462" s="10">
        <v>68792.252745432241</v>
      </c>
      <c r="M462" s="10">
        <v>204904.47222669079</v>
      </c>
      <c r="N462" s="10">
        <v>126011.24751660769</v>
      </c>
      <c r="O462" s="10">
        <v>38700.71808414183</v>
      </c>
      <c r="P462" s="10">
        <v>30087.741957374274</v>
      </c>
      <c r="Q462" s="10">
        <v>67401.600533777833</v>
      </c>
      <c r="R462" s="10">
        <v>45839.170891731461</v>
      </c>
      <c r="S462" s="10">
        <v>11613.924038955563</v>
      </c>
      <c r="T462" s="10">
        <v>7773.9637723659644</v>
      </c>
      <c r="U462" s="10">
        <v>990.97479040985843</v>
      </c>
      <c r="V462" s="10">
        <v>402.47949560417464</v>
      </c>
      <c r="W462" s="10">
        <v>941303.20406000013</v>
      </c>
    </row>
    <row r="463" spans="3:23">
      <c r="C463" s="15" t="s">
        <v>463</v>
      </c>
      <c r="D463" s="10" t="s">
        <v>462</v>
      </c>
      <c r="E463" s="10">
        <v>41846.959471733979</v>
      </c>
      <c r="F463" s="10">
        <v>1755.4497692836148</v>
      </c>
      <c r="G463" s="10">
        <v>4228.3685051245347</v>
      </c>
      <c r="H463" s="10">
        <v>6752.0179842705948</v>
      </c>
      <c r="I463" s="10">
        <v>-2259.1212905765742</v>
      </c>
      <c r="J463" s="10">
        <v>2771.8225978078203</v>
      </c>
      <c r="K463" s="10">
        <v>12873.806880960143</v>
      </c>
      <c r="L463" s="10">
        <v>8861.8049229791031</v>
      </c>
      <c r="M463" s="10">
        <v>78494.394050003757</v>
      </c>
      <c r="N463" s="10">
        <v>29544.89749000817</v>
      </c>
      <c r="O463" s="10">
        <v>4046.0409924727746</v>
      </c>
      <c r="P463" s="10">
        <v>20365.119618257784</v>
      </c>
      <c r="Q463" s="10">
        <v>11188.349795684408</v>
      </c>
      <c r="R463" s="10">
        <v>3783.4254335186715</v>
      </c>
      <c r="S463" s="10">
        <v>-7943.2687633095147</v>
      </c>
      <c r="T463" s="10">
        <v>-55259.501610940271</v>
      </c>
      <c r="U463" s="10">
        <v>458.23673844546488</v>
      </c>
      <c r="V463" s="10">
        <v>10312.257374154595</v>
      </c>
      <c r="W463" s="10">
        <v>171821.05995987909</v>
      </c>
    </row>
    <row r="464" spans="3:23">
      <c r="C464" s="15" t="s">
        <v>464</v>
      </c>
      <c r="D464" s="10" t="s">
        <v>942</v>
      </c>
      <c r="E464" s="10">
        <v>54725.14461517943</v>
      </c>
      <c r="F464" s="10">
        <v>1143.3611549157843</v>
      </c>
      <c r="G464" s="10">
        <v>4307.3834305003056</v>
      </c>
      <c r="H464" s="10">
        <v>7428.9116371830769</v>
      </c>
      <c r="I464" s="10">
        <v>831.58207945734625</v>
      </c>
      <c r="J464" s="10">
        <v>4308.4736093183228</v>
      </c>
      <c r="K464" s="10">
        <v>21842.988461396224</v>
      </c>
      <c r="L464" s="10">
        <v>17688.68782736126</v>
      </c>
      <c r="M464" s="10">
        <v>57477.144488624486</v>
      </c>
      <c r="N464" s="10">
        <v>32387.978274942903</v>
      </c>
      <c r="O464" s="10">
        <v>8836.458948057596</v>
      </c>
      <c r="P464" s="10">
        <v>8625.5217170798769</v>
      </c>
      <c r="Q464" s="10">
        <v>20187.266978936379</v>
      </c>
      <c r="R464" s="10">
        <v>9415.6666725968626</v>
      </c>
      <c r="S464" s="10">
        <v>3880.3579509754754</v>
      </c>
      <c r="T464" s="10">
        <v>2119.7556876946642</v>
      </c>
      <c r="U464" s="10">
        <v>270.21279103465787</v>
      </c>
      <c r="V464" s="10">
        <v>109.7455847453447</v>
      </c>
      <c r="W464" s="10">
        <v>255586.64191000001</v>
      </c>
    </row>
    <row r="465" spans="3:23">
      <c r="C465" s="15" t="s">
        <v>466</v>
      </c>
      <c r="D465" s="10" t="s">
        <v>465</v>
      </c>
      <c r="E465" s="10">
        <v>13026.017814341105</v>
      </c>
      <c r="F465" s="10">
        <v>8885.725566416053</v>
      </c>
      <c r="G465" s="10">
        <v>4142.3572317543549</v>
      </c>
      <c r="H465" s="10">
        <v>-6625.3884247176184</v>
      </c>
      <c r="I465" s="10">
        <v>18674.820563964226</v>
      </c>
      <c r="J465" s="10">
        <v>1637.4712409363879</v>
      </c>
      <c r="K465" s="10">
        <v>3497.8074502823583</v>
      </c>
      <c r="L465" s="10">
        <v>-5329.6680581130631</v>
      </c>
      <c r="M465" s="10">
        <v>47265.387126446454</v>
      </c>
      <c r="N465" s="10">
        <v>-14534.771577794565</v>
      </c>
      <c r="O465" s="10">
        <v>5790.5000574329133</v>
      </c>
      <c r="P465" s="10">
        <v>668.3265713467581</v>
      </c>
      <c r="Q465" s="10">
        <v>-79667.33373802861</v>
      </c>
      <c r="R465" s="10">
        <v>1309.4229141237997</v>
      </c>
      <c r="S465" s="10">
        <v>-1468.3458327405685</v>
      </c>
      <c r="T465" s="10">
        <v>18283.187205412833</v>
      </c>
      <c r="U465" s="10">
        <v>1485.2548919134515</v>
      </c>
      <c r="V465" s="10">
        <v>1376.4998706120186</v>
      </c>
      <c r="W465" s="10">
        <v>18417.270873588277</v>
      </c>
    </row>
    <row r="466" spans="3:23">
      <c r="C466" s="15" t="s">
        <v>467</v>
      </c>
      <c r="D466" s="10" t="s">
        <v>943</v>
      </c>
      <c r="E466" s="10">
        <v>-103190.97435370328</v>
      </c>
      <c r="F466" s="10">
        <v>-16783.25618444381</v>
      </c>
      <c r="G466" s="10">
        <v>-16010.336810040864</v>
      </c>
      <c r="H466" s="10">
        <v>-13846.217281621963</v>
      </c>
      <c r="I466" s="10">
        <v>-1717054.6002730252</v>
      </c>
      <c r="J466" s="10">
        <v>-8281.0809706128148</v>
      </c>
      <c r="K466" s="10">
        <v>-32499.430232696614</v>
      </c>
      <c r="L466" s="10">
        <v>-25707.504296867039</v>
      </c>
      <c r="M466" s="10">
        <v>-94781.187238551458</v>
      </c>
      <c r="N466" s="10">
        <v>-62607.250982373327</v>
      </c>
      <c r="O466" s="10">
        <v>-13347.330397191472</v>
      </c>
      <c r="P466" s="10">
        <v>-37830.953879219494</v>
      </c>
      <c r="Q466" s="10">
        <v>-87754.398622069391</v>
      </c>
      <c r="R466" s="10">
        <v>-17889.854263118425</v>
      </c>
      <c r="S466" s="10">
        <v>-8706.400915742237</v>
      </c>
      <c r="T466" s="10">
        <v>-32826.578661263637</v>
      </c>
      <c r="U466" s="10">
        <v>-3987.6802742141786</v>
      </c>
      <c r="V466" s="10">
        <v>-2094.7594238211645</v>
      </c>
      <c r="W466" s="10">
        <v>-2295199.7950605764</v>
      </c>
    </row>
    <row r="467" spans="3:23">
      <c r="C467" s="15" t="s">
        <v>468</v>
      </c>
      <c r="D467" s="10" t="s">
        <v>944</v>
      </c>
      <c r="E467" s="10">
        <v>0</v>
      </c>
      <c r="F467" s="10">
        <v>0</v>
      </c>
      <c r="G467" s="10">
        <v>0</v>
      </c>
      <c r="H467" s="10">
        <v>0</v>
      </c>
      <c r="I467" s="10">
        <v>0</v>
      </c>
      <c r="J467" s="10">
        <v>0</v>
      </c>
      <c r="K467" s="10">
        <v>0</v>
      </c>
      <c r="L467" s="10">
        <v>0</v>
      </c>
      <c r="M467" s="10">
        <v>0</v>
      </c>
      <c r="N467" s="10">
        <v>0</v>
      </c>
      <c r="O467" s="10">
        <v>0</v>
      </c>
      <c r="P467" s="10">
        <v>0</v>
      </c>
      <c r="Q467" s="10">
        <v>0</v>
      </c>
      <c r="R467" s="10">
        <v>0</v>
      </c>
      <c r="S467" s="10">
        <v>0</v>
      </c>
      <c r="T467" s="10">
        <v>0</v>
      </c>
      <c r="U467" s="10">
        <v>0</v>
      </c>
      <c r="V467" s="10">
        <v>-64451.601702884531</v>
      </c>
      <c r="W467" s="10">
        <v>-64451.601702884531</v>
      </c>
    </row>
    <row r="468" spans="3:23">
      <c r="C468" s="15" t="s">
        <v>469</v>
      </c>
      <c r="D468" s="10" t="s">
        <v>945</v>
      </c>
      <c r="E468" s="10">
        <v>795.85604642890644</v>
      </c>
      <c r="F468" s="10">
        <v>6.1925533818387821</v>
      </c>
      <c r="G468" s="10">
        <v>43.875370781405564</v>
      </c>
      <c r="H468" s="10">
        <v>140.39754002298017</v>
      </c>
      <c r="I468" s="10">
        <v>4.5292790870621893</v>
      </c>
      <c r="J468" s="10">
        <v>83.212197002049209</v>
      </c>
      <c r="K468" s="10">
        <v>11.284229766793359</v>
      </c>
      <c r="L468" s="10">
        <v>8.7296718940098845</v>
      </c>
      <c r="M468" s="10">
        <v>620.77310045076047</v>
      </c>
      <c r="N468" s="10">
        <v>22.23810227949863</v>
      </c>
      <c r="O468" s="10">
        <v>262.03485171398239</v>
      </c>
      <c r="P468" s="10">
        <v>12.273132554241499</v>
      </c>
      <c r="Q468" s="10">
        <v>33.04436814478008</v>
      </c>
      <c r="R468" s="10">
        <v>6.0117978729278514</v>
      </c>
      <c r="S468" s="10">
        <v>3.0789342527362562</v>
      </c>
      <c r="T468" s="10">
        <v>11.480958424671575</v>
      </c>
      <c r="U468" s="10">
        <v>1.4634957156890009</v>
      </c>
      <c r="V468" s="10">
        <v>0.59437022566915176</v>
      </c>
      <c r="W468" s="10">
        <v>2067.0700000000024</v>
      </c>
    </row>
    <row r="469" spans="3:23">
      <c r="C469" s="15" t="s">
        <v>470</v>
      </c>
      <c r="D469" s="10" t="s">
        <v>946</v>
      </c>
      <c r="E469" s="10">
        <v>327846.95</v>
      </c>
      <c r="F469" s="10">
        <v>74902.58</v>
      </c>
      <c r="G469" s="10">
        <v>106050.48999999999</v>
      </c>
      <c r="H469" s="10">
        <v>119493.32</v>
      </c>
      <c r="I469" s="10">
        <v>77576.48940000002</v>
      </c>
      <c r="J469" s="10">
        <v>38795.82</v>
      </c>
      <c r="K469" s="10">
        <v>105094.32</v>
      </c>
      <c r="L469" s="10">
        <v>-174031.02</v>
      </c>
      <c r="M469" s="10">
        <v>1110404.02</v>
      </c>
      <c r="N469" s="10">
        <v>357696.49</v>
      </c>
      <c r="O469" s="10">
        <v>162504.71</v>
      </c>
      <c r="P469" s="10">
        <v>128578.45</v>
      </c>
      <c r="Q469" s="10">
        <v>35449</v>
      </c>
      <c r="R469" s="10">
        <v>72728.399999999994</v>
      </c>
      <c r="S469" s="10">
        <v>51189</v>
      </c>
      <c r="T469" s="10">
        <v>146964.60999999999</v>
      </c>
      <c r="U469" s="10">
        <v>26203</v>
      </c>
      <c r="V469" s="10">
        <v>0</v>
      </c>
      <c r="W469" s="10">
        <v>2767446.6294</v>
      </c>
    </row>
    <row r="470" spans="3:23">
      <c r="D470" s="10" t="s">
        <v>680</v>
      </c>
      <c r="E470" s="10">
        <v>635206.93965642061</v>
      </c>
      <c r="F470" s="10">
        <v>100089.25840266599</v>
      </c>
      <c r="G470" s="10">
        <v>171434.60034101256</v>
      </c>
      <c r="H470" s="10">
        <v>160882.74467267774</v>
      </c>
      <c r="I470" s="10">
        <v>-1653591.547347219</v>
      </c>
      <c r="J470" s="10">
        <v>72440.038134981267</v>
      </c>
      <c r="K470" s="10">
        <v>121204.80642647359</v>
      </c>
      <c r="L470" s="10">
        <v>-126122.04563908096</v>
      </c>
      <c r="M470" s="10">
        <v>1246879.7698786634</v>
      </c>
      <c r="N470" s="10">
        <v>348338.03814870538</v>
      </c>
      <c r="O470" s="10">
        <v>218780.40777293424</v>
      </c>
      <c r="P470" s="10">
        <v>110622.4715131469</v>
      </c>
      <c r="Q470" s="10">
        <v>-271359.57651241933</v>
      </c>
      <c r="R470" s="10">
        <v>112786.00832529475</v>
      </c>
      <c r="S470" s="10">
        <v>-274219.94476374693</v>
      </c>
      <c r="T470" s="10">
        <v>-825885.39018581854</v>
      </c>
      <c r="U470" s="10">
        <v>16164.861342432901</v>
      </c>
      <c r="V470" s="10">
        <v>-71797.144153376648</v>
      </c>
      <c r="W470" s="10">
        <v>91854.296013748273</v>
      </c>
    </row>
    <row r="471" spans="3:23">
      <c r="D471" s="10" t="s">
        <v>947</v>
      </c>
      <c r="E471" s="10" t="s">
        <v>9</v>
      </c>
      <c r="F471" s="10" t="s">
        <v>10</v>
      </c>
      <c r="G471" s="10" t="s">
        <v>11</v>
      </c>
      <c r="H471" s="10" t="s">
        <v>31</v>
      </c>
      <c r="I471" s="10" t="s">
        <v>12</v>
      </c>
      <c r="J471" s="10" t="s">
        <v>13</v>
      </c>
      <c r="K471" s="10" t="s">
        <v>14</v>
      </c>
      <c r="L471" s="10" t="s">
        <v>15</v>
      </c>
      <c r="M471" s="10" t="s">
        <v>16</v>
      </c>
      <c r="N471" s="10" t="s">
        <v>17</v>
      </c>
      <c r="O471" s="10" t="s">
        <v>18</v>
      </c>
      <c r="P471" s="10" t="s">
        <v>19</v>
      </c>
      <c r="Q471" s="10" t="s">
        <v>20</v>
      </c>
      <c r="R471" s="10" t="s">
        <v>60</v>
      </c>
      <c r="S471" s="10" t="s">
        <v>61</v>
      </c>
      <c r="T471" s="10" t="s">
        <v>62</v>
      </c>
      <c r="U471" s="10" t="s">
        <v>63</v>
      </c>
      <c r="V471" s="10" t="s">
        <v>64</v>
      </c>
      <c r="W471" s="10" t="s">
        <v>668</v>
      </c>
    </row>
    <row r="472" spans="3:23">
      <c r="C472" s="15" t="s">
        <v>625</v>
      </c>
      <c r="D472" s="15" t="s">
        <v>948</v>
      </c>
      <c r="E472" s="10">
        <v>3481691.8113800008</v>
      </c>
      <c r="F472" s="10">
        <v>702733.42732000002</v>
      </c>
      <c r="G472" s="10">
        <v>506474.30728000007</v>
      </c>
      <c r="H472" s="10">
        <v>718997.65634999995</v>
      </c>
      <c r="I472" s="10">
        <v>808617.81079000013</v>
      </c>
      <c r="J472" s="10">
        <v>318005.55147999997</v>
      </c>
      <c r="K472" s="10">
        <v>1192676.12105</v>
      </c>
      <c r="L472" s="10">
        <v>938465.47100000002</v>
      </c>
      <c r="M472" s="10">
        <v>4725587.3559999997</v>
      </c>
      <c r="N472" s="10">
        <v>2456158.716</v>
      </c>
      <c r="O472" s="10">
        <v>380768.44400000002</v>
      </c>
      <c r="P472" s="10">
        <v>1027117.0440000001</v>
      </c>
      <c r="Q472" s="10">
        <v>3993515.6278700004</v>
      </c>
      <c r="R472" s="10">
        <v>659543.93009000004</v>
      </c>
      <c r="S472" s="10">
        <v>302244.41454089398</v>
      </c>
      <c r="T472" s="10">
        <v>1093512.6170240927</v>
      </c>
      <c r="U472" s="10">
        <v>171602.04566000003</v>
      </c>
      <c r="V472" s="10">
        <v>22979.940689999999</v>
      </c>
      <c r="W472" s="10">
        <v>23500692.29252499</v>
      </c>
    </row>
    <row r="473" spans="3:23">
      <c r="C473" s="15" t="s">
        <v>624</v>
      </c>
      <c r="D473" s="15" t="s">
        <v>626</v>
      </c>
      <c r="E473" s="10">
        <v>16386187.130016906</v>
      </c>
      <c r="F473" s="10">
        <v>3708097.0781394057</v>
      </c>
      <c r="G473" s="10">
        <v>2793898.5260654534</v>
      </c>
      <c r="H473" s="10">
        <v>2984812.4728190536</v>
      </c>
      <c r="I473" s="10">
        <v>4617997.0001459699</v>
      </c>
      <c r="J473" s="10">
        <v>1557529.8155675679</v>
      </c>
      <c r="K473" s="10">
        <v>6234891.57424042</v>
      </c>
      <c r="L473" s="10">
        <v>4512189.440399142</v>
      </c>
      <c r="M473" s="10">
        <v>22745806.473177124</v>
      </c>
      <c r="N473" s="10">
        <v>10989053.431843752</v>
      </c>
      <c r="O473" s="10">
        <v>2088237.8517872461</v>
      </c>
      <c r="P473" s="10">
        <v>6535458.3839298785</v>
      </c>
      <c r="Q473" s="10">
        <v>21025993.331957366</v>
      </c>
      <c r="R473" s="10">
        <v>3010613.6475087358</v>
      </c>
      <c r="S473" s="10">
        <v>2068128.3399269311</v>
      </c>
      <c r="T473" s="10">
        <v>7652149.5433048774</v>
      </c>
      <c r="U473" s="10">
        <v>868397.79583181313</v>
      </c>
      <c r="V473" s="10">
        <v>346511.96619135578</v>
      </c>
      <c r="W473" s="10">
        <v>120125953.80285299</v>
      </c>
    </row>
    <row r="474" spans="3:23">
      <c r="C474" s="15" t="s">
        <v>665</v>
      </c>
      <c r="D474" s="15" t="s">
        <v>949</v>
      </c>
      <c r="E474" s="10">
        <v>486306.1924040973</v>
      </c>
      <c r="F474" s="10">
        <v>77165.635595959422</v>
      </c>
      <c r="G474" s="10">
        <v>61498.430416881914</v>
      </c>
      <c r="H474" s="10">
        <v>63958.314506182054</v>
      </c>
      <c r="I474" s="10">
        <v>121947.36418633285</v>
      </c>
      <c r="J474" s="10">
        <v>34086.523884250841</v>
      </c>
      <c r="K474" s="10">
        <v>144791.29815916793</v>
      </c>
      <c r="L474" s="10">
        <v>120680.24741587759</v>
      </c>
      <c r="M474" s="10">
        <v>435198.4659878299</v>
      </c>
      <c r="N474" s="10">
        <v>292161.84376024082</v>
      </c>
      <c r="O474" s="10">
        <v>63626.845883080161</v>
      </c>
      <c r="P474" s="10">
        <v>159227.21867243038</v>
      </c>
      <c r="Q474" s="10">
        <v>373912.51619789982</v>
      </c>
      <c r="R474" s="10">
        <v>84855.592157629537</v>
      </c>
      <c r="S474" s="10">
        <v>37110.251115705498</v>
      </c>
      <c r="T474" s="10">
        <v>126485.51034476435</v>
      </c>
      <c r="U474" s="10">
        <v>18508.797909266774</v>
      </c>
      <c r="V474" s="10">
        <v>9739.9514024028085</v>
      </c>
      <c r="W474" s="10">
        <v>2711260.9999999995</v>
      </c>
    </row>
    <row r="475" spans="3:23">
      <c r="C475" s="15" t="s">
        <v>472</v>
      </c>
      <c r="D475" s="15" t="s">
        <v>950</v>
      </c>
      <c r="E475" s="10">
        <v>3611.4903254210676</v>
      </c>
      <c r="F475" s="10">
        <v>624.07367536658558</v>
      </c>
      <c r="G475" s="10">
        <v>502.22720039727915</v>
      </c>
      <c r="H475" s="10">
        <v>590.39460342564894</v>
      </c>
      <c r="I475" s="10">
        <v>965.18783773613507</v>
      </c>
      <c r="J475" s="10">
        <v>280.1097291864711</v>
      </c>
      <c r="K475" s="10">
        <v>1129.1579404961226</v>
      </c>
      <c r="L475" s="10">
        <v>867.85252511105773</v>
      </c>
      <c r="M475" s="10">
        <v>3766.772381269031</v>
      </c>
      <c r="N475" s="10">
        <v>2235.6162958490609</v>
      </c>
      <c r="O475" s="10">
        <v>452.50557949470596</v>
      </c>
      <c r="P475" s="10">
        <v>1203.4086320296124</v>
      </c>
      <c r="Q475" s="10">
        <v>3270.9051912069599</v>
      </c>
      <c r="R475" s="10">
        <v>589.83372586964151</v>
      </c>
      <c r="S475" s="10">
        <v>299.56265533751809</v>
      </c>
      <c r="T475" s="10">
        <v>1149.7783948295246</v>
      </c>
      <c r="U475" s="10">
        <v>143.293962168973</v>
      </c>
      <c r="V475" s="10">
        <v>66.82934480460159</v>
      </c>
      <c r="W475" s="10">
        <v>21749</v>
      </c>
    </row>
    <row r="476" spans="3:23">
      <c r="C476" s="15" t="s">
        <v>473</v>
      </c>
      <c r="D476" s="15" t="s">
        <v>951</v>
      </c>
      <c r="E476" s="10">
        <v>5388.2616876486145</v>
      </c>
      <c r="F476" s="10">
        <v>936.67861147420172</v>
      </c>
      <c r="G476" s="10">
        <v>740.21852606615312</v>
      </c>
      <c r="H476" s="10">
        <v>826.31463108141122</v>
      </c>
      <c r="I476" s="10">
        <v>1301.8628891581143</v>
      </c>
      <c r="J476" s="10">
        <v>436.0728309278191</v>
      </c>
      <c r="K476" s="10">
        <v>1774.5294731149152</v>
      </c>
      <c r="L476" s="10">
        <v>1423.032123831164</v>
      </c>
      <c r="M476" s="10">
        <v>5523.9612995969892</v>
      </c>
      <c r="N476" s="10">
        <v>3303.9031496124371</v>
      </c>
      <c r="O476" s="10">
        <v>694.19691868021948</v>
      </c>
      <c r="P476" s="10">
        <v>1880.8828367793578</v>
      </c>
      <c r="Q476" s="10">
        <v>4889.9000744920077</v>
      </c>
      <c r="R476" s="10">
        <v>931.10175109325655</v>
      </c>
      <c r="S476" s="10">
        <v>465.61375955342135</v>
      </c>
      <c r="T476" s="10">
        <v>1597.8726939505686</v>
      </c>
      <c r="U476" s="10">
        <v>220.91052299071663</v>
      </c>
      <c r="V476" s="10">
        <v>91.686219948629727</v>
      </c>
      <c r="W476" s="10">
        <v>32427.000000000004</v>
      </c>
    </row>
    <row r="477" spans="3:23">
      <c r="C477" s="15" t="s">
        <v>475</v>
      </c>
      <c r="D477" s="15" t="s">
        <v>474</v>
      </c>
      <c r="E477" s="10">
        <v>7605.4988883906581</v>
      </c>
      <c r="F477" s="10">
        <v>1366.7247312807281</v>
      </c>
      <c r="G477" s="10">
        <v>1088.2673714571574</v>
      </c>
      <c r="H477" s="10">
        <v>1178.6041997987445</v>
      </c>
      <c r="I477" s="10">
        <v>1940.7795254432976</v>
      </c>
      <c r="J477" s="10">
        <v>609.02213639750585</v>
      </c>
      <c r="K477" s="10">
        <v>2482.0963814330548</v>
      </c>
      <c r="L477" s="10">
        <v>1901.025899287074</v>
      </c>
      <c r="M477" s="10">
        <v>8233.6324204130324</v>
      </c>
      <c r="N477" s="10">
        <v>4830.8702916766479</v>
      </c>
      <c r="O477" s="10">
        <v>965.68992964060158</v>
      </c>
      <c r="P477" s="10">
        <v>2670.5008173998467</v>
      </c>
      <c r="Q477" s="10">
        <v>7247.1854353493181</v>
      </c>
      <c r="R477" s="10">
        <v>1289.2173774696371</v>
      </c>
      <c r="S477" s="10">
        <v>688.01106837529539</v>
      </c>
      <c r="T477" s="10">
        <v>2611.8596740444782</v>
      </c>
      <c r="U477" s="10">
        <v>320.52103768468925</v>
      </c>
      <c r="V477" s="10">
        <v>150.49281445822712</v>
      </c>
      <c r="W477" s="10">
        <v>47179.999999999993</v>
      </c>
    </row>
    <row r="478" spans="3:23">
      <c r="C478" s="15" t="s">
        <v>471</v>
      </c>
      <c r="D478" s="15" t="s">
        <v>952</v>
      </c>
      <c r="E478" s="10">
        <v>2303368.5230014925</v>
      </c>
      <c r="F478" s="10">
        <v>365491.73928972351</v>
      </c>
      <c r="G478" s="10">
        <v>291284.69069243519</v>
      </c>
      <c r="H478" s="10">
        <v>302935.82668458793</v>
      </c>
      <c r="I478" s="10">
        <v>577598.48531065509</v>
      </c>
      <c r="J478" s="10">
        <v>161449.36544069482</v>
      </c>
      <c r="K478" s="10">
        <v>685797.80351063749</v>
      </c>
      <c r="L478" s="10">
        <v>571596.84081255517</v>
      </c>
      <c r="M478" s="10">
        <v>2061298.958294855</v>
      </c>
      <c r="N478" s="10">
        <v>1383812.1024381774</v>
      </c>
      <c r="O478" s="10">
        <v>301365.83969955461</v>
      </c>
      <c r="P478" s="10">
        <v>754172.92484400934</v>
      </c>
      <c r="Q478" s="10">
        <v>1771020.6730225296</v>
      </c>
      <c r="R478" s="10">
        <v>401914.89030870382</v>
      </c>
      <c r="S478" s="10">
        <v>175771.12040878233</v>
      </c>
      <c r="T478" s="10">
        <v>599093.22088544967</v>
      </c>
      <c r="U478" s="10">
        <v>87666.131274296567</v>
      </c>
      <c r="V478" s="10">
        <v>46132.864080860199</v>
      </c>
      <c r="W478" s="10">
        <v>12841772</v>
      </c>
    </row>
    <row r="479" spans="3:23">
      <c r="C479" s="15" t="s">
        <v>476</v>
      </c>
      <c r="D479" s="15" t="s">
        <v>953</v>
      </c>
      <c r="E479" s="10">
        <v>651738.23346246628</v>
      </c>
      <c r="F479" s="10">
        <v>103415.90506733443</v>
      </c>
      <c r="G479" s="10">
        <v>82419.017126781153</v>
      </c>
      <c r="H479" s="10">
        <v>85715.70661156303</v>
      </c>
      <c r="I479" s="10">
        <v>163431.51897223297</v>
      </c>
      <c r="J479" s="10">
        <v>45682.105653176208</v>
      </c>
      <c r="K479" s="10">
        <v>194046.52121842548</v>
      </c>
      <c r="L479" s="10">
        <v>161733.35337519497</v>
      </c>
      <c r="M479" s="10">
        <v>583244.63858111005</v>
      </c>
      <c r="N479" s="10">
        <v>391549.70039783552</v>
      </c>
      <c r="O479" s="10">
        <v>85271.478719253661</v>
      </c>
      <c r="P479" s="10">
        <v>213393.26506144908</v>
      </c>
      <c r="Q479" s="10">
        <v>501110.38391595823</v>
      </c>
      <c r="R479" s="10">
        <v>113721.83738567388</v>
      </c>
      <c r="S479" s="10">
        <v>49734.446904597222</v>
      </c>
      <c r="T479" s="10">
        <v>169513.45542849944</v>
      </c>
      <c r="U479" s="10">
        <v>24805.136026060776</v>
      </c>
      <c r="V479" s="10">
        <v>13053.296092387563</v>
      </c>
      <c r="W479" s="10">
        <v>3633580.0000000009</v>
      </c>
    </row>
    <row r="480" spans="3:23">
      <c r="D480" s="10" t="s">
        <v>680</v>
      </c>
      <c r="E480" s="10">
        <v>23325897.141166426</v>
      </c>
      <c r="F480" s="10">
        <v>4959831.2624305449</v>
      </c>
      <c r="G480" s="10">
        <v>3737905.6846794719</v>
      </c>
      <c r="H480" s="10">
        <v>4159015.2904056921</v>
      </c>
      <c r="I480" s="10">
        <v>6293800.0096575283</v>
      </c>
      <c r="J480" s="10">
        <v>2118078.5667222012</v>
      </c>
      <c r="K480" s="10">
        <v>8457589.1019736938</v>
      </c>
      <c r="L480" s="10">
        <v>6308857.2635509996</v>
      </c>
      <c r="M480" s="10">
        <v>30568660.258142196</v>
      </c>
      <c r="N480" s="10">
        <v>15523106.184177145</v>
      </c>
      <c r="O480" s="10">
        <v>2921382.8525169501</v>
      </c>
      <c r="P480" s="10">
        <v>8695123.6287939753</v>
      </c>
      <c r="Q480" s="10">
        <v>27680960.523664806</v>
      </c>
      <c r="R480" s="10">
        <v>4273460.0503051747</v>
      </c>
      <c r="S480" s="10">
        <v>2634441.7603801764</v>
      </c>
      <c r="T480" s="10">
        <v>9646113.8577505071</v>
      </c>
      <c r="U480" s="10">
        <v>1171664.6322242816</v>
      </c>
      <c r="V480" s="10">
        <v>438727.02683621785</v>
      </c>
      <c r="W480" s="10">
        <v>162914615.09537798</v>
      </c>
    </row>
    <row r="484" spans="5:23">
      <c r="E484" s="10"/>
      <c r="F484" s="10"/>
      <c r="G484" s="10"/>
      <c r="H484" s="10"/>
      <c r="I484" s="10"/>
      <c r="J484" s="10"/>
      <c r="K484" s="10"/>
      <c r="L484" s="10"/>
      <c r="M484" s="10"/>
      <c r="N484" s="10"/>
      <c r="O484" s="10"/>
      <c r="P484" s="10"/>
      <c r="Q484" s="10"/>
      <c r="R484" s="10"/>
      <c r="S484" s="10"/>
      <c r="T484" s="10"/>
      <c r="U484" s="10"/>
      <c r="V484" s="10"/>
      <c r="W484" s="10"/>
    </row>
  </sheetData>
  <autoFilter ref="B8:W477"/>
  <conditionalFormatting sqref="A9:A20">
    <cfRule type="expression" dxfId="0" priority="12">
      <formula>LOOKUP(A9,$B$9:$B$100)</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2:AG184"/>
  <sheetViews>
    <sheetView tabSelected="1" topLeftCell="A157" zoomScaleNormal="100" workbookViewId="0">
      <pane xSplit="2" topLeftCell="C1" activePane="topRight" state="frozen"/>
      <selection activeCell="A28" sqref="A28"/>
      <selection pane="topRight" activeCell="C183" sqref="C183"/>
    </sheetView>
  </sheetViews>
  <sheetFormatPr baseColWidth="10" defaultColWidth="11" defaultRowHeight="13.15"/>
  <cols>
    <col min="1" max="1" width="3.19921875" style="29" customWidth="1"/>
    <col min="2" max="2" width="13.69921875" style="29" customWidth="1"/>
    <col min="3" max="3" width="27.09765625" style="29" bestFit="1" customWidth="1"/>
    <col min="4" max="4" width="25.5" style="29" customWidth="1"/>
    <col min="5" max="5" width="25.59765625" style="29" customWidth="1"/>
    <col min="6" max="6" width="16.09765625" style="29" customWidth="1"/>
    <col min="7" max="7" width="10.19921875" style="29" bestFit="1" customWidth="1"/>
    <col min="8" max="8" width="16.09765625" style="29" customWidth="1"/>
    <col min="9" max="9" width="23.59765625" style="29" customWidth="1"/>
    <col min="10" max="10" width="11" style="29" bestFit="1" customWidth="1"/>
    <col min="11" max="11" width="16.5" style="29" customWidth="1"/>
    <col min="12" max="12" width="13.19921875" style="29" customWidth="1"/>
    <col min="13" max="13" width="19.69921875" style="29" customWidth="1"/>
    <col min="14" max="14" width="15.8984375" style="29" customWidth="1"/>
    <col min="15" max="15" width="10" style="29" bestFit="1" customWidth="1"/>
    <col min="16" max="16" width="16.3984375" style="29" customWidth="1"/>
    <col min="17" max="17" width="13.59765625" style="29" bestFit="1" customWidth="1"/>
    <col min="18" max="18" width="26.59765625" style="29" bestFit="1" customWidth="1"/>
    <col min="19" max="19" width="19.8984375" style="29" customWidth="1"/>
    <col min="20" max="20" width="25.09765625" style="29" customWidth="1"/>
    <col min="21" max="21" width="14.59765625" style="29" customWidth="1"/>
    <col min="22" max="22" width="23.59765625" style="29" customWidth="1"/>
    <col min="23" max="23" width="21.09765625" style="29" customWidth="1"/>
    <col min="24" max="24" width="19.59765625" style="29" customWidth="1"/>
    <col min="25" max="25" width="23.8984375" style="29" customWidth="1"/>
    <col min="26" max="26" width="10" style="29" bestFit="1" customWidth="1"/>
    <col min="27" max="27" width="10.3984375" style="29" customWidth="1"/>
    <col min="28" max="28" width="16.5" style="29" customWidth="1"/>
    <col min="29" max="29" width="20" style="29" customWidth="1"/>
    <col min="30" max="30" width="17.3984375" style="29" customWidth="1"/>
    <col min="31" max="31" width="10.3984375" style="29" bestFit="1" customWidth="1"/>
    <col min="32" max="32" width="18.09765625" style="29" customWidth="1"/>
    <col min="33" max="33" width="11.59765625" style="29" bestFit="1" customWidth="1"/>
    <col min="34" max="16384" width="11" style="29"/>
  </cols>
  <sheetData>
    <row r="2" spans="2:8">
      <c r="B2" s="169" t="s">
        <v>955</v>
      </c>
      <c r="C2" s="170">
        <v>2013</v>
      </c>
    </row>
    <row r="5" spans="2:8">
      <c r="C5" s="168" t="s">
        <v>956</v>
      </c>
    </row>
    <row r="6" spans="2:8" ht="34.450000000000003" customHeight="1" thickBot="1">
      <c r="B6" s="173"/>
      <c r="C6" s="180" t="str">
        <f>"Población media padrón "&amp;C2</f>
        <v>Población media padrón 2013</v>
      </c>
      <c r="D6" s="180" t="s">
        <v>1047</v>
      </c>
    </row>
    <row r="7" spans="2:8">
      <c r="B7" s="223" t="s">
        <v>66</v>
      </c>
      <c r="C7" s="327">
        <v>8421302.5</v>
      </c>
      <c r="D7" s="327">
        <v>8177366.4929735903</v>
      </c>
      <c r="F7" s="224" t="s">
        <v>9</v>
      </c>
      <c r="G7" s="234" t="s">
        <v>66</v>
      </c>
      <c r="H7" s="35"/>
    </row>
    <row r="8" spans="2:8">
      <c r="B8" s="223" t="s">
        <v>67</v>
      </c>
      <c r="C8" s="327">
        <v>1336267.5</v>
      </c>
      <c r="D8" s="327">
        <v>1440514.4512129</v>
      </c>
      <c r="F8" s="224" t="s">
        <v>10</v>
      </c>
      <c r="G8" s="234" t="s">
        <v>67</v>
      </c>
      <c r="H8" s="35"/>
    </row>
    <row r="9" spans="2:8">
      <c r="B9" s="223" t="s">
        <v>56</v>
      </c>
      <c r="C9" s="327">
        <v>1064960.5</v>
      </c>
      <c r="D9" s="327">
        <v>1132565.5129702899</v>
      </c>
      <c r="F9" s="224" t="s">
        <v>11</v>
      </c>
      <c r="G9" s="234" t="s">
        <v>56</v>
      </c>
      <c r="H9" s="35"/>
    </row>
    <row r="10" spans="2:8">
      <c r="B10" s="223" t="s">
        <v>48</v>
      </c>
      <c r="C10" s="327">
        <v>1107558</v>
      </c>
      <c r="D10" s="327">
        <v>1108737.4751726701</v>
      </c>
      <c r="F10" s="224" t="s">
        <v>31</v>
      </c>
      <c r="G10" s="234" t="s">
        <v>48</v>
      </c>
      <c r="H10" s="35"/>
    </row>
    <row r="11" spans="2:8">
      <c r="B11" s="223" t="s">
        <v>49</v>
      </c>
      <c r="C11" s="327">
        <v>2111747</v>
      </c>
      <c r="D11" s="327">
        <v>2166856.7996681598</v>
      </c>
      <c r="F11" s="224" t="s">
        <v>12</v>
      </c>
      <c r="G11" s="234" t="s">
        <v>49</v>
      </c>
      <c r="H11" s="35"/>
    </row>
    <row r="12" spans="2:8">
      <c r="B12" s="223" t="s">
        <v>50</v>
      </c>
      <c r="C12" s="327">
        <v>590272</v>
      </c>
      <c r="D12" s="327">
        <v>597853.86557625001</v>
      </c>
      <c r="F12" s="224" t="s">
        <v>13</v>
      </c>
      <c r="G12" s="234" t="s">
        <v>50</v>
      </c>
      <c r="H12" s="35"/>
    </row>
    <row r="13" spans="2:8">
      <c r="B13" s="223" t="s">
        <v>51</v>
      </c>
      <c r="C13" s="327">
        <v>2507332.5</v>
      </c>
      <c r="D13" s="327">
        <v>2743276.25737597</v>
      </c>
      <c r="F13" s="224" t="s">
        <v>14</v>
      </c>
      <c r="G13" s="234" t="s">
        <v>51</v>
      </c>
      <c r="H13" s="35"/>
    </row>
    <row r="14" spans="2:8">
      <c r="B14" s="223" t="s">
        <v>24</v>
      </c>
      <c r="C14" s="327">
        <v>2089804.5</v>
      </c>
      <c r="D14" s="327">
        <v>2220530.2471264098</v>
      </c>
      <c r="F14" s="224" t="s">
        <v>15</v>
      </c>
      <c r="G14" s="234" t="s">
        <v>24</v>
      </c>
      <c r="H14" s="35"/>
    </row>
    <row r="15" spans="2:8">
      <c r="B15" s="223" t="s">
        <v>46</v>
      </c>
      <c r="C15" s="327">
        <v>7536276.5</v>
      </c>
      <c r="D15" s="327">
        <v>7435965.0079494203</v>
      </c>
      <c r="F15" s="224" t="s">
        <v>16</v>
      </c>
      <c r="G15" s="234" t="s">
        <v>46</v>
      </c>
      <c r="H15" s="35"/>
    </row>
    <row r="16" spans="2:8">
      <c r="B16" s="223" t="s">
        <v>72</v>
      </c>
      <c r="C16" s="327">
        <v>5059329.5</v>
      </c>
      <c r="D16" s="327">
        <v>4903740.7270681104</v>
      </c>
      <c r="F16" s="224" t="s">
        <v>17</v>
      </c>
      <c r="G16" s="234" t="s">
        <v>72</v>
      </c>
      <c r="H16" s="35"/>
    </row>
    <row r="17" spans="2:21">
      <c r="B17" s="223" t="s">
        <v>73</v>
      </c>
      <c r="C17" s="327">
        <v>1101818</v>
      </c>
      <c r="D17" s="327">
        <v>1180355.44840785</v>
      </c>
      <c r="F17" s="224" t="s">
        <v>18</v>
      </c>
      <c r="G17" s="234" t="s">
        <v>73</v>
      </c>
      <c r="H17" s="35"/>
    </row>
    <row r="18" spans="2:21">
      <c r="B18" s="223" t="s">
        <v>74</v>
      </c>
      <c r="C18" s="327">
        <v>2757317.5</v>
      </c>
      <c r="D18" s="327">
        <v>2980573.19813983</v>
      </c>
      <c r="F18" s="224" t="s">
        <v>19</v>
      </c>
      <c r="G18" s="234" t="s">
        <v>74</v>
      </c>
      <c r="H18" s="35"/>
    </row>
    <row r="19" spans="2:21">
      <c r="B19" s="223" t="s">
        <v>37</v>
      </c>
      <c r="C19" s="327">
        <v>6474995.5</v>
      </c>
      <c r="D19" s="327">
        <v>6236263.20594797</v>
      </c>
      <c r="F19" s="224" t="s">
        <v>20</v>
      </c>
      <c r="G19" s="234" t="s">
        <v>37</v>
      </c>
      <c r="H19" s="35"/>
    </row>
    <row r="20" spans="2:21">
      <c r="B20" s="223" t="s">
        <v>38</v>
      </c>
      <c r="C20" s="327">
        <v>1469433.5</v>
      </c>
      <c r="D20" s="327">
        <v>1442684.4608760001</v>
      </c>
      <c r="F20" s="224" t="s">
        <v>60</v>
      </c>
      <c r="G20" s="234" t="s">
        <v>38</v>
      </c>
      <c r="H20" s="35"/>
    </row>
    <row r="21" spans="2:21">
      <c r="B21" s="223" t="s">
        <v>33</v>
      </c>
      <c r="C21" s="327">
        <v>642633.5</v>
      </c>
      <c r="D21" s="327">
        <v>642956</v>
      </c>
      <c r="F21" s="224" t="s">
        <v>61</v>
      </c>
      <c r="G21" s="234" t="s">
        <v>33</v>
      </c>
      <c r="H21" s="35"/>
    </row>
    <row r="22" spans="2:21">
      <c r="B22" s="223" t="s">
        <v>34</v>
      </c>
      <c r="C22" s="327">
        <v>2190333.5</v>
      </c>
      <c r="D22" s="327">
        <v>2231542</v>
      </c>
      <c r="F22" s="224" t="s">
        <v>62</v>
      </c>
      <c r="G22" s="234" t="s">
        <v>34</v>
      </c>
      <c r="H22" s="35"/>
    </row>
    <row r="23" spans="2:21">
      <c r="B23" s="223" t="s">
        <v>88</v>
      </c>
      <c r="C23" s="327">
        <v>320514.5</v>
      </c>
      <c r="D23" s="327">
        <v>332007.27359975001</v>
      </c>
      <c r="F23" s="224" t="s">
        <v>63</v>
      </c>
      <c r="G23" s="234" t="s">
        <v>88</v>
      </c>
      <c r="H23" s="35"/>
    </row>
    <row r="24" spans="2:21">
      <c r="B24" s="223" t="s">
        <v>89</v>
      </c>
      <c r="C24" s="327">
        <v>168665.5</v>
      </c>
      <c r="D24" s="327">
        <v>155994.01650540001</v>
      </c>
      <c r="F24" s="224" t="s">
        <v>64</v>
      </c>
      <c r="G24" s="234" t="s">
        <v>89</v>
      </c>
      <c r="H24" s="35"/>
    </row>
    <row r="25" spans="2:21" ht="13.8" thickBot="1">
      <c r="B25" s="166" t="s">
        <v>84</v>
      </c>
      <c r="C25" s="328">
        <v>46950562</v>
      </c>
      <c r="D25" s="214">
        <f>SUM(D7:D24)</f>
        <v>47129782.440570578</v>
      </c>
      <c r="H25" s="35"/>
    </row>
    <row r="26" spans="2:21">
      <c r="B26" s="244"/>
      <c r="C26" s="175"/>
      <c r="D26" s="108"/>
      <c r="H26" s="35"/>
    </row>
    <row r="27" spans="2:21">
      <c r="B27" s="174"/>
      <c r="C27" s="175"/>
      <c r="D27" s="108"/>
    </row>
    <row r="28" spans="2:21">
      <c r="B28" s="174"/>
      <c r="C28" s="175"/>
      <c r="D28" s="108"/>
    </row>
    <row r="29" spans="2:21">
      <c r="B29" s="174"/>
      <c r="C29" s="175"/>
    </row>
    <row r="30" spans="2:21">
      <c r="B30" s="176" t="s">
        <v>958</v>
      </c>
      <c r="C30" s="175"/>
      <c r="Q30" s="176" t="s">
        <v>1025</v>
      </c>
    </row>
    <row r="31" spans="2:21">
      <c r="B31" s="29" t="s">
        <v>53</v>
      </c>
      <c r="C31" s="108"/>
      <c r="D31" s="108"/>
      <c r="E31" s="108"/>
      <c r="F31" s="108"/>
      <c r="G31" s="108"/>
      <c r="H31" s="108"/>
      <c r="I31" s="108"/>
      <c r="J31" s="108"/>
      <c r="K31" s="108"/>
      <c r="L31" s="108"/>
      <c r="M31" s="108"/>
      <c r="N31" s="108"/>
      <c r="O31" s="108"/>
      <c r="P31" s="108"/>
      <c r="Q31" s="29" t="s">
        <v>53</v>
      </c>
      <c r="R31" s="108"/>
      <c r="S31" s="108"/>
      <c r="T31" s="108"/>
      <c r="U31" s="124"/>
    </row>
    <row r="32" spans="2:21">
      <c r="C32" s="184"/>
      <c r="D32" s="184"/>
      <c r="E32" s="184"/>
      <c r="F32" s="184"/>
      <c r="G32" s="184"/>
      <c r="H32" s="184"/>
      <c r="I32" s="184"/>
      <c r="J32" s="184"/>
      <c r="K32" s="184"/>
      <c r="L32" s="184"/>
      <c r="M32" s="184"/>
      <c r="N32" s="184"/>
      <c r="O32" s="184"/>
      <c r="P32" s="184"/>
      <c r="Q32" s="184"/>
      <c r="R32" s="184"/>
      <c r="S32" s="184"/>
      <c r="T32" s="184"/>
    </row>
    <row r="33" spans="1:29" s="33" customFormat="1" ht="40.1" thickBot="1">
      <c r="A33" s="32"/>
      <c r="B33" s="158">
        <f>C2</f>
        <v>2013</v>
      </c>
      <c r="C33" s="159" t="s">
        <v>83</v>
      </c>
      <c r="D33" s="185" t="s">
        <v>1005</v>
      </c>
      <c r="E33" s="160" t="s">
        <v>26</v>
      </c>
      <c r="F33" s="160" t="s">
        <v>1</v>
      </c>
      <c r="G33" s="160" t="s">
        <v>55</v>
      </c>
      <c r="H33" s="160" t="s">
        <v>22</v>
      </c>
      <c r="I33" s="159" t="s">
        <v>79</v>
      </c>
      <c r="J33" s="161" t="s">
        <v>68</v>
      </c>
      <c r="K33" s="162" t="s">
        <v>65</v>
      </c>
      <c r="L33" s="163" t="s">
        <v>570</v>
      </c>
      <c r="M33" s="163" t="s">
        <v>954</v>
      </c>
      <c r="N33" s="185" t="s">
        <v>1003</v>
      </c>
      <c r="O33" s="162" t="s">
        <v>27</v>
      </c>
      <c r="Q33" s="160"/>
      <c r="R33" s="171" t="s">
        <v>87</v>
      </c>
      <c r="S33" s="160" t="s">
        <v>109</v>
      </c>
      <c r="T33" s="163" t="s">
        <v>86</v>
      </c>
      <c r="U33" s="163" t="s">
        <v>102</v>
      </c>
      <c r="V33" s="163" t="s">
        <v>479</v>
      </c>
      <c r="W33" s="163" t="s">
        <v>105</v>
      </c>
      <c r="X33" s="162" t="s">
        <v>106</v>
      </c>
      <c r="Y33" s="185" t="s">
        <v>1022</v>
      </c>
      <c r="Z33" s="162" t="s">
        <v>108</v>
      </c>
      <c r="AB33" s="160"/>
      <c r="AC33" s="163" t="s">
        <v>1023</v>
      </c>
    </row>
    <row r="34" spans="1:29">
      <c r="A34" s="184"/>
      <c r="B34" s="29" t="s">
        <v>9</v>
      </c>
      <c r="C34" s="157">
        <f>Gasto_o_ing_total!D$8</f>
        <v>2887083.6277161045</v>
      </c>
      <c r="D34" s="157">
        <f>Gasto_o_ing_total!D$189</f>
        <v>15984875.313663907</v>
      </c>
      <c r="E34" s="157">
        <f>Gasto_o_ing_total!D$208</f>
        <v>6798418.8777364762</v>
      </c>
      <c r="F34" s="157">
        <f>Gasto_o_ing_total!D$233</f>
        <v>979730.85423569486</v>
      </c>
      <c r="G34" s="157">
        <f>Gasto_o_ing_total!D$271</f>
        <v>1823045.0832811436</v>
      </c>
      <c r="H34" s="157">
        <f>Gasto_o_ing_total!D$288</f>
        <v>3207024.5741854403</v>
      </c>
      <c r="I34" s="157">
        <f>SUM(D34:H34)</f>
        <v>28793094.703102663</v>
      </c>
      <c r="J34" s="157">
        <f>Gasto_o_ing_total!D$375</f>
        <v>26456986.642728701</v>
      </c>
      <c r="K34" s="157">
        <f>Gasto_o_ing_total!D$425</f>
        <v>2631179.1409130003</v>
      </c>
      <c r="L34" s="157">
        <f>Gasto_o_ing_total!D$471</f>
        <v>4933399.6967981458</v>
      </c>
      <c r="M34" s="157">
        <f t="shared" ref="M34:M51" si="0">C34+I34+J34+K34+L34</f>
        <v>65701743.811258622</v>
      </c>
      <c r="N34" s="157">
        <f>Gasto_o_ing_total!D$191</f>
        <v>774569.78915827163</v>
      </c>
      <c r="O34" s="157">
        <f>M34+N34</f>
        <v>66476313.600416891</v>
      </c>
      <c r="P34" s="35"/>
      <c r="Q34" s="29" t="s">
        <v>9</v>
      </c>
      <c r="R34" s="157">
        <f>Gasto_o_ing_total!D$488</f>
        <v>12334532.161435138</v>
      </c>
      <c r="S34" s="157">
        <f>Gasto_o_ing_total!D$495</f>
        <v>14868984.503176132</v>
      </c>
      <c r="T34" s="177">
        <f>SUM(R34:S34)</f>
        <v>27203516.664611273</v>
      </c>
      <c r="U34" s="177">
        <f>Gasto_o_ing_total!D$528</f>
        <v>16386187.130016906</v>
      </c>
      <c r="V34" s="177">
        <f>Gasto_o_ing_total!D$523</f>
        <v>3481691.8113800008</v>
      </c>
      <c r="W34" s="177">
        <f>Gasto_o_ing_total!D$530</f>
        <v>3458018.1997695165</v>
      </c>
      <c r="X34" s="157">
        <f t="shared" ref="X34:X51" si="1">T34+U34+V34+W34</f>
        <v>50529413.805777699</v>
      </c>
      <c r="Y34" s="157">
        <f>Gasto_o_ing_total!D$508</f>
        <v>635206.93965642061</v>
      </c>
      <c r="Z34" s="157">
        <f>X34+Y34</f>
        <v>51164620.74543412</v>
      </c>
      <c r="AB34" s="29" t="s">
        <v>9</v>
      </c>
      <c r="AC34" s="157">
        <f t="shared" ref="AC34:AC51" si="2">O34-Z34</f>
        <v>15311692.854982771</v>
      </c>
    </row>
    <row r="35" spans="1:29">
      <c r="A35" s="184"/>
      <c r="B35" s="29" t="s">
        <v>10</v>
      </c>
      <c r="C35" s="157">
        <f>Gasto_o_ing_total!E$8</f>
        <v>458113.9344536229</v>
      </c>
      <c r="D35" s="157">
        <f>Gasto_o_ing_total!E$189</f>
        <v>3080307.9357594559</v>
      </c>
      <c r="E35" s="157">
        <f>Gasto_o_ing_total!E$208</f>
        <v>1327407.1116747311</v>
      </c>
      <c r="F35" s="157">
        <f>Gasto_o_ing_total!E$233</f>
        <v>327441.91173691483</v>
      </c>
      <c r="G35" s="157">
        <f>Gasto_o_ing_total!E$271</f>
        <v>109819.06119272913</v>
      </c>
      <c r="H35" s="157">
        <f>Gasto_o_ing_total!E$288</f>
        <v>610507.77220735431</v>
      </c>
      <c r="I35" s="157">
        <f t="shared" ref="I35:I51" si="3">SUM(D35:H35)</f>
        <v>5455483.7925711852</v>
      </c>
      <c r="J35" s="157">
        <f>Gasto_o_ing_total!E$375</f>
        <v>5403140.9857986681</v>
      </c>
      <c r="K35" s="157">
        <f>Gasto_o_ing_total!E$425</f>
        <v>763099.71872070711</v>
      </c>
      <c r="L35" s="157">
        <f>Gasto_o_ing_total!E$471</f>
        <v>928696.6738456079</v>
      </c>
      <c r="M35" s="157">
        <f t="shared" si="0"/>
        <v>13008535.105389792</v>
      </c>
      <c r="N35" s="157">
        <f>Gasto_o_ing_total!E$191</f>
        <v>112891.55993250519</v>
      </c>
      <c r="O35" s="157">
        <f t="shared" ref="O35:O51" si="4">M35+N35</f>
        <v>13121426.665322298</v>
      </c>
      <c r="P35" s="35"/>
      <c r="Q35" s="29" t="s">
        <v>10</v>
      </c>
      <c r="R35" s="157">
        <f>Gasto_o_ing_total!E$488</f>
        <v>3158295.8352805087</v>
      </c>
      <c r="S35" s="157">
        <f>Gasto_o_ing_total!E$495</f>
        <v>2686929.8779008677</v>
      </c>
      <c r="T35" s="177">
        <f t="shared" ref="T35:T51" si="5">SUM(R35:S35)</f>
        <v>5845225.7131813765</v>
      </c>
      <c r="U35" s="177">
        <f>Gasto_o_ing_total!E$528</f>
        <v>3708097.0781394057</v>
      </c>
      <c r="V35" s="177">
        <f>Gasto_o_ing_total!E$523</f>
        <v>702733.42732000002</v>
      </c>
      <c r="W35" s="177">
        <f>Gasto_o_ing_total!E$530</f>
        <v>549000.75697113888</v>
      </c>
      <c r="X35" s="157">
        <f t="shared" si="1"/>
        <v>10805056.975611921</v>
      </c>
      <c r="Y35" s="157">
        <f>Gasto_o_ing_total!E$508</f>
        <v>100089.25840266599</v>
      </c>
      <c r="Z35" s="157">
        <f t="shared" ref="Z35:Z51" si="6">X35+Y35</f>
        <v>10905146.234014587</v>
      </c>
      <c r="AB35" s="29" t="s">
        <v>10</v>
      </c>
      <c r="AC35" s="157">
        <f t="shared" si="2"/>
        <v>2216280.4313077107</v>
      </c>
    </row>
    <row r="36" spans="1:29">
      <c r="A36" s="35"/>
      <c r="B36" s="29" t="s">
        <v>11</v>
      </c>
      <c r="C36" s="157">
        <f>Gasto_o_ing_total!F$8</f>
        <v>365101.48207054165</v>
      </c>
      <c r="D36" s="157">
        <f>Gasto_o_ing_total!F$189</f>
        <v>2430810.8327326332</v>
      </c>
      <c r="E36" s="157">
        <f>Gasto_o_ing_total!F$208</f>
        <v>926508.14575528505</v>
      </c>
      <c r="F36" s="157">
        <f>Gasto_o_ing_total!F$233</f>
        <v>260610.02874208181</v>
      </c>
      <c r="G36" s="157">
        <f>Gasto_o_ing_total!F$271</f>
        <v>151431.18562461826</v>
      </c>
      <c r="H36" s="157">
        <f>Gasto_o_ing_total!F$288</f>
        <v>427182.87680622871</v>
      </c>
      <c r="I36" s="157">
        <f t="shared" si="3"/>
        <v>4196543.0696608471</v>
      </c>
      <c r="J36" s="157">
        <f>Gasto_o_ing_total!F$375</f>
        <v>5688973.5042425739</v>
      </c>
      <c r="K36" s="157">
        <f>Gasto_o_ing_total!F$425</f>
        <v>312802.22074164404</v>
      </c>
      <c r="L36" s="157">
        <f>Gasto_o_ing_total!F$471</f>
        <v>895417.8431193392</v>
      </c>
      <c r="M36" s="157">
        <f t="shared" si="0"/>
        <v>11458838.119834946</v>
      </c>
      <c r="N36" s="157">
        <f>Gasto_o_ing_total!F$191</f>
        <v>188499.71037277189</v>
      </c>
      <c r="O36" s="157">
        <f>M36+N36</f>
        <v>11647337.830207719</v>
      </c>
      <c r="P36" s="35"/>
      <c r="Q36" s="29" t="s">
        <v>11</v>
      </c>
      <c r="R36" s="157">
        <f>Gasto_o_ing_total!F$488</f>
        <v>2441211.4846200543</v>
      </c>
      <c r="S36" s="157">
        <f>Gasto_o_ing_total!F$495</f>
        <v>2078437.7369937112</v>
      </c>
      <c r="T36" s="177">
        <f t="shared" si="5"/>
        <v>4519649.2216137657</v>
      </c>
      <c r="U36" s="177">
        <f>Gasto_o_ing_total!F$528</f>
        <v>2793898.5260654534</v>
      </c>
      <c r="V36" s="177">
        <f>Gasto_o_ing_total!F$523</f>
        <v>506474.30728000007</v>
      </c>
      <c r="W36" s="177">
        <f>Gasto_o_ing_total!F$530</f>
        <v>437532.85133401887</v>
      </c>
      <c r="X36" s="157">
        <f t="shared" si="1"/>
        <v>8257554.9062932376</v>
      </c>
      <c r="Y36" s="157">
        <f>Gasto_o_ing_total!F$508</f>
        <v>171434.60034101256</v>
      </c>
      <c r="Z36" s="157">
        <f t="shared" si="6"/>
        <v>8428989.5066342503</v>
      </c>
      <c r="AB36" s="29" t="s">
        <v>11</v>
      </c>
      <c r="AC36" s="157">
        <f t="shared" si="2"/>
        <v>3218348.3235734683</v>
      </c>
    </row>
    <row r="37" spans="1:29">
      <c r="A37" s="35"/>
      <c r="B37" s="29" t="s">
        <v>31</v>
      </c>
      <c r="C37" s="157">
        <f>Gasto_o_ing_total!G$8</f>
        <v>379705.22594883549</v>
      </c>
      <c r="D37" s="157">
        <f>Gasto_o_ing_total!G$189</f>
        <v>2273899.6333513218</v>
      </c>
      <c r="E37" s="157">
        <f>Gasto_o_ing_total!G$208</f>
        <v>1083671.0710880002</v>
      </c>
      <c r="F37" s="157">
        <f>Gasto_o_ing_total!G$233</f>
        <v>37716.673546787912</v>
      </c>
      <c r="G37" s="157">
        <f>Gasto_o_ing_total!G$271</f>
        <v>249477.65767749504</v>
      </c>
      <c r="H37" s="157">
        <f>Gasto_o_ing_total!G$288</f>
        <v>451940.23303151096</v>
      </c>
      <c r="I37" s="157">
        <f t="shared" si="3"/>
        <v>4096705.2686951156</v>
      </c>
      <c r="J37" s="157">
        <f>Gasto_o_ing_total!G$375</f>
        <v>3238116.1125207599</v>
      </c>
      <c r="K37" s="157">
        <f>Gasto_o_ing_total!G$425</f>
        <v>194040.17494674359</v>
      </c>
      <c r="L37" s="157">
        <f>Gasto_o_ing_total!G$471</f>
        <v>523324.51981980685</v>
      </c>
      <c r="M37" s="157">
        <f t="shared" si="0"/>
        <v>8431891.301931262</v>
      </c>
      <c r="N37" s="157">
        <f>Gasto_o_ing_total!G$191</f>
        <v>179095.18611985486</v>
      </c>
      <c r="O37" s="157">
        <f t="shared" si="4"/>
        <v>8610986.4880511165</v>
      </c>
      <c r="P37" s="35"/>
      <c r="Q37" s="29" t="s">
        <v>31</v>
      </c>
      <c r="R37" s="157">
        <f>Gasto_o_ing_total!G$488</f>
        <v>2318974.8607249884</v>
      </c>
      <c r="S37" s="157">
        <f>Gasto_o_ing_total!G$495</f>
        <v>2278257.7525278348</v>
      </c>
      <c r="T37" s="177">
        <f t="shared" si="5"/>
        <v>4597232.6132528232</v>
      </c>
      <c r="U37" s="177">
        <f>Gasto_o_ing_total!G$528</f>
        <v>2984812.4728190536</v>
      </c>
      <c r="V37" s="177">
        <f>Gasto_o_ing_total!G$523</f>
        <v>718997.65634999995</v>
      </c>
      <c r="W37" s="177">
        <f>Gasto_o_ing_total!G$530</f>
        <v>455205.16123663884</v>
      </c>
      <c r="X37" s="157">
        <f t="shared" si="1"/>
        <v>8756247.9036585148</v>
      </c>
      <c r="Y37" s="157">
        <f>Gasto_o_ing_total!G$508</f>
        <v>160882.74467267774</v>
      </c>
      <c r="Z37" s="157">
        <f t="shared" si="6"/>
        <v>8917130.6483311933</v>
      </c>
      <c r="AB37" s="29" t="s">
        <v>31</v>
      </c>
      <c r="AC37" s="157">
        <f t="shared" si="2"/>
        <v>-306144.16028007679</v>
      </c>
    </row>
    <row r="38" spans="1:29">
      <c r="A38" s="35"/>
      <c r="B38" s="29" t="s">
        <v>12</v>
      </c>
      <c r="C38" s="157">
        <f>Gasto_o_ing_total!H$8</f>
        <v>723972.35339528532</v>
      </c>
      <c r="D38" s="157">
        <f>Gasto_o_ing_total!H$189</f>
        <v>4496585.4334288286</v>
      </c>
      <c r="E38" s="157">
        <f>Gasto_o_ing_total!H$208</f>
        <v>2249868.5377205843</v>
      </c>
      <c r="F38" s="157">
        <f>Gasto_o_ing_total!H$233</f>
        <v>306387.4215266793</v>
      </c>
      <c r="G38" s="157">
        <f>Gasto_o_ing_total!H$271</f>
        <v>932721.49867724092</v>
      </c>
      <c r="H38" s="157">
        <f>Gasto_o_ing_total!H$288</f>
        <v>816160.90751762968</v>
      </c>
      <c r="I38" s="157">
        <f t="shared" si="3"/>
        <v>8801723.7988709621</v>
      </c>
      <c r="J38" s="157">
        <f>Gasto_o_ing_total!H$375</f>
        <v>5877567.6824730746</v>
      </c>
      <c r="K38" s="157">
        <f>Gasto_o_ing_total!H$425</f>
        <v>655158.88512679143</v>
      </c>
      <c r="L38" s="157">
        <f>Gasto_o_ing_total!H$471</f>
        <v>1354446.5826822545</v>
      </c>
      <c r="M38" s="157">
        <f t="shared" si="0"/>
        <v>17412869.302548368</v>
      </c>
      <c r="N38" s="157">
        <f>Gasto_o_ing_total!H$191</f>
        <v>60887.19945192802</v>
      </c>
      <c r="O38" s="157">
        <f t="shared" si="4"/>
        <v>17473756.502000295</v>
      </c>
      <c r="P38" s="35"/>
      <c r="Q38" s="29" t="s">
        <v>12</v>
      </c>
      <c r="R38" s="157">
        <f>Gasto_o_ing_total!H$488</f>
        <v>3333920.0284069278</v>
      </c>
      <c r="S38" s="157">
        <f>Gasto_o_ing_total!H$495</f>
        <v>3633774.2060637171</v>
      </c>
      <c r="T38" s="177">
        <f t="shared" si="5"/>
        <v>6967694.234470645</v>
      </c>
      <c r="U38" s="177">
        <f>Gasto_o_ing_total!H$528</f>
        <v>4617997.0001459699</v>
      </c>
      <c r="V38" s="177">
        <f>Gasto_o_ing_total!H$523</f>
        <v>808617.81079000013</v>
      </c>
      <c r="W38" s="177">
        <f>Gasto_o_ing_total!H$530</f>
        <v>867185.19872155844</v>
      </c>
      <c r="X38" s="157">
        <f t="shared" si="1"/>
        <v>13261494.244128173</v>
      </c>
      <c r="Y38" s="157">
        <f>Gasto_o_ing_total!H$508</f>
        <v>-1653591.547347219</v>
      </c>
      <c r="Z38" s="157">
        <f t="shared" si="6"/>
        <v>11607902.696780954</v>
      </c>
      <c r="AB38" s="29" t="s">
        <v>12</v>
      </c>
      <c r="AC38" s="157">
        <f t="shared" si="2"/>
        <v>5865853.8052193411</v>
      </c>
    </row>
    <row r="39" spans="1:29">
      <c r="A39" s="35"/>
      <c r="B39" s="29" t="s">
        <v>13</v>
      </c>
      <c r="C39" s="157">
        <f>Gasto_o_ing_total!I$8</f>
        <v>202363.54496222411</v>
      </c>
      <c r="D39" s="157">
        <f>Gasto_o_ing_total!I$189</f>
        <v>1503295.5595691847</v>
      </c>
      <c r="E39" s="157">
        <f>Gasto_o_ing_total!I$208</f>
        <v>536894.09756824246</v>
      </c>
      <c r="F39" s="157">
        <f>Gasto_o_ing_total!I$233</f>
        <v>147113.02307640406</v>
      </c>
      <c r="G39" s="157">
        <f>Gasto_o_ing_total!I$271</f>
        <v>28396.853091651123</v>
      </c>
      <c r="H39" s="157">
        <f>Gasto_o_ing_total!I$288</f>
        <v>236997.98833840148</v>
      </c>
      <c r="I39" s="157">
        <f t="shared" si="3"/>
        <v>2452697.5216438835</v>
      </c>
      <c r="J39" s="157">
        <f>Gasto_o_ing_total!I$375</f>
        <v>2457513.0799222072</v>
      </c>
      <c r="K39" s="157">
        <f>Gasto_o_ing_total!I$425</f>
        <v>184742.50543253819</v>
      </c>
      <c r="L39" s="157">
        <f>Gasto_o_ing_total!I$471</f>
        <v>424895.31870640756</v>
      </c>
      <c r="M39" s="157">
        <f t="shared" si="0"/>
        <v>5722211.9706672598</v>
      </c>
      <c r="N39" s="157">
        <f>Gasto_o_ing_total!I$191</f>
        <v>80948.690376879036</v>
      </c>
      <c r="O39" s="157">
        <f t="shared" si="4"/>
        <v>5803160.6610441385</v>
      </c>
      <c r="P39" s="35"/>
      <c r="Q39" s="29" t="s">
        <v>13</v>
      </c>
      <c r="R39" s="157">
        <f>Gasto_o_ing_total!I$488</f>
        <v>1303205.0072408218</v>
      </c>
      <c r="S39" s="157">
        <f>Gasto_o_ing_total!I$495</f>
        <v>1204986.9412499873</v>
      </c>
      <c r="T39" s="177">
        <f t="shared" si="5"/>
        <v>2508191.9484908092</v>
      </c>
      <c r="U39" s="177">
        <f>Gasto_o_ing_total!I$528</f>
        <v>1557529.8155675679</v>
      </c>
      <c r="V39" s="177">
        <f>Gasto_o_ing_total!I$523</f>
        <v>318005.55147999997</v>
      </c>
      <c r="W39" s="177">
        <f>Gasto_o_ing_total!I$530</f>
        <v>242543.19967463365</v>
      </c>
      <c r="X39" s="157">
        <f t="shared" si="1"/>
        <v>4626270.5152130108</v>
      </c>
      <c r="Y39" s="157">
        <f>Gasto_o_ing_total!I$508</f>
        <v>72440.038134981267</v>
      </c>
      <c r="Z39" s="157">
        <f t="shared" si="6"/>
        <v>4698710.5533479918</v>
      </c>
      <c r="AB39" s="29" t="s">
        <v>13</v>
      </c>
      <c r="AC39" s="157">
        <f t="shared" si="2"/>
        <v>1104450.1076961467</v>
      </c>
    </row>
    <row r="40" spans="1:29">
      <c r="A40" s="35"/>
      <c r="B40" s="29" t="s">
        <v>14</v>
      </c>
      <c r="C40" s="157">
        <f>Gasto_o_ing_total!J$8</f>
        <v>859591.32924989797</v>
      </c>
      <c r="D40" s="157">
        <f>Gasto_o_ing_total!J$189</f>
        <v>6069466.5638021613</v>
      </c>
      <c r="E40" s="157">
        <f>Gasto_o_ing_total!J$208</f>
        <v>2288862.2878821483</v>
      </c>
      <c r="F40" s="157">
        <f>Gasto_o_ing_total!J$233</f>
        <v>810125.11003330362</v>
      </c>
      <c r="G40" s="157">
        <f>Gasto_o_ing_total!J$271</f>
        <v>292378.18120734807</v>
      </c>
      <c r="H40" s="157">
        <f>Gasto_o_ing_total!J$288</f>
        <v>1152599.7809019857</v>
      </c>
      <c r="I40" s="157">
        <f t="shared" si="3"/>
        <v>10613431.923826946</v>
      </c>
      <c r="J40" s="157">
        <f>Gasto_o_ing_total!J$375</f>
        <v>10475208.317401679</v>
      </c>
      <c r="K40" s="157">
        <f>Gasto_o_ing_total!J$425</f>
        <v>1905857.8068644665</v>
      </c>
      <c r="L40" s="157">
        <f>Gasto_o_ing_total!J$471</f>
        <v>1864615.9811353688</v>
      </c>
      <c r="M40" s="157">
        <f t="shared" si="0"/>
        <v>25718705.358478356</v>
      </c>
      <c r="N40" s="157">
        <f>Gasto_o_ing_total!J$191</f>
        <v>163214.47727093415</v>
      </c>
      <c r="O40" s="157">
        <f t="shared" si="4"/>
        <v>25881919.835749291</v>
      </c>
      <c r="P40" s="35"/>
      <c r="Q40" s="29" t="s">
        <v>14</v>
      </c>
      <c r="R40" s="157">
        <f>Gasto_o_ing_total!J$488</f>
        <v>5210095.0430589896</v>
      </c>
      <c r="S40" s="157">
        <f>Gasto_o_ing_total!J$495</f>
        <v>4754839.1780355144</v>
      </c>
      <c r="T40" s="177">
        <f t="shared" si="5"/>
        <v>9964934.221094504</v>
      </c>
      <c r="U40" s="177">
        <f>Gasto_o_ing_total!J$528</f>
        <v>6234891.57424042</v>
      </c>
      <c r="V40" s="177">
        <f>Gasto_o_ing_total!J$523</f>
        <v>1192676.12105</v>
      </c>
      <c r="W40" s="177">
        <f>Gasto_o_ing_total!J$530</f>
        <v>1030021.4066832749</v>
      </c>
      <c r="X40" s="157">
        <f t="shared" si="1"/>
        <v>18422523.323068198</v>
      </c>
      <c r="Y40" s="157">
        <f>Gasto_o_ing_total!J$508</f>
        <v>121204.80642647359</v>
      </c>
      <c r="Z40" s="157">
        <f t="shared" si="6"/>
        <v>18543728.129494671</v>
      </c>
      <c r="AB40" s="29" t="s">
        <v>14</v>
      </c>
      <c r="AC40" s="157">
        <f t="shared" si="2"/>
        <v>7338191.7062546201</v>
      </c>
    </row>
    <row r="41" spans="1:29">
      <c r="A41" s="35"/>
      <c r="B41" s="29" t="s">
        <v>15</v>
      </c>
      <c r="C41" s="157">
        <f>Gasto_o_ing_total!K$8</f>
        <v>716449.7839945117</v>
      </c>
      <c r="D41" s="157">
        <f>Gasto_o_ing_total!K$189</f>
        <v>4532528.8483379604</v>
      </c>
      <c r="E41" s="157">
        <f>Gasto_o_ing_total!K$208</f>
        <v>1742493.4045516616</v>
      </c>
      <c r="F41" s="157">
        <f>Gasto_o_ing_total!K$233</f>
        <v>415452.11553798045</v>
      </c>
      <c r="G41" s="157">
        <f>Gasto_o_ing_total!K$271</f>
        <v>206224.85884329831</v>
      </c>
      <c r="H41" s="157">
        <f>Gasto_o_ing_total!K$288</f>
        <v>824396.14604948531</v>
      </c>
      <c r="I41" s="157">
        <f t="shared" si="3"/>
        <v>7721095.3733203867</v>
      </c>
      <c r="J41" s="157">
        <f>Gasto_o_ing_total!K$375</f>
        <v>6625045.1891036527</v>
      </c>
      <c r="K41" s="157">
        <f>Gasto_o_ing_total!K$425</f>
        <v>1659237.540780836</v>
      </c>
      <c r="L41" s="157">
        <f>Gasto_o_ing_total!K$471</f>
        <v>1271361.6543992041</v>
      </c>
      <c r="M41" s="157">
        <f t="shared" si="0"/>
        <v>17993189.541598592</v>
      </c>
      <c r="N41" s="157">
        <f>Gasto_o_ing_total!K$191</f>
        <v>-89969.274875283707</v>
      </c>
      <c r="O41" s="157">
        <f t="shared" si="4"/>
        <v>17903220.266723309</v>
      </c>
      <c r="P41" s="35"/>
      <c r="Q41" s="29" t="s">
        <v>15</v>
      </c>
      <c r="R41" s="157">
        <f>Gasto_o_ing_total!K$488</f>
        <v>3240834.8419962735</v>
      </c>
      <c r="S41" s="157">
        <f>Gasto_o_ing_total!K$495</f>
        <v>3742274.2445172346</v>
      </c>
      <c r="T41" s="177">
        <f t="shared" si="5"/>
        <v>6983109.0865135081</v>
      </c>
      <c r="U41" s="177">
        <f>Gasto_o_ing_total!K$528</f>
        <v>4512189.440399142</v>
      </c>
      <c r="V41" s="177">
        <f>Gasto_o_ing_total!K$523</f>
        <v>938465.47100000002</v>
      </c>
      <c r="W41" s="177">
        <f>Gasto_o_ing_total!K$530</f>
        <v>858202.35215185699</v>
      </c>
      <c r="X41" s="157">
        <f t="shared" si="1"/>
        <v>13291966.350064509</v>
      </c>
      <c r="Y41" s="157">
        <f>Gasto_o_ing_total!K$508</f>
        <v>-126122.04563908096</v>
      </c>
      <c r="Z41" s="157">
        <f t="shared" si="6"/>
        <v>13165844.304425428</v>
      </c>
      <c r="AB41" s="29" t="s">
        <v>15</v>
      </c>
      <c r="AC41" s="157">
        <f t="shared" si="2"/>
        <v>4737375.962297881</v>
      </c>
    </row>
    <row r="42" spans="1:29">
      <c r="A42" s="35"/>
      <c r="B42" s="29" t="s">
        <v>16</v>
      </c>
      <c r="C42" s="157">
        <f>Gasto_o_ing_total!L$8</f>
        <v>2583669.2717179591</v>
      </c>
      <c r="D42" s="157">
        <f>Gasto_o_ing_total!L$189</f>
        <v>14872337.078100508</v>
      </c>
      <c r="E42" s="157">
        <f>Gasto_o_ing_total!L$208</f>
        <v>7993958.681860921</v>
      </c>
      <c r="F42" s="157">
        <f>Gasto_o_ing_total!L$233</f>
        <v>884785.15348595625</v>
      </c>
      <c r="G42" s="157">
        <f>Gasto_o_ing_total!L$271</f>
        <v>11612.695473886908</v>
      </c>
      <c r="H42" s="157">
        <f>Gasto_o_ing_total!L$288</f>
        <v>3306405.0682284688</v>
      </c>
      <c r="I42" s="157">
        <f t="shared" si="3"/>
        <v>27069098.677149743</v>
      </c>
      <c r="J42" s="157">
        <f>Gasto_o_ing_total!L$375</f>
        <v>29399248.443349659</v>
      </c>
      <c r="K42" s="157">
        <f>Gasto_o_ing_total!L$425</f>
        <v>1550989.3215462873</v>
      </c>
      <c r="L42" s="157">
        <f>Gasto_o_ing_total!L$471</f>
        <v>4475570.9310180191</v>
      </c>
      <c r="M42" s="157">
        <f t="shared" si="0"/>
        <v>65078576.644781664</v>
      </c>
      <c r="N42" s="157">
        <f>Gasto_o_ing_total!L$191</f>
        <v>1382077.9379045523</v>
      </c>
      <c r="O42" s="157">
        <f t="shared" si="4"/>
        <v>66460654.582686216</v>
      </c>
      <c r="P42" s="371"/>
      <c r="Q42" s="29" t="s">
        <v>16</v>
      </c>
      <c r="R42" s="157">
        <f>Gasto_o_ing_total!L$488</f>
        <v>19642941.873199843</v>
      </c>
      <c r="S42" s="157">
        <f>Gasto_o_ing_total!L$495</f>
        <v>15606829.546852795</v>
      </c>
      <c r="T42" s="177">
        <f t="shared" si="5"/>
        <v>35249771.42005264</v>
      </c>
      <c r="U42" s="177">
        <f>Gasto_o_ing_total!L$528</f>
        <v>22745806.473177124</v>
      </c>
      <c r="V42" s="177">
        <f>Gasto_o_ing_total!L$523</f>
        <v>4725587.3559999997</v>
      </c>
      <c r="W42" s="177">
        <f>Gasto_o_ing_total!L$530</f>
        <v>3097266.428965074</v>
      </c>
      <c r="X42" s="157">
        <f t="shared" si="1"/>
        <v>65818431.678194843</v>
      </c>
      <c r="Y42" s="157">
        <f>Gasto_o_ing_total!L$508</f>
        <v>1246879.7698786634</v>
      </c>
      <c r="Z42" s="157">
        <f t="shared" si="6"/>
        <v>67065311.448073506</v>
      </c>
      <c r="AB42" s="29" t="s">
        <v>16</v>
      </c>
      <c r="AC42" s="157">
        <f t="shared" si="2"/>
        <v>-604656.86538729072</v>
      </c>
    </row>
    <row r="43" spans="1:29">
      <c r="A43" s="35"/>
      <c r="B43" s="29" t="s">
        <v>17</v>
      </c>
      <c r="C43" s="157">
        <f>Gasto_o_ing_total!M$8</f>
        <v>1734495.0340723549</v>
      </c>
      <c r="D43" s="157">
        <f>Gasto_o_ing_total!M$189</f>
        <v>9228649.8909422774</v>
      </c>
      <c r="E43" s="157">
        <f>Gasto_o_ing_total!M$208</f>
        <v>4315045.1307199458</v>
      </c>
      <c r="F43" s="157">
        <f>Gasto_o_ing_total!M$233</f>
        <v>348284.65197314776</v>
      </c>
      <c r="G43" s="157">
        <f>Gasto_o_ing_total!M$271</f>
        <v>254247.60879532955</v>
      </c>
      <c r="H43" s="157">
        <f>Gasto_o_ing_total!M$288</f>
        <v>1774624.6340727813</v>
      </c>
      <c r="I43" s="157">
        <f t="shared" si="3"/>
        <v>15920851.916503482</v>
      </c>
      <c r="J43" s="157">
        <f>Gasto_o_ing_total!M$375</f>
        <v>16343218.548220769</v>
      </c>
      <c r="K43" s="157">
        <f>Gasto_o_ing_total!M$425</f>
        <v>923019.23072892753</v>
      </c>
      <c r="L43" s="157">
        <f>Gasto_o_ing_total!M$471</f>
        <v>2711730.0254913527</v>
      </c>
      <c r="M43" s="157">
        <f t="shared" si="0"/>
        <v>37633314.755016878</v>
      </c>
      <c r="N43" s="157">
        <f>Gasto_o_ing_total!M$191</f>
        <v>438649.84948618442</v>
      </c>
      <c r="O43" s="157">
        <f t="shared" si="4"/>
        <v>38071964.604503065</v>
      </c>
      <c r="P43" s="35"/>
      <c r="Q43" s="29" t="s">
        <v>17</v>
      </c>
      <c r="R43" s="157">
        <f>Gasto_o_ing_total!M$488</f>
        <v>8878502.9262310136</v>
      </c>
      <c r="S43" s="157">
        <f>Gasto_o_ing_total!M$495</f>
        <v>9236528.986112684</v>
      </c>
      <c r="T43" s="177">
        <f t="shared" si="5"/>
        <v>18115031.912343696</v>
      </c>
      <c r="U43" s="177">
        <f>Gasto_o_ing_total!M$528</f>
        <v>10989053.431843752</v>
      </c>
      <c r="V43" s="177">
        <f>Gasto_o_ing_total!M$523</f>
        <v>2456158.716</v>
      </c>
      <c r="W43" s="177">
        <f>Gasto_o_ing_total!M$530</f>
        <v>2077894.0363333919</v>
      </c>
      <c r="X43" s="157">
        <f t="shared" si="1"/>
        <v>33638138.096520834</v>
      </c>
      <c r="Y43" s="157">
        <f>Gasto_o_ing_total!M$508</f>
        <v>348338.03814870538</v>
      </c>
      <c r="Z43" s="157">
        <f t="shared" si="6"/>
        <v>33986476.134669542</v>
      </c>
      <c r="AB43" s="29" t="s">
        <v>17</v>
      </c>
      <c r="AC43" s="157">
        <f t="shared" si="2"/>
        <v>4085488.469833523</v>
      </c>
    </row>
    <row r="44" spans="1:29">
      <c r="A44" s="35"/>
      <c r="B44" s="29" t="s">
        <v>18</v>
      </c>
      <c r="C44" s="157">
        <f>Gasto_o_ing_total!N$8</f>
        <v>377737.37596089242</v>
      </c>
      <c r="D44" s="157">
        <f>Gasto_o_ing_total!N$189</f>
        <v>2637148.0046409867</v>
      </c>
      <c r="E44" s="157">
        <f>Gasto_o_ing_total!N$208</f>
        <v>852356.54392746754</v>
      </c>
      <c r="F44" s="157">
        <f>Gasto_o_ing_total!N$233</f>
        <v>265072.28738944442</v>
      </c>
      <c r="G44" s="157">
        <f>Gasto_o_ing_total!N$271</f>
        <v>345901.99569033296</v>
      </c>
      <c r="H44" s="157">
        <f>Gasto_o_ing_total!N$288</f>
        <v>441022.31034985039</v>
      </c>
      <c r="I44" s="157">
        <f t="shared" si="3"/>
        <v>4541501.1419980815</v>
      </c>
      <c r="J44" s="157">
        <f>Gasto_o_ing_total!N$375</f>
        <v>3656691.1963985735</v>
      </c>
      <c r="K44" s="157">
        <f>Gasto_o_ing_total!N$425</f>
        <v>914511.75565810595</v>
      </c>
      <c r="L44" s="157">
        <f>Gasto_o_ing_total!N$471</f>
        <v>777981.44531148323</v>
      </c>
      <c r="M44" s="157">
        <f t="shared" si="0"/>
        <v>10268422.915327135</v>
      </c>
      <c r="N44" s="157">
        <f>Gasto_o_ing_total!N$191</f>
        <v>235945.20012043102</v>
      </c>
      <c r="O44" s="157">
        <f t="shared" si="4"/>
        <v>10504368.115447566</v>
      </c>
      <c r="P44" s="35"/>
      <c r="Q44" s="29" t="s">
        <v>18</v>
      </c>
      <c r="R44" s="157">
        <f>Gasto_o_ing_total!N$488</f>
        <v>1545824.8872670056</v>
      </c>
      <c r="S44" s="157">
        <f>Gasto_o_ing_total!N$495</f>
        <v>1890138.4705985803</v>
      </c>
      <c r="T44" s="177">
        <f t="shared" si="5"/>
        <v>3435963.3578655859</v>
      </c>
      <c r="U44" s="177">
        <f>Gasto_o_ing_total!N$528</f>
        <v>2088237.8517872461</v>
      </c>
      <c r="V44" s="177">
        <f>Gasto_o_ing_total!N$523</f>
        <v>380768.44400000002</v>
      </c>
      <c r="W44" s="177">
        <f>Gasto_o_ing_total!N$530</f>
        <v>452376.55672970397</v>
      </c>
      <c r="X44" s="157">
        <f t="shared" si="1"/>
        <v>6357346.2103825361</v>
      </c>
      <c r="Y44" s="157">
        <f>Gasto_o_ing_total!N$508</f>
        <v>218780.40777293424</v>
      </c>
      <c r="Z44" s="157">
        <f t="shared" si="6"/>
        <v>6576126.6181554701</v>
      </c>
      <c r="AB44" s="29" t="s">
        <v>18</v>
      </c>
      <c r="AC44" s="157">
        <f t="shared" si="2"/>
        <v>3928241.4972920958</v>
      </c>
    </row>
    <row r="45" spans="1:29">
      <c r="A45" s="35"/>
      <c r="B45" s="29" t="s">
        <v>19</v>
      </c>
      <c r="C45" s="157">
        <f>Gasto_o_ing_total!O$8</f>
        <v>945293.93887288822</v>
      </c>
      <c r="D45" s="157">
        <f>Gasto_o_ing_total!O$189</f>
        <v>6428080.3615677506</v>
      </c>
      <c r="E45" s="157">
        <f>Gasto_o_ing_total!O$208</f>
        <v>2084179.4412398075</v>
      </c>
      <c r="F45" s="157">
        <f>Gasto_o_ing_total!O$233</f>
        <v>511425.7825777008</v>
      </c>
      <c r="G45" s="157">
        <f>Gasto_o_ing_total!O$271</f>
        <v>401007.44129288313</v>
      </c>
      <c r="H45" s="157">
        <f>Gasto_o_ing_total!O$288</f>
        <v>1107222.5597613349</v>
      </c>
      <c r="I45" s="157">
        <f t="shared" si="3"/>
        <v>10531915.586439477</v>
      </c>
      <c r="J45" s="157">
        <f>Gasto_o_ing_total!O$375</f>
        <v>11276746.493691279</v>
      </c>
      <c r="K45" s="157">
        <f>Gasto_o_ing_total!O$425</f>
        <v>1001187.8373810835</v>
      </c>
      <c r="L45" s="157">
        <f>Gasto_o_ing_total!O$471</f>
        <v>1975772.1565816491</v>
      </c>
      <c r="M45" s="157">
        <f t="shared" si="0"/>
        <v>25730916.012966376</v>
      </c>
      <c r="N45" s="157">
        <f>Gasto_o_ing_total!O$191</f>
        <v>147199.96378920804</v>
      </c>
      <c r="O45" s="157">
        <f t="shared" si="4"/>
        <v>25878115.976755586</v>
      </c>
      <c r="P45" s="35"/>
      <c r="Q45" s="29" t="s">
        <v>19</v>
      </c>
      <c r="R45" s="157">
        <f>Gasto_o_ing_total!O$488</f>
        <v>5225261.2199215395</v>
      </c>
      <c r="S45" s="157">
        <f>Gasto_o_ing_total!O$495</f>
        <v>5193763.1467262832</v>
      </c>
      <c r="T45" s="177">
        <f t="shared" si="5"/>
        <v>10419024.366647823</v>
      </c>
      <c r="U45" s="177">
        <f>Gasto_o_ing_total!O$528</f>
        <v>6535458.3839298785</v>
      </c>
      <c r="V45" s="177">
        <f>Gasto_o_ing_total!O$523</f>
        <v>1027117.0440000001</v>
      </c>
      <c r="W45" s="177">
        <f>Gasto_o_ing_total!O$530</f>
        <v>1132548.2008640976</v>
      </c>
      <c r="X45" s="157">
        <f t="shared" si="1"/>
        <v>19114147.995441802</v>
      </c>
      <c r="Y45" s="157">
        <f>Gasto_o_ing_total!O$508</f>
        <v>110622.4715131469</v>
      </c>
      <c r="Z45" s="157">
        <f t="shared" si="6"/>
        <v>19224770.46695495</v>
      </c>
      <c r="AB45" s="29" t="s">
        <v>19</v>
      </c>
      <c r="AC45" s="157">
        <f t="shared" si="2"/>
        <v>6653345.5098006353</v>
      </c>
    </row>
    <row r="46" spans="1:29">
      <c r="A46" s="35"/>
      <c r="B46" s="29" t="s">
        <v>20</v>
      </c>
      <c r="C46" s="157">
        <f>Gasto_o_ing_total!P$8</f>
        <v>2219829.2363426504</v>
      </c>
      <c r="D46" s="157">
        <f>Gasto_o_ing_total!P$189</f>
        <v>12139849.629658489</v>
      </c>
      <c r="E46" s="157">
        <f>Gasto_o_ing_total!P$208</f>
        <v>6920773.408564344</v>
      </c>
      <c r="F46" s="157">
        <f>Gasto_o_ing_total!P$233</f>
        <v>825357.23749497312</v>
      </c>
      <c r="G46" s="157">
        <f>Gasto_o_ing_total!P$271</f>
        <v>80481.943704393605</v>
      </c>
      <c r="H46" s="157">
        <f>Gasto_o_ing_total!P$288</f>
        <v>2864995.0460019694</v>
      </c>
      <c r="I46" s="157">
        <f t="shared" si="3"/>
        <v>22831457.26542417</v>
      </c>
      <c r="J46" s="157">
        <f>Gasto_o_ing_total!P$375</f>
        <v>24074775.504618123</v>
      </c>
      <c r="K46" s="157">
        <f>Gasto_o_ing_total!P$425</f>
        <v>1028994.9553144411</v>
      </c>
      <c r="L46" s="157">
        <f>Gasto_o_ing_total!P$471</f>
        <v>3448134.3431459642</v>
      </c>
      <c r="M46" s="157">
        <f t="shared" si="0"/>
        <v>53603191.304845348</v>
      </c>
      <c r="N46" s="157">
        <f>Gasto_o_ing_total!P$191</f>
        <v>-199782.52361902475</v>
      </c>
      <c r="O46" s="157">
        <f t="shared" si="4"/>
        <v>53403408.781226322</v>
      </c>
      <c r="P46" s="35"/>
      <c r="Q46" s="29" t="s">
        <v>20</v>
      </c>
      <c r="R46" s="157">
        <f>Gasto_o_ing_total!P$488</f>
        <v>22174857.493164625</v>
      </c>
      <c r="S46" s="157">
        <f>Gasto_o_ing_total!P$495</f>
        <v>14368477.167484602</v>
      </c>
      <c r="T46" s="177">
        <f t="shared" si="5"/>
        <v>36543334.660649225</v>
      </c>
      <c r="U46" s="177">
        <f>Gasto_o_ing_total!P$528</f>
        <v>21025993.331957366</v>
      </c>
      <c r="V46" s="177">
        <f>Gasto_o_ing_total!P$523</f>
        <v>3993515.6278700004</v>
      </c>
      <c r="W46" s="177">
        <f>Gasto_o_ing_total!P$530</f>
        <v>2661451.563837436</v>
      </c>
      <c r="X46" s="157">
        <f t="shared" si="1"/>
        <v>64224295.184314035</v>
      </c>
      <c r="Y46" s="157">
        <f>Gasto_o_ing_total!P$508</f>
        <v>-271359.57651241933</v>
      </c>
      <c r="Z46" s="157">
        <f t="shared" si="6"/>
        <v>63952935.607801616</v>
      </c>
      <c r="AB46" s="29" t="s">
        <v>20</v>
      </c>
      <c r="AC46" s="157">
        <f t="shared" si="2"/>
        <v>-10549526.826575294</v>
      </c>
    </row>
    <row r="47" spans="1:29">
      <c r="A47" s="35"/>
      <c r="B47" s="29" t="s">
        <v>60</v>
      </c>
      <c r="C47" s="157">
        <f>Gasto_o_ing_total!Q$8</f>
        <v>503767.36851188663</v>
      </c>
      <c r="D47" s="157">
        <f>Gasto_o_ing_total!Q$189</f>
        <v>2762596.5545135508</v>
      </c>
      <c r="E47" s="157">
        <f>Gasto_o_ing_total!Q$208</f>
        <v>1160330.6813199511</v>
      </c>
      <c r="F47" s="157">
        <f>Gasto_o_ing_total!Q$233</f>
        <v>116224.56780717101</v>
      </c>
      <c r="G47" s="157">
        <f>Gasto_o_ing_total!Q$271</f>
        <v>91540.115045685117</v>
      </c>
      <c r="H47" s="157">
        <f>Gasto_o_ing_total!Q$288</f>
        <v>531371.09733244905</v>
      </c>
      <c r="I47" s="157">
        <f t="shared" si="3"/>
        <v>4662063.016018807</v>
      </c>
      <c r="J47" s="157">
        <f>Gasto_o_ing_total!Q$375</f>
        <v>4407071.6849154541</v>
      </c>
      <c r="K47" s="157">
        <f>Gasto_o_ing_total!Q$425</f>
        <v>411572.1263507352</v>
      </c>
      <c r="L47" s="157">
        <f>Gasto_o_ing_total!Q$471</f>
        <v>786233.77326781477</v>
      </c>
      <c r="M47" s="157">
        <f t="shared" si="0"/>
        <v>10770707.969064696</v>
      </c>
      <c r="N47" s="157">
        <f>Gasto_o_ing_total!Q$191</f>
        <v>136710.10130054556</v>
      </c>
      <c r="O47" s="157">
        <f t="shared" si="4"/>
        <v>10907418.070365241</v>
      </c>
      <c r="P47" s="35"/>
      <c r="Q47" s="29" t="s">
        <v>60</v>
      </c>
      <c r="R47" s="157">
        <f>Gasto_o_ing_total!Q$488</f>
        <v>2250900.5701708626</v>
      </c>
      <c r="S47" s="157">
        <f>Gasto_o_ing_total!Q$495</f>
        <v>2497805.9093758608</v>
      </c>
      <c r="T47" s="177">
        <f t="shared" si="5"/>
        <v>4748706.4795467239</v>
      </c>
      <c r="U47" s="177">
        <f>Gasto_o_ing_total!Q$528</f>
        <v>3010613.6475087358</v>
      </c>
      <c r="V47" s="177">
        <f>Gasto_o_ing_total!Q$523</f>
        <v>659543.93009000004</v>
      </c>
      <c r="W47" s="177">
        <f>Gasto_o_ing_total!Q$530</f>
        <v>603302.47270643979</v>
      </c>
      <c r="X47" s="157">
        <f t="shared" si="1"/>
        <v>9022166.5298518986</v>
      </c>
      <c r="Y47" s="157">
        <f>Gasto_o_ing_total!Q$508</f>
        <v>112786.00832529475</v>
      </c>
      <c r="Z47" s="157">
        <f t="shared" si="6"/>
        <v>9134952.5381771941</v>
      </c>
      <c r="AB47" s="29" t="s">
        <v>60</v>
      </c>
      <c r="AC47" s="157">
        <f t="shared" si="2"/>
        <v>1772465.5321880467</v>
      </c>
    </row>
    <row r="48" spans="1:29">
      <c r="A48" s="35"/>
      <c r="B48" s="29" t="s">
        <v>61</v>
      </c>
      <c r="C48" s="157">
        <f>Gasto_o_ing_total!R$8</f>
        <v>220314.69080607154</v>
      </c>
      <c r="D48" s="157">
        <f>Gasto_o_ing_total!R$189</f>
        <v>2098644.3915665075</v>
      </c>
      <c r="E48" s="157">
        <f>Gasto_o_ing_total!R$208</f>
        <v>562878.36328094336</v>
      </c>
      <c r="F48" s="157">
        <f>Gasto_o_ing_total!R$233</f>
        <v>54170.415472844572</v>
      </c>
      <c r="G48" s="157">
        <f>Gasto_o_ing_total!R$271</f>
        <v>15786.591591227127</v>
      </c>
      <c r="H48" s="157">
        <f>Gasto_o_ing_total!R$288</f>
        <v>306118.58222523087</v>
      </c>
      <c r="I48" s="157">
        <f t="shared" si="3"/>
        <v>3037598.3441367541</v>
      </c>
      <c r="J48" s="157">
        <f>Gasto_o_ing_total!R$375</f>
        <v>2530712.3737487681</v>
      </c>
      <c r="K48" s="157">
        <f>Gasto_o_ing_total!R$425</f>
        <v>242355.32993659639</v>
      </c>
      <c r="L48" s="157">
        <f>Gasto_o_ing_total!R$471</f>
        <v>278325.42416914867</v>
      </c>
      <c r="M48" s="157">
        <f t="shared" si="0"/>
        <v>6309306.1627973393</v>
      </c>
      <c r="N48" s="157">
        <f>Gasto_o_ing_total!R$191</f>
        <v>-348178.15738637571</v>
      </c>
      <c r="O48" s="157">
        <f t="shared" si="4"/>
        <v>5961128.0054109637</v>
      </c>
      <c r="P48" s="35"/>
      <c r="Q48" s="29" t="s">
        <v>61</v>
      </c>
      <c r="R48" s="157">
        <f>Gasto_o_ing_total!R$488</f>
        <v>1702756.4779647151</v>
      </c>
      <c r="S48" s="157">
        <f>Gasto_o_ing_total!R$495</f>
        <v>1374919.8305768627</v>
      </c>
      <c r="T48" s="177">
        <f t="shared" si="5"/>
        <v>3077676.3085415778</v>
      </c>
      <c r="U48" s="177">
        <f>Gasto_o_ing_total!R$528</f>
        <v>2068128.3399269311</v>
      </c>
      <c r="V48" s="177">
        <f>Gasto_o_ing_total!R$523</f>
        <v>302244.41454089398</v>
      </c>
      <c r="W48" s="177">
        <f>Gasto_o_ing_total!R$530</f>
        <v>264069.00591235131</v>
      </c>
      <c r="X48" s="157">
        <f t="shared" si="1"/>
        <v>5712118.0689217551</v>
      </c>
      <c r="Y48" s="157">
        <f>Gasto_o_ing_total!R$508</f>
        <v>-274219.94476374693</v>
      </c>
      <c r="Z48" s="157">
        <f t="shared" si="6"/>
        <v>5437898.124158008</v>
      </c>
      <c r="AB48" s="29" t="s">
        <v>61</v>
      </c>
      <c r="AC48" s="157">
        <f t="shared" si="2"/>
        <v>523229.88125295565</v>
      </c>
    </row>
    <row r="49" spans="1:29">
      <c r="A49" s="35"/>
      <c r="B49" s="29" t="s">
        <v>62</v>
      </c>
      <c r="C49" s="157">
        <f>Gasto_o_ing_total!S$8</f>
        <v>750914.24243317614</v>
      </c>
      <c r="D49" s="157">
        <f>Gasto_o_ing_total!S$189</f>
        <v>9133066.4686482977</v>
      </c>
      <c r="E49" s="157">
        <f>Gasto_o_ing_total!S$208</f>
        <v>1981983.120418147</v>
      </c>
      <c r="F49" s="157">
        <f>Gasto_o_ing_total!S$233</f>
        <v>514198.67313519277</v>
      </c>
      <c r="G49" s="157">
        <f>Gasto_o_ing_total!S$271</f>
        <v>57492.339866444949</v>
      </c>
      <c r="H49" s="157">
        <f>Gasto_o_ing_total!S$288</f>
        <v>1137782.0125357828</v>
      </c>
      <c r="I49" s="157">
        <f t="shared" si="3"/>
        <v>12824522.614603864</v>
      </c>
      <c r="J49" s="157">
        <f>Gasto_o_ing_total!S$375</f>
        <v>10362907.363325177</v>
      </c>
      <c r="K49" s="157">
        <f>Gasto_o_ing_total!S$425</f>
        <v>540698.95529753761</v>
      </c>
      <c r="L49" s="157">
        <f>Gasto_o_ing_total!S$471</f>
        <v>1239452.9133543801</v>
      </c>
      <c r="M49" s="157">
        <f t="shared" si="0"/>
        <v>25718496.089014135</v>
      </c>
      <c r="N49" s="157">
        <f>Gasto_o_ing_total!S$191</f>
        <v>-824831.67959736066</v>
      </c>
      <c r="O49" s="157">
        <f t="shared" si="4"/>
        <v>24893664.409416776</v>
      </c>
      <c r="P49" s="35"/>
      <c r="Q49" s="29" t="s">
        <v>62</v>
      </c>
      <c r="R49" s="157">
        <f>Gasto_o_ing_total!S$488</f>
        <v>6473995.2909297906</v>
      </c>
      <c r="S49" s="157">
        <f>Gasto_o_ing_total!S$495</f>
        <v>5091084.4468779145</v>
      </c>
      <c r="T49" s="177">
        <f t="shared" si="5"/>
        <v>11565079.737807706</v>
      </c>
      <c r="U49" s="177">
        <f>Gasto_o_ing_total!S$528</f>
        <v>7652149.5433048774</v>
      </c>
      <c r="V49" s="177">
        <f>Gasto_o_ing_total!S$523</f>
        <v>1093512.6170240927</v>
      </c>
      <c r="W49" s="177">
        <f>Gasto_o_ing_total!S$530</f>
        <v>900451.69742153795</v>
      </c>
      <c r="X49" s="157">
        <f t="shared" si="1"/>
        <v>21211193.595558215</v>
      </c>
      <c r="Y49" s="157">
        <f>Gasto_o_ing_total!S$508</f>
        <v>-825885.39018581854</v>
      </c>
      <c r="Z49" s="157">
        <f t="shared" si="6"/>
        <v>20385308.205372397</v>
      </c>
      <c r="AB49" s="29" t="s">
        <v>62</v>
      </c>
      <c r="AC49" s="157">
        <f t="shared" si="2"/>
        <v>4508356.2040443793</v>
      </c>
    </row>
    <row r="50" spans="1:29">
      <c r="A50" s="35"/>
      <c r="B50" s="29" t="s">
        <v>63</v>
      </c>
      <c r="C50" s="157">
        <f>Gasto_o_ing_total!T$8</f>
        <v>109882.309226585</v>
      </c>
      <c r="D50" s="157">
        <f>Gasto_o_ing_total!T$189</f>
        <v>795282.97850434971</v>
      </c>
      <c r="E50" s="157">
        <f>Gasto_o_ing_total!T$208</f>
        <v>287159.03002231743</v>
      </c>
      <c r="F50" s="157">
        <f>Gasto_o_ing_total!T$233</f>
        <v>39649.597969946153</v>
      </c>
      <c r="G50" s="157">
        <f>Gasto_o_ing_total!T$271</f>
        <v>11641.901255315612</v>
      </c>
      <c r="H50" s="157">
        <f>Gasto_o_ing_total!T$288</f>
        <v>170608.43795387898</v>
      </c>
      <c r="I50" s="157">
        <f t="shared" si="3"/>
        <v>1304341.9457058078</v>
      </c>
      <c r="J50" s="157">
        <f>Gasto_o_ing_total!T$375</f>
        <v>1170928.098613515</v>
      </c>
      <c r="K50" s="157">
        <f>Gasto_o_ing_total!T$425</f>
        <v>111587.90726747781</v>
      </c>
      <c r="L50" s="157">
        <f>Gasto_o_ing_total!T$471</f>
        <v>218058.78105654617</v>
      </c>
      <c r="M50" s="157">
        <f t="shared" si="0"/>
        <v>2914799.0418699319</v>
      </c>
      <c r="N50" s="157">
        <f>Gasto_o_ing_total!T$191</f>
        <v>19142.444109106196</v>
      </c>
      <c r="O50" s="157">
        <f t="shared" si="4"/>
        <v>2933941.4859790378</v>
      </c>
      <c r="P50" s="35"/>
      <c r="Q50" s="29" t="s">
        <v>63</v>
      </c>
      <c r="R50" s="157">
        <f>Gasto_o_ing_total!T$488</f>
        <v>702310.2396544381</v>
      </c>
      <c r="S50" s="157">
        <f>Gasto_o_ing_total!T$495</f>
        <v>627291.09119106736</v>
      </c>
      <c r="T50" s="177">
        <f t="shared" si="5"/>
        <v>1329601.3308455055</v>
      </c>
      <c r="U50" s="177">
        <f>Gasto_o_ing_total!T$528</f>
        <v>868397.79583181313</v>
      </c>
      <c r="V50" s="177">
        <f>Gasto_o_ing_total!T$523</f>
        <v>171602.04566000003</v>
      </c>
      <c r="W50" s="177">
        <f>Gasto_o_ing_total!T$530</f>
        <v>131664.79073246848</v>
      </c>
      <c r="X50" s="157">
        <f t="shared" si="1"/>
        <v>2501265.9630697868</v>
      </c>
      <c r="Y50" s="157">
        <f>Gasto_o_ing_total!T$508</f>
        <v>16164.861342432901</v>
      </c>
      <c r="Z50" s="157">
        <f t="shared" si="6"/>
        <v>2517430.8244122197</v>
      </c>
      <c r="AB50" s="29" t="s">
        <v>63</v>
      </c>
      <c r="AC50" s="157">
        <f t="shared" si="2"/>
        <v>416510.66156681813</v>
      </c>
    </row>
    <row r="51" spans="1:29">
      <c r="A51" s="35"/>
      <c r="B51" s="164" t="s">
        <v>64</v>
      </c>
      <c r="C51" s="165">
        <f>Gasto_o_ing_total!U$8</f>
        <v>57823.763439272087</v>
      </c>
      <c r="D51" s="165">
        <f>Gasto_o_ing_total!U$189</f>
        <v>695194.32151790499</v>
      </c>
      <c r="E51" s="165">
        <f>Gasto_o_ing_total!U$208</f>
        <v>67734.713254825023</v>
      </c>
      <c r="F51" s="165">
        <f>Gasto_o_ing_total!U$233</f>
        <v>21775.222276060704</v>
      </c>
      <c r="G51" s="165">
        <f>Gasto_o_ing_total!U$271</f>
        <v>72397.03762506746</v>
      </c>
      <c r="H51" s="165">
        <f>Gasto_o_ing_total!U$288</f>
        <v>153162.88289072501</v>
      </c>
      <c r="I51" s="157">
        <f t="shared" si="3"/>
        <v>1010264.1775645833</v>
      </c>
      <c r="J51" s="165">
        <f>Gasto_o_ing_total!U$375</f>
        <v>436592.71479748451</v>
      </c>
      <c r="K51" s="165">
        <f>Gasto_o_ing_total!U$425</f>
        <v>90828.553025898771</v>
      </c>
      <c r="L51" s="165">
        <f>Gasto_o_ing_total!U$471</f>
        <v>177428.55435751312</v>
      </c>
      <c r="M51" s="157">
        <f t="shared" si="0"/>
        <v>1772937.7631847516</v>
      </c>
      <c r="N51" s="165">
        <f>Gasto_o_ing_total!U$191</f>
        <v>0</v>
      </c>
      <c r="O51" s="165">
        <f t="shared" si="4"/>
        <v>1772937.7631847516</v>
      </c>
      <c r="P51" s="35"/>
      <c r="Q51" s="29" t="s">
        <v>64</v>
      </c>
      <c r="R51" s="157">
        <f>Gasto_o_ing_total!U$488</f>
        <v>280084.88484626252</v>
      </c>
      <c r="S51" s="157">
        <f>Gasto_o_ing_total!U$495</f>
        <v>288282.84057342308</v>
      </c>
      <c r="T51" s="177">
        <f t="shared" si="5"/>
        <v>568367.72541968559</v>
      </c>
      <c r="U51" s="177">
        <f>Gasto_o_ing_total!U$528</f>
        <v>346511.96619135578</v>
      </c>
      <c r="V51" s="177">
        <f>Gasto_o_ing_total!U$523</f>
        <v>22979.940689999999</v>
      </c>
      <c r="W51" s="177">
        <f>Gasto_o_ing_total!U$530</f>
        <v>69235.119954862035</v>
      </c>
      <c r="X51" s="157">
        <f t="shared" si="1"/>
        <v>1007094.7522559033</v>
      </c>
      <c r="Y51" s="157">
        <f>Gasto_o_ing_total!U$508</f>
        <v>-71797.144153376648</v>
      </c>
      <c r="Z51" s="157">
        <f t="shared" si="6"/>
        <v>935297.60810252663</v>
      </c>
      <c r="AB51" s="29" t="s">
        <v>64</v>
      </c>
      <c r="AC51" s="157">
        <f t="shared" si="2"/>
        <v>837640.15508222498</v>
      </c>
    </row>
    <row r="52" spans="1:29" ht="13.8" thickBot="1">
      <c r="A52" s="35"/>
      <c r="B52" s="166" t="s">
        <v>84</v>
      </c>
      <c r="C52" s="167">
        <f>SUM(C34:C51)</f>
        <v>16096108.513174759</v>
      </c>
      <c r="D52" s="167">
        <f>SUM(D34:D51)</f>
        <v>101162619.80030607</v>
      </c>
      <c r="E52" s="167">
        <f t="shared" ref="E52:O52" si="7">SUM(E34:E51)</f>
        <v>43180522.648585796</v>
      </c>
      <c r="F52" s="167">
        <f t="shared" ref="F52:I52" si="8">SUM(F34:F51)</f>
        <v>6865520.7280182848</v>
      </c>
      <c r="G52" s="167">
        <f t="shared" si="8"/>
        <v>5135604.0499360906</v>
      </c>
      <c r="H52" s="167">
        <f t="shared" si="8"/>
        <v>19520122.910390504</v>
      </c>
      <c r="I52" s="167">
        <f t="shared" si="8"/>
        <v>175864390.13723677</v>
      </c>
      <c r="J52" s="167">
        <f t="shared" si="7"/>
        <v>169881443.93587014</v>
      </c>
      <c r="K52" s="167">
        <f t="shared" si="7"/>
        <v>15121863.966033814</v>
      </c>
      <c r="L52" s="167">
        <f t="shared" si="7"/>
        <v>28284846.618260004</v>
      </c>
      <c r="M52" s="167">
        <f t="shared" si="7"/>
        <v>405248653.17057538</v>
      </c>
      <c r="N52" s="167">
        <f t="shared" si="7"/>
        <v>2457070.4739151276</v>
      </c>
      <c r="O52" s="167">
        <f t="shared" si="7"/>
        <v>407705723.64449054</v>
      </c>
      <c r="P52" s="36"/>
      <c r="Q52" s="166" t="s">
        <v>84</v>
      </c>
      <c r="R52" s="167">
        <f>SUM(R34:R51)</f>
        <v>102218505.1261138</v>
      </c>
      <c r="S52" s="167">
        <f t="shared" ref="S52:Z52" si="9">SUM(S34:S51)</f>
        <v>91423605.876835078</v>
      </c>
      <c r="T52" s="178">
        <f t="shared" si="9"/>
        <v>193642111.00294885</v>
      </c>
      <c r="U52" s="178">
        <f t="shared" si="9"/>
        <v>120125953.80285299</v>
      </c>
      <c r="V52" s="178">
        <f t="shared" si="9"/>
        <v>23500692.29252499</v>
      </c>
      <c r="W52" s="178">
        <f t="shared" si="9"/>
        <v>19287969.000000004</v>
      </c>
      <c r="X52" s="167">
        <f t="shared" si="9"/>
        <v>356556726.09832692</v>
      </c>
      <c r="Y52" s="167">
        <f t="shared" si="9"/>
        <v>91854.296013748084</v>
      </c>
      <c r="Z52" s="167">
        <f t="shared" si="9"/>
        <v>356648580.39434063</v>
      </c>
      <c r="AA52" s="36"/>
      <c r="AB52" s="166" t="s">
        <v>84</v>
      </c>
      <c r="AC52" s="172">
        <f>SUM(AC34:AC51)</f>
        <v>51057143.25014995</v>
      </c>
    </row>
    <row r="53" spans="1:29">
      <c r="B53" s="9" t="s">
        <v>1004</v>
      </c>
      <c r="Y53" s="31"/>
    </row>
    <row r="54" spans="1:29">
      <c r="I54" s="35"/>
      <c r="Y54" s="31"/>
    </row>
    <row r="55" spans="1:29">
      <c r="B55" s="435" t="s">
        <v>1199</v>
      </c>
      <c r="C55" s="433"/>
      <c r="D55" s="434"/>
      <c r="E55" s="437">
        <f>+D52/I52</f>
        <v>0.57523083394747077</v>
      </c>
      <c r="Y55" s="31"/>
    </row>
    <row r="56" spans="1:29">
      <c r="B56" s="435" t="s">
        <v>1200</v>
      </c>
      <c r="C56" s="433"/>
      <c r="D56" s="434"/>
      <c r="E56" s="436">
        <f>D52/M52</f>
        <v>0.24963098336991923</v>
      </c>
    </row>
    <row r="58" spans="1:29">
      <c r="B58" s="176" t="s">
        <v>40</v>
      </c>
      <c r="Q58" s="176" t="s">
        <v>1026</v>
      </c>
    </row>
    <row r="59" spans="1:29">
      <c r="B59" s="164"/>
      <c r="C59" s="164"/>
      <c r="D59" s="164"/>
      <c r="E59" s="164"/>
      <c r="F59" s="164"/>
      <c r="G59" s="164"/>
      <c r="H59" s="164"/>
      <c r="I59" s="164"/>
      <c r="J59" s="164"/>
      <c r="K59" s="164"/>
      <c r="L59" s="164"/>
      <c r="M59" s="164"/>
      <c r="N59" s="164"/>
      <c r="O59" s="164"/>
    </row>
    <row r="60" spans="1:29" s="34" customFormat="1" ht="40.1" thickBot="1">
      <c r="B60" s="171"/>
      <c r="C60" s="159" t="s">
        <v>39</v>
      </c>
      <c r="D60" s="185" t="s">
        <v>1005</v>
      </c>
      <c r="E60" s="160" t="s">
        <v>26</v>
      </c>
      <c r="F60" s="160" t="s">
        <v>1</v>
      </c>
      <c r="G60" s="160" t="s">
        <v>55</v>
      </c>
      <c r="H60" s="160" t="s">
        <v>22</v>
      </c>
      <c r="I60" s="187" t="s">
        <v>79</v>
      </c>
      <c r="J60" s="161" t="s">
        <v>68</v>
      </c>
      <c r="K60" s="162" t="s">
        <v>65</v>
      </c>
      <c r="L60" s="163" t="s">
        <v>570</v>
      </c>
      <c r="M60" s="163" t="s">
        <v>954</v>
      </c>
      <c r="N60" s="160" t="s">
        <v>42</v>
      </c>
      <c r="O60" s="162" t="s">
        <v>27</v>
      </c>
      <c r="P60" s="188"/>
      <c r="Q60" s="190"/>
      <c r="R60" s="171" t="s">
        <v>87</v>
      </c>
      <c r="S60" s="160" t="s">
        <v>109</v>
      </c>
      <c r="T60" s="162" t="s">
        <v>86</v>
      </c>
      <c r="U60" s="162" t="s">
        <v>102</v>
      </c>
      <c r="V60" s="162" t="s">
        <v>103</v>
      </c>
      <c r="W60" s="162" t="s">
        <v>105</v>
      </c>
      <c r="X60" s="162" t="s">
        <v>106</v>
      </c>
      <c r="Y60" s="185" t="s">
        <v>1022</v>
      </c>
      <c r="Z60" s="162" t="s">
        <v>108</v>
      </c>
      <c r="AA60" s="189"/>
      <c r="AB60" s="160"/>
      <c r="AC60" s="163" t="s">
        <v>1024</v>
      </c>
    </row>
    <row r="61" spans="1:29" s="31" customFormat="1">
      <c r="B61" s="31" t="s">
        <v>9</v>
      </c>
      <c r="C61" s="157">
        <f t="shared" ref="C61:O61" si="10">C34*1000/$C7</f>
        <v>342.83100835246142</v>
      </c>
      <c r="D61" s="157">
        <f t="shared" si="10"/>
        <v>1898.1476218986206</v>
      </c>
      <c r="E61" s="157">
        <f t="shared" si="10"/>
        <v>807.28828797403673</v>
      </c>
      <c r="F61" s="157">
        <f t="shared" si="10"/>
        <v>116.33958692680793</v>
      </c>
      <c r="G61" s="157">
        <f t="shared" si="10"/>
        <v>216.48018026678696</v>
      </c>
      <c r="H61" s="157">
        <f t="shared" si="10"/>
        <v>380.8228684559711</v>
      </c>
      <c r="I61" s="157">
        <f t="shared" si="10"/>
        <v>3419.0785455222235</v>
      </c>
      <c r="J61" s="157">
        <f t="shared" si="10"/>
        <v>3141.6739444674622</v>
      </c>
      <c r="K61" s="157">
        <f t="shared" si="10"/>
        <v>312.44325220629469</v>
      </c>
      <c r="L61" s="157">
        <f t="shared" si="10"/>
        <v>585.82383150327939</v>
      </c>
      <c r="M61" s="157">
        <f t="shared" si="10"/>
        <v>7801.8505820517221</v>
      </c>
      <c r="N61" s="157">
        <f t="shared" si="10"/>
        <v>91.977433319640483</v>
      </c>
      <c r="O61" s="157">
        <f t="shared" si="10"/>
        <v>7893.8280153713622</v>
      </c>
      <c r="P61" s="14"/>
      <c r="Q61" s="14" t="s">
        <v>9</v>
      </c>
      <c r="R61" s="157">
        <f>R34*1000/$C7</f>
        <v>1464.6822343022518</v>
      </c>
      <c r="S61" s="157">
        <f t="shared" ref="S61:Z61" si="11">S34*1000/$C7</f>
        <v>1765.6395199170356</v>
      </c>
      <c r="T61" s="157">
        <f t="shared" si="11"/>
        <v>3230.3217542192874</v>
      </c>
      <c r="U61" s="157">
        <f t="shared" si="11"/>
        <v>1945.8019860962015</v>
      </c>
      <c r="V61" s="157">
        <f t="shared" si="11"/>
        <v>413.43863510187418</v>
      </c>
      <c r="W61" s="157">
        <f t="shared" si="11"/>
        <v>410.62747713545696</v>
      </c>
      <c r="X61" s="157">
        <f t="shared" si="11"/>
        <v>6000.1898525528213</v>
      </c>
      <c r="Y61" s="157">
        <f t="shared" si="11"/>
        <v>75.428585976625413</v>
      </c>
      <c r="Z61" s="157">
        <f t="shared" si="11"/>
        <v>6075.6184385294464</v>
      </c>
      <c r="AA61" s="157"/>
      <c r="AB61" s="31" t="s">
        <v>9</v>
      </c>
      <c r="AC61" s="157">
        <f t="shared" ref="AC61:AC79" si="12">AC34*1000/$C7</f>
        <v>1818.2095768419163</v>
      </c>
    </row>
    <row r="62" spans="1:29" s="31" customFormat="1">
      <c r="B62" s="31" t="s">
        <v>10</v>
      </c>
      <c r="C62" s="157">
        <f t="shared" ref="C62:O62" si="13">C35*1000/$C8</f>
        <v>342.83100835246154</v>
      </c>
      <c r="D62" s="157">
        <f t="shared" si="13"/>
        <v>2305.1581631368385</v>
      </c>
      <c r="E62" s="157">
        <f t="shared" si="13"/>
        <v>993.36930043926907</v>
      </c>
      <c r="F62" s="157">
        <f t="shared" si="13"/>
        <v>245.04218783807494</v>
      </c>
      <c r="G62" s="157">
        <f t="shared" si="13"/>
        <v>82.183440959784718</v>
      </c>
      <c r="H62" s="157">
        <f t="shared" si="13"/>
        <v>456.87541768946284</v>
      </c>
      <c r="I62" s="157">
        <f t="shared" si="13"/>
        <v>4082.6285100634304</v>
      </c>
      <c r="J62" s="157">
        <f t="shared" si="13"/>
        <v>4043.4576054559943</v>
      </c>
      <c r="K62" s="157">
        <f t="shared" si="13"/>
        <v>571.06808234182677</v>
      </c>
      <c r="L62" s="157">
        <f t="shared" si="13"/>
        <v>694.99308622383455</v>
      </c>
      <c r="M62" s="157">
        <f t="shared" si="13"/>
        <v>9734.9782924375504</v>
      </c>
      <c r="N62" s="157">
        <f t="shared" si="13"/>
        <v>84.482755086466739</v>
      </c>
      <c r="O62" s="157">
        <f t="shared" si="13"/>
        <v>9819.4610475240152</v>
      </c>
      <c r="P62" s="14"/>
      <c r="Q62" s="14" t="s">
        <v>10</v>
      </c>
      <c r="R62" s="157">
        <f>R35*1000/$C8</f>
        <v>2363.5206538215652</v>
      </c>
      <c r="S62" s="157">
        <f t="shared" ref="S62:Z62" si="14">S35*1000/$C8</f>
        <v>2010.7724522978131</v>
      </c>
      <c r="T62" s="157">
        <f t="shared" si="14"/>
        <v>4374.2931061193785</v>
      </c>
      <c r="U62" s="157">
        <f t="shared" si="14"/>
        <v>2774.9661487235194</v>
      </c>
      <c r="V62" s="157">
        <f t="shared" si="14"/>
        <v>525.89277769608259</v>
      </c>
      <c r="W62" s="157">
        <f t="shared" si="14"/>
        <v>410.84644876204715</v>
      </c>
      <c r="X62" s="157">
        <f t="shared" si="14"/>
        <v>8085.9984813010278</v>
      </c>
      <c r="Y62" s="157">
        <f t="shared" si="14"/>
        <v>74.90211234102901</v>
      </c>
      <c r="Z62" s="157">
        <f t="shared" si="14"/>
        <v>8160.9005936420572</v>
      </c>
      <c r="AA62" s="157"/>
      <c r="AB62" s="31" t="s">
        <v>10</v>
      </c>
      <c r="AC62" s="157">
        <f t="shared" si="12"/>
        <v>1658.5604538819589</v>
      </c>
    </row>
    <row r="63" spans="1:29" s="31" customFormat="1">
      <c r="B63" s="31" t="s">
        <v>11</v>
      </c>
      <c r="C63" s="157">
        <f t="shared" ref="C63:O63" si="15">C36*1000/$C9</f>
        <v>342.83100835246154</v>
      </c>
      <c r="D63" s="157">
        <f t="shared" si="15"/>
        <v>2282.5361435777509</v>
      </c>
      <c r="E63" s="157">
        <f t="shared" si="15"/>
        <v>869.99296758451135</v>
      </c>
      <c r="F63" s="157">
        <f t="shared" si="15"/>
        <v>244.71332856202815</v>
      </c>
      <c r="G63" s="157">
        <f t="shared" si="15"/>
        <v>142.194180558451</v>
      </c>
      <c r="H63" s="157">
        <f t="shared" si="15"/>
        <v>401.12555987403164</v>
      </c>
      <c r="I63" s="157">
        <f t="shared" si="15"/>
        <v>3940.5621801567731</v>
      </c>
      <c r="J63" s="157">
        <f t="shared" si="15"/>
        <v>5341.9572878454874</v>
      </c>
      <c r="K63" s="157">
        <f t="shared" si="15"/>
        <v>293.72189930203422</v>
      </c>
      <c r="L63" s="157">
        <f t="shared" si="15"/>
        <v>840.79911237960391</v>
      </c>
      <c r="M63" s="157">
        <f t="shared" si="15"/>
        <v>10759.87148803636</v>
      </c>
      <c r="N63" s="157">
        <f t="shared" si="15"/>
        <v>177.00159806187355</v>
      </c>
      <c r="O63" s="157">
        <f t="shared" si="15"/>
        <v>10936.873086098234</v>
      </c>
      <c r="P63" s="14"/>
      <c r="Q63" s="14" t="s">
        <v>11</v>
      </c>
      <c r="R63" s="157">
        <f t="shared" ref="R63:Z63" si="16">R36*1000/$C9</f>
        <v>2292.3023761163481</v>
      </c>
      <c r="S63" s="157">
        <f t="shared" si="16"/>
        <v>1951.6571149762938</v>
      </c>
      <c r="T63" s="157">
        <f t="shared" si="16"/>
        <v>4243.9594910926426</v>
      </c>
      <c r="U63" s="157">
        <f t="shared" si="16"/>
        <v>2623.4762003524579</v>
      </c>
      <c r="V63" s="157">
        <f t="shared" si="16"/>
        <v>475.58036873668095</v>
      </c>
      <c r="W63" s="157">
        <f t="shared" si="16"/>
        <v>410.84420627245697</v>
      </c>
      <c r="X63" s="157">
        <f t="shared" si="16"/>
        <v>7753.8602664542368</v>
      </c>
      <c r="Y63" s="157">
        <f t="shared" si="16"/>
        <v>160.97742624352037</v>
      </c>
      <c r="Z63" s="157">
        <f t="shared" si="16"/>
        <v>7914.837692697758</v>
      </c>
      <c r="AA63" s="157"/>
      <c r="AB63" s="31" t="s">
        <v>11</v>
      </c>
      <c r="AC63" s="157">
        <f t="shared" si="12"/>
        <v>3022.0353934004766</v>
      </c>
    </row>
    <row r="64" spans="1:29" s="31" customFormat="1">
      <c r="B64" s="31" t="s">
        <v>31</v>
      </c>
      <c r="C64" s="157">
        <f t="shared" ref="C64:O64" si="17">C37*1000/$C10</f>
        <v>342.83100835246142</v>
      </c>
      <c r="D64" s="157">
        <f t="shared" si="17"/>
        <v>2053.0749932295389</v>
      </c>
      <c r="E64" s="157">
        <f t="shared" si="17"/>
        <v>978.4327963754497</v>
      </c>
      <c r="F64" s="157">
        <f t="shared" si="17"/>
        <v>34.053903765570659</v>
      </c>
      <c r="G64" s="157">
        <f t="shared" si="17"/>
        <v>225.25019698967913</v>
      </c>
      <c r="H64" s="157">
        <f t="shared" si="17"/>
        <v>408.05107545745773</v>
      </c>
      <c r="I64" s="157">
        <f t="shared" si="17"/>
        <v>3698.862965817696</v>
      </c>
      <c r="J64" s="157">
        <f t="shared" si="17"/>
        <v>2923.653761266462</v>
      </c>
      <c r="K64" s="157">
        <f t="shared" si="17"/>
        <v>175.19640050159322</v>
      </c>
      <c r="L64" s="157">
        <f t="shared" si="17"/>
        <v>472.50303805291179</v>
      </c>
      <c r="M64" s="157">
        <f t="shared" si="17"/>
        <v>7613.0471739911245</v>
      </c>
      <c r="N64" s="157">
        <f t="shared" si="17"/>
        <v>161.70276059570233</v>
      </c>
      <c r="O64" s="157">
        <f t="shared" si="17"/>
        <v>7774.7499345868273</v>
      </c>
      <c r="P64" s="14"/>
      <c r="Q64" s="14" t="s">
        <v>31</v>
      </c>
      <c r="R64" s="157">
        <f t="shared" ref="R64:Z64" si="18">R37*1000/$C10</f>
        <v>2093.772841444862</v>
      </c>
      <c r="S64" s="157">
        <f t="shared" si="18"/>
        <v>2057.0098834804453</v>
      </c>
      <c r="T64" s="157">
        <f t="shared" si="18"/>
        <v>4150.7827249253069</v>
      </c>
      <c r="U64" s="157">
        <f t="shared" si="18"/>
        <v>2694.9491338774615</v>
      </c>
      <c r="V64" s="157">
        <f t="shared" si="18"/>
        <v>649.17381875260696</v>
      </c>
      <c r="W64" s="157">
        <f t="shared" si="18"/>
        <v>410.9989375153616</v>
      </c>
      <c r="X64" s="157">
        <f t="shared" si="18"/>
        <v>7905.9046150707354</v>
      </c>
      <c r="Y64" s="157">
        <f t="shared" si="18"/>
        <v>145.25897936963821</v>
      </c>
      <c r="Z64" s="157">
        <f t="shared" si="18"/>
        <v>8051.1635944403761</v>
      </c>
      <c r="AA64" s="157"/>
      <c r="AB64" s="31" t="s">
        <v>31</v>
      </c>
      <c r="AC64" s="157">
        <f t="shared" si="12"/>
        <v>-276.41365985354878</v>
      </c>
    </row>
    <row r="65" spans="2:29" s="31" customFormat="1">
      <c r="B65" s="31" t="s">
        <v>12</v>
      </c>
      <c r="C65" s="157">
        <f t="shared" ref="C65:O65" si="19">C38*1000/$C11</f>
        <v>342.83100835246142</v>
      </c>
      <c r="D65" s="157">
        <f t="shared" si="19"/>
        <v>2129.3201474555563</v>
      </c>
      <c r="E65" s="157">
        <f t="shared" si="19"/>
        <v>1065.4062904886732</v>
      </c>
      <c r="F65" s="157">
        <f t="shared" si="19"/>
        <v>145.08718209457822</v>
      </c>
      <c r="G65" s="157">
        <f t="shared" si="19"/>
        <v>441.68240735146821</v>
      </c>
      <c r="H65" s="157">
        <f t="shared" si="19"/>
        <v>386.48612145187354</v>
      </c>
      <c r="I65" s="157">
        <f t="shared" si="19"/>
        <v>4167.9821488421494</v>
      </c>
      <c r="J65" s="157">
        <f t="shared" si="19"/>
        <v>2783.2726564655118</v>
      </c>
      <c r="K65" s="157">
        <f t="shared" si="19"/>
        <v>310.2449702198187</v>
      </c>
      <c r="L65" s="157">
        <f t="shared" si="19"/>
        <v>641.38676777201749</v>
      </c>
      <c r="M65" s="157">
        <f t="shared" si="19"/>
        <v>8245.7175516519583</v>
      </c>
      <c r="N65" s="157">
        <f t="shared" si="19"/>
        <v>28.832620314804764</v>
      </c>
      <c r="O65" s="157">
        <f t="shared" si="19"/>
        <v>8274.5501719667627</v>
      </c>
      <c r="P65" s="14"/>
      <c r="Q65" s="14" t="s">
        <v>12</v>
      </c>
      <c r="R65" s="157">
        <f t="shared" ref="R65:Z65" si="20">R38*1000/$C11</f>
        <v>1578.7497405735289</v>
      </c>
      <c r="S65" s="157">
        <f t="shared" si="20"/>
        <v>1720.7431600772807</v>
      </c>
      <c r="T65" s="157">
        <f t="shared" si="20"/>
        <v>3299.4929006508096</v>
      </c>
      <c r="U65" s="157">
        <f t="shared" si="20"/>
        <v>2186.8135719600741</v>
      </c>
      <c r="V65" s="157">
        <f t="shared" si="20"/>
        <v>382.91415154845731</v>
      </c>
      <c r="W65" s="157">
        <f t="shared" si="20"/>
        <v>410.64824466262218</v>
      </c>
      <c r="X65" s="157">
        <f t="shared" si="20"/>
        <v>6279.8688688219627</v>
      </c>
      <c r="Y65" s="157">
        <f t="shared" si="20"/>
        <v>-783.04434543873811</v>
      </c>
      <c r="Z65" s="157">
        <f t="shared" si="20"/>
        <v>5496.8245233832249</v>
      </c>
      <c r="AA65" s="157"/>
      <c r="AB65" s="31" t="s">
        <v>12</v>
      </c>
      <c r="AC65" s="157">
        <f t="shared" si="12"/>
        <v>2777.7256485835383</v>
      </c>
    </row>
    <row r="66" spans="2:29" s="31" customFormat="1">
      <c r="B66" s="31" t="s">
        <v>13</v>
      </c>
      <c r="C66" s="157">
        <f t="shared" ref="C66:O66" si="21">C39*1000/$C12</f>
        <v>342.83100835246142</v>
      </c>
      <c r="D66" s="157">
        <f t="shared" si="21"/>
        <v>2546.7844647369088</v>
      </c>
      <c r="E66" s="157">
        <f t="shared" si="21"/>
        <v>909.57066838380001</v>
      </c>
      <c r="F66" s="157">
        <f t="shared" si="21"/>
        <v>249.22920802003833</v>
      </c>
      <c r="G66" s="157">
        <f t="shared" si="21"/>
        <v>48.108080836717861</v>
      </c>
      <c r="H66" s="157">
        <f t="shared" si="21"/>
        <v>401.5064044006856</v>
      </c>
      <c r="I66" s="157">
        <f t="shared" si="21"/>
        <v>4155.1988263781504</v>
      </c>
      <c r="J66" s="157">
        <f t="shared" si="21"/>
        <v>4163.3570284923007</v>
      </c>
      <c r="K66" s="157">
        <f t="shared" si="21"/>
        <v>312.97860212332313</v>
      </c>
      <c r="L66" s="157">
        <f t="shared" si="21"/>
        <v>719.82970343571697</v>
      </c>
      <c r="M66" s="157">
        <f t="shared" si="21"/>
        <v>9694.195168781951</v>
      </c>
      <c r="N66" s="157">
        <f t="shared" si="21"/>
        <v>137.1379472122666</v>
      </c>
      <c r="O66" s="157">
        <f t="shared" si="21"/>
        <v>9831.3331159942172</v>
      </c>
      <c r="P66" s="14"/>
      <c r="Q66" s="14" t="s">
        <v>13</v>
      </c>
      <c r="R66" s="157">
        <f t="shared" ref="R66:Z66" si="22">R39*1000/$C12</f>
        <v>2207.8042110091988</v>
      </c>
      <c r="S66" s="157">
        <f t="shared" si="22"/>
        <v>2041.4096234447634</v>
      </c>
      <c r="T66" s="157">
        <f t="shared" si="22"/>
        <v>4249.2138344539617</v>
      </c>
      <c r="U66" s="157">
        <f t="shared" si="22"/>
        <v>2638.6645742430064</v>
      </c>
      <c r="V66" s="157">
        <f t="shared" si="22"/>
        <v>538.74408997885712</v>
      </c>
      <c r="W66" s="157">
        <f t="shared" si="22"/>
        <v>410.9007367360025</v>
      </c>
      <c r="X66" s="157">
        <f t="shared" si="22"/>
        <v>7837.5232354118289</v>
      </c>
      <c r="Y66" s="157">
        <f t="shared" si="22"/>
        <v>122.72314820113652</v>
      </c>
      <c r="Z66" s="157">
        <f t="shared" si="22"/>
        <v>7960.2463836129646</v>
      </c>
      <c r="AA66" s="157"/>
      <c r="AB66" s="31" t="s">
        <v>13</v>
      </c>
      <c r="AC66" s="157">
        <f t="shared" si="12"/>
        <v>1871.0867323812527</v>
      </c>
    </row>
    <row r="67" spans="2:29" s="31" customFormat="1">
      <c r="B67" s="31" t="s">
        <v>14</v>
      </c>
      <c r="C67" s="157">
        <f t="shared" ref="C67:O67" si="23">C40*1000/$C13</f>
        <v>342.83100835246142</v>
      </c>
      <c r="D67" s="157">
        <f t="shared" si="23"/>
        <v>2420.6867512793619</v>
      </c>
      <c r="E67" s="157">
        <f t="shared" si="23"/>
        <v>912.86747484912678</v>
      </c>
      <c r="F67" s="157">
        <f t="shared" si="23"/>
        <v>323.10238471894081</v>
      </c>
      <c r="G67" s="157">
        <f t="shared" si="23"/>
        <v>116.60925753060197</v>
      </c>
      <c r="H67" s="157">
        <f t="shared" si="23"/>
        <v>459.69163679008892</v>
      </c>
      <c r="I67" s="157">
        <f t="shared" si="23"/>
        <v>4232.9575051681204</v>
      </c>
      <c r="J67" s="157">
        <f t="shared" si="23"/>
        <v>4177.8297522971843</v>
      </c>
      <c r="K67" s="157">
        <f t="shared" si="23"/>
        <v>760.11370923659558</v>
      </c>
      <c r="L67" s="157">
        <f t="shared" si="23"/>
        <v>743.66522235697448</v>
      </c>
      <c r="M67" s="157">
        <f t="shared" si="23"/>
        <v>10257.397197411336</v>
      </c>
      <c r="N67" s="157">
        <f t="shared" si="23"/>
        <v>65.094867661522414</v>
      </c>
      <c r="O67" s="157">
        <f t="shared" si="23"/>
        <v>10322.492065072858</v>
      </c>
      <c r="P67" s="14"/>
      <c r="Q67" s="14" t="s">
        <v>14</v>
      </c>
      <c r="R67" s="157">
        <f t="shared" ref="R67:Z67" si="24">R40*1000/$C13</f>
        <v>2077.9434092043994</v>
      </c>
      <c r="S67" s="157">
        <f t="shared" si="24"/>
        <v>1896.3736074236324</v>
      </c>
      <c r="T67" s="157">
        <f t="shared" si="24"/>
        <v>3974.3170166280315</v>
      </c>
      <c r="U67" s="157">
        <f t="shared" si="24"/>
        <v>2486.6632463944929</v>
      </c>
      <c r="V67" s="157">
        <f t="shared" si="24"/>
        <v>475.6752927862579</v>
      </c>
      <c r="W67" s="157">
        <f t="shared" si="24"/>
        <v>410.80367549308869</v>
      </c>
      <c r="X67" s="157">
        <f t="shared" si="24"/>
        <v>7347.4592313018711</v>
      </c>
      <c r="Y67" s="157">
        <f t="shared" si="24"/>
        <v>48.340140937220568</v>
      </c>
      <c r="Z67" s="157">
        <f t="shared" si="24"/>
        <v>7395.7993722390911</v>
      </c>
      <c r="AA67" s="157"/>
      <c r="AB67" s="31" t="s">
        <v>14</v>
      </c>
      <c r="AC67" s="157">
        <f t="shared" si="12"/>
        <v>2926.6926928337666</v>
      </c>
    </row>
    <row r="68" spans="2:29" s="31" customFormat="1">
      <c r="B68" s="31" t="s">
        <v>15</v>
      </c>
      <c r="C68" s="157">
        <f t="shared" ref="C68:O68" si="25">C41*1000/$C14</f>
        <v>342.83100835246154</v>
      </c>
      <c r="D68" s="157">
        <f t="shared" si="25"/>
        <v>2168.8769683183095</v>
      </c>
      <c r="E68" s="157">
        <f t="shared" si="25"/>
        <v>833.8068965549943</v>
      </c>
      <c r="F68" s="157">
        <f t="shared" si="25"/>
        <v>198.79951236490325</v>
      </c>
      <c r="G68" s="157">
        <f t="shared" si="25"/>
        <v>98.681411990115976</v>
      </c>
      <c r="H68" s="157">
        <f t="shared" si="25"/>
        <v>394.48481714413253</v>
      </c>
      <c r="I68" s="157">
        <f t="shared" si="25"/>
        <v>3694.6496063724558</v>
      </c>
      <c r="J68" s="157">
        <f t="shared" si="25"/>
        <v>3170.1746211684649</v>
      </c>
      <c r="K68" s="157">
        <f t="shared" si="25"/>
        <v>793.96782846473729</v>
      </c>
      <c r="L68" s="157">
        <f t="shared" si="25"/>
        <v>608.36391844270793</v>
      </c>
      <c r="M68" s="157">
        <f t="shared" si="25"/>
        <v>8609.9869828008268</v>
      </c>
      <c r="N68" s="157">
        <f t="shared" si="25"/>
        <v>-43.051527009001894</v>
      </c>
      <c r="O68" s="157">
        <f t="shared" si="25"/>
        <v>8566.935455791825</v>
      </c>
      <c r="P68" s="14"/>
      <c r="Q68" s="14" t="s">
        <v>15</v>
      </c>
      <c r="R68" s="157">
        <f t="shared" ref="R68:Z68" si="26">R41*1000/$C14</f>
        <v>1550.7837417309961</v>
      </c>
      <c r="S68" s="157">
        <f t="shared" si="26"/>
        <v>1790.7293455044407</v>
      </c>
      <c r="T68" s="157">
        <f t="shared" si="26"/>
        <v>3341.5130872354366</v>
      </c>
      <c r="U68" s="157">
        <f t="shared" si="26"/>
        <v>2159.1442837830728</v>
      </c>
      <c r="V68" s="157">
        <f t="shared" si="26"/>
        <v>449.06854732105325</v>
      </c>
      <c r="W68" s="157">
        <f t="shared" si="26"/>
        <v>410.66154855722488</v>
      </c>
      <c r="X68" s="157">
        <f t="shared" si="26"/>
        <v>6360.3874668967883</v>
      </c>
      <c r="Y68" s="157">
        <f t="shared" si="26"/>
        <v>-60.351121666682673</v>
      </c>
      <c r="Z68" s="157">
        <f t="shared" si="26"/>
        <v>6300.0363452301053</v>
      </c>
      <c r="AA68" s="157"/>
      <c r="AB68" s="31" t="s">
        <v>15</v>
      </c>
      <c r="AC68" s="157">
        <f t="shared" si="12"/>
        <v>2266.8991105617206</v>
      </c>
    </row>
    <row r="69" spans="2:29" s="31" customFormat="1">
      <c r="B69" s="31" t="s">
        <v>16</v>
      </c>
      <c r="C69" s="157">
        <f t="shared" ref="C69:O69" si="27">C42*1000/$C15</f>
        <v>342.83100835246142</v>
      </c>
      <c r="D69" s="157">
        <f t="shared" si="27"/>
        <v>1973.4330445678986</v>
      </c>
      <c r="E69" s="157">
        <f t="shared" si="27"/>
        <v>1060.7305453642684</v>
      </c>
      <c r="F69" s="157">
        <f t="shared" si="27"/>
        <v>117.40348877671305</v>
      </c>
      <c r="G69" s="157">
        <f t="shared" si="27"/>
        <v>1.5409062384968106</v>
      </c>
      <c r="H69" s="157">
        <f t="shared" si="27"/>
        <v>438.73192129143206</v>
      </c>
      <c r="I69" s="157">
        <f t="shared" si="27"/>
        <v>3591.8399062388094</v>
      </c>
      <c r="J69" s="157">
        <f t="shared" si="27"/>
        <v>3901.0310255136815</v>
      </c>
      <c r="K69" s="157">
        <f t="shared" si="27"/>
        <v>205.80313388797336</v>
      </c>
      <c r="L69" s="157">
        <f t="shared" si="27"/>
        <v>593.87031925089514</v>
      </c>
      <c r="M69" s="157">
        <f t="shared" si="27"/>
        <v>8635.3753932438212</v>
      </c>
      <c r="N69" s="157">
        <f t="shared" si="27"/>
        <v>183.39002528696395</v>
      </c>
      <c r="O69" s="157">
        <f t="shared" si="27"/>
        <v>8818.7654185307856</v>
      </c>
      <c r="P69" s="14"/>
      <c r="Q69" s="14" t="s">
        <v>16</v>
      </c>
      <c r="R69" s="157">
        <f t="shared" ref="R69:Z69" si="28">R42*1000/$C15</f>
        <v>2606.4518563245183</v>
      </c>
      <c r="S69" s="157">
        <f t="shared" si="28"/>
        <v>2070.8939682418491</v>
      </c>
      <c r="T69" s="157">
        <f t="shared" si="28"/>
        <v>4677.3458245663678</v>
      </c>
      <c r="U69" s="157">
        <f t="shared" si="28"/>
        <v>3018.1756830680411</v>
      </c>
      <c r="V69" s="157">
        <f t="shared" si="28"/>
        <v>627.04537923999999</v>
      </c>
      <c r="W69" s="157">
        <f t="shared" si="28"/>
        <v>410.98099691075214</v>
      </c>
      <c r="X69" s="157">
        <f t="shared" si="28"/>
        <v>8733.5478837851606</v>
      </c>
      <c r="Y69" s="157">
        <f t="shared" si="28"/>
        <v>165.4503745820185</v>
      </c>
      <c r="Z69" s="157">
        <f t="shared" si="28"/>
        <v>8898.9982583671808</v>
      </c>
      <c r="AA69" s="432"/>
      <c r="AB69" s="31" t="s">
        <v>16</v>
      </c>
      <c r="AC69" s="157">
        <f t="shared" si="12"/>
        <v>-80.232839836395428</v>
      </c>
    </row>
    <row r="70" spans="2:29" s="31" customFormat="1">
      <c r="B70" s="31" t="s">
        <v>17</v>
      </c>
      <c r="C70" s="157">
        <f t="shared" ref="C70:O70" si="29">C43*1000/$C16</f>
        <v>342.83100835246148</v>
      </c>
      <c r="D70" s="157">
        <f t="shared" si="29"/>
        <v>1824.0855613263136</v>
      </c>
      <c r="E70" s="157">
        <f t="shared" si="29"/>
        <v>852.88873371855811</v>
      </c>
      <c r="F70" s="157">
        <f t="shared" si="29"/>
        <v>68.840080878928276</v>
      </c>
      <c r="G70" s="157">
        <f t="shared" si="29"/>
        <v>50.253222051524723</v>
      </c>
      <c r="H70" s="157">
        <f t="shared" si="29"/>
        <v>350.76281038283457</v>
      </c>
      <c r="I70" s="157">
        <f t="shared" si="29"/>
        <v>3146.8304083581593</v>
      </c>
      <c r="J70" s="157">
        <f t="shared" si="29"/>
        <v>3230.3131369919211</v>
      </c>
      <c r="K70" s="157">
        <f t="shared" si="29"/>
        <v>182.4390427089059</v>
      </c>
      <c r="L70" s="157">
        <f t="shared" si="29"/>
        <v>535.98604824836025</v>
      </c>
      <c r="M70" s="157">
        <f t="shared" si="29"/>
        <v>7438.3996446598067</v>
      </c>
      <c r="N70" s="157">
        <f t="shared" si="29"/>
        <v>86.701182337735546</v>
      </c>
      <c r="O70" s="157">
        <f t="shared" si="29"/>
        <v>7525.1008269975437</v>
      </c>
      <c r="P70" s="14"/>
      <c r="Q70" s="14" t="s">
        <v>17</v>
      </c>
      <c r="R70" s="157">
        <f t="shared" ref="R70:Z70" si="30">R43*1000/$C16</f>
        <v>1754.8773856755158</v>
      </c>
      <c r="S70" s="157">
        <f t="shared" si="30"/>
        <v>1825.6429011221119</v>
      </c>
      <c r="T70" s="157">
        <f t="shared" si="30"/>
        <v>3580.5202867976273</v>
      </c>
      <c r="U70" s="157">
        <f t="shared" si="30"/>
        <v>2172.0375065201333</v>
      </c>
      <c r="V70" s="157">
        <f t="shared" si="30"/>
        <v>485.47119059946579</v>
      </c>
      <c r="W70" s="157">
        <f t="shared" si="30"/>
        <v>410.70541784902366</v>
      </c>
      <c r="X70" s="157">
        <f t="shared" si="30"/>
        <v>6648.7344017662481</v>
      </c>
      <c r="Y70" s="157">
        <f t="shared" si="30"/>
        <v>68.850632904756523</v>
      </c>
      <c r="Z70" s="157">
        <f t="shared" si="30"/>
        <v>6717.5850346710058</v>
      </c>
      <c r="AA70" s="157"/>
      <c r="AB70" s="31" t="s">
        <v>17</v>
      </c>
      <c r="AC70" s="157">
        <f t="shared" si="12"/>
        <v>807.51579232653705</v>
      </c>
    </row>
    <row r="71" spans="2:29" s="31" customFormat="1">
      <c r="B71" s="31" t="s">
        <v>18</v>
      </c>
      <c r="C71" s="157">
        <f t="shared" ref="C71:O71" si="31">C44*1000/$C17</f>
        <v>342.83100835246154</v>
      </c>
      <c r="D71" s="157">
        <f t="shared" si="31"/>
        <v>2393.4515542866302</v>
      </c>
      <c r="E71" s="157">
        <f t="shared" si="31"/>
        <v>773.59105036173628</v>
      </c>
      <c r="F71" s="157">
        <f t="shared" si="31"/>
        <v>240.57719822098062</v>
      </c>
      <c r="G71" s="157">
        <f t="shared" si="31"/>
        <v>313.93750663932968</v>
      </c>
      <c r="H71" s="157">
        <f t="shared" si="31"/>
        <v>400.26783947062984</v>
      </c>
      <c r="I71" s="157">
        <f t="shared" si="31"/>
        <v>4121.8251489793065</v>
      </c>
      <c r="J71" s="157">
        <f t="shared" si="31"/>
        <v>3318.7796862989835</v>
      </c>
      <c r="K71" s="157">
        <f t="shared" si="31"/>
        <v>830.0025554656994</v>
      </c>
      <c r="L71" s="157">
        <f t="shared" si="31"/>
        <v>706.08888701353874</v>
      </c>
      <c r="M71" s="157">
        <f t="shared" si="31"/>
        <v>9319.5272861099875</v>
      </c>
      <c r="N71" s="157">
        <f t="shared" si="31"/>
        <v>214.14171861453619</v>
      </c>
      <c r="O71" s="157">
        <f t="shared" si="31"/>
        <v>9533.6690047245229</v>
      </c>
      <c r="P71" s="14"/>
      <c r="Q71" s="14" t="s">
        <v>18</v>
      </c>
      <c r="R71" s="157">
        <f t="shared" ref="R71:Z71" si="32">R44*1000/$C17</f>
        <v>1402.9766143473837</v>
      </c>
      <c r="S71" s="157">
        <f t="shared" si="32"/>
        <v>1715.47249237041</v>
      </c>
      <c r="T71" s="157">
        <f t="shared" si="32"/>
        <v>3118.4491067177937</v>
      </c>
      <c r="U71" s="157">
        <f t="shared" si="32"/>
        <v>1895.265689784743</v>
      </c>
      <c r="V71" s="157">
        <f t="shared" si="32"/>
        <v>345.5819781488413</v>
      </c>
      <c r="W71" s="157">
        <f t="shared" si="32"/>
        <v>410.57285026175282</v>
      </c>
      <c r="X71" s="157">
        <f t="shared" si="32"/>
        <v>5769.8696249131308</v>
      </c>
      <c r="Y71" s="157">
        <f t="shared" si="32"/>
        <v>198.5631091277636</v>
      </c>
      <c r="Z71" s="157">
        <f t="shared" si="32"/>
        <v>5968.4327340408945</v>
      </c>
      <c r="AA71" s="157"/>
      <c r="AB71" s="31" t="s">
        <v>18</v>
      </c>
      <c r="AC71" s="157">
        <f t="shared" si="12"/>
        <v>3565.2362706836298</v>
      </c>
    </row>
    <row r="72" spans="2:29" s="31" customFormat="1">
      <c r="B72" s="31" t="s">
        <v>19</v>
      </c>
      <c r="C72" s="157">
        <f t="shared" ref="C72:O72" si="33">C45*1000/$C18</f>
        <v>342.83100835246148</v>
      </c>
      <c r="D72" s="157">
        <f t="shared" si="33"/>
        <v>2331.2804425198588</v>
      </c>
      <c r="E72" s="157">
        <f t="shared" si="33"/>
        <v>755.87212616603188</v>
      </c>
      <c r="F72" s="157">
        <f t="shared" si="33"/>
        <v>185.47946784427285</v>
      </c>
      <c r="G72" s="157">
        <f t="shared" si="33"/>
        <v>145.43390135263101</v>
      </c>
      <c r="H72" s="157">
        <f t="shared" si="33"/>
        <v>401.55787636401499</v>
      </c>
      <c r="I72" s="157">
        <f t="shared" si="33"/>
        <v>3819.6238142468096</v>
      </c>
      <c r="J72" s="157">
        <f t="shared" si="33"/>
        <v>4089.752628665824</v>
      </c>
      <c r="K72" s="157">
        <f t="shared" si="33"/>
        <v>363.10212276282419</v>
      </c>
      <c r="L72" s="157">
        <f t="shared" si="33"/>
        <v>716.55591225227022</v>
      </c>
      <c r="M72" s="157">
        <f t="shared" si="33"/>
        <v>9331.8654862801905</v>
      </c>
      <c r="N72" s="157">
        <f t="shared" si="33"/>
        <v>53.385206378738765</v>
      </c>
      <c r="O72" s="157">
        <f t="shared" si="33"/>
        <v>9385.2506926589285</v>
      </c>
      <c r="P72" s="14"/>
      <c r="Q72" s="14" t="s">
        <v>19</v>
      </c>
      <c r="R72" s="157">
        <f t="shared" ref="R72:Z72" si="34">R45*1000/$C18</f>
        <v>1895.0524268320712</v>
      </c>
      <c r="S72" s="157">
        <f t="shared" si="34"/>
        <v>1883.6289787905393</v>
      </c>
      <c r="T72" s="157">
        <f t="shared" si="34"/>
        <v>3778.6814056226108</v>
      </c>
      <c r="U72" s="157">
        <f t="shared" si="34"/>
        <v>2370.2233725096503</v>
      </c>
      <c r="V72" s="157">
        <f t="shared" si="34"/>
        <v>372.50590256653436</v>
      </c>
      <c r="W72" s="157">
        <f t="shared" si="34"/>
        <v>410.74276026032459</v>
      </c>
      <c r="X72" s="157">
        <f t="shared" si="34"/>
        <v>6932.1534409591213</v>
      </c>
      <c r="Y72" s="157">
        <f t="shared" si="34"/>
        <v>40.119598672676211</v>
      </c>
      <c r="Z72" s="157">
        <f t="shared" si="34"/>
        <v>6972.2730396317975</v>
      </c>
      <c r="AA72" s="157"/>
      <c r="AB72" s="31" t="s">
        <v>19</v>
      </c>
      <c r="AC72" s="157">
        <f t="shared" si="12"/>
        <v>2412.9776530271306</v>
      </c>
    </row>
    <row r="73" spans="2:29" s="31" customFormat="1">
      <c r="B73" s="31" t="s">
        <v>20</v>
      </c>
      <c r="C73" s="157">
        <f t="shared" ref="C73:O73" si="35">C46*1000/$C19</f>
        <v>342.83100835246148</v>
      </c>
      <c r="D73" s="157">
        <f t="shared" si="35"/>
        <v>1874.8815546911947</v>
      </c>
      <c r="E73" s="157">
        <f t="shared" si="35"/>
        <v>1068.846056891367</v>
      </c>
      <c r="F73" s="157">
        <f t="shared" si="35"/>
        <v>127.46838781509162</v>
      </c>
      <c r="G73" s="157">
        <f t="shared" si="35"/>
        <v>12.429652453718866</v>
      </c>
      <c r="H73" s="157">
        <f t="shared" si="35"/>
        <v>442.47058488333613</v>
      </c>
      <c r="I73" s="157">
        <f t="shared" si="35"/>
        <v>3526.0962367347083</v>
      </c>
      <c r="J73" s="157">
        <f t="shared" si="35"/>
        <v>3718.1146310631602</v>
      </c>
      <c r="K73" s="157">
        <f t="shared" si="35"/>
        <v>158.91825026201812</v>
      </c>
      <c r="L73" s="157">
        <f t="shared" si="35"/>
        <v>532.5307705844682</v>
      </c>
      <c r="M73" s="157">
        <f t="shared" si="35"/>
        <v>8278.4908969968164</v>
      </c>
      <c r="N73" s="157">
        <f t="shared" si="35"/>
        <v>-30.854465245423686</v>
      </c>
      <c r="O73" s="157">
        <f t="shared" si="35"/>
        <v>8247.6364317513926</v>
      </c>
      <c r="P73" s="14"/>
      <c r="Q73" s="14" t="s">
        <v>20</v>
      </c>
      <c r="R73" s="157">
        <f t="shared" ref="R73:Z73" si="36">R46*1000/$C19</f>
        <v>3424.6907960267499</v>
      </c>
      <c r="S73" s="157">
        <f t="shared" si="36"/>
        <v>2219.071375027921</v>
      </c>
      <c r="T73" s="157">
        <f t="shared" si="36"/>
        <v>5643.7621710546709</v>
      </c>
      <c r="U73" s="157">
        <f t="shared" si="36"/>
        <v>3247.2599142281051</v>
      </c>
      <c r="V73" s="157">
        <f t="shared" si="36"/>
        <v>616.75959896342795</v>
      </c>
      <c r="W73" s="157">
        <f t="shared" si="36"/>
        <v>411.03527621562614</v>
      </c>
      <c r="X73" s="157">
        <f t="shared" si="36"/>
        <v>9918.8169604618306</v>
      </c>
      <c r="Y73" s="157">
        <f t="shared" si="36"/>
        <v>-41.908844031230501</v>
      </c>
      <c r="Z73" s="157">
        <f t="shared" si="36"/>
        <v>9876.9081164306008</v>
      </c>
      <c r="AA73" s="157"/>
      <c r="AB73" s="31" t="s">
        <v>20</v>
      </c>
      <c r="AC73" s="157">
        <f t="shared" si="12"/>
        <v>-1629.2716846792086</v>
      </c>
    </row>
    <row r="74" spans="2:29" s="31" customFormat="1">
      <c r="B74" s="31" t="s">
        <v>60</v>
      </c>
      <c r="C74" s="157">
        <f t="shared" ref="C74:O74" si="37">C47*1000/$C20</f>
        <v>342.83100835246142</v>
      </c>
      <c r="D74" s="157">
        <f t="shared" si="37"/>
        <v>1880.041903572738</v>
      </c>
      <c r="E74" s="157">
        <f t="shared" si="37"/>
        <v>789.64490827244038</v>
      </c>
      <c r="F74" s="157">
        <f t="shared" si="37"/>
        <v>79.094812937891376</v>
      </c>
      <c r="G74" s="157">
        <f t="shared" si="37"/>
        <v>62.29619444887102</v>
      </c>
      <c r="H74" s="157">
        <f t="shared" si="37"/>
        <v>361.61629453285843</v>
      </c>
      <c r="I74" s="157">
        <f t="shared" si="37"/>
        <v>3172.6941137647996</v>
      </c>
      <c r="J74" s="157">
        <f t="shared" si="37"/>
        <v>2999.1637491015781</v>
      </c>
      <c r="K74" s="157">
        <f t="shared" si="37"/>
        <v>280.08897738532244</v>
      </c>
      <c r="L74" s="157">
        <f t="shared" si="37"/>
        <v>535.05910493248916</v>
      </c>
      <c r="M74" s="157">
        <f t="shared" si="37"/>
        <v>7329.8369535366492</v>
      </c>
      <c r="N74" s="157">
        <f t="shared" si="37"/>
        <v>93.035922551476858</v>
      </c>
      <c r="O74" s="157">
        <f t="shared" si="37"/>
        <v>7422.8728760881249</v>
      </c>
      <c r="P74" s="14"/>
      <c r="Q74" s="14" t="s">
        <v>60</v>
      </c>
      <c r="R74" s="157">
        <f t="shared" ref="R74:Z74" si="38">R47*1000/$C20</f>
        <v>1531.8151996472536</v>
      </c>
      <c r="S74" s="157">
        <f t="shared" si="38"/>
        <v>1699.8427689145924</v>
      </c>
      <c r="T74" s="157">
        <f t="shared" si="38"/>
        <v>3231.6579685618467</v>
      </c>
      <c r="U74" s="157">
        <f t="shared" si="38"/>
        <v>2048.8260595043844</v>
      </c>
      <c r="V74" s="157">
        <f t="shared" si="38"/>
        <v>448.84231242175986</v>
      </c>
      <c r="W74" s="157">
        <f t="shared" si="38"/>
        <v>410.56806769849726</v>
      </c>
      <c r="X74" s="157">
        <f t="shared" si="38"/>
        <v>6139.8944081864865</v>
      </c>
      <c r="Y74" s="157">
        <f t="shared" si="38"/>
        <v>76.754755029945045</v>
      </c>
      <c r="Z74" s="157">
        <f t="shared" si="38"/>
        <v>6216.6491632164334</v>
      </c>
      <c r="AA74" s="157"/>
      <c r="AB74" s="31" t="s">
        <v>60</v>
      </c>
      <c r="AC74" s="157">
        <f t="shared" si="12"/>
        <v>1206.2237128716929</v>
      </c>
    </row>
    <row r="75" spans="2:29" s="31" customFormat="1">
      <c r="B75" s="31" t="s">
        <v>61</v>
      </c>
      <c r="C75" s="157">
        <f t="shared" ref="C75:O75" si="39">C48*1000/$C21</f>
        <v>342.83100835246148</v>
      </c>
      <c r="D75" s="157">
        <f t="shared" si="39"/>
        <v>3265.6940411082019</v>
      </c>
      <c r="E75" s="157">
        <f t="shared" si="39"/>
        <v>875.89327864318216</v>
      </c>
      <c r="F75" s="157">
        <f t="shared" si="39"/>
        <v>84.294415826197309</v>
      </c>
      <c r="G75" s="157">
        <f t="shared" si="39"/>
        <v>24.565466305798136</v>
      </c>
      <c r="H75" s="157">
        <f t="shared" si="39"/>
        <v>476.35017817345482</v>
      </c>
      <c r="I75" s="157">
        <f t="shared" si="39"/>
        <v>4726.7973800568352</v>
      </c>
      <c r="J75" s="157">
        <f t="shared" si="39"/>
        <v>3938.033690663136</v>
      </c>
      <c r="K75" s="157">
        <f t="shared" si="39"/>
        <v>377.12837867399753</v>
      </c>
      <c r="L75" s="157">
        <f t="shared" si="39"/>
        <v>433.10133095947953</v>
      </c>
      <c r="M75" s="157">
        <f t="shared" si="39"/>
        <v>9817.8917887059106</v>
      </c>
      <c r="N75" s="157">
        <f t="shared" si="39"/>
        <v>-541.79895288119235</v>
      </c>
      <c r="O75" s="157">
        <f t="shared" si="39"/>
        <v>9276.0928358247183</v>
      </c>
      <c r="P75" s="14"/>
      <c r="Q75" s="14" t="s">
        <v>61</v>
      </c>
      <c r="R75" s="157">
        <f t="shared" ref="R75:Z75" si="40">R48*1000/$C21</f>
        <v>2649.6540842715403</v>
      </c>
      <c r="S75" s="157">
        <f t="shared" si="40"/>
        <v>2139.5084921294369</v>
      </c>
      <c r="T75" s="157">
        <f t="shared" si="40"/>
        <v>4789.1625764009777</v>
      </c>
      <c r="U75" s="157">
        <f t="shared" si="40"/>
        <v>3218.2081076179988</v>
      </c>
      <c r="V75" s="157">
        <f t="shared" si="40"/>
        <v>470.32159783281446</v>
      </c>
      <c r="W75" s="157">
        <f t="shared" si="40"/>
        <v>410.91696264255023</v>
      </c>
      <c r="X75" s="157">
        <f t="shared" si="40"/>
        <v>8888.6092444943424</v>
      </c>
      <c r="Y75" s="157">
        <f t="shared" si="40"/>
        <v>-426.71280716574364</v>
      </c>
      <c r="Z75" s="157">
        <f t="shared" si="40"/>
        <v>8461.896437328598</v>
      </c>
      <c r="AA75" s="157"/>
      <c r="AB75" s="31" t="s">
        <v>61</v>
      </c>
      <c r="AC75" s="157">
        <f t="shared" si="12"/>
        <v>814.19639849611895</v>
      </c>
    </row>
    <row r="76" spans="2:29" s="31" customFormat="1">
      <c r="B76" s="31" t="s">
        <v>62</v>
      </c>
      <c r="C76" s="157">
        <f t="shared" ref="C76:O76" si="41">C49*1000/$C22</f>
        <v>342.83100835246148</v>
      </c>
      <c r="D76" s="157">
        <f t="shared" si="41"/>
        <v>4169.7150085355943</v>
      </c>
      <c r="E76" s="157">
        <f t="shared" si="41"/>
        <v>904.87732594974545</v>
      </c>
      <c r="F76" s="157">
        <f t="shared" si="41"/>
        <v>234.75816497131271</v>
      </c>
      <c r="G76" s="157">
        <f t="shared" si="41"/>
        <v>26.248212825327716</v>
      </c>
      <c r="H76" s="157">
        <f t="shared" si="41"/>
        <v>519.45606115953706</v>
      </c>
      <c r="I76" s="157">
        <f t="shared" si="41"/>
        <v>5855.0547734415168</v>
      </c>
      <c r="J76" s="157">
        <f t="shared" si="41"/>
        <v>4731.20068853678</v>
      </c>
      <c r="K76" s="157">
        <f t="shared" si="41"/>
        <v>246.85690799941543</v>
      </c>
      <c r="L76" s="157">
        <f t="shared" si="41"/>
        <v>565.87406134927858</v>
      </c>
      <c r="M76" s="157">
        <f t="shared" si="41"/>
        <v>11741.817439679453</v>
      </c>
      <c r="N76" s="157">
        <f t="shared" si="41"/>
        <v>-376.57812364982806</v>
      </c>
      <c r="O76" s="157">
        <f t="shared" si="41"/>
        <v>11365.239316029625</v>
      </c>
      <c r="P76" s="14"/>
      <c r="Q76" s="14" t="s">
        <v>62</v>
      </c>
      <c r="R76" s="157">
        <f t="shared" ref="R76:Z76" si="42">R49*1000/$C22</f>
        <v>2955.7121282808262</v>
      </c>
      <c r="S76" s="157">
        <f t="shared" si="42"/>
        <v>2324.3421364271308</v>
      </c>
      <c r="T76" s="157">
        <f t="shared" si="42"/>
        <v>5280.0542647079574</v>
      </c>
      <c r="U76" s="157">
        <f t="shared" si="42"/>
        <v>3493.6001952692945</v>
      </c>
      <c r="V76" s="157">
        <f t="shared" si="42"/>
        <v>499.24480314257744</v>
      </c>
      <c r="W76" s="157">
        <f t="shared" si="42"/>
        <v>411.10255466646424</v>
      </c>
      <c r="X76" s="157">
        <f t="shared" si="42"/>
        <v>9684.0018177862949</v>
      </c>
      <c r="Y76" s="157">
        <f t="shared" si="42"/>
        <v>-377.05919677794208</v>
      </c>
      <c r="Z76" s="157">
        <f t="shared" si="42"/>
        <v>9306.9426210083529</v>
      </c>
      <c r="AA76" s="157"/>
      <c r="AB76" s="31" t="s">
        <v>62</v>
      </c>
      <c r="AC76" s="157">
        <f t="shared" si="12"/>
        <v>2058.296695021274</v>
      </c>
    </row>
    <row r="77" spans="2:29" s="31" customFormat="1">
      <c r="B77" s="31" t="s">
        <v>63</v>
      </c>
      <c r="C77" s="157">
        <f t="shared" ref="C77:O77" si="43">C50*1000/$C23</f>
        <v>342.83100835246142</v>
      </c>
      <c r="D77" s="157">
        <f t="shared" si="43"/>
        <v>2481.269891079342</v>
      </c>
      <c r="E77" s="157">
        <f t="shared" si="43"/>
        <v>895.9314789886804</v>
      </c>
      <c r="F77" s="157">
        <f t="shared" si="43"/>
        <v>123.70609744628138</v>
      </c>
      <c r="G77" s="157">
        <f t="shared" si="43"/>
        <v>36.322541586466791</v>
      </c>
      <c r="H77" s="157">
        <f t="shared" si="43"/>
        <v>532.29553718748753</v>
      </c>
      <c r="I77" s="157">
        <f t="shared" si="43"/>
        <v>4069.5255462882574</v>
      </c>
      <c r="J77" s="157">
        <f t="shared" si="43"/>
        <v>3653.2765245051787</v>
      </c>
      <c r="K77" s="157">
        <f t="shared" si="43"/>
        <v>348.15244635571185</v>
      </c>
      <c r="L77" s="157">
        <f t="shared" si="43"/>
        <v>680.33983191570485</v>
      </c>
      <c r="M77" s="157">
        <f t="shared" si="43"/>
        <v>9094.1253574173134</v>
      </c>
      <c r="N77" s="157">
        <f t="shared" si="43"/>
        <v>59.724112666060968</v>
      </c>
      <c r="O77" s="157">
        <f t="shared" si="43"/>
        <v>9153.8494700833744</v>
      </c>
      <c r="P77" s="14"/>
      <c r="Q77" s="14" t="s">
        <v>63</v>
      </c>
      <c r="R77" s="157">
        <f t="shared" ref="R77:Z77" si="44">R50*1000/$C23</f>
        <v>2191.1964658523661</v>
      </c>
      <c r="S77" s="157">
        <f t="shared" si="44"/>
        <v>1957.1379491132768</v>
      </c>
      <c r="T77" s="157">
        <f t="shared" si="44"/>
        <v>4148.3344149656423</v>
      </c>
      <c r="U77" s="157">
        <f t="shared" si="44"/>
        <v>2709.3869258077657</v>
      </c>
      <c r="V77" s="157">
        <f t="shared" si="44"/>
        <v>535.39557698637668</v>
      </c>
      <c r="W77" s="157">
        <f t="shared" si="44"/>
        <v>410.7919945352503</v>
      </c>
      <c r="X77" s="157">
        <f t="shared" si="44"/>
        <v>7803.9089122950336</v>
      </c>
      <c r="Y77" s="157">
        <f t="shared" si="44"/>
        <v>50.434103113690334</v>
      </c>
      <c r="Z77" s="157">
        <f t="shared" si="44"/>
        <v>7854.3430154087246</v>
      </c>
      <c r="AA77" s="157"/>
      <c r="AB77" s="31" t="s">
        <v>63</v>
      </c>
      <c r="AC77" s="157">
        <f t="shared" si="12"/>
        <v>1299.5064546746501</v>
      </c>
    </row>
    <row r="78" spans="2:29" s="31" customFormat="1">
      <c r="B78" s="31" t="s">
        <v>64</v>
      </c>
      <c r="C78" s="157">
        <f t="shared" ref="C78:O78" si="45">C51*1000/$C24</f>
        <v>342.83100835246142</v>
      </c>
      <c r="D78" s="157">
        <f t="shared" si="45"/>
        <v>4121.7339735624946</v>
      </c>
      <c r="E78" s="157">
        <f t="shared" si="45"/>
        <v>401.59198683088732</v>
      </c>
      <c r="F78" s="157">
        <f t="shared" si="45"/>
        <v>129.10300136104127</v>
      </c>
      <c r="G78" s="157">
        <f t="shared" si="45"/>
        <v>429.23441738273362</v>
      </c>
      <c r="H78" s="157">
        <f t="shared" si="45"/>
        <v>908.08661457574317</v>
      </c>
      <c r="I78" s="157">
        <f t="shared" si="45"/>
        <v>5989.7499937129014</v>
      </c>
      <c r="J78" s="157">
        <f t="shared" si="45"/>
        <v>2588.512261235905</v>
      </c>
      <c r="K78" s="157">
        <f t="shared" si="45"/>
        <v>538.51293255525741</v>
      </c>
      <c r="L78" s="157">
        <f t="shared" si="45"/>
        <v>1051.9552271063919</v>
      </c>
      <c r="M78" s="157">
        <f t="shared" si="45"/>
        <v>10511.561422962915</v>
      </c>
      <c r="N78" s="157">
        <f t="shared" si="45"/>
        <v>0</v>
      </c>
      <c r="O78" s="157">
        <f t="shared" si="45"/>
        <v>10511.561422962915</v>
      </c>
      <c r="P78" s="14"/>
      <c r="Q78" s="14" t="s">
        <v>64</v>
      </c>
      <c r="R78" s="157">
        <f t="shared" ref="R78:Z78" si="46">R51*1000/$C24</f>
        <v>1660.5938075437034</v>
      </c>
      <c r="S78" s="157">
        <f t="shared" si="46"/>
        <v>1709.1986243388428</v>
      </c>
      <c r="T78" s="157">
        <f t="shared" si="46"/>
        <v>3369.7924318825462</v>
      </c>
      <c r="U78" s="157">
        <f t="shared" si="46"/>
        <v>2054.4329823903272</v>
      </c>
      <c r="V78" s="157">
        <f t="shared" si="46"/>
        <v>136.24565005884426</v>
      </c>
      <c r="W78" s="157">
        <f t="shared" si="46"/>
        <v>410.48774026023119</v>
      </c>
      <c r="X78" s="157">
        <f t="shared" si="46"/>
        <v>5970.958804591949</v>
      </c>
      <c r="Y78" s="157">
        <f t="shared" si="46"/>
        <v>-425.67771211881893</v>
      </c>
      <c r="Z78" s="157">
        <f t="shared" si="46"/>
        <v>5545.2810924731293</v>
      </c>
      <c r="AA78" s="157"/>
      <c r="AB78" s="31" t="s">
        <v>64</v>
      </c>
      <c r="AC78" s="157">
        <f t="shared" si="12"/>
        <v>4966.2803304897861</v>
      </c>
    </row>
    <row r="79" spans="2:29" s="31" customFormat="1" ht="13.8" thickBot="1">
      <c r="B79" s="192" t="s">
        <v>84</v>
      </c>
      <c r="C79" s="172">
        <f t="shared" ref="C79:O79" si="47">C52*1000/$C25</f>
        <v>342.83100835246142</v>
      </c>
      <c r="D79" s="172">
        <f t="shared" si="47"/>
        <v>2154.6625959515895</v>
      </c>
      <c r="E79" s="172">
        <f t="shared" si="47"/>
        <v>919.70193346324163</v>
      </c>
      <c r="F79" s="172">
        <f t="shared" si="47"/>
        <v>146.22872305593029</v>
      </c>
      <c r="G79" s="172">
        <f t="shared" si="47"/>
        <v>109.38322846776767</v>
      </c>
      <c r="H79" s="172">
        <f t="shared" si="47"/>
        <v>415.75908953742669</v>
      </c>
      <c r="I79" s="172">
        <f t="shared" si="47"/>
        <v>3745.735570475957</v>
      </c>
      <c r="J79" s="172">
        <f t="shared" si="47"/>
        <v>3618.3048018865065</v>
      </c>
      <c r="K79" s="172">
        <f t="shared" si="47"/>
        <v>322.08057415870371</v>
      </c>
      <c r="L79" s="172">
        <f t="shared" si="47"/>
        <v>602.43893605064841</v>
      </c>
      <c r="M79" s="172">
        <f t="shared" si="47"/>
        <v>8631.3908909242746</v>
      </c>
      <c r="N79" s="172">
        <f t="shared" si="47"/>
        <v>52.333142975266789</v>
      </c>
      <c r="O79" s="172">
        <f t="shared" si="47"/>
        <v>8683.7240338995416</v>
      </c>
      <c r="P79" s="14"/>
      <c r="Q79" s="191" t="s">
        <v>84</v>
      </c>
      <c r="R79" s="172">
        <f t="shared" ref="R79:Z79" si="48">R52*1000/$C25</f>
        <v>2177.1518970553279</v>
      </c>
      <c r="S79" s="172">
        <f t="shared" si="48"/>
        <v>1947.2313425520888</v>
      </c>
      <c r="T79" s="172">
        <f t="shared" si="48"/>
        <v>4124.3832396074158</v>
      </c>
      <c r="U79" s="172">
        <f t="shared" si="48"/>
        <v>2558.5626387784873</v>
      </c>
      <c r="V79" s="172">
        <f t="shared" si="48"/>
        <v>500.54123510864451</v>
      </c>
      <c r="W79" s="172">
        <f t="shared" si="48"/>
        <v>410.81444349910026</v>
      </c>
      <c r="X79" s="172">
        <f t="shared" si="48"/>
        <v>7594.3015569936497</v>
      </c>
      <c r="Y79" s="172">
        <f t="shared" si="48"/>
        <v>1.9564046115943847</v>
      </c>
      <c r="Z79" s="172">
        <f t="shared" si="48"/>
        <v>7596.2579616052444</v>
      </c>
      <c r="AA79" s="157"/>
      <c r="AB79" s="192" t="s">
        <v>84</v>
      </c>
      <c r="AC79" s="172">
        <f t="shared" si="12"/>
        <v>1087.4660722942986</v>
      </c>
    </row>
    <row r="80" spans="2:29">
      <c r="P80" s="31"/>
      <c r="Q80" s="31"/>
      <c r="AA80" s="31"/>
    </row>
    <row r="81" spans="1:31">
      <c r="P81" s="31"/>
    </row>
    <row r="82" spans="1:31">
      <c r="E82" s="29" t="s">
        <v>81</v>
      </c>
    </row>
    <row r="83" spans="1:31">
      <c r="B83" s="176" t="s">
        <v>41</v>
      </c>
      <c r="Q83" s="176" t="s">
        <v>41</v>
      </c>
    </row>
    <row r="84" spans="1:31">
      <c r="Y84" s="199"/>
      <c r="AB84" s="34"/>
    </row>
    <row r="85" spans="1:31" s="34" customFormat="1" ht="40.1" thickBot="1">
      <c r="A85" s="188"/>
      <c r="B85" s="190"/>
      <c r="C85" s="193" t="s">
        <v>39</v>
      </c>
      <c r="D85" s="194" t="s">
        <v>1005</v>
      </c>
      <c r="E85" s="195" t="s">
        <v>26</v>
      </c>
      <c r="F85" s="195" t="s">
        <v>1</v>
      </c>
      <c r="G85" s="195" t="s">
        <v>55</v>
      </c>
      <c r="H85" s="195" t="s">
        <v>22</v>
      </c>
      <c r="I85" s="196" t="s">
        <v>79</v>
      </c>
      <c r="J85" s="197" t="s">
        <v>68</v>
      </c>
      <c r="K85" s="198" t="s">
        <v>65</v>
      </c>
      <c r="L85" s="235" t="s">
        <v>570</v>
      </c>
      <c r="M85" s="235" t="s">
        <v>954</v>
      </c>
      <c r="N85" s="195" t="s">
        <v>42</v>
      </c>
      <c r="O85" s="198" t="s">
        <v>27</v>
      </c>
      <c r="P85" s="188"/>
      <c r="Q85" s="171"/>
      <c r="R85" s="171" t="s">
        <v>87</v>
      </c>
      <c r="S85" s="160" t="s">
        <v>109</v>
      </c>
      <c r="T85" s="162" t="s">
        <v>86</v>
      </c>
      <c r="U85" s="162" t="s">
        <v>102</v>
      </c>
      <c r="V85" s="162" t="s">
        <v>103</v>
      </c>
      <c r="W85" s="162" t="s">
        <v>105</v>
      </c>
      <c r="X85" s="162" t="s">
        <v>106</v>
      </c>
      <c r="Y85" s="185" t="s">
        <v>1022</v>
      </c>
      <c r="Z85" s="162" t="s">
        <v>108</v>
      </c>
      <c r="AA85" s="188"/>
      <c r="AB85" s="171"/>
      <c r="AC85" s="162" t="s">
        <v>2</v>
      </c>
      <c r="AD85" s="212" t="s">
        <v>1027</v>
      </c>
    </row>
    <row r="86" spans="1:31">
      <c r="A86" s="31"/>
      <c r="B86" s="31" t="s">
        <v>9</v>
      </c>
      <c r="C86" s="204">
        <f t="shared" ref="C86:C102" si="49">C61-C$79</f>
        <v>0</v>
      </c>
      <c r="D86" s="157">
        <f t="shared" ref="D86:I101" si="50">D61-D$79</f>
        <v>-256.51497405296891</v>
      </c>
      <c r="E86" s="157">
        <f t="shared" si="50"/>
        <v>-112.4136454892049</v>
      </c>
      <c r="F86" s="157">
        <f t="shared" si="50"/>
        <v>-29.889136129122363</v>
      </c>
      <c r="G86" s="157">
        <f t="shared" si="50"/>
        <v>107.09695179901929</v>
      </c>
      <c r="H86" s="157">
        <f t="shared" si="50"/>
        <v>-34.936221081455585</v>
      </c>
      <c r="I86" s="157">
        <f t="shared" si="50"/>
        <v>-326.65702495373353</v>
      </c>
      <c r="J86" s="157">
        <f t="shared" ref="J86:J102" si="51">J61-J$79</f>
        <v>-476.63085741904433</v>
      </c>
      <c r="K86" s="157">
        <f t="shared" ref="K86:O101" si="52">K61-K$79</f>
        <v>-9.6373219524090246</v>
      </c>
      <c r="L86" s="157">
        <f t="shared" si="52"/>
        <v>-16.615104547369015</v>
      </c>
      <c r="M86" s="157">
        <f t="shared" si="52"/>
        <v>-829.54030887255249</v>
      </c>
      <c r="N86" s="157">
        <f t="shared" si="52"/>
        <v>39.644290344373694</v>
      </c>
      <c r="O86" s="157">
        <f t="shared" si="52"/>
        <v>-789.89601852817941</v>
      </c>
      <c r="P86" s="14"/>
      <c r="Q86" s="14" t="s">
        <v>9</v>
      </c>
      <c r="R86" s="157">
        <f>R$79-R61</f>
        <v>712.46966275307614</v>
      </c>
      <c r="S86" s="157">
        <f t="shared" ref="S86:Z86" si="53">S$79-S61</f>
        <v>181.59182263505318</v>
      </c>
      <c r="T86" s="157">
        <f t="shared" si="53"/>
        <v>894.0614853881284</v>
      </c>
      <c r="U86" s="157">
        <f t="shared" si="53"/>
        <v>612.76065268228581</v>
      </c>
      <c r="V86" s="157">
        <f t="shared" si="53"/>
        <v>87.102600006770331</v>
      </c>
      <c r="W86" s="157">
        <f t="shared" si="53"/>
        <v>0.18696636364330743</v>
      </c>
      <c r="X86" s="157">
        <f t="shared" si="53"/>
        <v>1594.1117044408284</v>
      </c>
      <c r="Y86" s="157">
        <f t="shared" si="53"/>
        <v>-73.472181365031034</v>
      </c>
      <c r="Z86" s="157">
        <f t="shared" si="53"/>
        <v>1520.639523075798</v>
      </c>
      <c r="AA86" s="14"/>
      <c r="AB86" s="31" t="s">
        <v>9</v>
      </c>
      <c r="AC86" s="157">
        <f t="shared" ref="AC86:AC104" si="54">O86+Z86</f>
        <v>730.74350454761861</v>
      </c>
      <c r="AD86" s="44">
        <f t="shared" ref="AD86:AD104" si="55">T86+U86+W86</f>
        <v>1507.0091044340575</v>
      </c>
      <c r="AE86" s="9"/>
    </row>
    <row r="87" spans="1:31">
      <c r="A87" s="31"/>
      <c r="B87" s="31" t="s">
        <v>10</v>
      </c>
      <c r="C87" s="204">
        <f t="shared" si="49"/>
        <v>0</v>
      </c>
      <c r="D87" s="157">
        <f t="shared" ref="D87:D102" si="56">D62-D$79</f>
        <v>150.495567185249</v>
      </c>
      <c r="E87" s="157">
        <f t="shared" si="50"/>
        <v>73.667366976027438</v>
      </c>
      <c r="F87" s="157">
        <f t="shared" si="50"/>
        <v>98.813464782144649</v>
      </c>
      <c r="G87" s="157">
        <f t="shared" si="50"/>
        <v>-27.199787507982947</v>
      </c>
      <c r="H87" s="157">
        <f t="shared" si="50"/>
        <v>41.116328152036147</v>
      </c>
      <c r="I87" s="157">
        <f t="shared" si="50"/>
        <v>336.89293958747339</v>
      </c>
      <c r="J87" s="157">
        <f t="shared" si="51"/>
        <v>425.15280356948779</v>
      </c>
      <c r="K87" s="157">
        <f t="shared" si="52"/>
        <v>248.98750818312305</v>
      </c>
      <c r="L87" s="157">
        <f t="shared" si="52"/>
        <v>92.554150173186144</v>
      </c>
      <c r="M87" s="157">
        <f t="shared" si="52"/>
        <v>1103.5874015132758</v>
      </c>
      <c r="N87" s="157">
        <f t="shared" si="52"/>
        <v>32.14961211119995</v>
      </c>
      <c r="O87" s="157">
        <f t="shared" si="52"/>
        <v>1135.7370136244735</v>
      </c>
      <c r="P87" s="14"/>
      <c r="Q87" s="14" t="s">
        <v>10</v>
      </c>
      <c r="R87" s="157">
        <f t="shared" ref="R87:Z102" si="57">R$79-R62</f>
        <v>-186.36875676623731</v>
      </c>
      <c r="S87" s="157">
        <f t="shared" si="57"/>
        <v>-63.54110974572427</v>
      </c>
      <c r="T87" s="157">
        <f t="shared" si="57"/>
        <v>-249.90986651196272</v>
      </c>
      <c r="U87" s="157">
        <f t="shared" si="57"/>
        <v>-216.40350994503206</v>
      </c>
      <c r="V87" s="157">
        <f t="shared" si="57"/>
        <v>-25.351542587438075</v>
      </c>
      <c r="W87" s="157">
        <f t="shared" si="57"/>
        <v>-3.2005262946881885E-2</v>
      </c>
      <c r="X87" s="157">
        <f t="shared" si="57"/>
        <v>-491.69692430737814</v>
      </c>
      <c r="Y87" s="157">
        <f t="shared" si="57"/>
        <v>-72.945707729434631</v>
      </c>
      <c r="Z87" s="157">
        <f t="shared" si="57"/>
        <v>-564.64263203681276</v>
      </c>
      <c r="AA87" s="14"/>
      <c r="AB87" s="31" t="s">
        <v>10</v>
      </c>
      <c r="AC87" s="157">
        <f t="shared" si="54"/>
        <v>571.09438158766079</v>
      </c>
      <c r="AD87" s="44">
        <f t="shared" si="55"/>
        <v>-466.34538171994166</v>
      </c>
    </row>
    <row r="88" spans="1:31">
      <c r="A88" s="31"/>
      <c r="B88" s="31" t="s">
        <v>11</v>
      </c>
      <c r="C88" s="204">
        <f t="shared" si="49"/>
        <v>0</v>
      </c>
      <c r="D88" s="157">
        <f t="shared" si="56"/>
        <v>127.87354762616133</v>
      </c>
      <c r="E88" s="157">
        <f t="shared" si="50"/>
        <v>-49.708965878730282</v>
      </c>
      <c r="F88" s="157">
        <f t="shared" si="50"/>
        <v>98.484605506097864</v>
      </c>
      <c r="G88" s="157">
        <f t="shared" si="50"/>
        <v>32.81095209068333</v>
      </c>
      <c r="H88" s="157">
        <f t="shared" si="50"/>
        <v>-14.633529663395052</v>
      </c>
      <c r="I88" s="157">
        <f t="shared" si="50"/>
        <v>194.82660968081609</v>
      </c>
      <c r="J88" s="157">
        <f t="shared" si="51"/>
        <v>1723.6524859589808</v>
      </c>
      <c r="K88" s="157">
        <f t="shared" si="52"/>
        <v>-28.358674856669495</v>
      </c>
      <c r="L88" s="157">
        <f t="shared" si="52"/>
        <v>238.3601763289555</v>
      </c>
      <c r="M88" s="157">
        <f t="shared" si="52"/>
        <v>2128.4805971120859</v>
      </c>
      <c r="N88" s="157">
        <f t="shared" si="52"/>
        <v>124.66845508660677</v>
      </c>
      <c r="O88" s="157">
        <f t="shared" si="52"/>
        <v>2253.1490521986925</v>
      </c>
      <c r="P88" s="14"/>
      <c r="Q88" s="14" t="s">
        <v>11</v>
      </c>
      <c r="R88" s="157">
        <f t="shared" si="57"/>
        <v>-115.15047906102018</v>
      </c>
      <c r="S88" s="157">
        <f t="shared" si="57"/>
        <v>-4.425772424204979</v>
      </c>
      <c r="T88" s="157">
        <f t="shared" si="57"/>
        <v>-119.57625148522675</v>
      </c>
      <c r="U88" s="157">
        <f t="shared" si="57"/>
        <v>-64.913561573970583</v>
      </c>
      <c r="V88" s="157">
        <f t="shared" si="57"/>
        <v>24.960866371963562</v>
      </c>
      <c r="W88" s="157">
        <f t="shared" si="57"/>
        <v>-2.9762773356708294E-2</v>
      </c>
      <c r="X88" s="157">
        <f t="shared" si="57"/>
        <v>-159.55870946058712</v>
      </c>
      <c r="Y88" s="157">
        <f t="shared" si="57"/>
        <v>-159.02102163192598</v>
      </c>
      <c r="Z88" s="157">
        <f t="shared" si="57"/>
        <v>-318.57973109251361</v>
      </c>
      <c r="AA88" s="14"/>
      <c r="AB88" s="31" t="s">
        <v>11</v>
      </c>
      <c r="AC88" s="157">
        <f t="shared" si="54"/>
        <v>1934.5693211061789</v>
      </c>
      <c r="AD88" s="44">
        <f t="shared" si="55"/>
        <v>-184.51957583255404</v>
      </c>
    </row>
    <row r="89" spans="1:31">
      <c r="A89" s="31"/>
      <c r="B89" s="31" t="s">
        <v>31</v>
      </c>
      <c r="C89" s="204">
        <f t="shared" si="49"/>
        <v>0</v>
      </c>
      <c r="D89" s="157">
        <f t="shared" si="56"/>
        <v>-101.58760272205063</v>
      </c>
      <c r="E89" s="157">
        <f t="shared" si="50"/>
        <v>58.730862912208067</v>
      </c>
      <c r="F89" s="157">
        <f t="shared" si="50"/>
        <v>-112.17481929035964</v>
      </c>
      <c r="G89" s="157">
        <f t="shared" si="50"/>
        <v>115.86696852191146</v>
      </c>
      <c r="H89" s="157">
        <f t="shared" si="50"/>
        <v>-7.7080140799689616</v>
      </c>
      <c r="I89" s="157">
        <f t="shared" si="50"/>
        <v>-46.872604658261025</v>
      </c>
      <c r="J89" s="157">
        <f t="shared" si="51"/>
        <v>-694.65104062004457</v>
      </c>
      <c r="K89" s="157">
        <f t="shared" si="52"/>
        <v>-146.88417365711049</v>
      </c>
      <c r="L89" s="157">
        <f t="shared" si="52"/>
        <v>-129.93589799773662</v>
      </c>
      <c r="M89" s="157">
        <f t="shared" si="52"/>
        <v>-1018.3437169331501</v>
      </c>
      <c r="N89" s="157">
        <f t="shared" si="52"/>
        <v>109.36961762043555</v>
      </c>
      <c r="O89" s="157">
        <f t="shared" si="52"/>
        <v>-908.97409931271432</v>
      </c>
      <c r="P89" s="14"/>
      <c r="Q89" s="14" t="s">
        <v>31</v>
      </c>
      <c r="R89" s="157">
        <f t="shared" si="57"/>
        <v>83.379055610465912</v>
      </c>
      <c r="S89" s="157">
        <f t="shared" si="57"/>
        <v>-109.77854092835651</v>
      </c>
      <c r="T89" s="157">
        <f t="shared" si="57"/>
        <v>-26.399485317891049</v>
      </c>
      <c r="U89" s="157">
        <f t="shared" si="57"/>
        <v>-136.38649509897414</v>
      </c>
      <c r="V89" s="157">
        <f t="shared" si="57"/>
        <v>-148.63258364396245</v>
      </c>
      <c r="W89" s="157">
        <f t="shared" si="57"/>
        <v>-0.18449401626133977</v>
      </c>
      <c r="X89" s="157">
        <f t="shared" si="57"/>
        <v>-311.60305807708573</v>
      </c>
      <c r="Y89" s="157">
        <f t="shared" si="57"/>
        <v>-143.30257475804382</v>
      </c>
      <c r="Z89" s="157">
        <f t="shared" si="57"/>
        <v>-454.90563283513166</v>
      </c>
      <c r="AA89" s="14"/>
      <c r="AB89" s="31" t="s">
        <v>31</v>
      </c>
      <c r="AC89" s="157">
        <f t="shared" si="54"/>
        <v>-1363.879732147846</v>
      </c>
      <c r="AD89" s="44">
        <f t="shared" si="55"/>
        <v>-162.97047443312653</v>
      </c>
    </row>
    <row r="90" spans="1:31">
      <c r="A90" s="31"/>
      <c r="B90" s="31" t="s">
        <v>12</v>
      </c>
      <c r="C90" s="204">
        <f t="shared" si="49"/>
        <v>0</v>
      </c>
      <c r="D90" s="157">
        <f t="shared" si="56"/>
        <v>-25.342448496033285</v>
      </c>
      <c r="E90" s="157">
        <f t="shared" si="50"/>
        <v>145.70435702543159</v>
      </c>
      <c r="F90" s="157">
        <f t="shared" si="50"/>
        <v>-1.1415409613520637</v>
      </c>
      <c r="G90" s="157">
        <f t="shared" si="50"/>
        <v>332.29917888370056</v>
      </c>
      <c r="H90" s="157">
        <f t="shared" si="50"/>
        <v>-29.272968085553146</v>
      </c>
      <c r="I90" s="157">
        <f t="shared" si="50"/>
        <v>422.24657836619235</v>
      </c>
      <c r="J90" s="157">
        <f t="shared" si="51"/>
        <v>-835.03214542099477</v>
      </c>
      <c r="K90" s="157">
        <f t="shared" si="52"/>
        <v>-11.835603938885015</v>
      </c>
      <c r="L90" s="157">
        <f t="shared" si="52"/>
        <v>38.947831721369084</v>
      </c>
      <c r="M90" s="157">
        <f t="shared" si="52"/>
        <v>-385.6733392723163</v>
      </c>
      <c r="N90" s="157">
        <f t="shared" si="52"/>
        <v>-23.500522660462025</v>
      </c>
      <c r="O90" s="157">
        <f t="shared" si="52"/>
        <v>-409.17386193277889</v>
      </c>
      <c r="P90" s="14"/>
      <c r="Q90" s="14" t="s">
        <v>12</v>
      </c>
      <c r="R90" s="157">
        <f t="shared" si="57"/>
        <v>598.40215648179901</v>
      </c>
      <c r="S90" s="157">
        <f t="shared" si="57"/>
        <v>226.48818247480813</v>
      </c>
      <c r="T90" s="157">
        <f t="shared" si="57"/>
        <v>824.89033895660623</v>
      </c>
      <c r="U90" s="157">
        <f t="shared" si="57"/>
        <v>371.74906681841321</v>
      </c>
      <c r="V90" s="157">
        <f t="shared" si="57"/>
        <v>117.6270835601872</v>
      </c>
      <c r="W90" s="157">
        <f t="shared" si="57"/>
        <v>0.1661988364780882</v>
      </c>
      <c r="X90" s="157">
        <f t="shared" si="57"/>
        <v>1314.432688171687</v>
      </c>
      <c r="Y90" s="157">
        <f t="shared" si="57"/>
        <v>785.0007500503325</v>
      </c>
      <c r="Z90" s="157">
        <f t="shared" si="57"/>
        <v>2099.4334382220195</v>
      </c>
      <c r="AA90" s="14"/>
      <c r="AB90" s="31" t="s">
        <v>12</v>
      </c>
      <c r="AC90" s="157">
        <f t="shared" si="54"/>
        <v>1690.2595762892406</v>
      </c>
      <c r="AD90" s="44">
        <f t="shared" si="55"/>
        <v>1196.8056046114975</v>
      </c>
    </row>
    <row r="91" spans="1:31">
      <c r="A91" s="31"/>
      <c r="B91" s="31" t="s">
        <v>13</v>
      </c>
      <c r="C91" s="204">
        <f t="shared" si="49"/>
        <v>0</v>
      </c>
      <c r="D91" s="157">
        <f t="shared" si="56"/>
        <v>392.12186878531929</v>
      </c>
      <c r="E91" s="157">
        <f t="shared" si="50"/>
        <v>-10.131265079441619</v>
      </c>
      <c r="F91" s="157">
        <f t="shared" si="50"/>
        <v>103.00048496410804</v>
      </c>
      <c r="G91" s="157">
        <f t="shared" si="50"/>
        <v>-61.275147631049805</v>
      </c>
      <c r="H91" s="157">
        <f t="shared" si="50"/>
        <v>-14.252685136741093</v>
      </c>
      <c r="I91" s="157">
        <f t="shared" si="50"/>
        <v>409.4632559021934</v>
      </c>
      <c r="J91" s="157">
        <f t="shared" si="51"/>
        <v>545.0522266057942</v>
      </c>
      <c r="K91" s="157">
        <f t="shared" si="52"/>
        <v>-9.1019720353805837</v>
      </c>
      <c r="L91" s="157">
        <f t="shared" si="52"/>
        <v>117.39076738506856</v>
      </c>
      <c r="M91" s="157">
        <f t="shared" si="52"/>
        <v>1062.8042778576764</v>
      </c>
      <c r="N91" s="157">
        <f t="shared" si="52"/>
        <v>84.804804236999814</v>
      </c>
      <c r="O91" s="157">
        <f t="shared" si="52"/>
        <v>1147.6090820946756</v>
      </c>
      <c r="P91" s="14"/>
      <c r="Q91" s="14" t="s">
        <v>13</v>
      </c>
      <c r="R91" s="157">
        <f t="shared" si="57"/>
        <v>-30.652313953870816</v>
      </c>
      <c r="S91" s="157">
        <f t="shared" si="57"/>
        <v>-94.178280892674593</v>
      </c>
      <c r="T91" s="157">
        <f t="shared" si="57"/>
        <v>-124.83059484654586</v>
      </c>
      <c r="U91" s="157">
        <f t="shared" si="57"/>
        <v>-80.101935464519102</v>
      </c>
      <c r="V91" s="157">
        <f t="shared" si="57"/>
        <v>-38.202854870212605</v>
      </c>
      <c r="W91" s="157">
        <f t="shared" si="57"/>
        <v>-8.6293236902236004E-2</v>
      </c>
      <c r="X91" s="157">
        <f t="shared" si="57"/>
        <v>-243.22167841817918</v>
      </c>
      <c r="Y91" s="157">
        <f t="shared" si="57"/>
        <v>-120.76674358954214</v>
      </c>
      <c r="Z91" s="157">
        <f t="shared" si="57"/>
        <v>-363.98842200772015</v>
      </c>
      <c r="AA91" s="14"/>
      <c r="AB91" s="31" t="s">
        <v>13</v>
      </c>
      <c r="AC91" s="157">
        <f t="shared" si="54"/>
        <v>783.62066008695547</v>
      </c>
      <c r="AD91" s="44">
        <f t="shared" si="55"/>
        <v>-205.0188235479672</v>
      </c>
    </row>
    <row r="92" spans="1:31">
      <c r="A92" s="31"/>
      <c r="B92" s="31" t="s">
        <v>14</v>
      </c>
      <c r="C92" s="204">
        <f t="shared" si="49"/>
        <v>0</v>
      </c>
      <c r="D92" s="157">
        <f t="shared" si="56"/>
        <v>266.02415532777241</v>
      </c>
      <c r="E92" s="157">
        <f t="shared" si="50"/>
        <v>-6.8344586141148511</v>
      </c>
      <c r="F92" s="157">
        <f t="shared" si="50"/>
        <v>176.87366166301052</v>
      </c>
      <c r="G92" s="157">
        <f t="shared" si="50"/>
        <v>7.2260290628343</v>
      </c>
      <c r="H92" s="157">
        <f t="shared" si="50"/>
        <v>43.932547252662232</v>
      </c>
      <c r="I92" s="157">
        <f t="shared" si="50"/>
        <v>487.22193469216336</v>
      </c>
      <c r="J92" s="157">
        <f t="shared" si="51"/>
        <v>559.52495041067777</v>
      </c>
      <c r="K92" s="157">
        <f t="shared" si="52"/>
        <v>438.03313507789187</v>
      </c>
      <c r="L92" s="157">
        <f t="shared" si="52"/>
        <v>141.22628630632607</v>
      </c>
      <c r="M92" s="157">
        <f t="shared" si="52"/>
        <v>1626.006306487061</v>
      </c>
      <c r="N92" s="157">
        <f t="shared" si="52"/>
        <v>12.761724686255626</v>
      </c>
      <c r="O92" s="157">
        <f t="shared" si="52"/>
        <v>1638.7680311733166</v>
      </c>
      <c r="P92" s="14"/>
      <c r="Q92" s="14" t="s">
        <v>14</v>
      </c>
      <c r="R92" s="157">
        <f t="shared" si="57"/>
        <v>99.208487850928577</v>
      </c>
      <c r="S92" s="157">
        <f t="shared" si="57"/>
        <v>50.857735128456397</v>
      </c>
      <c r="T92" s="157">
        <f t="shared" si="57"/>
        <v>150.06622297938429</v>
      </c>
      <c r="U92" s="157">
        <f t="shared" si="57"/>
        <v>71.899392383994382</v>
      </c>
      <c r="V92" s="157">
        <f t="shared" si="57"/>
        <v>24.865942322386616</v>
      </c>
      <c r="W92" s="157">
        <f t="shared" si="57"/>
        <v>1.0768006011574016E-2</v>
      </c>
      <c r="X92" s="157">
        <f t="shared" si="57"/>
        <v>246.84232569177857</v>
      </c>
      <c r="Y92" s="157">
        <f t="shared" si="57"/>
        <v>-46.383736325626181</v>
      </c>
      <c r="Z92" s="157">
        <f t="shared" si="57"/>
        <v>200.45858936615332</v>
      </c>
      <c r="AA92" s="14"/>
      <c r="AB92" s="31" t="s">
        <v>14</v>
      </c>
      <c r="AC92" s="157">
        <f t="shared" si="54"/>
        <v>1839.2266205394699</v>
      </c>
      <c r="AD92" s="44">
        <f t="shared" si="55"/>
        <v>221.97638336939025</v>
      </c>
    </row>
    <row r="93" spans="1:31">
      <c r="A93" s="31"/>
      <c r="B93" s="31" t="s">
        <v>15</v>
      </c>
      <c r="C93" s="204">
        <f t="shared" si="49"/>
        <v>0</v>
      </c>
      <c r="D93" s="157">
        <f t="shared" si="56"/>
        <v>14.214372366719999</v>
      </c>
      <c r="E93" s="157">
        <f t="shared" si="50"/>
        <v>-85.895036908247334</v>
      </c>
      <c r="F93" s="157">
        <f t="shared" si="50"/>
        <v>52.570789308972962</v>
      </c>
      <c r="G93" s="157">
        <f t="shared" si="50"/>
        <v>-10.70181647765169</v>
      </c>
      <c r="H93" s="157">
        <f t="shared" si="50"/>
        <v>-21.274272393294154</v>
      </c>
      <c r="I93" s="157">
        <f t="shared" si="50"/>
        <v>-51.085964103501283</v>
      </c>
      <c r="J93" s="157">
        <f t="shared" si="51"/>
        <v>-448.13018071804163</v>
      </c>
      <c r="K93" s="157">
        <f t="shared" si="52"/>
        <v>471.88725430603358</v>
      </c>
      <c r="L93" s="157">
        <f t="shared" si="52"/>
        <v>5.924982392059519</v>
      </c>
      <c r="M93" s="157">
        <f t="shared" si="52"/>
        <v>-21.403908123447764</v>
      </c>
      <c r="N93" s="157">
        <f t="shared" si="52"/>
        <v>-95.384669984268683</v>
      </c>
      <c r="O93" s="157">
        <f t="shared" si="52"/>
        <v>-116.7885781077166</v>
      </c>
      <c r="P93" s="14"/>
      <c r="Q93" s="14" t="s">
        <v>15</v>
      </c>
      <c r="R93" s="157">
        <f t="shared" si="57"/>
        <v>626.36815532433184</v>
      </c>
      <c r="S93" s="157">
        <f t="shared" si="57"/>
        <v>156.50199704764805</v>
      </c>
      <c r="T93" s="157">
        <f t="shared" si="57"/>
        <v>782.8701523719792</v>
      </c>
      <c r="U93" s="157">
        <f t="shared" si="57"/>
        <v>399.41835499541457</v>
      </c>
      <c r="V93" s="157">
        <f t="shared" si="57"/>
        <v>51.472687787591269</v>
      </c>
      <c r="W93" s="157">
        <f t="shared" si="57"/>
        <v>0.15289494187538821</v>
      </c>
      <c r="X93" s="157">
        <f t="shared" si="57"/>
        <v>1233.9140900968614</v>
      </c>
      <c r="Y93" s="157">
        <f t="shared" si="57"/>
        <v>62.307526278277059</v>
      </c>
      <c r="Z93" s="157">
        <f t="shared" si="57"/>
        <v>1296.2216163751391</v>
      </c>
      <c r="AA93" s="14"/>
      <c r="AB93" s="31" t="s">
        <v>15</v>
      </c>
      <c r="AC93" s="157">
        <f t="shared" si="54"/>
        <v>1179.4330382674225</v>
      </c>
      <c r="AD93" s="44">
        <f t="shared" si="55"/>
        <v>1182.4414023092691</v>
      </c>
    </row>
    <row r="94" spans="1:31" s="38" customFormat="1">
      <c r="A94" s="30"/>
      <c r="B94" s="30" t="s">
        <v>16</v>
      </c>
      <c r="C94" s="205">
        <f t="shared" si="49"/>
        <v>0</v>
      </c>
      <c r="D94" s="177">
        <f t="shared" si="56"/>
        <v>-181.22955138369093</v>
      </c>
      <c r="E94" s="177">
        <f t="shared" si="50"/>
        <v>141.02861190102681</v>
      </c>
      <c r="F94" s="177">
        <f t="shared" si="50"/>
        <v>-28.825234279217241</v>
      </c>
      <c r="G94" s="177">
        <f t="shared" si="50"/>
        <v>-107.84232222927085</v>
      </c>
      <c r="H94" s="177">
        <f t="shared" si="50"/>
        <v>22.972831754005369</v>
      </c>
      <c r="I94" s="177">
        <f t="shared" si="50"/>
        <v>-153.89566423714768</v>
      </c>
      <c r="J94" s="177">
        <f t="shared" si="51"/>
        <v>282.72622362717493</v>
      </c>
      <c r="K94" s="177">
        <f t="shared" si="52"/>
        <v>-116.27744027073035</v>
      </c>
      <c r="L94" s="177">
        <f t="shared" si="52"/>
        <v>-8.5686167997532721</v>
      </c>
      <c r="M94" s="177">
        <f t="shared" si="52"/>
        <v>3.9845023195466638</v>
      </c>
      <c r="N94" s="177">
        <f t="shared" si="52"/>
        <v>131.05688231169717</v>
      </c>
      <c r="O94" s="177">
        <f t="shared" si="52"/>
        <v>135.041384631244</v>
      </c>
      <c r="P94" s="26"/>
      <c r="Q94" s="14" t="s">
        <v>16</v>
      </c>
      <c r="R94" s="157">
        <f t="shared" si="57"/>
        <v>-429.29995926919037</v>
      </c>
      <c r="S94" s="157">
        <f t="shared" si="57"/>
        <v>-123.66262568976026</v>
      </c>
      <c r="T94" s="157">
        <f t="shared" si="57"/>
        <v>-552.96258495895199</v>
      </c>
      <c r="U94" s="157">
        <f t="shared" si="57"/>
        <v>-459.61304428955373</v>
      </c>
      <c r="V94" s="157">
        <f t="shared" si="57"/>
        <v>-126.50414413135547</v>
      </c>
      <c r="W94" s="157">
        <f t="shared" si="57"/>
        <v>-0.16655341165187565</v>
      </c>
      <c r="X94" s="157">
        <f t="shared" si="57"/>
        <v>-1139.2463267915109</v>
      </c>
      <c r="Y94" s="157">
        <f t="shared" si="57"/>
        <v>-163.4939699704241</v>
      </c>
      <c r="Z94" s="157">
        <f t="shared" si="57"/>
        <v>-1302.7402967619364</v>
      </c>
      <c r="AA94" s="26"/>
      <c r="AB94" s="31" t="s">
        <v>16</v>
      </c>
      <c r="AC94" s="157">
        <f t="shared" si="54"/>
        <v>-1167.6989121306924</v>
      </c>
      <c r="AD94" s="44">
        <f t="shared" si="55"/>
        <v>-1012.7421826601576</v>
      </c>
    </row>
    <row r="95" spans="1:31">
      <c r="A95" s="31"/>
      <c r="B95" s="31" t="s">
        <v>17</v>
      </c>
      <c r="C95" s="204">
        <f t="shared" si="49"/>
        <v>0</v>
      </c>
      <c r="D95" s="157">
        <f t="shared" si="56"/>
        <v>-330.57703462527593</v>
      </c>
      <c r="E95" s="157">
        <f t="shared" si="50"/>
        <v>-66.813199744683516</v>
      </c>
      <c r="F95" s="157">
        <f t="shared" si="50"/>
        <v>-77.388642177002012</v>
      </c>
      <c r="G95" s="157">
        <f t="shared" si="50"/>
        <v>-59.130006416242942</v>
      </c>
      <c r="H95" s="157">
        <f t="shared" si="50"/>
        <v>-64.996279154592116</v>
      </c>
      <c r="I95" s="157">
        <f t="shared" si="50"/>
        <v>-598.90516211779777</v>
      </c>
      <c r="J95" s="157">
        <f t="shared" si="51"/>
        <v>-387.99166489458548</v>
      </c>
      <c r="K95" s="157">
        <f t="shared" si="52"/>
        <v>-139.64153144979781</v>
      </c>
      <c r="L95" s="157">
        <f t="shared" si="52"/>
        <v>-66.45288780228816</v>
      </c>
      <c r="M95" s="157">
        <f t="shared" si="52"/>
        <v>-1192.9912462644679</v>
      </c>
      <c r="N95" s="157">
        <f t="shared" si="52"/>
        <v>34.368039362468757</v>
      </c>
      <c r="O95" s="157">
        <f t="shared" si="52"/>
        <v>-1158.6232069019979</v>
      </c>
      <c r="P95" s="14"/>
      <c r="Q95" s="14" t="s">
        <v>17</v>
      </c>
      <c r="R95" s="157">
        <f t="shared" si="57"/>
        <v>422.27451137981211</v>
      </c>
      <c r="S95" s="157">
        <f t="shared" si="57"/>
        <v>121.58844142997691</v>
      </c>
      <c r="T95" s="157">
        <f t="shared" si="57"/>
        <v>543.86295280978857</v>
      </c>
      <c r="U95" s="157">
        <f t="shared" si="57"/>
        <v>386.52513225835401</v>
      </c>
      <c r="V95" s="157">
        <f t="shared" si="57"/>
        <v>15.070044509178729</v>
      </c>
      <c r="W95" s="157">
        <f t="shared" si="57"/>
        <v>0.10902565007660314</v>
      </c>
      <c r="X95" s="157">
        <f t="shared" si="57"/>
        <v>945.5671552274016</v>
      </c>
      <c r="Y95" s="157">
        <f t="shared" si="57"/>
        <v>-66.894228293162143</v>
      </c>
      <c r="Z95" s="157">
        <f t="shared" si="57"/>
        <v>878.6729269342386</v>
      </c>
      <c r="AA95" s="14"/>
      <c r="AB95" s="31" t="s">
        <v>17</v>
      </c>
      <c r="AC95" s="157">
        <f t="shared" si="54"/>
        <v>-279.95027996775934</v>
      </c>
      <c r="AD95" s="44">
        <f t="shared" si="55"/>
        <v>930.49711071821912</v>
      </c>
    </row>
    <row r="96" spans="1:31">
      <c r="A96" s="31"/>
      <c r="B96" s="31" t="s">
        <v>18</v>
      </c>
      <c r="C96" s="204">
        <f t="shared" si="49"/>
        <v>0</v>
      </c>
      <c r="D96" s="157">
        <f t="shared" si="56"/>
        <v>238.78895833504066</v>
      </c>
      <c r="E96" s="157">
        <f t="shared" si="50"/>
        <v>-146.11088310150535</v>
      </c>
      <c r="F96" s="157">
        <f t="shared" si="50"/>
        <v>94.348475165050331</v>
      </c>
      <c r="G96" s="157">
        <f t="shared" si="50"/>
        <v>204.55427817156203</v>
      </c>
      <c r="H96" s="157">
        <f t="shared" si="50"/>
        <v>-15.491250066796852</v>
      </c>
      <c r="I96" s="157">
        <f t="shared" si="50"/>
        <v>376.08957850334946</v>
      </c>
      <c r="J96" s="157">
        <f t="shared" si="51"/>
        <v>-299.52511558752303</v>
      </c>
      <c r="K96" s="157">
        <f t="shared" si="52"/>
        <v>507.92198130699569</v>
      </c>
      <c r="L96" s="157">
        <f t="shared" si="52"/>
        <v>103.64995096289033</v>
      </c>
      <c r="M96" s="157">
        <f t="shared" si="52"/>
        <v>688.1363951857129</v>
      </c>
      <c r="N96" s="157">
        <f t="shared" si="52"/>
        <v>161.80857563926941</v>
      </c>
      <c r="O96" s="157">
        <f t="shared" si="52"/>
        <v>849.94497082498128</v>
      </c>
      <c r="P96" s="14"/>
      <c r="Q96" s="14" t="s">
        <v>18</v>
      </c>
      <c r="R96" s="157">
        <f t="shared" si="57"/>
        <v>774.17528270794423</v>
      </c>
      <c r="S96" s="157">
        <f t="shared" si="57"/>
        <v>231.75885018167878</v>
      </c>
      <c r="T96" s="157">
        <f t="shared" si="57"/>
        <v>1005.9341328896221</v>
      </c>
      <c r="U96" s="157">
        <f t="shared" si="57"/>
        <v>663.29694899374431</v>
      </c>
      <c r="V96" s="157">
        <f t="shared" si="57"/>
        <v>154.95925695980321</v>
      </c>
      <c r="W96" s="157">
        <f t="shared" si="57"/>
        <v>0.24159323734744476</v>
      </c>
      <c r="X96" s="157">
        <f t="shared" si="57"/>
        <v>1824.4319320805189</v>
      </c>
      <c r="Y96" s="157">
        <f t="shared" si="57"/>
        <v>-196.6067045161692</v>
      </c>
      <c r="Z96" s="157">
        <f t="shared" si="57"/>
        <v>1627.8252275643499</v>
      </c>
      <c r="AA96" s="14"/>
      <c r="AB96" s="31" t="s">
        <v>18</v>
      </c>
      <c r="AC96" s="157">
        <f t="shared" si="54"/>
        <v>2477.7701983893312</v>
      </c>
      <c r="AD96" s="44">
        <f t="shared" si="55"/>
        <v>1669.4726751207138</v>
      </c>
    </row>
    <row r="97" spans="1:32">
      <c r="A97" s="31"/>
      <c r="B97" s="31" t="s">
        <v>19</v>
      </c>
      <c r="C97" s="204">
        <f t="shared" si="49"/>
        <v>0</v>
      </c>
      <c r="D97" s="157">
        <f t="shared" si="56"/>
        <v>176.61784656826921</v>
      </c>
      <c r="E97" s="157">
        <f t="shared" si="50"/>
        <v>-163.82980729720975</v>
      </c>
      <c r="F97" s="157">
        <f t="shared" si="50"/>
        <v>39.250744788342558</v>
      </c>
      <c r="G97" s="157">
        <f t="shared" si="50"/>
        <v>36.050672884863346</v>
      </c>
      <c r="H97" s="157">
        <f t="shared" si="50"/>
        <v>-14.201213173411702</v>
      </c>
      <c r="I97" s="157">
        <f t="shared" si="50"/>
        <v>73.888243770852569</v>
      </c>
      <c r="J97" s="157">
        <f t="shared" si="51"/>
        <v>471.44782677931744</v>
      </c>
      <c r="K97" s="157">
        <f t="shared" si="52"/>
        <v>41.021548604120483</v>
      </c>
      <c r="L97" s="157">
        <f t="shared" si="52"/>
        <v>114.11697620162181</v>
      </c>
      <c r="M97" s="157">
        <f t="shared" si="52"/>
        <v>700.47459535591588</v>
      </c>
      <c r="N97" s="157">
        <f t="shared" si="52"/>
        <v>1.0520634034719762</v>
      </c>
      <c r="O97" s="157">
        <f t="shared" si="52"/>
        <v>701.52665875938692</v>
      </c>
      <c r="P97" s="14"/>
      <c r="Q97" s="14" t="s">
        <v>19</v>
      </c>
      <c r="R97" s="157">
        <f t="shared" si="57"/>
        <v>282.09947022325673</v>
      </c>
      <c r="S97" s="157">
        <f t="shared" si="57"/>
        <v>63.602363761549441</v>
      </c>
      <c r="T97" s="157">
        <f t="shared" si="57"/>
        <v>345.70183398480503</v>
      </c>
      <c r="U97" s="157">
        <f t="shared" si="57"/>
        <v>188.33926626883704</v>
      </c>
      <c r="V97" s="157">
        <f t="shared" si="57"/>
        <v>128.03533254211015</v>
      </c>
      <c r="W97" s="157">
        <f t="shared" si="57"/>
        <v>7.1683238775676728E-2</v>
      </c>
      <c r="X97" s="157">
        <f t="shared" si="57"/>
        <v>662.14811603452836</v>
      </c>
      <c r="Y97" s="157">
        <f t="shared" si="57"/>
        <v>-38.163194061081825</v>
      </c>
      <c r="Z97" s="157">
        <f t="shared" si="57"/>
        <v>623.98492197344694</v>
      </c>
      <c r="AA97" s="14"/>
      <c r="AB97" s="31" t="s">
        <v>19</v>
      </c>
      <c r="AC97" s="157">
        <f t="shared" si="54"/>
        <v>1325.5115807328339</v>
      </c>
      <c r="AD97" s="44">
        <f t="shared" si="55"/>
        <v>534.11278349241775</v>
      </c>
    </row>
    <row r="98" spans="1:32" s="38" customFormat="1">
      <c r="A98" s="30"/>
      <c r="B98" s="30" t="s">
        <v>20</v>
      </c>
      <c r="C98" s="205">
        <f t="shared" si="49"/>
        <v>0</v>
      </c>
      <c r="D98" s="177">
        <f t="shared" si="56"/>
        <v>-279.78104126039489</v>
      </c>
      <c r="E98" s="177">
        <f t="shared" si="50"/>
        <v>149.14412342812534</v>
      </c>
      <c r="F98" s="177">
        <f t="shared" si="50"/>
        <v>-18.760335240838671</v>
      </c>
      <c r="G98" s="177">
        <f t="shared" si="50"/>
        <v>-96.953576014048792</v>
      </c>
      <c r="H98" s="177">
        <f t="shared" si="50"/>
        <v>26.711495345909441</v>
      </c>
      <c r="I98" s="177">
        <f t="shared" si="50"/>
        <v>-219.63933374124872</v>
      </c>
      <c r="J98" s="177">
        <f t="shared" si="51"/>
        <v>99.809829176653693</v>
      </c>
      <c r="K98" s="177">
        <f t="shared" si="52"/>
        <v>-163.16232389668559</v>
      </c>
      <c r="L98" s="177">
        <f t="shared" si="52"/>
        <v>-69.908165466180208</v>
      </c>
      <c r="M98" s="177">
        <f t="shared" si="52"/>
        <v>-352.89999392745813</v>
      </c>
      <c r="N98" s="177">
        <f t="shared" si="52"/>
        <v>-83.187608220690478</v>
      </c>
      <c r="O98" s="177">
        <f t="shared" si="52"/>
        <v>-436.08760214814902</v>
      </c>
      <c r="P98" s="26"/>
      <c r="Q98" s="14" t="s">
        <v>20</v>
      </c>
      <c r="R98" s="157">
        <f t="shared" si="57"/>
        <v>-1247.538898971422</v>
      </c>
      <c r="S98" s="157">
        <f t="shared" si="57"/>
        <v>-271.84003247583223</v>
      </c>
      <c r="T98" s="157">
        <f t="shared" si="57"/>
        <v>-1519.3789314472551</v>
      </c>
      <c r="U98" s="157">
        <f t="shared" si="57"/>
        <v>-688.69727544961779</v>
      </c>
      <c r="V98" s="157">
        <f t="shared" si="57"/>
        <v>-116.21836385478343</v>
      </c>
      <c r="W98" s="157">
        <f t="shared" si="57"/>
        <v>-0.22083271652587655</v>
      </c>
      <c r="X98" s="157">
        <f t="shared" si="57"/>
        <v>-2324.5154034681809</v>
      </c>
      <c r="Y98" s="157">
        <f t="shared" si="57"/>
        <v>43.865248642824888</v>
      </c>
      <c r="Z98" s="157">
        <f t="shared" si="57"/>
        <v>-2280.6501548253564</v>
      </c>
      <c r="AA98" s="26"/>
      <c r="AB98" s="31" t="s">
        <v>20</v>
      </c>
      <c r="AC98" s="157">
        <f t="shared" si="54"/>
        <v>-2716.7377569735054</v>
      </c>
      <c r="AD98" s="44">
        <f t="shared" si="55"/>
        <v>-2208.2970396133987</v>
      </c>
    </row>
    <row r="99" spans="1:32">
      <c r="A99" s="31"/>
      <c r="B99" s="31" t="s">
        <v>60</v>
      </c>
      <c r="C99" s="204">
        <f t="shared" si="49"/>
        <v>0</v>
      </c>
      <c r="D99" s="157">
        <f t="shared" si="56"/>
        <v>-274.62069237885157</v>
      </c>
      <c r="E99" s="157">
        <f t="shared" si="50"/>
        <v>-130.05702519080126</v>
      </c>
      <c r="F99" s="157">
        <f t="shared" si="50"/>
        <v>-67.133910118038912</v>
      </c>
      <c r="G99" s="157">
        <f t="shared" si="50"/>
        <v>-47.087034018896645</v>
      </c>
      <c r="H99" s="157">
        <f t="shared" si="50"/>
        <v>-54.142795004568256</v>
      </c>
      <c r="I99" s="157">
        <f t="shared" si="50"/>
        <v>-573.04145671115748</v>
      </c>
      <c r="J99" s="157">
        <f t="shared" si="51"/>
        <v>-619.14105278492843</v>
      </c>
      <c r="K99" s="157">
        <f t="shared" si="52"/>
        <v>-41.991596773381275</v>
      </c>
      <c r="L99" s="157">
        <f t="shared" si="52"/>
        <v>-67.379831118159245</v>
      </c>
      <c r="M99" s="157">
        <f t="shared" si="52"/>
        <v>-1301.5539373876254</v>
      </c>
      <c r="N99" s="157">
        <f t="shared" si="52"/>
        <v>40.702779576210069</v>
      </c>
      <c r="O99" s="157">
        <f t="shared" si="52"/>
        <v>-1260.8511578114167</v>
      </c>
      <c r="P99" s="14"/>
      <c r="Q99" s="14" t="s">
        <v>60</v>
      </c>
      <c r="R99" s="157">
        <f t="shared" si="57"/>
        <v>645.33669740807431</v>
      </c>
      <c r="S99" s="157">
        <f t="shared" si="57"/>
        <v>247.38857363749639</v>
      </c>
      <c r="T99" s="157">
        <f t="shared" si="57"/>
        <v>892.72527104556912</v>
      </c>
      <c r="U99" s="157">
        <f t="shared" si="57"/>
        <v>509.73657927410295</v>
      </c>
      <c r="V99" s="157">
        <f t="shared" si="57"/>
        <v>51.698922686884657</v>
      </c>
      <c r="W99" s="157">
        <f t="shared" si="57"/>
        <v>0.24637580060300479</v>
      </c>
      <c r="X99" s="157">
        <f t="shared" si="57"/>
        <v>1454.4071488071631</v>
      </c>
      <c r="Y99" s="157">
        <f t="shared" si="57"/>
        <v>-74.798350418350665</v>
      </c>
      <c r="Z99" s="157">
        <f t="shared" si="57"/>
        <v>1379.608798388811</v>
      </c>
      <c r="AA99" s="14"/>
      <c r="AB99" s="31" t="s">
        <v>60</v>
      </c>
      <c r="AC99" s="157">
        <f t="shared" si="54"/>
        <v>118.75764057739434</v>
      </c>
      <c r="AD99" s="44">
        <f t="shared" si="55"/>
        <v>1402.708226120275</v>
      </c>
    </row>
    <row r="100" spans="1:32">
      <c r="A100" s="31"/>
      <c r="B100" s="31" t="s">
        <v>61</v>
      </c>
      <c r="C100" s="204">
        <f t="shared" si="49"/>
        <v>0</v>
      </c>
      <c r="D100" s="157">
        <f t="shared" si="56"/>
        <v>1111.0314451566123</v>
      </c>
      <c r="E100" s="157">
        <f t="shared" si="50"/>
        <v>-43.808654820059473</v>
      </c>
      <c r="F100" s="157">
        <f t="shared" si="50"/>
        <v>-61.93430722973298</v>
      </c>
      <c r="G100" s="157">
        <f t="shared" si="50"/>
        <v>-84.817762161969526</v>
      </c>
      <c r="H100" s="157">
        <f t="shared" si="50"/>
        <v>60.591088636028132</v>
      </c>
      <c r="I100" s="157">
        <f t="shared" si="50"/>
        <v>981.06180958087816</v>
      </c>
      <c r="J100" s="157">
        <f t="shared" si="51"/>
        <v>319.72888877662945</v>
      </c>
      <c r="K100" s="157">
        <f t="shared" si="52"/>
        <v>55.047804515293819</v>
      </c>
      <c r="L100" s="157">
        <f t="shared" si="52"/>
        <v>-169.33760509116888</v>
      </c>
      <c r="M100" s="157">
        <f t="shared" si="52"/>
        <v>1186.500897781636</v>
      </c>
      <c r="N100" s="157">
        <f t="shared" si="52"/>
        <v>-594.13209585645916</v>
      </c>
      <c r="O100" s="157">
        <f t="shared" si="52"/>
        <v>592.36880192517674</v>
      </c>
      <c r="P100" s="14"/>
      <c r="Q100" s="14" t="s">
        <v>61</v>
      </c>
      <c r="R100" s="157">
        <f t="shared" si="57"/>
        <v>-472.50218721621241</v>
      </c>
      <c r="S100" s="157">
        <f t="shared" si="57"/>
        <v>-192.27714957734815</v>
      </c>
      <c r="T100" s="157">
        <f t="shared" si="57"/>
        <v>-664.77933679356192</v>
      </c>
      <c r="U100" s="157">
        <f t="shared" si="57"/>
        <v>-659.64546883951152</v>
      </c>
      <c r="V100" s="157">
        <f t="shared" si="57"/>
        <v>30.219637275830053</v>
      </c>
      <c r="W100" s="157">
        <f t="shared" si="57"/>
        <v>-0.10251914344996749</v>
      </c>
      <c r="X100" s="157">
        <f t="shared" si="57"/>
        <v>-1294.3076875006927</v>
      </c>
      <c r="Y100" s="157">
        <f t="shared" si="57"/>
        <v>428.66921177733803</v>
      </c>
      <c r="Z100" s="157">
        <f t="shared" si="57"/>
        <v>-865.63847572335362</v>
      </c>
      <c r="AA100" s="14"/>
      <c r="AB100" s="31" t="s">
        <v>61</v>
      </c>
      <c r="AC100" s="157">
        <f t="shared" si="54"/>
        <v>-273.26967379817688</v>
      </c>
      <c r="AD100" s="44">
        <f t="shared" si="55"/>
        <v>-1324.5273247765235</v>
      </c>
    </row>
    <row r="101" spans="1:32">
      <c r="A101" s="31"/>
      <c r="B101" s="31" t="s">
        <v>62</v>
      </c>
      <c r="C101" s="204">
        <f t="shared" si="49"/>
        <v>0</v>
      </c>
      <c r="D101" s="157">
        <f t="shared" si="56"/>
        <v>2015.0524125840047</v>
      </c>
      <c r="E101" s="157">
        <f t="shared" si="50"/>
        <v>-14.824607513496176</v>
      </c>
      <c r="F101" s="157">
        <f t="shared" si="50"/>
        <v>88.529441915382421</v>
      </c>
      <c r="G101" s="157">
        <f t="shared" si="50"/>
        <v>-83.135015642439953</v>
      </c>
      <c r="H101" s="157">
        <f t="shared" si="50"/>
        <v>103.69697162211037</v>
      </c>
      <c r="I101" s="157">
        <f t="shared" si="50"/>
        <v>2109.3192029655597</v>
      </c>
      <c r="J101" s="157">
        <f t="shared" si="51"/>
        <v>1112.8958866502735</v>
      </c>
      <c r="K101" s="157">
        <f t="shared" si="52"/>
        <v>-75.223666159288285</v>
      </c>
      <c r="L101" s="157">
        <f t="shared" si="52"/>
        <v>-36.564874701369831</v>
      </c>
      <c r="M101" s="157">
        <f t="shared" si="52"/>
        <v>3110.4265487551784</v>
      </c>
      <c r="N101" s="157">
        <f t="shared" si="52"/>
        <v>-428.91126662509487</v>
      </c>
      <c r="O101" s="157">
        <f t="shared" si="52"/>
        <v>2681.5152821300835</v>
      </c>
      <c r="P101" s="14"/>
      <c r="Q101" s="14" t="s">
        <v>62</v>
      </c>
      <c r="R101" s="157">
        <f t="shared" si="57"/>
        <v>-778.56023122549823</v>
      </c>
      <c r="S101" s="157">
        <f t="shared" si="57"/>
        <v>-377.11079387504196</v>
      </c>
      <c r="T101" s="157">
        <f t="shared" si="57"/>
        <v>-1155.6710251005416</v>
      </c>
      <c r="U101" s="157">
        <f t="shared" si="57"/>
        <v>-935.03755649080722</v>
      </c>
      <c r="V101" s="157">
        <f t="shared" si="57"/>
        <v>1.2964319660670753</v>
      </c>
      <c r="W101" s="157">
        <f t="shared" si="57"/>
        <v>-0.28811116736397935</v>
      </c>
      <c r="X101" s="157">
        <f t="shared" si="57"/>
        <v>-2089.7002607926452</v>
      </c>
      <c r="Y101" s="157">
        <f t="shared" si="57"/>
        <v>379.01560138953647</v>
      </c>
      <c r="Z101" s="157">
        <f t="shared" si="57"/>
        <v>-1710.6846594031085</v>
      </c>
      <c r="AA101" s="14"/>
      <c r="AB101" s="31" t="s">
        <v>62</v>
      </c>
      <c r="AC101" s="157">
        <f t="shared" si="54"/>
        <v>970.83062272697498</v>
      </c>
      <c r="AD101" s="44">
        <f t="shared" si="55"/>
        <v>-2090.9966927587129</v>
      </c>
    </row>
    <row r="102" spans="1:32">
      <c r="A102" s="31"/>
      <c r="B102" s="31" t="s">
        <v>63</v>
      </c>
      <c r="C102" s="204">
        <f t="shared" si="49"/>
        <v>0</v>
      </c>
      <c r="D102" s="157">
        <f t="shared" si="56"/>
        <v>326.60729512775242</v>
      </c>
      <c r="E102" s="157">
        <f>E77-E$79</f>
        <v>-23.770454474561234</v>
      </c>
      <c r="F102" s="157">
        <f>F77-F$79</f>
        <v>-22.522625609648912</v>
      </c>
      <c r="G102" s="157">
        <f>G77-G$79</f>
        <v>-73.060686881300882</v>
      </c>
      <c r="H102" s="157">
        <f>H77-H$79</f>
        <v>116.53644765006084</v>
      </c>
      <c r="I102" s="157">
        <f>I77-I$79</f>
        <v>323.78997581230033</v>
      </c>
      <c r="J102" s="157">
        <f t="shared" si="51"/>
        <v>34.971722618672175</v>
      </c>
      <c r="K102" s="157">
        <f>K77-K$79</f>
        <v>26.071872197008133</v>
      </c>
      <c r="L102" s="157">
        <f>L77-L$79</f>
        <v>77.900895865056441</v>
      </c>
      <c r="M102" s="157">
        <f>M77-M$79</f>
        <v>462.73446649303878</v>
      </c>
      <c r="N102" s="157">
        <f>N77-N$79</f>
        <v>7.3909696907941793</v>
      </c>
      <c r="O102" s="157">
        <f>O77-O$79</f>
        <v>470.12543618383279</v>
      </c>
      <c r="P102" s="14"/>
      <c r="Q102" s="14" t="s">
        <v>63</v>
      </c>
      <c r="R102" s="157">
        <f t="shared" si="57"/>
        <v>-14.04456879703821</v>
      </c>
      <c r="S102" s="157">
        <f t="shared" si="57"/>
        <v>-9.9066065611880276</v>
      </c>
      <c r="T102" s="157">
        <f t="shared" si="57"/>
        <v>-23.951175358226465</v>
      </c>
      <c r="U102" s="157">
        <f t="shared" si="57"/>
        <v>-150.82428702927837</v>
      </c>
      <c r="V102" s="157">
        <f t="shared" si="57"/>
        <v>-34.854341877732168</v>
      </c>
      <c r="W102" s="157">
        <f t="shared" si="57"/>
        <v>2.244896384996764E-2</v>
      </c>
      <c r="X102" s="157">
        <f t="shared" si="57"/>
        <v>-209.6073553013839</v>
      </c>
      <c r="Y102" s="157">
        <f t="shared" si="57"/>
        <v>-48.477698502095947</v>
      </c>
      <c r="Z102" s="157">
        <f t="shared" si="57"/>
        <v>-258.08505380348015</v>
      </c>
      <c r="AA102" s="14"/>
      <c r="AB102" s="31" t="s">
        <v>63</v>
      </c>
      <c r="AC102" s="157">
        <f t="shared" si="54"/>
        <v>212.04038238035264</v>
      </c>
      <c r="AD102" s="44">
        <f t="shared" si="55"/>
        <v>-174.75301342365486</v>
      </c>
    </row>
    <row r="103" spans="1:32">
      <c r="A103" s="31"/>
      <c r="B103" s="31" t="s">
        <v>64</v>
      </c>
      <c r="C103" s="204">
        <f t="shared" ref="C103:I104" si="58">C78-C$79</f>
        <v>0</v>
      </c>
      <c r="D103" s="157">
        <f t="shared" si="58"/>
        <v>1967.0713776109051</v>
      </c>
      <c r="E103" s="157">
        <f t="shared" si="58"/>
        <v>-518.10994663235431</v>
      </c>
      <c r="F103" s="157">
        <f t="shared" si="58"/>
        <v>-17.125721694889023</v>
      </c>
      <c r="G103" s="157">
        <f t="shared" si="58"/>
        <v>319.85118891496597</v>
      </c>
      <c r="H103" s="157">
        <f t="shared" si="58"/>
        <v>492.32752503831648</v>
      </c>
      <c r="I103" s="157">
        <f t="shared" si="58"/>
        <v>2244.0144232369444</v>
      </c>
      <c r="J103" s="157">
        <f t="shared" ref="J103:O104" si="59">J78-J$79</f>
        <v>-1029.7925406506015</v>
      </c>
      <c r="K103" s="157">
        <f t="shared" si="59"/>
        <v>216.4323583965537</v>
      </c>
      <c r="L103" s="157">
        <f t="shared" si="59"/>
        <v>449.51629105574352</v>
      </c>
      <c r="M103" s="157">
        <f t="shared" si="59"/>
        <v>1880.1705320386409</v>
      </c>
      <c r="N103" s="157">
        <f t="shared" si="59"/>
        <v>-52.333142975266789</v>
      </c>
      <c r="O103" s="157">
        <f t="shared" si="59"/>
        <v>1827.8373890633738</v>
      </c>
      <c r="P103" s="14"/>
      <c r="Q103" s="14" t="s">
        <v>64</v>
      </c>
      <c r="R103" s="157">
        <f t="shared" ref="R103:Z104" si="60">R$79-R78</f>
        <v>516.55808951162453</v>
      </c>
      <c r="S103" s="157">
        <f t="shared" si="60"/>
        <v>238.03271821324597</v>
      </c>
      <c r="T103" s="157">
        <f t="shared" si="60"/>
        <v>754.59080772486959</v>
      </c>
      <c r="U103" s="157">
        <f t="shared" si="60"/>
        <v>504.12965638816013</v>
      </c>
      <c r="V103" s="157">
        <f t="shared" si="60"/>
        <v>364.29558504980025</v>
      </c>
      <c r="W103" s="157">
        <f t="shared" si="60"/>
        <v>0.32670323886907227</v>
      </c>
      <c r="X103" s="157">
        <f t="shared" si="60"/>
        <v>1623.3427524017006</v>
      </c>
      <c r="Y103" s="157">
        <f t="shared" si="60"/>
        <v>427.63411673041333</v>
      </c>
      <c r="Z103" s="157">
        <f t="shared" si="60"/>
        <v>2050.9768691321151</v>
      </c>
      <c r="AA103" s="14"/>
      <c r="AB103" s="31" t="s">
        <v>64</v>
      </c>
      <c r="AC103" s="165">
        <f t="shared" si="54"/>
        <v>3878.8142581954889</v>
      </c>
      <c r="AD103" s="213">
        <f t="shared" si="55"/>
        <v>1259.0471673518987</v>
      </c>
    </row>
    <row r="104" spans="1:32" ht="13.8" thickBot="1">
      <c r="A104" s="31"/>
      <c r="B104" s="192" t="s">
        <v>84</v>
      </c>
      <c r="C104" s="206">
        <f t="shared" si="58"/>
        <v>0</v>
      </c>
      <c r="D104" s="172">
        <f t="shared" si="58"/>
        <v>0</v>
      </c>
      <c r="E104" s="172">
        <f t="shared" si="58"/>
        <v>0</v>
      </c>
      <c r="F104" s="172">
        <f t="shared" si="58"/>
        <v>0</v>
      </c>
      <c r="G104" s="172">
        <f t="shared" si="58"/>
        <v>0</v>
      </c>
      <c r="H104" s="172">
        <f t="shared" si="58"/>
        <v>0</v>
      </c>
      <c r="I104" s="172">
        <f t="shared" si="58"/>
        <v>0</v>
      </c>
      <c r="J104" s="172">
        <f t="shared" si="59"/>
        <v>0</v>
      </c>
      <c r="K104" s="172">
        <f t="shared" si="59"/>
        <v>0</v>
      </c>
      <c r="L104" s="172">
        <f t="shared" si="59"/>
        <v>0</v>
      </c>
      <c r="M104" s="172">
        <f t="shared" si="59"/>
        <v>0</v>
      </c>
      <c r="N104" s="172">
        <f t="shared" si="59"/>
        <v>0</v>
      </c>
      <c r="O104" s="172">
        <f t="shared" si="59"/>
        <v>0</v>
      </c>
      <c r="P104" s="14"/>
      <c r="Q104" s="191" t="s">
        <v>84</v>
      </c>
      <c r="R104" s="172">
        <f t="shared" si="60"/>
        <v>0</v>
      </c>
      <c r="S104" s="172">
        <f t="shared" si="60"/>
        <v>0</v>
      </c>
      <c r="T104" s="172">
        <f t="shared" si="60"/>
        <v>0</v>
      </c>
      <c r="U104" s="172">
        <f t="shared" si="60"/>
        <v>0</v>
      </c>
      <c r="V104" s="172">
        <f t="shared" si="60"/>
        <v>0</v>
      </c>
      <c r="W104" s="172">
        <f t="shared" si="60"/>
        <v>0</v>
      </c>
      <c r="X104" s="172">
        <f t="shared" si="60"/>
        <v>0</v>
      </c>
      <c r="Y104" s="172">
        <f t="shared" si="60"/>
        <v>0</v>
      </c>
      <c r="Z104" s="172">
        <f t="shared" si="60"/>
        <v>0</v>
      </c>
      <c r="AA104" s="14"/>
      <c r="AB104" s="192" t="s">
        <v>84</v>
      </c>
      <c r="AC104" s="172">
        <f t="shared" si="54"/>
        <v>0</v>
      </c>
      <c r="AD104" s="214">
        <f t="shared" si="55"/>
        <v>0</v>
      </c>
    </row>
    <row r="105" spans="1:32">
      <c r="P105" s="31"/>
      <c r="T105" s="31"/>
      <c r="U105" s="31"/>
      <c r="V105" s="31"/>
      <c r="W105" s="31"/>
      <c r="X105" s="31"/>
      <c r="Y105" s="31"/>
      <c r="Z105" s="31"/>
      <c r="AA105" s="31"/>
    </row>
    <row r="106" spans="1:32">
      <c r="P106" s="31"/>
    </row>
    <row r="107" spans="1:32">
      <c r="P107" s="31"/>
    </row>
    <row r="108" spans="1:32">
      <c r="B108" s="176" t="s">
        <v>112</v>
      </c>
      <c r="P108" s="31"/>
      <c r="Q108" s="176" t="s">
        <v>112</v>
      </c>
    </row>
    <row r="109" spans="1:32">
      <c r="P109" s="31"/>
      <c r="AB109" s="34"/>
      <c r="AD109" s="363" t="s">
        <v>1115</v>
      </c>
    </row>
    <row r="110" spans="1:32" s="34" customFormat="1" ht="40.1" thickBot="1">
      <c r="B110" s="171"/>
      <c r="C110" s="159" t="s">
        <v>39</v>
      </c>
      <c r="D110" s="185" t="s">
        <v>1005</v>
      </c>
      <c r="E110" s="195" t="s">
        <v>26</v>
      </c>
      <c r="F110" s="160" t="s">
        <v>1</v>
      </c>
      <c r="G110" s="160" t="s">
        <v>55</v>
      </c>
      <c r="H110" s="160" t="s">
        <v>22</v>
      </c>
      <c r="I110" s="187" t="s">
        <v>79</v>
      </c>
      <c r="J110" s="161" t="s">
        <v>68</v>
      </c>
      <c r="K110" s="162" t="s">
        <v>65</v>
      </c>
      <c r="L110" s="163" t="s">
        <v>570</v>
      </c>
      <c r="M110" s="163" t="s">
        <v>954</v>
      </c>
      <c r="N110" s="160" t="s">
        <v>42</v>
      </c>
      <c r="O110" s="162" t="s">
        <v>27</v>
      </c>
      <c r="P110" s="188"/>
      <c r="Q110" s="171"/>
      <c r="R110" s="171" t="s">
        <v>87</v>
      </c>
      <c r="S110" s="160" t="s">
        <v>109</v>
      </c>
      <c r="T110" s="162" t="s">
        <v>86</v>
      </c>
      <c r="U110" s="162" t="s">
        <v>102</v>
      </c>
      <c r="V110" s="162" t="s">
        <v>103</v>
      </c>
      <c r="W110" s="162" t="s">
        <v>105</v>
      </c>
      <c r="X110" s="198" t="s">
        <v>106</v>
      </c>
      <c r="Y110" s="160" t="s">
        <v>107</v>
      </c>
      <c r="Z110" s="162" t="s">
        <v>108</v>
      </c>
      <c r="AA110" s="188"/>
      <c r="AB110" s="171"/>
      <c r="AC110" s="235" t="s">
        <v>1154</v>
      </c>
      <c r="AD110" s="372" t="s">
        <v>1153</v>
      </c>
      <c r="AE110" s="212" t="s">
        <v>1112</v>
      </c>
      <c r="AF110" s="360" t="s">
        <v>1113</v>
      </c>
    </row>
    <row r="111" spans="1:32">
      <c r="B111" s="29" t="s">
        <v>9</v>
      </c>
      <c r="C111" s="207">
        <f t="shared" ref="C111:C128" si="61">C86*$C7/1000</f>
        <v>0</v>
      </c>
      <c r="D111" s="157">
        <f t="shared" ref="D111:O111" si="62">D86*$C7/1000000</f>
        <v>-2160.1901922797024</v>
      </c>
      <c r="E111" s="157">
        <f t="shared" si="62"/>
        <v>-946.66931379235496</v>
      </c>
      <c r="F111" s="157">
        <f t="shared" si="62"/>
        <v>-251.70545680701849</v>
      </c>
      <c r="G111" s="157">
        <f t="shared" si="62"/>
        <v>901.89582792746069</v>
      </c>
      <c r="H111" s="157">
        <f t="shared" si="62"/>
        <v>-294.20848593381464</v>
      </c>
      <c r="I111" s="157">
        <f t="shared" si="62"/>
        <v>-2750.8776208854383</v>
      </c>
      <c r="J111" s="157">
        <f t="shared" si="62"/>
        <v>-4013.8526311601413</v>
      </c>
      <c r="K111" s="157">
        <f t="shared" si="62"/>
        <v>-81.158803451127</v>
      </c>
      <c r="L111" s="157">
        <f t="shared" si="62"/>
        <v>-139.92082146252005</v>
      </c>
      <c r="M111" s="157">
        <f t="shared" si="62"/>
        <v>-6985.8098769591979</v>
      </c>
      <c r="N111" s="157">
        <f t="shared" si="62"/>
        <v>333.85656138780001</v>
      </c>
      <c r="O111" s="157">
        <f t="shared" si="62"/>
        <v>-6651.9533155714034</v>
      </c>
      <c r="P111" s="157"/>
      <c r="Q111" s="14" t="s">
        <v>9</v>
      </c>
      <c r="R111" s="157">
        <f t="shared" ref="R111:Z111" si="63">R86*$C7/1000000</f>
        <v>5999.9225521166372</v>
      </c>
      <c r="S111" s="157">
        <f t="shared" si="63"/>
        <v>1529.2396699361298</v>
      </c>
      <c r="T111" s="157">
        <f t="shared" si="63"/>
        <v>7529.1622220527588</v>
      </c>
      <c r="U111" s="157">
        <f t="shared" si="63"/>
        <v>5160.242816334965</v>
      </c>
      <c r="V111" s="157">
        <f t="shared" si="63"/>
        <v>733.5173431935151</v>
      </c>
      <c r="W111" s="157">
        <f t="shared" si="63"/>
        <v>1.574500305565294</v>
      </c>
      <c r="X111" s="157">
        <f t="shared" si="63"/>
        <v>13424.496881886809</v>
      </c>
      <c r="Y111" s="157">
        <f t="shared" si="63"/>
        <v>-618.73146460978921</v>
      </c>
      <c r="Z111" s="157">
        <f t="shared" si="63"/>
        <v>12805.765417277025</v>
      </c>
      <c r="AA111" s="14"/>
      <c r="AB111" s="31" t="s">
        <v>9</v>
      </c>
      <c r="AC111" s="157">
        <f t="shared" ref="AC111:AC128" si="64">O111+Z111</f>
        <v>6153.8121017056219</v>
      </c>
      <c r="AD111" s="327">
        <v>138703847.84129798</v>
      </c>
      <c r="AE111" s="37">
        <f>AC111/AD111</f>
        <v>4.4366556497745355E-5</v>
      </c>
      <c r="AF111" s="157">
        <f t="shared" ref="AF111:AF129" si="65">T111+U111+W111</f>
        <v>12690.979538693289</v>
      </c>
    </row>
    <row r="112" spans="1:32">
      <c r="B112" s="29" t="s">
        <v>10</v>
      </c>
      <c r="C112" s="207">
        <f t="shared" si="61"/>
        <v>0</v>
      </c>
      <c r="D112" s="157">
        <f t="shared" ref="D112:O112" si="66">D87*$C8/1000000</f>
        <v>201.10233532371473</v>
      </c>
      <c r="E112" s="157">
        <f t="shared" si="66"/>
        <v>98.439308300638757</v>
      </c>
      <c r="F112" s="157">
        <f t="shared" si="66"/>
        <v>132.04122155077448</v>
      </c>
      <c r="G112" s="157">
        <f t="shared" si="66"/>
        <v>-36.346192053823607</v>
      </c>
      <c r="H112" s="157">
        <f t="shared" si="66"/>
        <v>54.942413028900958</v>
      </c>
      <c r="I112" s="157">
        <f t="shared" si="66"/>
        <v>450.17908615020411</v>
      </c>
      <c r="J112" s="157">
        <f t="shared" si="66"/>
        <v>568.11787394379053</v>
      </c>
      <c r="K112" s="157">
        <f t="shared" si="66"/>
        <v>332.71391509109139</v>
      </c>
      <c r="L112" s="157">
        <f t="shared" si="66"/>
        <v>123.67710286654801</v>
      </c>
      <c r="M112" s="157">
        <f t="shared" si="66"/>
        <v>1474.6879780516413</v>
      </c>
      <c r="N112" s="157">
        <f t="shared" si="66"/>
        <v>42.960481801802878</v>
      </c>
      <c r="O112" s="157">
        <f t="shared" si="66"/>
        <v>1517.6484598534412</v>
      </c>
      <c r="P112" s="157"/>
      <c r="Q112" s="14" t="s">
        <v>10</v>
      </c>
      <c r="R112" s="157">
        <f t="shared" ref="R112:Z112" si="67">R87*$C8/1000000</f>
        <v>-249.03851268212802</v>
      </c>
      <c r="S112" s="157">
        <f t="shared" si="67"/>
        <v>-84.907919867144599</v>
      </c>
      <c r="T112" s="157">
        <f t="shared" si="67"/>
        <v>-333.94643254927416</v>
      </c>
      <c r="U112" s="157">
        <f t="shared" si="67"/>
        <v>-289.17297722547312</v>
      </c>
      <c r="V112" s="157">
        <f t="shared" si="67"/>
        <v>-33.876442434459413</v>
      </c>
      <c r="W112" s="157">
        <f t="shared" si="67"/>
        <v>-4.2767592704872494E-2</v>
      </c>
      <c r="X112" s="157">
        <f t="shared" si="67"/>
        <v>-657.03861980190948</v>
      </c>
      <c r="Y112" s="157">
        <f t="shared" si="67"/>
        <v>-97.474978503342285</v>
      </c>
      <c r="Z112" s="157">
        <f t="shared" si="67"/>
        <v>-754.51359830525166</v>
      </c>
      <c r="AA112" s="14"/>
      <c r="AB112" s="31" t="s">
        <v>10</v>
      </c>
      <c r="AC112" s="157">
        <f t="shared" si="64"/>
        <v>763.13486154818952</v>
      </c>
      <c r="AD112" s="327">
        <v>32686519.640874375</v>
      </c>
      <c r="AE112" s="37">
        <f t="shared" ref="AE112:AE129" si="68">AC112/AD112</f>
        <v>2.3347082220215704E-5</v>
      </c>
      <c r="AF112" s="157">
        <f t="shared" si="65"/>
        <v>-623.16217736745216</v>
      </c>
    </row>
    <row r="113" spans="2:33">
      <c r="B113" s="29" t="s">
        <v>11</v>
      </c>
      <c r="C113" s="207">
        <f t="shared" si="61"/>
        <v>0</v>
      </c>
      <c r="D113" s="157">
        <f t="shared" ref="D113:O113" si="69">D88*$C9/1000000</f>
        <v>136.18027721673056</v>
      </c>
      <c r="E113" s="157">
        <f t="shared" si="69"/>
        <v>-52.938085156695536</v>
      </c>
      <c r="F113" s="157">
        <f t="shared" si="69"/>
        <v>104.88221472207672</v>
      </c>
      <c r="G113" s="157">
        <f t="shared" si="69"/>
        <v>34.942367943970169</v>
      </c>
      <c r="H113" s="157">
        <f t="shared" si="69"/>
        <v>-15.584131067094026</v>
      </c>
      <c r="I113" s="157">
        <f t="shared" si="69"/>
        <v>207.48264365898675</v>
      </c>
      <c r="J113" s="157">
        <f t="shared" si="69"/>
        <v>1835.6218132731192</v>
      </c>
      <c r="K113" s="157">
        <f t="shared" si="69"/>
        <v>-30.200868554696171</v>
      </c>
      <c r="L113" s="157">
        <f t="shared" si="69"/>
        <v>253.84417256337261</v>
      </c>
      <c r="M113" s="157">
        <f t="shared" si="69"/>
        <v>2266.7477609407856</v>
      </c>
      <c r="N113" s="157">
        <f t="shared" si="69"/>
        <v>132.76698026326028</v>
      </c>
      <c r="O113" s="157">
        <f t="shared" si="69"/>
        <v>2399.5147412040455</v>
      </c>
      <c r="P113" s="157"/>
      <c r="Q113" s="14" t="s">
        <v>11</v>
      </c>
      <c r="R113" s="157">
        <f t="shared" ref="R113:Z113" si="70">R88*$C9/1000000</f>
        <v>-122.63071175606358</v>
      </c>
      <c r="S113" s="157">
        <f t="shared" si="70"/>
        <v>-4.7132728137675466</v>
      </c>
      <c r="T113" s="157">
        <f t="shared" si="70"/>
        <v>-127.34398456983281</v>
      </c>
      <c r="U113" s="157">
        <f t="shared" si="70"/>
        <v>-69.130378990596498</v>
      </c>
      <c r="V113" s="157">
        <f t="shared" si="70"/>
        <v>26.582336731919501</v>
      </c>
      <c r="W113" s="157">
        <f t="shared" si="70"/>
        <v>-3.1696177995346742E-2</v>
      </c>
      <c r="X113" s="157">
        <f t="shared" si="70"/>
        <v>-169.92372300650158</v>
      </c>
      <c r="Y113" s="157">
        <f t="shared" si="70"/>
        <v>-169.35110670764669</v>
      </c>
      <c r="Z113" s="157">
        <f t="shared" si="70"/>
        <v>-339.27482971414884</v>
      </c>
      <c r="AA113" s="14"/>
      <c r="AB113" s="31" t="s">
        <v>11</v>
      </c>
      <c r="AC113" s="157">
        <f t="shared" si="64"/>
        <v>2060.2399114898967</v>
      </c>
      <c r="AD113" s="327">
        <v>20737027.185294982</v>
      </c>
      <c r="AE113" s="37">
        <f t="shared" si="68"/>
        <v>9.9350784135097812E-5</v>
      </c>
      <c r="AF113" s="157">
        <f t="shared" si="65"/>
        <v>-196.50605973842465</v>
      </c>
    </row>
    <row r="114" spans="2:33">
      <c r="B114" s="29" t="s">
        <v>31</v>
      </c>
      <c r="C114" s="207">
        <f t="shared" si="61"/>
        <v>0</v>
      </c>
      <c r="D114" s="157">
        <f t="shared" ref="D114:O114" si="71">D89*$C10/1000000</f>
        <v>-112.51416209562896</v>
      </c>
      <c r="E114" s="157">
        <f t="shared" si="71"/>
        <v>65.047837065319342</v>
      </c>
      <c r="F114" s="157">
        <f t="shared" si="71"/>
        <v>-124.24011850359213</v>
      </c>
      <c r="G114" s="157">
        <f t="shared" si="71"/>
        <v>128.32938792219122</v>
      </c>
      <c r="H114" s="157">
        <f t="shared" si="71"/>
        <v>-8.5370726583822627</v>
      </c>
      <c r="I114" s="157">
        <f t="shared" si="71"/>
        <v>-51.914128270094267</v>
      </c>
      <c r="J114" s="157">
        <f t="shared" si="71"/>
        <v>-769.36631724705524</v>
      </c>
      <c r="K114" s="157">
        <f t="shared" si="71"/>
        <v>-162.68274160732199</v>
      </c>
      <c r="L114" s="157">
        <f t="shared" si="71"/>
        <v>-143.91154331457716</v>
      </c>
      <c r="M114" s="157">
        <f t="shared" si="71"/>
        <v>-1127.8747304390458</v>
      </c>
      <c r="N114" s="157">
        <f t="shared" si="71"/>
        <v>121.13319495245436</v>
      </c>
      <c r="O114" s="157">
        <f t="shared" si="71"/>
        <v>-1006.7415354865913</v>
      </c>
      <c r="P114" s="157"/>
      <c r="Q114" s="14" t="s">
        <v>31</v>
      </c>
      <c r="R114" s="157">
        <f t="shared" ref="R114:Z114" si="72">R89*$C10/1000000</f>
        <v>92.347140073816405</v>
      </c>
      <c r="S114" s="157">
        <f t="shared" si="72"/>
        <v>-121.58610123352868</v>
      </c>
      <c r="T114" s="157">
        <f t="shared" si="72"/>
        <v>-29.238961159712773</v>
      </c>
      <c r="U114" s="157">
        <f t="shared" si="72"/>
        <v>-151.05595373882957</v>
      </c>
      <c r="V114" s="157">
        <f t="shared" si="72"/>
        <v>-164.61920707553978</v>
      </c>
      <c r="W114" s="157">
        <f t="shared" si="72"/>
        <v>-0.20433782366237696</v>
      </c>
      <c r="X114" s="157">
        <f t="shared" si="72"/>
        <v>-345.11845979774091</v>
      </c>
      <c r="Y114" s="157">
        <f t="shared" si="72"/>
        <v>-158.71591309386952</v>
      </c>
      <c r="Z114" s="157">
        <f t="shared" si="72"/>
        <v>-503.83437289161276</v>
      </c>
      <c r="AA114" s="14"/>
      <c r="AB114" s="31" t="s">
        <v>31</v>
      </c>
      <c r="AC114" s="157">
        <f t="shared" si="64"/>
        <v>-1510.5759083782041</v>
      </c>
      <c r="AD114" s="327">
        <v>25860182.194860686</v>
      </c>
      <c r="AE114" s="37">
        <f t="shared" si="68"/>
        <v>-5.8413196666433692E-5</v>
      </c>
      <c r="AF114" s="157">
        <f t="shared" si="65"/>
        <v>-180.49925272220472</v>
      </c>
      <c r="AG114" s="371"/>
    </row>
    <row r="115" spans="2:33">
      <c r="B115" s="29" t="s">
        <v>12</v>
      </c>
      <c r="C115" s="207">
        <f t="shared" si="61"/>
        <v>0</v>
      </c>
      <c r="D115" s="157">
        <f t="shared" ref="D115:O115" si="73">D90*$C11/1000000</f>
        <v>-53.516839584152805</v>
      </c>
      <c r="E115" s="157">
        <f t="shared" si="73"/>
        <v>307.69073883538408</v>
      </c>
      <c r="F115" s="157">
        <f t="shared" si="73"/>
        <v>-2.4106457005123367</v>
      </c>
      <c r="G115" s="157">
        <f t="shared" si="73"/>
        <v>701.73179411011802</v>
      </c>
      <c r="H115" s="157">
        <f t="shared" si="73"/>
        <v>-61.817102535762601</v>
      </c>
      <c r="I115" s="157">
        <f t="shared" si="73"/>
        <v>891.67794512507169</v>
      </c>
      <c r="J115" s="157">
        <f t="shared" si="73"/>
        <v>-1763.3766279963493</v>
      </c>
      <c r="K115" s="157">
        <f t="shared" si="73"/>
        <v>-24.993801111128612</v>
      </c>
      <c r="L115" s="157">
        <f t="shared" si="73"/>
        <v>82.247966794106006</v>
      </c>
      <c r="M115" s="157">
        <f t="shared" si="73"/>
        <v>-814.44451718829612</v>
      </c>
      <c r="N115" s="157">
        <f t="shared" si="73"/>
        <v>-49.627158226662701</v>
      </c>
      <c r="O115" s="157">
        <f t="shared" si="73"/>
        <v>-864.07167541496005</v>
      </c>
      <c r="P115" s="157"/>
      <c r="Q115" s="14" t="s">
        <v>12</v>
      </c>
      <c r="R115" s="157">
        <f t="shared" ref="R115:Z115" si="74">R90*$C11/1000000</f>
        <v>1263.6739587439697</v>
      </c>
      <c r="S115" s="157">
        <f t="shared" si="74"/>
        <v>478.28573987662861</v>
      </c>
      <c r="T115" s="157">
        <f t="shared" si="74"/>
        <v>1741.9596986205963</v>
      </c>
      <c r="U115" s="157">
        <f t="shared" si="74"/>
        <v>785.03997660658365</v>
      </c>
      <c r="V115" s="157">
        <f t="shared" si="74"/>
        <v>248.39864082697463</v>
      </c>
      <c r="W115" s="157">
        <f t="shared" si="74"/>
        <v>0.35096989433609332</v>
      </c>
      <c r="X115" s="157">
        <f t="shared" si="74"/>
        <v>2775.7492859484955</v>
      </c>
      <c r="Y115" s="157">
        <f t="shared" si="74"/>
        <v>1657.7229789165394</v>
      </c>
      <c r="Z115" s="157">
        <f t="shared" si="74"/>
        <v>4433.472264865035</v>
      </c>
      <c r="AA115" s="14"/>
      <c r="AB115" s="31" t="s">
        <v>12</v>
      </c>
      <c r="AC115" s="157">
        <f t="shared" si="64"/>
        <v>3569.4005894500751</v>
      </c>
      <c r="AD115" s="327">
        <v>40020534.599993244</v>
      </c>
      <c r="AE115" s="37">
        <f t="shared" si="68"/>
        <v>8.9189228108179185E-5</v>
      </c>
      <c r="AF115" s="157">
        <f t="shared" si="65"/>
        <v>2527.3506451215162</v>
      </c>
      <c r="AG115" s="371"/>
    </row>
    <row r="116" spans="2:33">
      <c r="B116" s="29" t="s">
        <v>13</v>
      </c>
      <c r="C116" s="207">
        <f t="shared" si="61"/>
        <v>0</v>
      </c>
      <c r="D116" s="157">
        <f t="shared" ref="D116:O116" si="75">D91*$C12/1000000</f>
        <v>231.45855973164799</v>
      </c>
      <c r="E116" s="157">
        <f t="shared" si="75"/>
        <v>-5.9802021009721633</v>
      </c>
      <c r="F116" s="157">
        <f t="shared" si="75"/>
        <v>60.798302260733983</v>
      </c>
      <c r="G116" s="157">
        <f t="shared" si="75"/>
        <v>-36.16900394247503</v>
      </c>
      <c r="H116" s="157">
        <f t="shared" si="75"/>
        <v>-8.4129609610344378</v>
      </c>
      <c r="I116" s="157">
        <f t="shared" si="75"/>
        <v>241.69469498789951</v>
      </c>
      <c r="J116" s="157">
        <f t="shared" si="75"/>
        <v>321.72906790305535</v>
      </c>
      <c r="K116" s="157">
        <f t="shared" si="75"/>
        <v>-5.3726392372681673</v>
      </c>
      <c r="L116" s="157">
        <f t="shared" si="75"/>
        <v>69.292483045919184</v>
      </c>
      <c r="M116" s="157">
        <f t="shared" si="75"/>
        <v>627.34360669960643</v>
      </c>
      <c r="N116" s="157">
        <f t="shared" si="75"/>
        <v>50.057901406582353</v>
      </c>
      <c r="O116" s="157">
        <f t="shared" si="75"/>
        <v>677.40150810618843</v>
      </c>
      <c r="P116" s="157"/>
      <c r="Q116" s="14" t="s">
        <v>13</v>
      </c>
      <c r="R116" s="157">
        <f t="shared" ref="R116:Z116" si="76">R91*$C12/1000000</f>
        <v>-18.093202662179234</v>
      </c>
      <c r="S116" s="157">
        <f t="shared" si="76"/>
        <v>-55.590802219080821</v>
      </c>
      <c r="T116" s="157">
        <f t="shared" si="76"/>
        <v>-73.684004881260321</v>
      </c>
      <c r="U116" s="157">
        <f t="shared" si="76"/>
        <v>-47.281929650512623</v>
      </c>
      <c r="V116" s="157">
        <f t="shared" si="76"/>
        <v>-22.550075549950133</v>
      </c>
      <c r="W116" s="157">
        <f t="shared" si="76"/>
        <v>-5.093648153275665E-2</v>
      </c>
      <c r="X116" s="157">
        <f t="shared" si="76"/>
        <v>-143.56694656325547</v>
      </c>
      <c r="Y116" s="157">
        <f t="shared" si="76"/>
        <v>-71.285227272086217</v>
      </c>
      <c r="Z116" s="157">
        <f t="shared" si="76"/>
        <v>-214.85217383534098</v>
      </c>
      <c r="AA116" s="14"/>
      <c r="AB116" s="31" t="s">
        <v>13</v>
      </c>
      <c r="AC116" s="157">
        <f t="shared" si="64"/>
        <v>462.54933427084745</v>
      </c>
      <c r="AD116" s="327">
        <v>11767110.639390262</v>
      </c>
      <c r="AE116" s="37">
        <f t="shared" si="68"/>
        <v>3.9308658552293126E-5</v>
      </c>
      <c r="AF116" s="157">
        <f t="shared" si="65"/>
        <v>-121.0168710133057</v>
      </c>
    </row>
    <row r="117" spans="2:33">
      <c r="B117" s="29" t="s">
        <v>14</v>
      </c>
      <c r="C117" s="207">
        <f t="shared" si="61"/>
        <v>0</v>
      </c>
      <c r="D117" s="157">
        <f t="shared" ref="D117:O117" si="77">D92*$C13/1000000</f>
        <v>667.01101043837184</v>
      </c>
      <c r="E117" s="157">
        <f t="shared" si="77"/>
        <v>-17.136260203075125</v>
      </c>
      <c r="F117" s="157">
        <f t="shared" si="77"/>
        <v>443.48108028167036</v>
      </c>
      <c r="G117" s="157">
        <f t="shared" si="77"/>
        <v>18.11805751518898</v>
      </c>
      <c r="H117" s="157">
        <f t="shared" si="77"/>
        <v>110.15350353438572</v>
      </c>
      <c r="I117" s="157">
        <f t="shared" si="77"/>
        <v>1221.6273915665386</v>
      </c>
      <c r="J117" s="157">
        <f t="shared" si="77"/>
        <v>1402.9150927255807</v>
      </c>
      <c r="K117" s="157">
        <f t="shared" si="77"/>
        <v>1098.2947156576884</v>
      </c>
      <c r="L117" s="157">
        <f t="shared" si="77"/>
        <v>354.10125751015636</v>
      </c>
      <c r="M117" s="157">
        <f t="shared" si="77"/>
        <v>4076.938457459969</v>
      </c>
      <c r="N117" s="157">
        <f t="shared" si="77"/>
        <v>31.997887061901032</v>
      </c>
      <c r="O117" s="157">
        <f t="shared" si="77"/>
        <v>4108.9363445218696</v>
      </c>
      <c r="P117" s="157"/>
      <c r="Q117" s="14" t="s">
        <v>14</v>
      </c>
      <c r="R117" s="157">
        <f t="shared" ref="R117:Z117" si="78">R92*$C13/1000000</f>
        <v>248.74866586448837</v>
      </c>
      <c r="S117" s="157">
        <f t="shared" si="78"/>
        <v>127.5172521639704</v>
      </c>
      <c r="T117" s="157">
        <f t="shared" si="78"/>
        <v>376.26591802845707</v>
      </c>
      <c r="U117" s="157">
        <f t="shared" si="78"/>
        <v>180.27568325464159</v>
      </c>
      <c r="V117" s="157">
        <f t="shared" si="78"/>
        <v>62.347185328045434</v>
      </c>
      <c r="W117" s="157">
        <f t="shared" si="78"/>
        <v>2.6998971433014909E-2</v>
      </c>
      <c r="X117" s="157">
        <f t="shared" si="78"/>
        <v>618.91578558258141</v>
      </c>
      <c r="Y117" s="157">
        <f t="shared" si="78"/>
        <v>-116.2994495606731</v>
      </c>
      <c r="Z117" s="157">
        <f t="shared" si="78"/>
        <v>502.61633602191063</v>
      </c>
      <c r="AA117" s="14"/>
      <c r="AB117" s="31" t="s">
        <v>14</v>
      </c>
      <c r="AC117" s="157">
        <f t="shared" si="64"/>
        <v>4611.5526805437803</v>
      </c>
      <c r="AD117" s="327">
        <v>52154131.3527916</v>
      </c>
      <c r="AE117" s="37">
        <f t="shared" si="68"/>
        <v>8.8421618018127382E-5</v>
      </c>
      <c r="AF117" s="157">
        <f t="shared" si="65"/>
        <v>556.5686002545317</v>
      </c>
    </row>
    <row r="118" spans="2:33">
      <c r="B118" s="29" t="s">
        <v>15</v>
      </c>
      <c r="C118" s="207">
        <f t="shared" si="61"/>
        <v>0</v>
      </c>
      <c r="D118" s="157">
        <f t="shared" ref="D118:O118" si="79">D93*$C14/1000000</f>
        <v>29.705259336647103</v>
      </c>
      <c r="E118" s="157">
        <f t="shared" si="79"/>
        <v>-179.50383465852136</v>
      </c>
      <c r="F118" s="157">
        <f t="shared" si="79"/>
        <v>109.86267206644359</v>
      </c>
      <c r="G118" s="157">
        <f t="shared" si="79"/>
        <v>-22.364704233170652</v>
      </c>
      <c r="H118" s="157">
        <f t="shared" si="79"/>
        <v>-44.459070181731896</v>
      </c>
      <c r="I118" s="157">
        <f t="shared" si="79"/>
        <v>-106.75967767033544</v>
      </c>
      <c r="J118" s="157">
        <f t="shared" si="79"/>
        <v>-936.50446825037659</v>
      </c>
      <c r="K118" s="157">
        <f t="shared" si="79"/>
        <v>986.15210754139343</v>
      </c>
      <c r="L118" s="157">
        <f t="shared" si="79"/>
        <v>12.382054865346747</v>
      </c>
      <c r="M118" s="157">
        <f t="shared" si="79"/>
        <v>-44.729983513967696</v>
      </c>
      <c r="N118" s="157">
        <f t="shared" si="79"/>
        <v>-199.33531256413963</v>
      </c>
      <c r="O118" s="157">
        <f t="shared" si="79"/>
        <v>-244.06529607810765</v>
      </c>
      <c r="P118" s="157"/>
      <c r="Q118" s="14" t="s">
        <v>15</v>
      </c>
      <c r="R118" s="157">
        <f t="shared" ref="R118:Z118" si="80">R93*$C14/1000000</f>
        <v>1308.9869896534876</v>
      </c>
      <c r="S118" s="157">
        <f t="shared" si="80"/>
        <v>327.05857768916161</v>
      </c>
      <c r="T118" s="157">
        <f t="shared" si="80"/>
        <v>1636.0455673426477</v>
      </c>
      <c r="U118" s="157">
        <f t="shared" si="80"/>
        <v>834.70627565201482</v>
      </c>
      <c r="V118" s="157">
        <f t="shared" si="80"/>
        <v>107.56785456560327</v>
      </c>
      <c r="W118" s="157">
        <f t="shared" si="80"/>
        <v>0.31952053755842474</v>
      </c>
      <c r="X118" s="157">
        <f t="shared" si="80"/>
        <v>2578.6392180978264</v>
      </c>
      <c r="Y118" s="157">
        <f t="shared" si="80"/>
        <v>130.21054880021165</v>
      </c>
      <c r="Z118" s="157">
        <f t="shared" si="80"/>
        <v>2708.8497668980394</v>
      </c>
      <c r="AA118" s="14"/>
      <c r="AB118" s="31" t="s">
        <v>15</v>
      </c>
      <c r="AC118" s="157">
        <f t="shared" si="64"/>
        <v>2464.7844708199318</v>
      </c>
      <c r="AD118" s="327">
        <v>36868583.478043601</v>
      </c>
      <c r="AE118" s="37">
        <f t="shared" si="68"/>
        <v>6.685324572580306E-5</v>
      </c>
      <c r="AF118" s="157">
        <f t="shared" si="65"/>
        <v>2471.0713635322209</v>
      </c>
    </row>
    <row r="119" spans="2:33" s="38" customFormat="1">
      <c r="B119" s="29" t="s">
        <v>16</v>
      </c>
      <c r="C119" s="207">
        <f t="shared" si="61"/>
        <v>0</v>
      </c>
      <c r="D119" s="157">
        <f t="shared" ref="D119:O119" si="81">D94*$C15/1000000</f>
        <v>-1365.7960091984526</v>
      </c>
      <c r="E119" s="157">
        <f t="shared" si="81"/>
        <v>1062.8306136973288</v>
      </c>
      <c r="F119" s="157">
        <f t="shared" si="81"/>
        <v>-217.23493570545932</v>
      </c>
      <c r="G119" s="157">
        <f t="shared" si="81"/>
        <v>-812.72955872188152</v>
      </c>
      <c r="H119" s="157">
        <f t="shared" si="81"/>
        <v>173.12961208616446</v>
      </c>
      <c r="I119" s="157">
        <f t="shared" si="81"/>
        <v>-1159.8002778423065</v>
      </c>
      <c r="J119" s="157">
        <f t="shared" si="81"/>
        <v>2130.7029950552233</v>
      </c>
      <c r="K119" s="157">
        <f t="shared" si="81"/>
        <v>-876.29894059245885</v>
      </c>
      <c r="L119" s="157">
        <f t="shared" si="81"/>
        <v>-64.575465425485788</v>
      </c>
      <c r="M119" s="157">
        <f t="shared" si="81"/>
        <v>30.028311194995013</v>
      </c>
      <c r="N119" s="157">
        <f t="shared" si="81"/>
        <v>987.68090232890904</v>
      </c>
      <c r="O119" s="157">
        <f t="shared" si="81"/>
        <v>1017.7092135239053</v>
      </c>
      <c r="P119" s="177"/>
      <c r="Q119" s="14" t="s">
        <v>16</v>
      </c>
      <c r="R119" s="157">
        <f t="shared" ref="R119:Y119" si="82">R94*$C15/1000000</f>
        <v>-3235.3231944913564</v>
      </c>
      <c r="S119" s="157">
        <f t="shared" si="82"/>
        <v>-931.95573991403649</v>
      </c>
      <c r="T119" s="157">
        <f t="shared" si="82"/>
        <v>-4167.2789344054036</v>
      </c>
      <c r="U119" s="157">
        <f t="shared" si="82"/>
        <v>-3463.7709847728229</v>
      </c>
      <c r="V119" s="157">
        <f t="shared" si="82"/>
        <v>-953.37020856974721</v>
      </c>
      <c r="W119" s="157">
        <f t="shared" si="82"/>
        <v>-1.2551925622268565</v>
      </c>
      <c r="X119" s="157">
        <f t="shared" si="82"/>
        <v>-8585.6753203101853</v>
      </c>
      <c r="Y119" s="157">
        <f t="shared" si="82"/>
        <v>-1232.1357637798128</v>
      </c>
      <c r="Z119" s="157">
        <f>Z94*$C15/1000000</f>
        <v>-9817.8110840900081</v>
      </c>
      <c r="AA119" s="26"/>
      <c r="AB119" s="31" t="s">
        <v>16</v>
      </c>
      <c r="AC119" s="157">
        <f t="shared" si="64"/>
        <v>-8800.1018705661027</v>
      </c>
      <c r="AD119" s="327">
        <v>194435111.89719549</v>
      </c>
      <c r="AE119" s="37">
        <f t="shared" si="68"/>
        <v>-4.5259839052213052E-5</v>
      </c>
      <c r="AF119" s="157">
        <f t="shared" si="65"/>
        <v>-7632.305111740453</v>
      </c>
    </row>
    <row r="120" spans="2:33">
      <c r="B120" s="29" t="s">
        <v>17</v>
      </c>
      <c r="C120" s="207">
        <f t="shared" si="61"/>
        <v>0</v>
      </c>
      <c r="D120" s="157">
        <f t="shared" ref="D120:O120" si="83">D95*$C16/1000000</f>
        <v>-1672.4981433021801</v>
      </c>
      <c r="E120" s="157">
        <f t="shared" si="83"/>
        <v>-338.02999245766978</v>
      </c>
      <c r="F120" s="157">
        <f t="shared" si="83"/>
        <v>-391.53464033105053</v>
      </c>
      <c r="G120" s="157">
        <f t="shared" si="83"/>
        <v>-299.15818579688721</v>
      </c>
      <c r="H120" s="157">
        <f t="shared" si="83"/>
        <v>-328.83759251706294</v>
      </c>
      <c r="I120" s="157">
        <f t="shared" si="83"/>
        <v>-3030.0585544048567</v>
      </c>
      <c r="J120" s="157">
        <f t="shared" si="83"/>
        <v>-1962.9776759552908</v>
      </c>
      <c r="K120" s="157">
        <f t="shared" si="83"/>
        <v>-706.4925194891398</v>
      </c>
      <c r="L120" s="157">
        <f t="shared" si="83"/>
        <v>-336.20705561830664</v>
      </c>
      <c r="M120" s="157">
        <f t="shared" si="83"/>
        <v>-6035.7358054675879</v>
      </c>
      <c r="N120" s="157">
        <f t="shared" si="83"/>
        <v>173.87923540369937</v>
      </c>
      <c r="O120" s="157">
        <f t="shared" si="83"/>
        <v>-5861.8565700638819</v>
      </c>
      <c r="P120" s="157"/>
      <c r="Q120" s="14" t="s">
        <v>17</v>
      </c>
      <c r="R120" s="157">
        <f t="shared" ref="R120:Z120" si="84">R95*$C16/1000000</f>
        <v>2136.4258925219692</v>
      </c>
      <c r="S120" s="157">
        <f t="shared" si="84"/>
        <v>615.15598858570434</v>
      </c>
      <c r="T120" s="157">
        <f t="shared" si="84"/>
        <v>2751.5818811076711</v>
      </c>
      <c r="U120" s="157">
        <f t="shared" si="84"/>
        <v>1955.5580041260919</v>
      </c>
      <c r="V120" s="157">
        <f t="shared" si="84"/>
        <v>76.244320751600966</v>
      </c>
      <c r="W120" s="157">
        <f t="shared" si="84"/>
        <v>0.55159668768923553</v>
      </c>
      <c r="X120" s="157">
        <f t="shared" si="84"/>
        <v>4783.9358026730715</v>
      </c>
      <c r="Y120" s="157">
        <f t="shared" si="84"/>
        <v>-338.43994258332987</v>
      </c>
      <c r="Z120" s="157">
        <f t="shared" si="84"/>
        <v>4445.495860089738</v>
      </c>
      <c r="AA120" s="14"/>
      <c r="AB120" s="31" t="s">
        <v>17</v>
      </c>
      <c r="AC120" s="157">
        <f t="shared" si="64"/>
        <v>-1416.3607099741439</v>
      </c>
      <c r="AD120" s="327">
        <v>95966607.353477657</v>
      </c>
      <c r="AE120" s="37">
        <f t="shared" si="68"/>
        <v>-1.4758891129257135E-5</v>
      </c>
      <c r="AF120" s="157">
        <f t="shared" si="65"/>
        <v>4707.6914819214517</v>
      </c>
    </row>
    <row r="121" spans="2:33">
      <c r="B121" s="29" t="s">
        <v>18</v>
      </c>
      <c r="C121" s="207">
        <f t="shared" si="61"/>
        <v>0</v>
      </c>
      <c r="D121" s="157">
        <f t="shared" ref="D121:O121" si="85">D96*$C17/1000000</f>
        <v>263.10197249479785</v>
      </c>
      <c r="E121" s="157">
        <f t="shared" si="85"/>
        <v>-160.98760099713442</v>
      </c>
      <c r="F121" s="157">
        <f t="shared" si="85"/>
        <v>103.95484820940543</v>
      </c>
      <c r="G121" s="157">
        <f t="shared" si="85"/>
        <v>225.38158566643415</v>
      </c>
      <c r="H121" s="157">
        <f t="shared" si="85"/>
        <v>-17.068538166097973</v>
      </c>
      <c r="I121" s="157">
        <f t="shared" si="85"/>
        <v>414.38226720740346</v>
      </c>
      <c r="J121" s="157">
        <f t="shared" si="85"/>
        <v>-330.02216380641346</v>
      </c>
      <c r="K121" s="157">
        <f t="shared" si="85"/>
        <v>559.63758159971144</v>
      </c>
      <c r="L121" s="157">
        <f t="shared" si="85"/>
        <v>114.2033816700299</v>
      </c>
      <c r="M121" s="157">
        <f t="shared" si="85"/>
        <v>758.20106667073173</v>
      </c>
      <c r="N121" s="157">
        <f t="shared" si="85"/>
        <v>178.28360119370853</v>
      </c>
      <c r="O121" s="157">
        <f t="shared" si="85"/>
        <v>936.4846678644393</v>
      </c>
      <c r="P121" s="157"/>
      <c r="Q121" s="14" t="s">
        <v>18</v>
      </c>
      <c r="R121" s="157">
        <f t="shared" ref="R121:Z121" si="86">R96*$C17/1000000</f>
        <v>853.00026164270173</v>
      </c>
      <c r="S121" s="157">
        <f t="shared" si="86"/>
        <v>255.35607278947697</v>
      </c>
      <c r="T121" s="157">
        <f t="shared" si="86"/>
        <v>1108.3563344321776</v>
      </c>
      <c r="U121" s="157">
        <f t="shared" si="86"/>
        <v>730.83251774638939</v>
      </c>
      <c r="V121" s="157">
        <f t="shared" si="86"/>
        <v>170.73689858493648</v>
      </c>
      <c r="W121" s="157">
        <f t="shared" si="86"/>
        <v>0.26619177758768692</v>
      </c>
      <c r="X121" s="157">
        <f t="shared" si="86"/>
        <v>2010.1919425410931</v>
      </c>
      <c r="Y121" s="157">
        <f t="shared" si="86"/>
        <v>-216.62480595659653</v>
      </c>
      <c r="Z121" s="157">
        <f t="shared" si="86"/>
        <v>1793.5671365844969</v>
      </c>
      <c r="AA121" s="14"/>
      <c r="AB121" s="31" t="s">
        <v>18</v>
      </c>
      <c r="AC121" s="157">
        <f t="shared" si="64"/>
        <v>2730.0518044489363</v>
      </c>
      <c r="AD121" s="327">
        <v>16855403.673807114</v>
      </c>
      <c r="AE121" s="37">
        <f t="shared" si="68"/>
        <v>1.6196893632938441E-4</v>
      </c>
      <c r="AF121" s="157">
        <f t="shared" si="65"/>
        <v>1839.4550439561547</v>
      </c>
    </row>
    <row r="122" spans="2:33">
      <c r="B122" s="29" t="s">
        <v>19</v>
      </c>
      <c r="C122" s="207">
        <f t="shared" si="61"/>
        <v>0</v>
      </c>
      <c r="D122" s="157">
        <f t="shared" ref="D122:O122" si="87">D97*$C18/1000000</f>
        <v>486.99147915500367</v>
      </c>
      <c r="E122" s="157">
        <f t="shared" si="87"/>
        <v>-451.73079468222414</v>
      </c>
      <c r="F122" s="157">
        <f t="shared" si="87"/>
        <v>108.22676549293072</v>
      </c>
      <c r="G122" s="157">
        <f t="shared" si="87"/>
        <v>99.403151232209197</v>
      </c>
      <c r="H122" s="157">
        <f t="shared" si="87"/>
        <v>-39.157253604278623</v>
      </c>
      <c r="I122" s="157">
        <f t="shared" si="87"/>
        <v>203.73334759363777</v>
      </c>
      <c r="J122" s="157">
        <f t="shared" si="87"/>
        <v>1299.9313431155806</v>
      </c>
      <c r="K122" s="157">
        <f t="shared" si="87"/>
        <v>113.10943384324197</v>
      </c>
      <c r="L122" s="157">
        <f t="shared" si="87"/>
        <v>314.65673552781533</v>
      </c>
      <c r="M122" s="157">
        <f t="shared" si="87"/>
        <v>1931.4308600802856</v>
      </c>
      <c r="N122" s="157">
        <f t="shared" si="87"/>
        <v>2.9008728335028406</v>
      </c>
      <c r="O122" s="157">
        <f t="shared" si="87"/>
        <v>1934.331732913786</v>
      </c>
      <c r="P122" s="157"/>
      <c r="Q122" s="14" t="s">
        <v>19</v>
      </c>
      <c r="R122" s="157">
        <f t="shared" ref="R122:Z122" si="88">R97*$C18/1000000</f>
        <v>777.83780598731471</v>
      </c>
      <c r="S122" s="157">
        <f t="shared" si="88"/>
        <v>175.37191064108609</v>
      </c>
      <c r="T122" s="157">
        <f t="shared" si="88"/>
        <v>953.2097166283977</v>
      </c>
      <c r="U122" s="157">
        <f t="shared" si="88"/>
        <v>519.31115482022403</v>
      </c>
      <c r="V122" s="157">
        <f t="shared" si="88"/>
        <v>353.03406303667981</v>
      </c>
      <c r="W122" s="157">
        <f t="shared" si="88"/>
        <v>0.19765344873285201</v>
      </c>
      <c r="X122" s="157">
        <f t="shared" si="88"/>
        <v>1825.7525879340355</v>
      </c>
      <c r="Y122" s="157">
        <f t="shared" si="88"/>
        <v>-105.22804284051699</v>
      </c>
      <c r="Z122" s="157">
        <f t="shared" si="88"/>
        <v>1720.5245450935197</v>
      </c>
      <c r="AA122" s="14"/>
      <c r="AB122" s="31" t="s">
        <v>19</v>
      </c>
      <c r="AC122" s="157">
        <f t="shared" si="64"/>
        <v>3654.8562780073057</v>
      </c>
      <c r="AD122" s="327">
        <v>53945038.216772363</v>
      </c>
      <c r="AE122" s="37">
        <f t="shared" si="68"/>
        <v>6.7751481856786469E-5</v>
      </c>
      <c r="AF122" s="157">
        <f t="shared" si="65"/>
        <v>1472.7185248973544</v>
      </c>
    </row>
    <row r="123" spans="2:33" s="38" customFormat="1">
      <c r="B123" s="29" t="s">
        <v>20</v>
      </c>
      <c r="C123" s="207">
        <f t="shared" si="61"/>
        <v>0</v>
      </c>
      <c r="D123" s="157">
        <f t="shared" ref="D123:O123" si="89">D98*$C19/1000000</f>
        <v>-1811.5809831463712</v>
      </c>
      <c r="E123" s="157">
        <f t="shared" si="89"/>
        <v>965.70752804855624</v>
      </c>
      <c r="F123" s="157">
        <f t="shared" si="89"/>
        <v>-121.47308626292181</v>
      </c>
      <c r="G123" s="157">
        <f t="shared" si="89"/>
        <v>-627.77396839987387</v>
      </c>
      <c r="H123" s="157">
        <f t="shared" si="89"/>
        <v>172.95681216303456</v>
      </c>
      <c r="I123" s="157">
        <f t="shared" si="89"/>
        <v>-1422.1636975975835</v>
      </c>
      <c r="J123" s="157">
        <f t="shared" si="89"/>
        <v>646.26819477460128</v>
      </c>
      <c r="K123" s="157">
        <f t="shared" si="89"/>
        <v>-1056.4753130005815</v>
      </c>
      <c r="L123" s="157">
        <f t="shared" si="89"/>
        <v>-452.65505680677222</v>
      </c>
      <c r="M123" s="157">
        <f t="shared" si="89"/>
        <v>-2285.0258726303186</v>
      </c>
      <c r="N123" s="157">
        <f t="shared" si="89"/>
        <v>-538.63938888473376</v>
      </c>
      <c r="O123" s="157">
        <f t="shared" si="89"/>
        <v>-2823.6652615150551</v>
      </c>
      <c r="P123" s="177"/>
      <c r="Q123" s="14" t="s">
        <v>20</v>
      </c>
      <c r="R123" s="157">
        <f t="shared" ref="R123:Z123" si="90">R98*$C19/1000000</f>
        <v>-8077.808756914912</v>
      </c>
      <c r="S123" s="157">
        <f t="shared" si="90"/>
        <v>-1760.1629870008676</v>
      </c>
      <c r="T123" s="157">
        <f t="shared" si="90"/>
        <v>-9837.9717439157848</v>
      </c>
      <c r="U123" s="157">
        <f t="shared" si="90"/>
        <v>-4459.3117593985353</v>
      </c>
      <c r="V123" s="157">
        <f t="shared" si="90"/>
        <v>-752.51338297708537</v>
      </c>
      <c r="W123" s="157">
        <f t="shared" si="90"/>
        <v>-1.4298908457578263</v>
      </c>
      <c r="X123" s="157">
        <f t="shared" si="90"/>
        <v>-15051.226777137155</v>
      </c>
      <c r="Y123" s="157">
        <f t="shared" si="90"/>
        <v>284.02728756867225</v>
      </c>
      <c r="Z123" s="157">
        <f t="shared" si="90"/>
        <v>-14767.199489568486</v>
      </c>
      <c r="AA123" s="26"/>
      <c r="AB123" s="31" t="s">
        <v>20</v>
      </c>
      <c r="AC123" s="157">
        <f t="shared" si="64"/>
        <v>-17590.86475108354</v>
      </c>
      <c r="AD123" s="327">
        <v>194000540.24223217</v>
      </c>
      <c r="AE123" s="37">
        <f t="shared" si="68"/>
        <v>-9.0674308066973969E-5</v>
      </c>
      <c r="AF123" s="157">
        <f t="shared" si="65"/>
        <v>-14298.713394160079</v>
      </c>
    </row>
    <row r="124" spans="2:33">
      <c r="B124" s="29" t="s">
        <v>60</v>
      </c>
      <c r="C124" s="207">
        <f t="shared" si="61"/>
        <v>0</v>
      </c>
      <c r="D124" s="157">
        <f t="shared" ref="D124:O124" si="91">D99*$C20/1000000</f>
        <v>-403.53684517467923</v>
      </c>
      <c r="E124" s="157">
        <f t="shared" si="91"/>
        <v>-191.11014972570726</v>
      </c>
      <c r="F124" s="157">
        <f t="shared" si="91"/>
        <v>-98.648816513435335</v>
      </c>
      <c r="G124" s="157">
        <f t="shared" si="91"/>
        <v>-69.191265203006353</v>
      </c>
      <c r="H124" s="157">
        <f t="shared" si="91"/>
        <v>-79.559236763345254</v>
      </c>
      <c r="I124" s="157">
        <f t="shared" si="91"/>
        <v>-842.04631338017464</v>
      </c>
      <c r="J124" s="157">
        <f t="shared" si="91"/>
        <v>-909.78660418744221</v>
      </c>
      <c r="K124" s="157">
        <f t="shared" si="91"/>
        <v>-61.703859017298356</v>
      </c>
      <c r="L124" s="157">
        <f t="shared" si="91"/>
        <v>-99.010181069365657</v>
      </c>
      <c r="M124" s="157">
        <f t="shared" si="91"/>
        <v>-1912.5469576542791</v>
      </c>
      <c r="N124" s="157">
        <f t="shared" si="91"/>
        <v>59.810027852398882</v>
      </c>
      <c r="O124" s="157">
        <f t="shared" si="91"/>
        <v>-1852.7369298018823</v>
      </c>
      <c r="P124" s="157"/>
      <c r="Q124" s="14" t="s">
        <v>60</v>
      </c>
      <c r="R124" s="157">
        <f t="shared" ref="R124:Z124" si="92">R99*$C20/1000000</f>
        <v>948.27936195078757</v>
      </c>
      <c r="S124" s="157">
        <f t="shared" si="92"/>
        <v>363.52105762015407</v>
      </c>
      <c r="T124" s="157">
        <f t="shared" si="92"/>
        <v>1311.8004195709393</v>
      </c>
      <c r="U124" s="157">
        <f t="shared" si="92"/>
        <v>749.02400576077264</v>
      </c>
      <c r="V124" s="157">
        <f t="shared" si="92"/>
        <v>75.968128910018322</v>
      </c>
      <c r="W124" s="157">
        <f t="shared" si="92"/>
        <v>0.36203285499537546</v>
      </c>
      <c r="X124" s="157">
        <f t="shared" si="92"/>
        <v>2137.1545870967307</v>
      </c>
      <c r="Y124" s="157">
        <f t="shared" si="92"/>
        <v>-109.91120184946348</v>
      </c>
      <c r="Z124" s="157">
        <f t="shared" si="92"/>
        <v>2027.2433852472648</v>
      </c>
      <c r="AA124" s="14"/>
      <c r="AB124" s="31" t="s">
        <v>60</v>
      </c>
      <c r="AC124" s="157">
        <f t="shared" si="64"/>
        <v>174.50645544538247</v>
      </c>
      <c r="AD124" s="327">
        <v>26676656.218492124</v>
      </c>
      <c r="AE124" s="37">
        <f t="shared" si="68"/>
        <v>6.5415415641340942E-6</v>
      </c>
      <c r="AF124" s="157">
        <f t="shared" si="65"/>
        <v>2061.1864581867076</v>
      </c>
    </row>
    <row r="125" spans="2:33">
      <c r="B125" s="29" t="s">
        <v>61</v>
      </c>
      <c r="C125" s="207">
        <f t="shared" si="61"/>
        <v>0</v>
      </c>
      <c r="D125" s="157">
        <f t="shared" ref="D125:O125" si="93">D100*$C21/1000000</f>
        <v>713.98602621105181</v>
      </c>
      <c r="E125" s="157">
        <f t="shared" si="93"/>
        <v>-28.15290917730669</v>
      </c>
      <c r="F125" s="157">
        <f t="shared" si="93"/>
        <v>-39.801060625118609</v>
      </c>
      <c r="G125" s="157">
        <f t="shared" si="93"/>
        <v>-54.506735360314039</v>
      </c>
      <c r="H125" s="157">
        <f t="shared" si="93"/>
        <v>38.937863358980984</v>
      </c>
      <c r="I125" s="157">
        <f t="shared" si="93"/>
        <v>630.46318440729328</v>
      </c>
      <c r="J125" s="157">
        <f t="shared" si="93"/>
        <v>205.46849484563609</v>
      </c>
      <c r="K125" s="157">
        <f t="shared" si="93"/>
        <v>35.375563282979073</v>
      </c>
      <c r="L125" s="157">
        <f t="shared" si="93"/>
        <v>-108.82201784135569</v>
      </c>
      <c r="M125" s="157">
        <f t="shared" si="93"/>
        <v>762.48522469455509</v>
      </c>
      <c r="N125" s="157">
        <f t="shared" si="93"/>
        <v>-381.80918822257183</v>
      </c>
      <c r="O125" s="157">
        <f t="shared" si="93"/>
        <v>380.67603647198308</v>
      </c>
      <c r="P125" s="157"/>
      <c r="Q125" s="14" t="s">
        <v>61</v>
      </c>
      <c r="R125" s="157">
        <f t="shared" ref="R125:Z125" si="94">R100*$C21/1000000</f>
        <v>-303.64573432840984</v>
      </c>
      <c r="S125" s="157">
        <f t="shared" si="94"/>
        <v>-123.56373760291477</v>
      </c>
      <c r="T125" s="157">
        <f t="shared" si="94"/>
        <v>-427.20947193132548</v>
      </c>
      <c r="U125" s="157">
        <f t="shared" si="94"/>
        <v>-423.91027639947623</v>
      </c>
      <c r="V125" s="157">
        <f t="shared" si="94"/>
        <v>19.420151271297129</v>
      </c>
      <c r="W125" s="157">
        <f t="shared" si="94"/>
        <v>-6.5882235972254677E-2</v>
      </c>
      <c r="X125" s="157">
        <f t="shared" si="94"/>
        <v>-831.76547929547644</v>
      </c>
      <c r="Y125" s="157">
        <f t="shared" si="94"/>
        <v>275.47719590671193</v>
      </c>
      <c r="Z125" s="157">
        <f t="shared" si="94"/>
        <v>-556.28828338876383</v>
      </c>
      <c r="AA125" s="14"/>
      <c r="AB125" s="31" t="s">
        <v>61</v>
      </c>
      <c r="AC125" s="157">
        <f t="shared" si="64"/>
        <v>-175.61224691678075</v>
      </c>
      <c r="AD125" s="327">
        <v>17468599.914404057</v>
      </c>
      <c r="AE125" s="37">
        <f t="shared" si="68"/>
        <v>-1.0053023583874998E-5</v>
      </c>
      <c r="AF125" s="157">
        <f t="shared" si="65"/>
        <v>-851.18563056677397</v>
      </c>
    </row>
    <row r="126" spans="2:33">
      <c r="B126" s="29" t="s">
        <v>62</v>
      </c>
      <c r="C126" s="207">
        <f t="shared" si="61"/>
        <v>0</v>
      </c>
      <c r="D126" s="157">
        <f t="shared" ref="D126:O126" si="95">D101*$C22/1000000</f>
        <v>4413.6368035385676</v>
      </c>
      <c r="E126" s="157">
        <f t="shared" si="95"/>
        <v>-32.470834461162376</v>
      </c>
      <c r="F126" s="157">
        <f t="shared" si="95"/>
        <v>193.90900236356629</v>
      </c>
      <c r="G126" s="157">
        <f t="shared" si="95"/>
        <v>-182.09340978466025</v>
      </c>
      <c r="H126" s="157">
        <f t="shared" si="95"/>
        <v>227.13095079245767</v>
      </c>
      <c r="I126" s="157">
        <f t="shared" si="95"/>
        <v>4620.1125124487644</v>
      </c>
      <c r="J126" s="157">
        <f t="shared" si="95"/>
        <v>2437.6131425422968</v>
      </c>
      <c r="K126" s="157">
        <f t="shared" si="95"/>
        <v>-164.76491598150545</v>
      </c>
      <c r="L126" s="157">
        <f t="shared" si="95"/>
        <v>-80.089269981712832</v>
      </c>
      <c r="M126" s="157">
        <f t="shared" si="95"/>
        <v>6812.8714690278503</v>
      </c>
      <c r="N126" s="157">
        <f t="shared" si="95"/>
        <v>-939.45871581637732</v>
      </c>
      <c r="O126" s="157">
        <f t="shared" si="95"/>
        <v>5873.4127532114735</v>
      </c>
      <c r="P126" s="157"/>
      <c r="Q126" s="14" t="s">
        <v>62</v>
      </c>
      <c r="R126" s="157">
        <f t="shared" ref="R126:Z126" si="96">R101*$C22/1000000</f>
        <v>-1705.3065562209549</v>
      </c>
      <c r="S126" s="157">
        <f t="shared" si="96"/>
        <v>-825.99840503609914</v>
      </c>
      <c r="T126" s="157">
        <f t="shared" si="96"/>
        <v>-2531.3049612570571</v>
      </c>
      <c r="U126" s="157">
        <f t="shared" si="96"/>
        <v>-2048.0440837399574</v>
      </c>
      <c r="V126" s="157">
        <f t="shared" si="96"/>
        <v>2.8396183657475786</v>
      </c>
      <c r="W126" s="157">
        <f t="shared" si="96"/>
        <v>-0.63105954160143063</v>
      </c>
      <c r="X126" s="157">
        <f t="shared" si="96"/>
        <v>-4577.140486172867</v>
      </c>
      <c r="Y126" s="157">
        <f t="shared" si="96"/>
        <v>830.17056874614821</v>
      </c>
      <c r="Z126" s="157">
        <f t="shared" si="96"/>
        <v>-3746.9699174267189</v>
      </c>
      <c r="AA126" s="14"/>
      <c r="AB126" s="31" t="s">
        <v>62</v>
      </c>
      <c r="AC126" s="157">
        <f t="shared" si="64"/>
        <v>2126.4428357847546</v>
      </c>
      <c r="AD126" s="327">
        <v>62570709.772711739</v>
      </c>
      <c r="AE126" s="37">
        <f t="shared" si="68"/>
        <v>3.3984636637638656E-5</v>
      </c>
      <c r="AF126" s="157">
        <f t="shared" si="65"/>
        <v>-4579.9801045386157</v>
      </c>
    </row>
    <row r="127" spans="2:33">
      <c r="B127" s="29" t="s">
        <v>63</v>
      </c>
      <c r="C127" s="207">
        <f t="shared" si="61"/>
        <v>0</v>
      </c>
      <c r="D127" s="157">
        <f t="shared" ref="D127:O127" si="97">D102*$C23/1000000</f>
        <v>104.682373894224</v>
      </c>
      <c r="E127" s="157">
        <f t="shared" si="97"/>
        <v>-7.6187753306867565</v>
      </c>
      <c r="F127" s="157">
        <f t="shared" si="97"/>
        <v>-7.2188280859638168</v>
      </c>
      <c r="G127" s="157">
        <f t="shared" si="97"/>
        <v>-23.417009525416713</v>
      </c>
      <c r="H127" s="157">
        <f t="shared" si="97"/>
        <v>37.351621250335427</v>
      </c>
      <c r="I127" s="157">
        <f t="shared" si="97"/>
        <v>103.77938220249153</v>
      </c>
      <c r="J127" s="157">
        <f t="shared" si="97"/>
        <v>11.208944189262404</v>
      </c>
      <c r="K127" s="157">
        <f t="shared" si="97"/>
        <v>8.3564130812879629</v>
      </c>
      <c r="L127" s="157">
        <f t="shared" si="97"/>
        <v>24.96836668774063</v>
      </c>
      <c r="M127" s="157">
        <f t="shared" si="97"/>
        <v>148.31310616078309</v>
      </c>
      <c r="N127" s="157">
        <f t="shared" si="97"/>
        <v>2.3689129549600509</v>
      </c>
      <c r="O127" s="157">
        <f t="shared" si="97"/>
        <v>150.68201911574306</v>
      </c>
      <c r="P127" s="157"/>
      <c r="Q127" s="14" t="s">
        <v>63</v>
      </c>
      <c r="R127" s="157">
        <f t="shared" ref="R127:Z127" si="98">R102*$C23/1000000</f>
        <v>-4.5014879456983028</v>
      </c>
      <c r="S127" s="157">
        <f t="shared" si="98"/>
        <v>-3.1752110486559002</v>
      </c>
      <c r="T127" s="157">
        <f t="shared" si="98"/>
        <v>-7.6766989943542763</v>
      </c>
      <c r="U127" s="157">
        <f t="shared" si="98"/>
        <v>-48.341370945045639</v>
      </c>
      <c r="V127" s="157">
        <f t="shared" si="98"/>
        <v>-11.171321959770387</v>
      </c>
      <c r="W127" s="157">
        <f t="shared" si="98"/>
        <v>7.1952184238904529E-3</v>
      </c>
      <c r="X127" s="157">
        <f t="shared" si="98"/>
        <v>-67.182196680745406</v>
      </c>
      <c r="Y127" s="157">
        <f t="shared" si="98"/>
        <v>-15.537805296550031</v>
      </c>
      <c r="Z127" s="157">
        <f t="shared" si="98"/>
        <v>-82.720001977295539</v>
      </c>
      <c r="AA127" s="14"/>
      <c r="AB127" s="31" t="s">
        <v>63</v>
      </c>
      <c r="AC127" s="157">
        <f t="shared" si="64"/>
        <v>67.962017138447521</v>
      </c>
      <c r="AD127" s="327">
        <v>7583212.2248080857</v>
      </c>
      <c r="AE127" s="37">
        <f t="shared" si="68"/>
        <v>8.9621673670312566E-6</v>
      </c>
      <c r="AF127" s="157">
        <f t="shared" si="65"/>
        <v>-56.010874720976027</v>
      </c>
    </row>
    <row r="128" spans="2:33">
      <c r="B128" s="29" t="s">
        <v>64</v>
      </c>
      <c r="C128" s="207">
        <f t="shared" si="61"/>
        <v>0</v>
      </c>
      <c r="D128" s="157">
        <f t="shared" ref="D128:O128" si="99">D103*$C24/1000000</f>
        <v>331.77707744043215</v>
      </c>
      <c r="E128" s="157">
        <f t="shared" si="99"/>
        <v>-87.38727320371936</v>
      </c>
      <c r="F128" s="157">
        <f t="shared" si="99"/>
        <v>-2.8885184125293044</v>
      </c>
      <c r="G128" s="157">
        <f t="shared" si="99"/>
        <v>53.947860703937195</v>
      </c>
      <c r="H128" s="157">
        <f t="shared" si="99"/>
        <v>83.038668174350178</v>
      </c>
      <c r="I128" s="157">
        <f t="shared" si="99"/>
        <v>378.48781470247081</v>
      </c>
      <c r="J128" s="157">
        <f t="shared" si="99"/>
        <v>-173.69047376510403</v>
      </c>
      <c r="K128" s="157">
        <f t="shared" si="99"/>
        <v>36.504671945133921</v>
      </c>
      <c r="L128" s="157">
        <f t="shared" si="99"/>
        <v>75.817889989062508</v>
      </c>
      <c r="M128" s="157">
        <f t="shared" si="99"/>
        <v>317.1199028715634</v>
      </c>
      <c r="N128" s="157">
        <f t="shared" si="99"/>
        <v>-8.8267957264948596</v>
      </c>
      <c r="O128" s="157">
        <f t="shared" si="99"/>
        <v>308.29310714506846</v>
      </c>
      <c r="P128" s="157"/>
      <c r="Q128" s="14" t="s">
        <v>64</v>
      </c>
      <c r="R128" s="157">
        <f t="shared" ref="R128:Z128" si="100">R103*$C24/1000000</f>
        <v>87.125528446522907</v>
      </c>
      <c r="S128" s="157">
        <f t="shared" si="100"/>
        <v>40.147907433796242</v>
      </c>
      <c r="T128" s="157">
        <f t="shared" si="100"/>
        <v>127.273435880319</v>
      </c>
      <c r="U128" s="157">
        <f t="shared" si="100"/>
        <v>85.029280559537213</v>
      </c>
      <c r="V128" s="157">
        <f t="shared" si="100"/>
        <v>61.444097000217084</v>
      </c>
      <c r="W128" s="157">
        <f t="shared" si="100"/>
        <v>5.5103565135471509E-2</v>
      </c>
      <c r="X128" s="157">
        <f t="shared" si="100"/>
        <v>273.80191700520902</v>
      </c>
      <c r="Y128" s="157">
        <f t="shared" si="100"/>
        <v>72.127122115393533</v>
      </c>
      <c r="Z128" s="157">
        <f t="shared" si="100"/>
        <v>345.92903912060279</v>
      </c>
      <c r="AA128" s="14"/>
      <c r="AB128" s="200" t="s">
        <v>64</v>
      </c>
      <c r="AC128" s="165">
        <f t="shared" si="64"/>
        <v>654.2221462656712</v>
      </c>
      <c r="AD128" s="362">
        <v>2972183.5535524455</v>
      </c>
      <c r="AE128" s="201">
        <f>AC128/AD128</f>
        <v>2.2011498767756946E-4</v>
      </c>
      <c r="AF128" s="165">
        <f t="shared" si="65"/>
        <v>212.35782000499171</v>
      </c>
    </row>
    <row r="129" spans="2:32" ht="13.8" thickBot="1">
      <c r="B129" s="166" t="s">
        <v>84</v>
      </c>
      <c r="C129" s="208">
        <f>SUM(C111:C128)</f>
        <v>0</v>
      </c>
      <c r="D129" s="172">
        <f t="shared" ref="D129:O129" si="101">D104*$C25/1000000</f>
        <v>0</v>
      </c>
      <c r="E129" s="172">
        <f t="shared" si="101"/>
        <v>0</v>
      </c>
      <c r="F129" s="172">
        <f t="shared" si="101"/>
        <v>0</v>
      </c>
      <c r="G129" s="172">
        <f t="shared" si="101"/>
        <v>0</v>
      </c>
      <c r="H129" s="172">
        <f t="shared" si="101"/>
        <v>0</v>
      </c>
      <c r="I129" s="172">
        <f t="shared" si="101"/>
        <v>0</v>
      </c>
      <c r="J129" s="172">
        <f t="shared" si="101"/>
        <v>0</v>
      </c>
      <c r="K129" s="172">
        <f t="shared" si="101"/>
        <v>0</v>
      </c>
      <c r="L129" s="172">
        <f t="shared" si="101"/>
        <v>0</v>
      </c>
      <c r="M129" s="172">
        <f t="shared" si="101"/>
        <v>0</v>
      </c>
      <c r="N129" s="172">
        <f t="shared" si="101"/>
        <v>0</v>
      </c>
      <c r="O129" s="172">
        <f t="shared" si="101"/>
        <v>0</v>
      </c>
      <c r="P129" s="14"/>
      <c r="Q129" s="191" t="s">
        <v>84</v>
      </c>
      <c r="R129" s="172">
        <f t="shared" ref="R129:Z129" si="102">R104*$C25/1000000</f>
        <v>0</v>
      </c>
      <c r="S129" s="172">
        <f t="shared" si="102"/>
        <v>0</v>
      </c>
      <c r="T129" s="172">
        <f t="shared" si="102"/>
        <v>0</v>
      </c>
      <c r="U129" s="172">
        <f t="shared" si="102"/>
        <v>0</v>
      </c>
      <c r="V129" s="172">
        <f t="shared" si="102"/>
        <v>0</v>
      </c>
      <c r="W129" s="172">
        <f t="shared" si="102"/>
        <v>0</v>
      </c>
      <c r="X129" s="172">
        <f t="shared" si="102"/>
        <v>0</v>
      </c>
      <c r="Y129" s="172">
        <f t="shared" si="102"/>
        <v>0</v>
      </c>
      <c r="Z129" s="172">
        <f t="shared" si="102"/>
        <v>0</v>
      </c>
      <c r="AA129" s="14"/>
      <c r="AB129" s="192" t="s">
        <v>84</v>
      </c>
      <c r="AC129" s="172">
        <f>SUM(AC111:AC128)</f>
        <v>6.5824679040815681E-11</v>
      </c>
      <c r="AD129" s="328">
        <v>1031272000</v>
      </c>
      <c r="AE129" s="202">
        <f t="shared" si="68"/>
        <v>6.3828630119712042E-20</v>
      </c>
      <c r="AF129" s="172">
        <f t="shared" si="65"/>
        <v>0</v>
      </c>
    </row>
    <row r="130" spans="2:32">
      <c r="O130" s="44"/>
      <c r="P130" s="31"/>
      <c r="Q130" s="31"/>
      <c r="W130" s="44"/>
      <c r="X130" s="31"/>
      <c r="Z130" s="35"/>
      <c r="AC130" s="31"/>
    </row>
    <row r="131" spans="2:32">
      <c r="B131" s="29" t="s">
        <v>78</v>
      </c>
      <c r="D131" s="35"/>
      <c r="E131" s="35"/>
      <c r="F131" s="35"/>
      <c r="G131" s="35"/>
      <c r="H131" s="35"/>
      <c r="I131" s="35"/>
      <c r="J131" s="35"/>
      <c r="K131" s="35"/>
      <c r="L131" s="35"/>
      <c r="M131" s="35"/>
      <c r="N131" s="35"/>
      <c r="O131" s="35"/>
      <c r="P131" s="31"/>
      <c r="AC131" s="31"/>
    </row>
    <row r="132" spans="2:32">
      <c r="P132" s="31"/>
    </row>
    <row r="133" spans="2:32">
      <c r="P133" s="31"/>
    </row>
    <row r="134" spans="2:32">
      <c r="P134" s="31"/>
      <c r="AE134" s="371"/>
    </row>
    <row r="135" spans="2:32">
      <c r="B135" s="176" t="s">
        <v>543</v>
      </c>
    </row>
    <row r="136" spans="2:32" ht="25.05">
      <c r="D136" s="368"/>
    </row>
    <row r="137" spans="2:32" ht="26.95" thickBot="1">
      <c r="B137" s="238"/>
      <c r="C137" s="239" t="str">
        <f>"Población media padrón "&amp;C2</f>
        <v>Población media padrón 2013</v>
      </c>
      <c r="D137" s="239" t="s">
        <v>544</v>
      </c>
      <c r="E137" s="240" t="s">
        <v>545</v>
      </c>
      <c r="F137" s="240" t="s">
        <v>546</v>
      </c>
      <c r="G137" s="240" t="s">
        <v>547</v>
      </c>
      <c r="H137" s="241" t="s">
        <v>548</v>
      </c>
      <c r="I137" s="242"/>
      <c r="J137" s="242"/>
      <c r="K137" s="242"/>
      <c r="L137" s="242"/>
    </row>
    <row r="138" spans="2:32">
      <c r="B138" s="29" t="s">
        <v>9</v>
      </c>
      <c r="C138" s="58">
        <f t="shared" ref="C138:C155" si="103">C7</f>
        <v>8421302.5</v>
      </c>
      <c r="D138" s="365">
        <v>1738107.0806222104</v>
      </c>
      <c r="E138" s="58">
        <f>D138*1000/C138</f>
        <v>206.39409172419712</v>
      </c>
      <c r="F138" s="58">
        <f>E138-E$156</f>
        <v>179.97085343752505</v>
      </c>
      <c r="G138" s="58">
        <f>F138*C138/1000</f>
        <v>1515588.9979805634</v>
      </c>
      <c r="H138" s="58">
        <f>G138/1000</f>
        <v>1515.5889979805634</v>
      </c>
      <c r="I138" s="2"/>
      <c r="J138" s="2"/>
      <c r="K138" s="2"/>
      <c r="L138" s="2"/>
    </row>
    <row r="139" spans="2:32">
      <c r="B139" s="29" t="s">
        <v>10</v>
      </c>
      <c r="C139" s="58">
        <f t="shared" si="103"/>
        <v>1336267.5</v>
      </c>
      <c r="D139" s="365">
        <v>206339.21865613904</v>
      </c>
      <c r="E139" s="58">
        <f t="shared" ref="E139:E156" si="104">D139*1000/C139</f>
        <v>154.41460535120331</v>
      </c>
      <c r="F139" s="58">
        <f t="shared" ref="F139:F156" si="105">E139-E$156</f>
        <v>127.99136706453123</v>
      </c>
      <c r="G139" s="58">
        <f t="shared" ref="G139:G155" si="106">F139*C139/1000</f>
        <v>171030.7040889035</v>
      </c>
      <c r="H139" s="58">
        <f t="shared" ref="H139:H155" si="107">G139/1000</f>
        <v>171.03070408890349</v>
      </c>
      <c r="I139" s="2"/>
      <c r="J139" s="2"/>
      <c r="K139" s="2"/>
      <c r="L139" s="2"/>
    </row>
    <row r="140" spans="2:32">
      <c r="B140" s="29" t="s">
        <v>11</v>
      </c>
      <c r="C140" s="58">
        <f t="shared" si="103"/>
        <v>1064960.5</v>
      </c>
      <c r="D140" s="365">
        <v>-72690.048677088853</v>
      </c>
      <c r="E140" s="58">
        <f t="shared" si="104"/>
        <v>-68.25609839716013</v>
      </c>
      <c r="F140" s="58">
        <f t="shared" si="105"/>
        <v>-94.679336683832204</v>
      </c>
      <c r="G140" s="58">
        <f t="shared" si="106"/>
        <v>-100829.75373448229</v>
      </c>
      <c r="H140" s="58">
        <f t="shared" si="107"/>
        <v>-100.8297537344823</v>
      </c>
      <c r="I140" s="2"/>
      <c r="J140" s="2"/>
      <c r="K140" s="2"/>
      <c r="L140" s="2"/>
    </row>
    <row r="141" spans="2:32">
      <c r="B141" s="29" t="s">
        <v>31</v>
      </c>
      <c r="C141" s="58">
        <f t="shared" si="103"/>
        <v>1107558</v>
      </c>
      <c r="D141" s="365">
        <v>-156773.04759739342</v>
      </c>
      <c r="E141" s="58">
        <f t="shared" si="104"/>
        <v>-141.54838626725953</v>
      </c>
      <c r="F141" s="58">
        <f t="shared" si="105"/>
        <v>-167.9716245539316</v>
      </c>
      <c r="G141" s="58">
        <f t="shared" si="106"/>
        <v>-186038.31654770338</v>
      </c>
      <c r="H141" s="58">
        <f t="shared" si="107"/>
        <v>-186.03831654770337</v>
      </c>
      <c r="I141" s="2"/>
      <c r="J141" s="2"/>
      <c r="K141" s="2"/>
      <c r="L141" s="2"/>
    </row>
    <row r="142" spans="2:32">
      <c r="B142" s="29" t="s">
        <v>12</v>
      </c>
      <c r="C142" s="58">
        <f t="shared" si="103"/>
        <v>2111747</v>
      </c>
      <c r="D142" s="365">
        <v>270832.99545767484</v>
      </c>
      <c r="E142" s="58">
        <f t="shared" si="104"/>
        <v>128.25068318206436</v>
      </c>
      <c r="F142" s="58">
        <f t="shared" si="105"/>
        <v>101.82744489539229</v>
      </c>
      <c r="G142" s="58">
        <f t="shared" si="106"/>
        <v>215033.80127550999</v>
      </c>
      <c r="H142" s="58">
        <f t="shared" si="107"/>
        <v>215.03380127551</v>
      </c>
      <c r="I142" s="2"/>
      <c r="J142" s="2"/>
      <c r="K142" s="2"/>
      <c r="L142" s="2"/>
    </row>
    <row r="143" spans="2:32">
      <c r="B143" s="29" t="s">
        <v>13</v>
      </c>
      <c r="C143" s="58">
        <f t="shared" si="103"/>
        <v>590272</v>
      </c>
      <c r="D143" s="365">
        <v>-61422.248541272114</v>
      </c>
      <c r="E143" s="58">
        <f t="shared" si="104"/>
        <v>-104.0575337154263</v>
      </c>
      <c r="F143" s="58">
        <f t="shared" si="105"/>
        <v>-130.48077200209838</v>
      </c>
      <c r="G143" s="58">
        <f t="shared" si="106"/>
        <v>-77019.146251222614</v>
      </c>
      <c r="H143" s="58">
        <f t="shared" si="107"/>
        <v>-77.019146251222608</v>
      </c>
      <c r="I143" s="2"/>
      <c r="J143" s="2"/>
      <c r="K143" s="2"/>
      <c r="L143" s="2"/>
    </row>
    <row r="144" spans="2:32">
      <c r="B144" s="29" t="s">
        <v>14</v>
      </c>
      <c r="C144" s="58">
        <f t="shared" si="103"/>
        <v>2507332.5</v>
      </c>
      <c r="D144" s="365">
        <v>770040.46992713469</v>
      </c>
      <c r="E144" s="58">
        <f t="shared" si="104"/>
        <v>307.11541844854429</v>
      </c>
      <c r="F144" s="58">
        <f t="shared" si="105"/>
        <v>280.69218016187222</v>
      </c>
      <c r="G144" s="58">
        <f t="shared" si="106"/>
        <v>703788.6258157175</v>
      </c>
      <c r="H144" s="58">
        <f t="shared" si="107"/>
        <v>703.78862581571752</v>
      </c>
      <c r="I144" s="2"/>
      <c r="J144" s="2"/>
      <c r="K144" s="2"/>
      <c r="L144" s="2"/>
    </row>
    <row r="145" spans="2:12">
      <c r="B145" s="29" t="s">
        <v>15</v>
      </c>
      <c r="C145" s="58">
        <f t="shared" si="103"/>
        <v>2089804.5</v>
      </c>
      <c r="D145" s="365">
        <v>877712.98355432565</v>
      </c>
      <c r="E145" s="58">
        <f t="shared" si="104"/>
        <v>419.99765219872273</v>
      </c>
      <c r="F145" s="58">
        <f t="shared" si="105"/>
        <v>393.57441391205066</v>
      </c>
      <c r="G145" s="58">
        <f t="shared" si="106"/>
        <v>822493.58127826604</v>
      </c>
      <c r="H145" s="58">
        <f t="shared" si="107"/>
        <v>822.49358127826599</v>
      </c>
      <c r="I145" s="2"/>
      <c r="J145" s="2"/>
      <c r="K145" s="2"/>
      <c r="L145" s="2"/>
    </row>
    <row r="146" spans="2:12">
      <c r="B146" s="29" t="s">
        <v>16</v>
      </c>
      <c r="C146" s="58">
        <f t="shared" si="103"/>
        <v>7536276.5</v>
      </c>
      <c r="D146" s="365">
        <v>-1411976.1646903928</v>
      </c>
      <c r="E146" s="58">
        <f t="shared" si="104"/>
        <v>-187.35726650825413</v>
      </c>
      <c r="F146" s="58">
        <f t="shared" si="105"/>
        <v>-213.7805047949262</v>
      </c>
      <c r="G146" s="58">
        <f t="shared" si="106"/>
        <v>-1611108.9944441398</v>
      </c>
      <c r="H146" s="58">
        <f t="shared" si="107"/>
        <v>-1611.1089944441399</v>
      </c>
      <c r="I146" s="2"/>
      <c r="J146" s="2"/>
      <c r="K146" s="2"/>
      <c r="L146" s="2"/>
    </row>
    <row r="147" spans="2:12">
      <c r="B147" s="29" t="s">
        <v>17</v>
      </c>
      <c r="C147" s="58">
        <f t="shared" si="103"/>
        <v>5059329.5</v>
      </c>
      <c r="D147" s="365">
        <v>-463987.40038732678</v>
      </c>
      <c r="E147" s="58">
        <f t="shared" si="104"/>
        <v>-91.709267085159567</v>
      </c>
      <c r="F147" s="58">
        <f t="shared" si="105"/>
        <v>-118.13250537183164</v>
      </c>
      <c r="G147" s="58">
        <f t="shared" si="106"/>
        <v>-597671.26933661627</v>
      </c>
      <c r="H147" s="58">
        <f t="shared" si="107"/>
        <v>-597.67126933661632</v>
      </c>
      <c r="I147" s="2"/>
      <c r="J147" s="2"/>
      <c r="K147" s="2"/>
      <c r="L147" s="2"/>
    </row>
    <row r="148" spans="2:12">
      <c r="B148" s="29" t="s">
        <v>18</v>
      </c>
      <c r="C148" s="58">
        <f t="shared" si="103"/>
        <v>1101818</v>
      </c>
      <c r="D148" s="365">
        <v>794489.90862833278</v>
      </c>
      <c r="E148" s="58">
        <f t="shared" si="104"/>
        <v>721.07181823888584</v>
      </c>
      <c r="F148" s="58">
        <f t="shared" si="105"/>
        <v>694.64857995221371</v>
      </c>
      <c r="G148" s="58">
        <f t="shared" si="106"/>
        <v>765376.30906578817</v>
      </c>
      <c r="H148" s="58">
        <f t="shared" si="107"/>
        <v>765.37630906578818</v>
      </c>
      <c r="I148" s="2"/>
      <c r="J148" s="2"/>
      <c r="K148" s="2"/>
      <c r="L148" s="2"/>
    </row>
    <row r="149" spans="2:12">
      <c r="B149" s="29" t="s">
        <v>19</v>
      </c>
      <c r="C149" s="58">
        <f t="shared" si="103"/>
        <v>2757317.5</v>
      </c>
      <c r="D149" s="365">
        <v>363552.57671896601</v>
      </c>
      <c r="E149" s="58">
        <f t="shared" si="104"/>
        <v>131.85009586997725</v>
      </c>
      <c r="F149" s="58">
        <f t="shared" si="105"/>
        <v>105.42685758330518</v>
      </c>
      <c r="G149" s="58">
        <f t="shared" si="106"/>
        <v>290695.3193844551</v>
      </c>
      <c r="H149" s="58">
        <f t="shared" si="107"/>
        <v>290.6953193844551</v>
      </c>
      <c r="I149" s="2"/>
      <c r="J149" s="2"/>
      <c r="K149" s="2"/>
      <c r="L149" s="2"/>
    </row>
    <row r="150" spans="2:12">
      <c r="B150" s="29" t="s">
        <v>20</v>
      </c>
      <c r="C150" s="58">
        <f t="shared" si="103"/>
        <v>6474995.5</v>
      </c>
      <c r="D150" s="365">
        <v>-1693855.0526416081</v>
      </c>
      <c r="E150" s="58">
        <f t="shared" si="104"/>
        <v>-261.59941773575099</v>
      </c>
      <c r="F150" s="58">
        <f t="shared" si="105"/>
        <v>-288.02265602242306</v>
      </c>
      <c r="G150" s="58">
        <f t="shared" si="106"/>
        <v>-1864945.4016432373</v>
      </c>
      <c r="H150" s="58">
        <f t="shared" si="107"/>
        <v>-1864.9454016432373</v>
      </c>
      <c r="I150" s="2"/>
      <c r="J150" s="2"/>
      <c r="K150" s="2"/>
      <c r="L150" s="2"/>
    </row>
    <row r="151" spans="2:12">
      <c r="B151" s="29" t="s">
        <v>60</v>
      </c>
      <c r="C151" s="58">
        <f t="shared" si="103"/>
        <v>1469433.5</v>
      </c>
      <c r="D151" s="365">
        <v>68095.764980017775</v>
      </c>
      <c r="E151" s="58">
        <f t="shared" si="104"/>
        <v>46.341508465689522</v>
      </c>
      <c r="F151" s="58">
        <f t="shared" si="105"/>
        <v>19.918270179017444</v>
      </c>
      <c r="G151" s="58">
        <f t="shared" si="106"/>
        <v>29268.57346309923</v>
      </c>
      <c r="H151" s="58">
        <f t="shared" si="107"/>
        <v>29.26857346309923</v>
      </c>
      <c r="I151" s="2"/>
      <c r="J151" s="2"/>
      <c r="K151" s="2"/>
      <c r="L151" s="2"/>
    </row>
    <row r="152" spans="2:12">
      <c r="B152" s="29" t="s">
        <v>61</v>
      </c>
      <c r="C152" s="58">
        <f t="shared" si="103"/>
        <v>642633.5</v>
      </c>
      <c r="D152" s="365">
        <v>33054.316505542993</v>
      </c>
      <c r="E152" s="58">
        <f t="shared" si="104"/>
        <v>51.435719590626682</v>
      </c>
      <c r="F152" s="58">
        <f t="shared" si="105"/>
        <v>25.012481303954605</v>
      </c>
      <c r="G152" s="58">
        <f t="shared" si="106"/>
        <v>16073.858404044911</v>
      </c>
      <c r="H152" s="58">
        <f t="shared" si="107"/>
        <v>16.073858404044913</v>
      </c>
      <c r="I152" s="2"/>
      <c r="J152" s="2"/>
      <c r="K152" s="2"/>
      <c r="L152" s="2"/>
    </row>
    <row r="153" spans="2:12">
      <c r="B153" s="29" t="s">
        <v>62</v>
      </c>
      <c r="C153" s="58">
        <f t="shared" si="103"/>
        <v>2190333.5</v>
      </c>
      <c r="D153" s="365">
        <v>-33080.188988420967</v>
      </c>
      <c r="E153" s="58">
        <f t="shared" si="104"/>
        <v>-15.102809224449596</v>
      </c>
      <c r="F153" s="58">
        <f t="shared" si="105"/>
        <v>-41.526047511121675</v>
      </c>
      <c r="G153" s="58">
        <f t="shared" si="106"/>
        <v>-90955.892986201419</v>
      </c>
      <c r="H153" s="58">
        <f t="shared" si="107"/>
        <v>-90.95589298620142</v>
      </c>
      <c r="I153" s="2"/>
      <c r="J153" s="2"/>
      <c r="K153" s="2"/>
      <c r="L153" s="2"/>
    </row>
    <row r="154" spans="2:12">
      <c r="B154" s="29" t="s">
        <v>63</v>
      </c>
      <c r="C154" s="58">
        <f t="shared" si="103"/>
        <v>320514.5</v>
      </c>
      <c r="D154" s="365">
        <v>-9956.2287980036945</v>
      </c>
      <c r="E154" s="58">
        <f t="shared" si="104"/>
        <v>-31.063271078231075</v>
      </c>
      <c r="F154" s="58">
        <f t="shared" si="105"/>
        <v>-57.486509364903156</v>
      </c>
      <c r="G154" s="58">
        <f t="shared" si="106"/>
        <v>-18425.25980583725</v>
      </c>
      <c r="H154" s="58">
        <f t="shared" si="107"/>
        <v>-18.42525980583725</v>
      </c>
      <c r="I154" s="2"/>
      <c r="J154" s="2"/>
      <c r="K154" s="2"/>
      <c r="L154" s="2"/>
    </row>
    <row r="155" spans="2:12">
      <c r="B155" s="164" t="s">
        <v>64</v>
      </c>
      <c r="C155" s="58">
        <f t="shared" si="103"/>
        <v>168665.5</v>
      </c>
      <c r="D155" s="366">
        <v>22100.952690333292</v>
      </c>
      <c r="E155" s="236">
        <f t="shared" si="104"/>
        <v>131.03422270905011</v>
      </c>
      <c r="F155" s="58">
        <f t="shared" si="105"/>
        <v>104.61098442237804</v>
      </c>
      <c r="G155" s="236">
        <f t="shared" si="106"/>
        <v>17644.263993092605</v>
      </c>
      <c r="H155" s="58">
        <f t="shared" si="107"/>
        <v>17.644263993092604</v>
      </c>
      <c r="I155" s="2"/>
      <c r="J155" s="2"/>
      <c r="K155" s="2"/>
      <c r="L155" s="2"/>
    </row>
    <row r="156" spans="2:12" ht="13.8" thickBot="1">
      <c r="B156" s="166" t="s">
        <v>84</v>
      </c>
      <c r="C156" s="237">
        <f>SUM(C138:C155)</f>
        <v>46950562</v>
      </c>
      <c r="D156" s="367">
        <v>1240585.8874191712</v>
      </c>
      <c r="E156" s="237">
        <f t="shared" si="104"/>
        <v>26.423238286672078</v>
      </c>
      <c r="F156" s="237">
        <f t="shared" si="105"/>
        <v>0</v>
      </c>
      <c r="G156" s="237">
        <f>SUM(G138:G155)</f>
        <v>2.7648638933897018E-10</v>
      </c>
      <c r="H156" s="237">
        <f>SUM(H138:H155)</f>
        <v>1.7408297026122455E-13</v>
      </c>
      <c r="I156" s="243"/>
      <c r="J156" s="2"/>
      <c r="K156" s="2"/>
      <c r="L156" s="243"/>
    </row>
    <row r="157" spans="2:12">
      <c r="B157" s="244" t="s">
        <v>1031</v>
      </c>
      <c r="C157" s="236"/>
      <c r="D157" s="236"/>
      <c r="E157" s="236"/>
      <c r="F157" s="236"/>
      <c r="G157" s="236"/>
      <c r="H157" s="236"/>
      <c r="I157" s="243"/>
      <c r="J157" s="243"/>
      <c r="K157" s="2"/>
      <c r="L157" s="243"/>
    </row>
    <row r="158" spans="2:12">
      <c r="B158" s="174"/>
      <c r="C158" s="236"/>
      <c r="D158" s="236"/>
      <c r="E158" s="236"/>
      <c r="F158" s="236"/>
      <c r="G158" s="236"/>
      <c r="H158" s="236"/>
      <c r="I158" s="243"/>
      <c r="J158" s="243"/>
      <c r="K158" s="2"/>
      <c r="L158" s="243"/>
    </row>
    <row r="159" spans="2:12">
      <c r="B159" s="174"/>
      <c r="C159" s="236"/>
      <c r="D159" s="236"/>
      <c r="E159" s="236"/>
      <c r="F159" s="236"/>
      <c r="G159" s="236"/>
      <c r="H159" s="236"/>
      <c r="I159" s="243"/>
      <c r="J159" s="243"/>
      <c r="K159" s="2"/>
      <c r="L159" s="243"/>
    </row>
    <row r="160" spans="2:12">
      <c r="B160" s="174"/>
      <c r="C160" s="236"/>
      <c r="D160" s="236"/>
      <c r="E160" s="236"/>
      <c r="F160" s="236"/>
      <c r="G160" s="236"/>
      <c r="H160" s="236"/>
      <c r="I160" s="243"/>
      <c r="J160" s="243"/>
      <c r="K160" s="2"/>
      <c r="L160" s="243"/>
    </row>
    <row r="161" spans="2:12">
      <c r="B161" s="176" t="s">
        <v>957</v>
      </c>
      <c r="C161" s="236"/>
      <c r="D161" s="236"/>
      <c r="E161" s="236"/>
      <c r="F161" s="236"/>
      <c r="G161" s="236"/>
      <c r="H161" s="236"/>
      <c r="I161" s="243"/>
      <c r="J161" s="243"/>
      <c r="K161" s="2"/>
      <c r="L161" s="243"/>
    </row>
    <row r="162" spans="2:12">
      <c r="B162" s="176"/>
      <c r="C162" s="236"/>
      <c r="D162" s="236"/>
      <c r="E162" s="236"/>
      <c r="F162" s="236"/>
      <c r="G162" s="236"/>
      <c r="H162" s="236"/>
      <c r="I162" s="243"/>
      <c r="J162" s="243"/>
      <c r="K162" s="2"/>
      <c r="L162" s="243"/>
    </row>
    <row r="163" spans="2:12">
      <c r="B163" s="176"/>
    </row>
    <row r="164" spans="2:12">
      <c r="B164" s="176"/>
      <c r="C164" s="357" t="s">
        <v>1110</v>
      </c>
      <c r="D164" s="357" t="s">
        <v>1151</v>
      </c>
    </row>
    <row r="165" spans="2:12" ht="26.95" thickBot="1">
      <c r="B165" s="173"/>
      <c r="C165" s="358" t="s">
        <v>1111</v>
      </c>
      <c r="D165" s="358" t="s">
        <v>1152</v>
      </c>
    </row>
    <row r="166" spans="2:12">
      <c r="B166" s="29" t="s">
        <v>9</v>
      </c>
      <c r="C166" s="359">
        <v>9713.1825757104216</v>
      </c>
      <c r="D166" s="359">
        <v>9127.4721484587917</v>
      </c>
    </row>
    <row r="167" spans="2:12">
      <c r="B167" s="29" t="s">
        <v>10</v>
      </c>
      <c r="C167" s="359">
        <v>334.89910402589948</v>
      </c>
      <c r="D167" s="359">
        <v>1448.3204218279368</v>
      </c>
    </row>
    <row r="168" spans="2:12">
      <c r="B168" s="29" t="s">
        <v>11</v>
      </c>
      <c r="C168" s="359">
        <v>779.96408173410316</v>
      </c>
      <c r="D168" s="359">
        <v>1154.2629305809583</v>
      </c>
    </row>
    <row r="169" spans="2:12">
      <c r="B169" s="29" t="s">
        <v>31</v>
      </c>
      <c r="C169" s="359">
        <v>1926.2515832644835</v>
      </c>
      <c r="D169" s="359">
        <v>1200.4324506574515</v>
      </c>
    </row>
    <row r="170" spans="2:12">
      <c r="B170" s="29" t="s">
        <v>12</v>
      </c>
      <c r="C170" s="359">
        <v>1544.8467628306469</v>
      </c>
      <c r="D170" s="359">
        <v>2288.8278775274266</v>
      </c>
    </row>
    <row r="171" spans="2:12">
      <c r="B171" s="29" t="s">
        <v>13</v>
      </c>
      <c r="C171" s="359">
        <v>462.26978867637058</v>
      </c>
      <c r="D171" s="359">
        <v>639.76935159556012</v>
      </c>
    </row>
    <row r="172" spans="2:12">
      <c r="B172" s="29" t="s">
        <v>14</v>
      </c>
      <c r="C172" s="359">
        <v>637.39329737537855</v>
      </c>
      <c r="D172" s="359">
        <v>2717.5852619800271</v>
      </c>
    </row>
    <row r="173" spans="2:12">
      <c r="B173" s="29" t="s">
        <v>15</v>
      </c>
      <c r="C173" s="359">
        <v>2548.2893304924</v>
      </c>
      <c r="D173" s="359">
        <v>2265.0453857314651</v>
      </c>
    </row>
    <row r="174" spans="2:12">
      <c r="B174" s="29" t="s">
        <v>16</v>
      </c>
      <c r="C174" s="359">
        <v>18688.710859386651</v>
      </c>
      <c r="D174" s="359">
        <v>8168.2321537356611</v>
      </c>
    </row>
    <row r="175" spans="2:12">
      <c r="B175" s="29" t="s">
        <v>17</v>
      </c>
      <c r="C175" s="359">
        <v>7168.3773067303955</v>
      </c>
      <c r="D175" s="359">
        <v>5483.5803726473368</v>
      </c>
    </row>
    <row r="176" spans="2:12">
      <c r="B176" s="29" t="s">
        <v>18</v>
      </c>
      <c r="C176" s="359">
        <v>349.84306209742465</v>
      </c>
      <c r="D176" s="359">
        <v>1194.2111220527431</v>
      </c>
    </row>
    <row r="177" spans="2:4">
      <c r="B177" s="29" t="s">
        <v>19</v>
      </c>
      <c r="C177" s="359">
        <v>685.75537504140948</v>
      </c>
      <c r="D177" s="359">
        <v>2988.5327935563441</v>
      </c>
    </row>
    <row r="178" spans="2:4">
      <c r="B178" s="29" t="s">
        <v>20</v>
      </c>
      <c r="C178" s="359">
        <v>3303.8125095826776</v>
      </c>
      <c r="D178" s="359">
        <v>7017.9572682071457</v>
      </c>
    </row>
    <row r="179" spans="2:4">
      <c r="B179" s="29" t="s">
        <v>60</v>
      </c>
      <c r="C179" s="359">
        <v>1988.9241643802045</v>
      </c>
      <c r="D179" s="359">
        <v>1592.6530777468595</v>
      </c>
    </row>
    <row r="180" spans="2:4">
      <c r="B180" s="29" t="s">
        <v>61</v>
      </c>
      <c r="C180" s="359">
        <v>148.45854293991562</v>
      </c>
      <c r="D180" s="359">
        <v>696.52163343100358</v>
      </c>
    </row>
    <row r="181" spans="2:4">
      <c r="B181" s="29" t="s">
        <v>62</v>
      </c>
      <c r="C181" s="359">
        <v>495.54922944118857</v>
      </c>
      <c r="D181" s="359">
        <v>2374.0042608713161</v>
      </c>
    </row>
    <row r="182" spans="2:4">
      <c r="B182" s="29" t="s">
        <v>63</v>
      </c>
      <c r="C182" s="359">
        <v>72.921690406881339</v>
      </c>
      <c r="D182" s="359">
        <v>347.39129391530537</v>
      </c>
    </row>
    <row r="183" spans="2:4">
      <c r="B183" s="29" t="s">
        <v>64</v>
      </c>
      <c r="C183" s="359">
        <v>38.159512493559909</v>
      </c>
      <c r="D183" s="359">
        <v>182.8089720866667</v>
      </c>
    </row>
    <row r="184" spans="2:4" ht="13.8" thickBot="1">
      <c r="B184" s="166" t="s">
        <v>84</v>
      </c>
      <c r="C184" s="245">
        <v>50887.609000000011</v>
      </c>
      <c r="D184" s="245">
        <v>50887.60877661001</v>
      </c>
    </row>
  </sheetData>
  <phoneticPr fontId="7" type="noConversion"/>
  <pageMargins left="0.75" right="0.75" top="1" bottom="1" header="0.5" footer="0.5"/>
  <pageSetup paperSize="9"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B555"/>
  <sheetViews>
    <sheetView zoomScaleNormal="100" workbookViewId="0">
      <pane xSplit="3" ySplit="7" topLeftCell="V575" activePane="bottomRight" state="frozen"/>
      <selection activeCell="B5" sqref="B5"/>
      <selection pane="topRight" activeCell="B5" sqref="B5"/>
      <selection pane="bottomLeft" activeCell="B5" sqref="B5"/>
      <selection pane="bottomRight" sqref="A1:A1048576"/>
    </sheetView>
  </sheetViews>
  <sheetFormatPr baseColWidth="10" defaultColWidth="11" defaultRowHeight="12.55"/>
  <cols>
    <col min="1" max="1" width="11" style="353"/>
    <col min="2" max="2" width="9.3984375" style="102" customWidth="1"/>
    <col min="3" max="3" width="63.19921875" style="120" customWidth="1"/>
    <col min="4" max="4" width="15.59765625" style="102" customWidth="1"/>
    <col min="5" max="5" width="17.59765625" style="102" customWidth="1"/>
    <col min="6" max="6" width="21.8984375" style="102" customWidth="1"/>
    <col min="7" max="7" width="20.5" style="102" customWidth="1"/>
    <col min="8" max="8" width="12.69921875" style="102" customWidth="1"/>
    <col min="9" max="9" width="11.09765625" style="102" bestFit="1" customWidth="1"/>
    <col min="10" max="10" width="13.19921875" style="102" customWidth="1"/>
    <col min="11" max="11" width="13.3984375" style="102" customWidth="1"/>
    <col min="12" max="12" width="14.09765625" style="102" customWidth="1"/>
    <col min="13" max="13" width="15.59765625" style="102" customWidth="1"/>
    <col min="14" max="14" width="12.69921875" style="102" customWidth="1"/>
    <col min="15" max="15" width="17.69921875" style="102" customWidth="1"/>
    <col min="16" max="16" width="16.8984375" style="102" customWidth="1"/>
    <col min="17" max="17" width="11.59765625" style="102" bestFit="1" customWidth="1"/>
    <col min="18" max="18" width="11.09765625" style="102" bestFit="1" customWidth="1"/>
    <col min="19" max="19" width="17.09765625" style="102" customWidth="1"/>
    <col min="20" max="20" width="15.3984375" style="102" customWidth="1"/>
    <col min="21" max="21" width="16.8984375" style="102" customWidth="1"/>
    <col min="22" max="22" width="14.3984375" style="104" customWidth="1"/>
    <col min="23" max="16384" width="11" style="102"/>
  </cols>
  <sheetData>
    <row r="2" spans="1:22" ht="14.25" customHeight="1"/>
    <row r="5" spans="1:22">
      <c r="C5" s="121" t="s">
        <v>71</v>
      </c>
      <c r="E5" s="105"/>
      <c r="F5" s="105"/>
      <c r="G5" s="105"/>
      <c r="H5" s="105"/>
      <c r="I5" s="105"/>
      <c r="J5" s="105"/>
      <c r="K5" s="105"/>
      <c r="L5" s="105"/>
      <c r="M5" s="105"/>
      <c r="N5" s="105"/>
      <c r="O5" s="105"/>
      <c r="P5" s="105"/>
      <c r="Q5" s="105"/>
      <c r="R5" s="105"/>
      <c r="S5" s="105"/>
      <c r="T5" s="105"/>
      <c r="U5" s="105"/>
    </row>
    <row r="6" spans="1:22" ht="16" customHeight="1">
      <c r="C6" s="221" t="str">
        <f>"Ejercicio " &amp;Resumen!C2</f>
        <v>Ejercicio 2013</v>
      </c>
      <c r="D6" s="203"/>
      <c r="E6" s="203"/>
      <c r="F6" s="203"/>
      <c r="G6" s="203"/>
      <c r="H6" s="203"/>
      <c r="I6" s="105"/>
      <c r="J6" s="105"/>
      <c r="K6" s="105"/>
      <c r="L6" s="105"/>
      <c r="M6" s="105"/>
      <c r="N6" s="105"/>
      <c r="O6" s="105"/>
      <c r="P6" s="105"/>
      <c r="Q6" s="105"/>
      <c r="R6" s="105"/>
      <c r="S6" s="105"/>
      <c r="T6" s="105"/>
      <c r="U6" s="105"/>
      <c r="V6" s="122"/>
    </row>
    <row r="7" spans="1:22" s="106" customFormat="1">
      <c r="A7" s="354"/>
      <c r="C7" s="123"/>
      <c r="D7" s="108" t="s">
        <v>66</v>
      </c>
      <c r="E7" s="108" t="s">
        <v>67</v>
      </c>
      <c r="F7" s="108" t="s">
        <v>56</v>
      </c>
      <c r="G7" s="108" t="s">
        <v>48</v>
      </c>
      <c r="H7" s="108" t="s">
        <v>49</v>
      </c>
      <c r="I7" s="108" t="s">
        <v>50</v>
      </c>
      <c r="J7" s="108" t="s">
        <v>51</v>
      </c>
      <c r="K7" s="108" t="s">
        <v>24</v>
      </c>
      <c r="L7" s="108" t="s">
        <v>46</v>
      </c>
      <c r="M7" s="108" t="s">
        <v>72</v>
      </c>
      <c r="N7" s="108" t="s">
        <v>73</v>
      </c>
      <c r="O7" s="108" t="s">
        <v>74</v>
      </c>
      <c r="P7" s="108" t="s">
        <v>37</v>
      </c>
      <c r="Q7" s="108" t="s">
        <v>38</v>
      </c>
      <c r="R7" s="108" t="s">
        <v>33</v>
      </c>
      <c r="S7" s="108" t="s">
        <v>34</v>
      </c>
      <c r="T7" s="108" t="s">
        <v>88</v>
      </c>
      <c r="U7" s="108" t="s">
        <v>89</v>
      </c>
      <c r="V7" s="124" t="s">
        <v>84</v>
      </c>
    </row>
    <row r="8" spans="1:22" ht="13.15">
      <c r="B8" s="115"/>
      <c r="C8" s="109" t="s">
        <v>83</v>
      </c>
      <c r="D8" s="111">
        <f t="shared" ref="D8:V8" si="0">D77+D61+D47+D35+D25+D10+D92</f>
        <v>2887083.6277161045</v>
      </c>
      <c r="E8" s="111">
        <f t="shared" si="0"/>
        <v>458113.9344536229</v>
      </c>
      <c r="F8" s="111">
        <f t="shared" si="0"/>
        <v>365101.48207054165</v>
      </c>
      <c r="G8" s="111">
        <f t="shared" si="0"/>
        <v>379705.22594883549</v>
      </c>
      <c r="H8" s="111">
        <f t="shared" si="0"/>
        <v>723972.35339528532</v>
      </c>
      <c r="I8" s="111">
        <f t="shared" si="0"/>
        <v>202363.54496222411</v>
      </c>
      <c r="J8" s="111">
        <f t="shared" si="0"/>
        <v>859591.32924989797</v>
      </c>
      <c r="K8" s="111">
        <f t="shared" si="0"/>
        <v>716449.7839945117</v>
      </c>
      <c r="L8" s="111">
        <f t="shared" si="0"/>
        <v>2583669.2717179591</v>
      </c>
      <c r="M8" s="111">
        <f t="shared" si="0"/>
        <v>1734495.0340723549</v>
      </c>
      <c r="N8" s="111">
        <f t="shared" si="0"/>
        <v>377737.37596089242</v>
      </c>
      <c r="O8" s="111">
        <f t="shared" si="0"/>
        <v>945293.93887288822</v>
      </c>
      <c r="P8" s="111">
        <f t="shared" si="0"/>
        <v>2219829.2363426504</v>
      </c>
      <c r="Q8" s="111">
        <f t="shared" si="0"/>
        <v>503767.36851188663</v>
      </c>
      <c r="R8" s="111">
        <f t="shared" si="0"/>
        <v>220314.69080607154</v>
      </c>
      <c r="S8" s="111">
        <f t="shared" si="0"/>
        <v>750914.24243317614</v>
      </c>
      <c r="T8" s="111">
        <f t="shared" si="0"/>
        <v>109882.309226585</v>
      </c>
      <c r="U8" s="111">
        <f t="shared" si="0"/>
        <v>57823.763439272087</v>
      </c>
      <c r="V8" s="125">
        <f t="shared" si="0"/>
        <v>16096108.513174761</v>
      </c>
    </row>
    <row r="9" spans="1:22" ht="12.7" customHeight="1">
      <c r="B9" s="115"/>
      <c r="C9" s="102"/>
      <c r="D9" s="105"/>
      <c r="E9" s="105"/>
      <c r="F9" s="105"/>
      <c r="G9" s="105"/>
      <c r="H9" s="105"/>
      <c r="I9" s="105"/>
      <c r="J9" s="105"/>
      <c r="K9" s="105"/>
      <c r="L9" s="105"/>
      <c r="M9" s="105"/>
      <c r="N9" s="105"/>
      <c r="O9" s="105"/>
      <c r="P9" s="105"/>
      <c r="Q9" s="105"/>
      <c r="R9" s="105"/>
      <c r="S9" s="105"/>
      <c r="T9" s="105"/>
      <c r="U9" s="105"/>
      <c r="V9" s="122"/>
    </row>
    <row r="10" spans="1:22" ht="13.15">
      <c r="B10" s="115"/>
      <c r="C10" s="112" t="s">
        <v>32</v>
      </c>
      <c r="D10" s="114">
        <f t="shared" ref="D10:U10" si="1">SUM(D11:D23)</f>
        <v>87351.653765625582</v>
      </c>
      <c r="E10" s="114">
        <f t="shared" si="1"/>
        <v>13860.703376735142</v>
      </c>
      <c r="F10" s="114">
        <f t="shared" si="1"/>
        <v>11046.516957450172</v>
      </c>
      <c r="G10" s="114">
        <f t="shared" si="1"/>
        <v>11488.368092863158</v>
      </c>
      <c r="H10" s="114">
        <f t="shared" si="1"/>
        <v>21904.520444978505</v>
      </c>
      <c r="I10" s="114">
        <f t="shared" si="1"/>
        <v>6122.7150279358038</v>
      </c>
      <c r="J10" s="114">
        <f t="shared" si="1"/>
        <v>26007.810598811815</v>
      </c>
      <c r="K10" s="114">
        <f t="shared" si="1"/>
        <v>21676.917450934263</v>
      </c>
      <c r="L10" s="114">
        <f t="shared" si="1"/>
        <v>78171.543595544819</v>
      </c>
      <c r="M10" s="114">
        <f t="shared" si="1"/>
        <v>52478.91270622515</v>
      </c>
      <c r="N10" s="114">
        <f t="shared" si="1"/>
        <v>11428.828788507963</v>
      </c>
      <c r="O10" s="114">
        <f t="shared" si="1"/>
        <v>28600.830285089552</v>
      </c>
      <c r="P10" s="114">
        <f t="shared" si="1"/>
        <v>67163.192991818534</v>
      </c>
      <c r="Q10" s="114">
        <f t="shared" si="1"/>
        <v>15241.994492373524</v>
      </c>
      <c r="R10" s="114">
        <f t="shared" si="1"/>
        <v>6665.845216959272</v>
      </c>
      <c r="S10" s="114">
        <f t="shared" si="1"/>
        <v>22719.674720537696</v>
      </c>
      <c r="T10" s="114">
        <f t="shared" si="1"/>
        <v>3324.6011090164038</v>
      </c>
      <c r="U10" s="114">
        <f t="shared" si="1"/>
        <v>1749.5168185926252</v>
      </c>
      <c r="V10" s="126">
        <f>SUM(V11:V23)</f>
        <v>487004.14643999998</v>
      </c>
    </row>
    <row r="11" spans="1:22" ht="13.15">
      <c r="A11" s="355"/>
      <c r="B11" s="115" t="s">
        <v>114</v>
      </c>
      <c r="C11" s="333" t="str">
        <f>VLOOKUP(B11,Tot_res!C:D,2,FALSE)</f>
        <v>Gobierno del poder judicial</v>
      </c>
      <c r="D11" s="179">
        <f>VLOOKUP(B11,Tot_res!C:V,3,FALSE)</f>
        <v>5190.0217002889049</v>
      </c>
      <c r="E11" s="179">
        <f>VLOOKUP(B11,Tot_res!C:V,4,FALSE)</f>
        <v>823.53737113597379</v>
      </c>
      <c r="F11" s="179">
        <f>VLOOKUP(B11,Tot_res!C:V,5,FALSE)</f>
        <v>656.33173786959003</v>
      </c>
      <c r="G11" s="179">
        <f>VLOOKUP(B11,Tot_res!C:V,6,FALSE)</f>
        <v>682.58444039132655</v>
      </c>
      <c r="H11" s="179">
        <f>VLOOKUP(B11,Tot_res!C:V,7,FALSE)</f>
        <v>1301.4628978735766</v>
      </c>
      <c r="I11" s="179">
        <f>VLOOKUP(B11,Tot_res!C:V,8,FALSE)</f>
        <v>363.78273896145311</v>
      </c>
      <c r="J11" s="179">
        <f>VLOOKUP(B11,Tot_res!C:V,9,FALSE)</f>
        <v>1545.260971784309</v>
      </c>
      <c r="K11" s="179">
        <f>VLOOKUP(B11,Tot_res!C:V,10,FALSE)</f>
        <v>1287.9398055539991</v>
      </c>
      <c r="L11" s="179">
        <f>VLOOKUP(B11,Tot_res!C:V,11,FALSE)</f>
        <v>4644.5830172205924</v>
      </c>
      <c r="M11" s="179">
        <f>VLOOKUP(B11,Tot_res!C:V,12,FALSE)</f>
        <v>3118.0485315557562</v>
      </c>
      <c r="N11" s="179">
        <f>VLOOKUP(B11,Tot_res!C:V,13,FALSE)</f>
        <v>679.04689681541788</v>
      </c>
      <c r="O11" s="179">
        <f>VLOOKUP(B11,Tot_res!C:V,14,FALSE)</f>
        <v>1699.3259248894517</v>
      </c>
      <c r="P11" s="179">
        <f>VLOOKUP(B11,Tot_res!C:V,15,FALSE)</f>
        <v>3990.5189433906462</v>
      </c>
      <c r="Q11" s="179">
        <f>VLOOKUP(B11,Tot_res!C:V,16,FALSE)</f>
        <v>905.60714950347358</v>
      </c>
      <c r="R11" s="179">
        <f>VLOOKUP(B11,Tot_res!C:V,17,FALSE)</f>
        <v>396.05296334297577</v>
      </c>
      <c r="S11" s="179">
        <f>VLOOKUP(B11,Tot_res!C:V,18,FALSE)</f>
        <v>1349.8955055788281</v>
      </c>
      <c r="T11" s="179">
        <f>VLOOKUP(B11,Tot_res!C:V,19,FALSE)</f>
        <v>197.53205757152747</v>
      </c>
      <c r="U11" s="179">
        <f>VLOOKUP(B11,Tot_res!C:V,20,FALSE)</f>
        <v>103.94800627219819</v>
      </c>
      <c r="V11" s="122">
        <f t="shared" ref="V11:V23" si="2">SUM(D11:U11)</f>
        <v>28935.480659999997</v>
      </c>
    </row>
    <row r="12" spans="1:22" ht="13.15">
      <c r="A12" s="355"/>
      <c r="B12" s="115" t="s">
        <v>115</v>
      </c>
      <c r="C12" s="333" t="str">
        <f>VLOOKUP(B12,Tot_res!C:D,2,FALSE)</f>
        <v>Selección y formación de jueces</v>
      </c>
      <c r="D12" s="179">
        <f>VLOOKUP(B12,Tot_res!C:V,3,FALSE)</f>
        <v>3028.7319884201606</v>
      </c>
      <c r="E12" s="179">
        <f>VLOOKUP(B12,Tot_res!C:V,4,FALSE)</f>
        <v>480.59027951272822</v>
      </c>
      <c r="F12" s="179">
        <f>VLOOKUP(B12,Tot_res!C:V,5,FALSE)</f>
        <v>383.01437725980378</v>
      </c>
      <c r="G12" s="179">
        <f>VLOOKUP(B12,Tot_res!C:V,6,FALSE)</f>
        <v>398.33462147104399</v>
      </c>
      <c r="H12" s="179">
        <f>VLOOKUP(B12,Tot_res!C:V,7,FALSE)</f>
        <v>759.49245266398032</v>
      </c>
      <c r="I12" s="179">
        <f>VLOOKUP(B12,Tot_res!C:V,8,FALSE)</f>
        <v>212.29206387833059</v>
      </c>
      <c r="J12" s="179">
        <f>VLOOKUP(B12,Tot_res!C:V,9,FALSE)</f>
        <v>901.76527305075354</v>
      </c>
      <c r="K12" s="179">
        <f>VLOOKUP(B12,Tot_res!C:V,10,FALSE)</f>
        <v>751.60080506482223</v>
      </c>
      <c r="L12" s="179">
        <f>VLOOKUP(B12,Tot_res!C:V,11,FALSE)</f>
        <v>2710.4312793809663</v>
      </c>
      <c r="M12" s="179">
        <f>VLOOKUP(B12,Tot_res!C:V,12,FALSE)</f>
        <v>1819.5941894508335</v>
      </c>
      <c r="N12" s="179">
        <f>VLOOKUP(B12,Tot_res!C:V,13,FALSE)</f>
        <v>396.27022328400204</v>
      </c>
      <c r="O12" s="179">
        <f>VLOOKUP(B12,Tot_res!C:V,14,FALSE)</f>
        <v>991.6726913064465</v>
      </c>
      <c r="P12" s="179">
        <f>VLOOKUP(B12,Tot_res!C:V,15,FALSE)</f>
        <v>2328.7402389032568</v>
      </c>
      <c r="Q12" s="179">
        <f>VLOOKUP(B12,Tot_res!C:V,16,FALSE)</f>
        <v>528.4835981495969</v>
      </c>
      <c r="R12" s="179">
        <f>VLOOKUP(B12,Tot_res!C:V,17,FALSE)</f>
        <v>231.1239429150547</v>
      </c>
      <c r="S12" s="179">
        <f>VLOOKUP(B12,Tot_res!C:V,18,FALSE)</f>
        <v>787.75618578697186</v>
      </c>
      <c r="T12" s="179">
        <f>VLOOKUP(B12,Tot_res!C:V,19,FALSE)</f>
        <v>115.27344124053181</v>
      </c>
      <c r="U12" s="179">
        <f>VLOOKUP(B12,Tot_res!C:V,20,FALSE)</f>
        <v>60.660758260718055</v>
      </c>
      <c r="V12" s="122">
        <f t="shared" si="2"/>
        <v>16885.828410000006</v>
      </c>
    </row>
    <row r="13" spans="1:22" ht="13.15">
      <c r="A13" s="355"/>
      <c r="B13" s="115" t="s">
        <v>116</v>
      </c>
      <c r="C13" s="333" t="str">
        <f>VLOOKUP(B13,Tot_res!C:D,2,FALSE)</f>
        <v>Documentación y publicaciones judiciales</v>
      </c>
      <c r="D13" s="179">
        <f>VLOOKUP(B13,Tot_res!C:V,3,FALSE)</f>
        <v>1368.5464413391592</v>
      </c>
      <c r="E13" s="179">
        <f>VLOOKUP(B13,Tot_res!C:V,4,FALSE)</f>
        <v>217.15692219845741</v>
      </c>
      <c r="F13" s="179">
        <f>VLOOKUP(B13,Tot_res!C:V,5,FALSE)</f>
        <v>173.06680319840925</v>
      </c>
      <c r="G13" s="179">
        <f>VLOOKUP(B13,Tot_res!C:V,6,FALSE)</f>
        <v>179.98932581708308</v>
      </c>
      <c r="H13" s="179">
        <f>VLOOKUP(B13,Tot_res!C:V,7,FALSE)</f>
        <v>343.18014842224767</v>
      </c>
      <c r="I13" s="179">
        <f>VLOOKUP(B13,Tot_res!C:V,8,FALSE)</f>
        <v>95.925142817533057</v>
      </c>
      <c r="J13" s="179">
        <f>VLOOKUP(B13,Tot_res!C:V,9,FALSE)</f>
        <v>407.46677489960933</v>
      </c>
      <c r="K13" s="179">
        <f>VLOOKUP(B13,Tot_res!C:V,10,FALSE)</f>
        <v>339.61427125668041</v>
      </c>
      <c r="L13" s="179">
        <f>VLOOKUP(B13,Tot_res!C:V,11,FALSE)</f>
        <v>1224.720805958809</v>
      </c>
      <c r="M13" s="179">
        <f>VLOOKUP(B13,Tot_res!C:V,12,FALSE)</f>
        <v>822.19198072830511</v>
      </c>
      <c r="N13" s="179">
        <f>VLOOKUP(B13,Tot_res!C:V,13,FALSE)</f>
        <v>179.05651802716142</v>
      </c>
      <c r="O13" s="179">
        <f>VLOOKUP(B13,Tot_res!C:V,14,FALSE)</f>
        <v>448.09185423124114</v>
      </c>
      <c r="P13" s="179">
        <f>VLOOKUP(B13,Tot_res!C:V,15,FALSE)</f>
        <v>1052.2519585553505</v>
      </c>
      <c r="Q13" s="179">
        <f>VLOOKUP(B13,Tot_res!C:V,16,FALSE)</f>
        <v>238.79773790450412</v>
      </c>
      <c r="R13" s="179">
        <f>VLOOKUP(B13,Tot_res!C:V,17,FALSE)</f>
        <v>104.43441373948134</v>
      </c>
      <c r="S13" s="179">
        <f>VLOOKUP(B13,Tot_res!C:V,18,FALSE)</f>
        <v>355.95124587567602</v>
      </c>
      <c r="T13" s="179">
        <f>VLOOKUP(B13,Tot_res!C:V,19,FALSE)</f>
        <v>52.086833167743343</v>
      </c>
      <c r="U13" s="179">
        <f>VLOOKUP(B13,Tot_res!C:V,20,FALSE)</f>
        <v>27.409841862549165</v>
      </c>
      <c r="V13" s="122">
        <f t="shared" si="2"/>
        <v>7629.9390199999989</v>
      </c>
    </row>
    <row r="14" spans="1:22" ht="13.15">
      <c r="A14" s="355"/>
      <c r="B14" s="115" t="s">
        <v>117</v>
      </c>
      <c r="C14" s="333" t="str">
        <f>VLOOKUP(B14,Tot_res!C:D,2,FALSE)</f>
        <v>Jefatura del estado</v>
      </c>
      <c r="D14" s="179">
        <f>VLOOKUP(B14,Tot_res!C:V,3,FALSE)</f>
        <v>1423.0324198733765</v>
      </c>
      <c r="E14" s="179">
        <f>VLOOKUP(B14,Tot_res!C:V,4,FALSE)</f>
        <v>225.80259694069264</v>
      </c>
      <c r="F14" s="179">
        <f>VLOOKUP(B14,Tot_res!C:V,5,FALSE)</f>
        <v>179.95711677434235</v>
      </c>
      <c r="G14" s="179">
        <f>VLOOKUP(B14,Tot_res!C:V,6,FALSE)</f>
        <v>187.155245983637</v>
      </c>
      <c r="H14" s="179">
        <f>VLOOKUP(B14,Tot_res!C:V,7,FALSE)</f>
        <v>356.84318946746578</v>
      </c>
      <c r="I14" s="179">
        <f>VLOOKUP(B14,Tot_res!C:V,8,FALSE)</f>
        <v>99.744213266712336</v>
      </c>
      <c r="J14" s="179">
        <f>VLOOKUP(B14,Tot_res!C:V,9,FALSE)</f>
        <v>423.68926123983351</v>
      </c>
      <c r="K14" s="179">
        <f>VLOOKUP(B14,Tot_res!C:V,10,FALSE)</f>
        <v>353.1353439325178</v>
      </c>
      <c r="L14" s="179">
        <f>VLOOKUP(B14,Tot_res!C:V,11,FALSE)</f>
        <v>1273.4806503661234</v>
      </c>
      <c r="M14" s="179">
        <f>VLOOKUP(B14,Tot_res!C:V,12,FALSE)</f>
        <v>854.92593352652523</v>
      </c>
      <c r="N14" s="179">
        <f>VLOOKUP(B14,Tot_res!C:V,13,FALSE)</f>
        <v>186.18530029054816</v>
      </c>
      <c r="O14" s="179">
        <f>VLOOKUP(B14,Tot_res!C:V,14,FALSE)</f>
        <v>465.93174801453921</v>
      </c>
      <c r="P14" s="179">
        <f>VLOOKUP(B14,Tot_res!C:V,15,FALSE)</f>
        <v>1094.1452958178647</v>
      </c>
      <c r="Q14" s="179">
        <f>VLOOKUP(B14,Tot_res!C:V,16,FALSE)</f>
        <v>248.30499906018161</v>
      </c>
      <c r="R14" s="179">
        <f>VLOOKUP(B14,Tot_res!C:V,17,FALSE)</f>
        <v>108.59226403477344</v>
      </c>
      <c r="S14" s="179">
        <f>VLOOKUP(B14,Tot_res!C:V,18,FALSE)</f>
        <v>370.12274298835871</v>
      </c>
      <c r="T14" s="179">
        <f>VLOOKUP(B14,Tot_res!C:V,19,FALSE)</f>
        <v>54.160567743470253</v>
      </c>
      <c r="U14" s="179">
        <f>VLOOKUP(B14,Tot_res!C:V,20,FALSE)</f>
        <v>28.501110679037239</v>
      </c>
      <c r="V14" s="122">
        <f t="shared" si="2"/>
        <v>7933.7099999999991</v>
      </c>
    </row>
    <row r="15" spans="1:22" ht="13.15">
      <c r="A15" s="355"/>
      <c r="B15" s="115" t="s">
        <v>118</v>
      </c>
      <c r="C15" s="333" t="str">
        <f>VLOOKUP(B15,Tot_res!C:D,2,FALSE)</f>
        <v>Actividad legislativa</v>
      </c>
      <c r="D15" s="179">
        <f>VLOOKUP(B15,Tot_res!C:V,3,FALSE)</f>
        <v>36117.543980550749</v>
      </c>
      <c r="E15" s="179">
        <f>VLOOKUP(B15,Tot_res!C:V,4,FALSE)</f>
        <v>5731.0255985972008</v>
      </c>
      <c r="F15" s="179">
        <f>VLOOKUP(B15,Tot_res!C:V,5,FALSE)</f>
        <v>4567.435702054323</v>
      </c>
      <c r="G15" s="179">
        <f>VLOOKUP(B15,Tot_res!C:V,6,FALSE)</f>
        <v>4750.1291844118923</v>
      </c>
      <c r="H15" s="179">
        <f>VLOOKUP(B15,Tot_res!C:V,7,FALSE)</f>
        <v>9056.9261878784328</v>
      </c>
      <c r="I15" s="179">
        <f>VLOOKUP(B15,Tot_res!C:V,8,FALSE)</f>
        <v>2531.576905174426</v>
      </c>
      <c r="J15" s="179">
        <f>VLOOKUP(B15,Tot_res!C:V,9,FALSE)</f>
        <v>10753.525579043655</v>
      </c>
      <c r="K15" s="179">
        <f>VLOOKUP(B15,Tot_res!C:V,10,FALSE)</f>
        <v>8962.8185116854402</v>
      </c>
      <c r="L15" s="179">
        <f>VLOOKUP(B15,Tot_res!C:V,11,FALSE)</f>
        <v>32321.816956265506</v>
      </c>
      <c r="M15" s="179">
        <f>VLOOKUP(B15,Tot_res!C:V,12,FALSE)</f>
        <v>21698.609654307973</v>
      </c>
      <c r="N15" s="179">
        <f>VLOOKUP(B15,Tot_res!C:V,13,FALSE)</f>
        <v>4725.5112939551182</v>
      </c>
      <c r="O15" s="179">
        <f>VLOOKUP(B15,Tot_res!C:V,14,FALSE)</f>
        <v>11825.669019084904</v>
      </c>
      <c r="P15" s="179">
        <f>VLOOKUP(B15,Tot_res!C:V,15,FALSE)</f>
        <v>27770.162008206953</v>
      </c>
      <c r="Q15" s="179">
        <f>VLOOKUP(B15,Tot_res!C:V,16,FALSE)</f>
        <v>6302.1520795321894</v>
      </c>
      <c r="R15" s="179">
        <f>VLOOKUP(B15,Tot_res!C:V,17,FALSE)</f>
        <v>2756.1465342950528</v>
      </c>
      <c r="S15" s="179">
        <f>VLOOKUP(B15,Tot_res!C:V,18,FALSE)</f>
        <v>9393.9704123351075</v>
      </c>
      <c r="T15" s="179">
        <f>VLOOKUP(B15,Tot_res!C:V,19,FALSE)</f>
        <v>1374.6325524055494</v>
      </c>
      <c r="U15" s="179">
        <f>VLOOKUP(B15,Tot_res!C:V,20,FALSE)</f>
        <v>723.37784021552284</v>
      </c>
      <c r="V15" s="122">
        <f t="shared" si="2"/>
        <v>201363.03</v>
      </c>
    </row>
    <row r="16" spans="1:22" ht="13.15">
      <c r="A16" s="355"/>
      <c r="B16" s="115" t="s">
        <v>120</v>
      </c>
      <c r="C16" s="333" t="str">
        <f>VLOOKUP(B16,Tot_res!C:D,2,FALSE)</f>
        <v>Control externo del sector público</v>
      </c>
      <c r="D16" s="179">
        <f>VLOOKUP(B16,Tot_res!C:V,3,FALSE)</f>
        <v>10272.470200627064</v>
      </c>
      <c r="E16" s="179">
        <f>VLOOKUP(B16,Tot_res!C:V,4,FALSE)</f>
        <v>1630.0053434509002</v>
      </c>
      <c r="F16" s="179">
        <f>VLOOKUP(B16,Tot_res!C:V,5,FALSE)</f>
        <v>1299.0597358419197</v>
      </c>
      <c r="G16" s="179">
        <f>VLOOKUP(B16,Tot_res!C:V,6,FALSE)</f>
        <v>1351.0210030415258</v>
      </c>
      <c r="H16" s="179">
        <f>VLOOKUP(B16,Tot_res!C:V,7,FALSE)</f>
        <v>2575.9504695103401</v>
      </c>
      <c r="I16" s="179">
        <f>VLOOKUP(B16,Tot_res!C:V,8,FALSE)</f>
        <v>720.02537971585014</v>
      </c>
      <c r="J16" s="179">
        <f>VLOOKUP(B16,Tot_res!C:V,9,FALSE)</f>
        <v>3058.4934324961914</v>
      </c>
      <c r="K16" s="179">
        <f>VLOOKUP(B16,Tot_res!C:V,10,FALSE)</f>
        <v>2549.1845770160071</v>
      </c>
      <c r="L16" s="179">
        <f>VLOOKUP(B16,Tot_res!C:V,11,FALSE)</f>
        <v>9192.8981021565287</v>
      </c>
      <c r="M16" s="179">
        <f>VLOOKUP(B16,Tot_res!C:V,12,FALSE)</f>
        <v>6171.4694993919793</v>
      </c>
      <c r="N16" s="179">
        <f>VLOOKUP(B16,Tot_res!C:V,13,FALSE)</f>
        <v>1344.0192382965117</v>
      </c>
      <c r="O16" s="179">
        <f>VLOOKUP(B16,Tot_res!C:V,14,FALSE)</f>
        <v>3363.4300456986925</v>
      </c>
      <c r="P16" s="179">
        <f>VLOOKUP(B16,Tot_res!C:V,15,FALSE)</f>
        <v>7898.3266926873057</v>
      </c>
      <c r="Q16" s="179">
        <f>VLOOKUP(B16,Tot_res!C:V,16,FALSE)</f>
        <v>1792.4438458959439</v>
      </c>
      <c r="R16" s="179">
        <f>VLOOKUP(B16,Tot_res!C:V,17,FALSE)</f>
        <v>783.89696589983237</v>
      </c>
      <c r="S16" s="179">
        <f>VLOOKUP(B16,Tot_res!C:V,18,FALSE)</f>
        <v>2671.8118258054715</v>
      </c>
      <c r="T16" s="179">
        <f>VLOOKUP(B16,Tot_res!C:V,19,FALSE)</f>
        <v>390.96988264213087</v>
      </c>
      <c r="U16" s="179">
        <f>VLOOKUP(B16,Tot_res!C:V,20,FALSE)</f>
        <v>205.74148982581542</v>
      </c>
      <c r="V16" s="122">
        <f t="shared" si="2"/>
        <v>57271.217729999997</v>
      </c>
    </row>
    <row r="17" spans="1:22" ht="13.15">
      <c r="A17" s="355"/>
      <c r="B17" s="115" t="s">
        <v>121</v>
      </c>
      <c r="C17" s="333" t="str">
        <f>VLOOKUP(B17,Tot_res!C:D,2,FALSE)</f>
        <v>Control constitucional</v>
      </c>
      <c r="D17" s="179">
        <f>VLOOKUP(B17,Tot_res!C:V,3,FALSE)</f>
        <v>3817.5180815660483</v>
      </c>
      <c r="E17" s="179">
        <f>VLOOKUP(B17,Tot_res!C:V,4,FALSE)</f>
        <v>605.75253567474385</v>
      </c>
      <c r="F17" s="179">
        <f>VLOOKUP(B17,Tot_res!C:V,5,FALSE)</f>
        <v>482.76450880414524</v>
      </c>
      <c r="G17" s="179">
        <f>VLOOKUP(B17,Tot_res!C:V,6,FALSE)</f>
        <v>502.07467210483526</v>
      </c>
      <c r="H17" s="179">
        <f>VLOOKUP(B17,Tot_res!C:V,7,FALSE)</f>
        <v>957.29043769569603</v>
      </c>
      <c r="I17" s="179">
        <f>VLOOKUP(B17,Tot_res!C:V,8,FALSE)</f>
        <v>267.58022681671332</v>
      </c>
      <c r="J17" s="179">
        <f>VLOOKUP(B17,Tot_res!C:V,9,FALSE)</f>
        <v>1136.6159991578743</v>
      </c>
      <c r="K17" s="179">
        <f>VLOOKUP(B17,Tot_res!C:V,10,FALSE)</f>
        <v>947.3435333415581</v>
      </c>
      <c r="L17" s="179">
        <f>VLOOKUP(B17,Tot_res!C:V,11,FALSE)</f>
        <v>3416.3209083667634</v>
      </c>
      <c r="M17" s="179">
        <f>VLOOKUP(B17,Tot_res!C:V,12,FALSE)</f>
        <v>2293.4791674863263</v>
      </c>
      <c r="N17" s="179">
        <f>VLOOKUP(B17,Tot_res!C:V,13,FALSE)</f>
        <v>499.47263354985057</v>
      </c>
      <c r="O17" s="179">
        <f>VLOOKUP(B17,Tot_res!C:V,14,FALSE)</f>
        <v>1249.9384047620297</v>
      </c>
      <c r="P17" s="179">
        <f>VLOOKUP(B17,Tot_res!C:V,15,FALSE)</f>
        <v>2935.224378807055</v>
      </c>
      <c r="Q17" s="179">
        <f>VLOOKUP(B17,Tot_res!C:V,16,FALSE)</f>
        <v>666.11892351674624</v>
      </c>
      <c r="R17" s="179">
        <f>VLOOKUP(B17,Tot_res!C:V,17,FALSE)</f>
        <v>291.31657556180596</v>
      </c>
      <c r="S17" s="179">
        <f>VLOOKUP(B17,Tot_res!C:V,18,FALSE)</f>
        <v>992.9150200826831</v>
      </c>
      <c r="T17" s="179">
        <f>VLOOKUP(B17,Tot_res!C:V,19,FALSE)</f>
        <v>145.29461436091404</v>
      </c>
      <c r="U17" s="179">
        <f>VLOOKUP(B17,Tot_res!C:V,20,FALSE)</f>
        <v>76.458908344211409</v>
      </c>
      <c r="V17" s="122">
        <f t="shared" si="2"/>
        <v>21283.479530000004</v>
      </c>
    </row>
    <row r="18" spans="1:22" ht="13.15">
      <c r="A18" s="355"/>
      <c r="B18" s="115" t="s">
        <v>122</v>
      </c>
      <c r="C18" s="333" t="str">
        <f>VLOOKUP(B18,Tot_res!C:D,2,FALSE)</f>
        <v>Apoyo a la gestión administrativa de la jefatura del estado</v>
      </c>
      <c r="D18" s="179">
        <f>VLOOKUP(B18,Tot_res!C:V,3,FALSE)</f>
        <v>1058.6747882088343</v>
      </c>
      <c r="E18" s="179">
        <f>VLOOKUP(B18,Tot_res!C:V,4,FALSE)</f>
        <v>167.98740011451298</v>
      </c>
      <c r="F18" s="179">
        <f>VLOOKUP(B18,Tot_res!C:V,5,FALSE)</f>
        <v>133.88033879417992</v>
      </c>
      <c r="G18" s="179">
        <f>VLOOKUP(B18,Tot_res!C:V,6,FALSE)</f>
        <v>139.23543668915823</v>
      </c>
      <c r="H18" s="179">
        <f>VLOOKUP(B18,Tot_res!C:V,7,FALSE)</f>
        <v>265.47595315280995</v>
      </c>
      <c r="I18" s="179">
        <f>VLOOKUP(B18,Tot_res!C:V,8,FALSE)</f>
        <v>74.205395731314141</v>
      </c>
      <c r="J18" s="179">
        <f>VLOOKUP(B18,Tot_res!C:V,9,FALSE)</f>
        <v>315.20654951020072</v>
      </c>
      <c r="K18" s="179">
        <f>VLOOKUP(B18,Tot_res!C:V,10,FALSE)</f>
        <v>262.71747588159542</v>
      </c>
      <c r="L18" s="179">
        <f>VLOOKUP(B18,Tot_res!C:V,11,FALSE)</f>
        <v>947.41471732201944</v>
      </c>
      <c r="M18" s="179">
        <f>VLOOKUP(B18,Tot_res!C:V,12,FALSE)</f>
        <v>636.02804754860756</v>
      </c>
      <c r="N18" s="179">
        <f>VLOOKUP(B18,Tot_res!C:V,13,FALSE)</f>
        <v>138.51383889780487</v>
      </c>
      <c r="O18" s="179">
        <f>VLOOKUP(B18,Tot_res!C:V,14,FALSE)</f>
        <v>346.63313903484794</v>
      </c>
      <c r="P18" s="179">
        <f>VLOOKUP(B18,Tot_res!C:V,15,FALSE)</f>
        <v>813.99694282632117</v>
      </c>
      <c r="Q18" s="179">
        <f>VLOOKUP(B18,Tot_res!C:V,16,FALSE)</f>
        <v>184.72821744610957</v>
      </c>
      <c r="R18" s="179">
        <f>VLOOKUP(B18,Tot_res!C:V,17,FALSE)</f>
        <v>80.787964154998818</v>
      </c>
      <c r="S18" s="179">
        <f>VLOOKUP(B18,Tot_res!C:V,18,FALSE)</f>
        <v>275.35536862845322</v>
      </c>
      <c r="T18" s="179">
        <f>VLOOKUP(B18,Tot_res!C:V,19,FALSE)</f>
        <v>40.293128100476196</v>
      </c>
      <c r="U18" s="179">
        <f>VLOOKUP(B18,Tot_res!C:V,20,FALSE)</f>
        <v>21.203597957755008</v>
      </c>
      <c r="V18" s="122">
        <f t="shared" si="2"/>
        <v>5902.3382999999994</v>
      </c>
    </row>
    <row r="19" spans="1:22" ht="13.15">
      <c r="A19" s="355"/>
      <c r="B19" s="115" t="s">
        <v>123</v>
      </c>
      <c r="C19" s="333" t="str">
        <f>VLOOKUP(B19,Tot_res!C:D,2,FALSE)</f>
        <v>Presidencia del gobierno</v>
      </c>
      <c r="D19" s="179">
        <f>VLOOKUP(B19,Tot_res!C:V,3,FALSE)</f>
        <v>6131.5626274114366</v>
      </c>
      <c r="E19" s="179">
        <f>VLOOKUP(B19,Tot_res!C:V,4,FALSE)</f>
        <v>972.93831485384976</v>
      </c>
      <c r="F19" s="179">
        <f>VLOOKUP(B19,Tot_res!C:V,5,FALSE)</f>
        <v>775.39929262360522</v>
      </c>
      <c r="G19" s="179">
        <f>VLOOKUP(B19,Tot_res!C:V,6,FALSE)</f>
        <v>806.41459447520799</v>
      </c>
      <c r="H19" s="179">
        <f>VLOOKUP(B19,Tot_res!C:V,7,FALSE)</f>
        <v>1537.5660693518871</v>
      </c>
      <c r="I19" s="179">
        <f>VLOOKUP(B19,Tot_res!C:V,8,FALSE)</f>
        <v>429.77790373964166</v>
      </c>
      <c r="J19" s="179">
        <f>VLOOKUP(B19,Tot_res!C:V,9,FALSE)</f>
        <v>1825.5924486139866</v>
      </c>
      <c r="K19" s="179">
        <f>VLOOKUP(B19,Tot_res!C:V,10,FALSE)</f>
        <v>1521.5897031125819</v>
      </c>
      <c r="L19" s="179">
        <f>VLOOKUP(B19,Tot_res!C:V,11,FALSE)</f>
        <v>5487.1739065588808</v>
      </c>
      <c r="M19" s="179">
        <f>VLOOKUP(B19,Tot_res!C:V,12,FALSE)</f>
        <v>3683.7051847929929</v>
      </c>
      <c r="N19" s="179">
        <f>VLOOKUP(B19,Tot_res!C:V,13,FALSE)</f>
        <v>802.23529210703623</v>
      </c>
      <c r="O19" s="179">
        <f>VLOOKUP(B19,Tot_res!C:V,14,FALSE)</f>
        <v>2007.606891559534</v>
      </c>
      <c r="P19" s="179">
        <f>VLOOKUP(B19,Tot_res!C:V,15,FALSE)</f>
        <v>4714.4536632495065</v>
      </c>
      <c r="Q19" s="179">
        <f>VLOOKUP(B19,Tot_res!C:V,16,FALSE)</f>
        <v>1069.8966735925212</v>
      </c>
      <c r="R19" s="179">
        <f>VLOOKUP(B19,Tot_res!C:V,17,FALSE)</f>
        <v>467.90238822588401</v>
      </c>
      <c r="S19" s="179">
        <f>VLOOKUP(B19,Tot_res!C:V,18,FALSE)</f>
        <v>1594.7850145707612</v>
      </c>
      <c r="T19" s="179">
        <f>VLOOKUP(B19,Tot_res!C:V,19,FALSE)</f>
        <v>233.36707471836607</v>
      </c>
      <c r="U19" s="179">
        <f>VLOOKUP(B19,Tot_res!C:V,20,FALSE)</f>
        <v>122.80559644231562</v>
      </c>
      <c r="V19" s="122">
        <f t="shared" si="2"/>
        <v>34184.772640000003</v>
      </c>
    </row>
    <row r="20" spans="1:22" ht="13.15">
      <c r="A20" s="355"/>
      <c r="B20" s="115" t="s">
        <v>124</v>
      </c>
      <c r="C20" s="333" t="str">
        <f>VLOOKUP(B20,Tot_res!C:D,2,FALSE)</f>
        <v>Alto asesoramiento del estado</v>
      </c>
      <c r="D20" s="179">
        <f>VLOOKUP(B20,Tot_res!C:V,3,FALSE)</f>
        <v>1485.0927231663734</v>
      </c>
      <c r="E20" s="179">
        <f>VLOOKUP(B20,Tot_res!C:V,4,FALSE)</f>
        <v>235.65014324728529</v>
      </c>
      <c r="F20" s="179">
        <f>VLOOKUP(B20,Tot_res!C:V,5,FALSE)</f>
        <v>187.80528178504721</v>
      </c>
      <c r="G20" s="179">
        <f>VLOOKUP(B20,Tot_res!C:V,6,FALSE)</f>
        <v>195.31733081488309</v>
      </c>
      <c r="H20" s="179">
        <f>VLOOKUP(B20,Tot_res!C:V,7,FALSE)</f>
        <v>372.40558724359084</v>
      </c>
      <c r="I20" s="179">
        <f>VLOOKUP(B20,Tot_res!C:V,8,FALSE)</f>
        <v>104.09418874204573</v>
      </c>
      <c r="J20" s="179">
        <f>VLOOKUP(B20,Tot_res!C:V,9,FALSE)</f>
        <v>442.16690355304905</v>
      </c>
      <c r="K20" s="179">
        <f>VLOOKUP(B20,Tot_res!C:V,10,FALSE)</f>
        <v>368.53603771985883</v>
      </c>
      <c r="L20" s="179">
        <f>VLOOKUP(B20,Tot_res!C:V,11,FALSE)</f>
        <v>1329.0188055730982</v>
      </c>
      <c r="M20" s="179">
        <f>VLOOKUP(B20,Tot_res!C:V,12,FALSE)</f>
        <v>892.21037061083678</v>
      </c>
      <c r="N20" s="179">
        <f>VLOOKUP(B20,Tot_res!C:V,13,FALSE)</f>
        <v>194.30508452270027</v>
      </c>
      <c r="O20" s="179">
        <f>VLOOKUP(B20,Tot_res!C:V,14,FALSE)</f>
        <v>486.25164037383723</v>
      </c>
      <c r="P20" s="179">
        <f>VLOOKUP(B20,Tot_res!C:V,15,FALSE)</f>
        <v>1141.8624018772646</v>
      </c>
      <c r="Q20" s="179">
        <f>VLOOKUP(B20,Tot_res!C:V,16,FALSE)</f>
        <v>259.13390452687037</v>
      </c>
      <c r="R20" s="179">
        <f>VLOOKUP(B20,Tot_res!C:V,17,FALSE)</f>
        <v>113.32811456576196</v>
      </c>
      <c r="S20" s="179">
        <f>VLOOKUP(B20,Tot_res!C:V,18,FALSE)</f>
        <v>386.26427944579046</v>
      </c>
      <c r="T20" s="179">
        <f>VLOOKUP(B20,Tot_res!C:V,19,FALSE)</f>
        <v>56.522580873838528</v>
      </c>
      <c r="U20" s="179">
        <f>VLOOKUP(B20,Tot_res!C:V,20,FALSE)</f>
        <v>29.74408135786809</v>
      </c>
      <c r="V20" s="122">
        <f t="shared" si="2"/>
        <v>8279.7094599999982</v>
      </c>
    </row>
    <row r="21" spans="1:22" ht="13.15">
      <c r="A21" s="355"/>
      <c r="B21" s="115" t="s">
        <v>125</v>
      </c>
      <c r="C21" s="333" t="str">
        <f>VLOOKUP(B21,Tot_res!C:D,2,FALSE)</f>
        <v>Relaciones con las cortes generales, secretariado del gobierno y apoyo a la alta dirección</v>
      </c>
      <c r="D21" s="179">
        <f>VLOOKUP(B21,Tot_res!C:V,3,FALSE)</f>
        <v>5630.9426198402189</v>
      </c>
      <c r="E21" s="179">
        <f>VLOOKUP(B21,Tot_res!C:V,4,FALSE)</f>
        <v>893.50140518730211</v>
      </c>
      <c r="F21" s="179">
        <f>VLOOKUP(B21,Tot_res!C:V,5,FALSE)</f>
        <v>712.09073274548098</v>
      </c>
      <c r="G21" s="179">
        <f>VLOOKUP(B21,Tot_res!C:V,6,FALSE)</f>
        <v>740.57374689307187</v>
      </c>
      <c r="H21" s="179">
        <f>VLOOKUP(B21,Tot_res!C:V,7,FALSE)</f>
        <v>1412.0293368656125</v>
      </c>
      <c r="I21" s="179">
        <f>VLOOKUP(B21,Tot_res!C:V,8,FALSE)</f>
        <v>394.68808561363591</v>
      </c>
      <c r="J21" s="179">
        <f>VLOOKUP(B21,Tot_res!C:V,9,FALSE)</f>
        <v>1676.539399500318</v>
      </c>
      <c r="K21" s="179">
        <f>VLOOKUP(B21,Tot_res!C:V,10,FALSE)</f>
        <v>1397.3573833957255</v>
      </c>
      <c r="L21" s="179">
        <f>VLOOKUP(B21,Tot_res!C:V,11,FALSE)</f>
        <v>5039.1659174753886</v>
      </c>
      <c r="M21" s="179">
        <f>VLOOKUP(B21,Tot_res!C:V,12,FALSE)</f>
        <v>3382.9439221978914</v>
      </c>
      <c r="N21" s="179">
        <f>VLOOKUP(B21,Tot_res!C:V,13,FALSE)</f>
        <v>736.73566951277553</v>
      </c>
      <c r="O21" s="179">
        <f>VLOOKUP(B21,Tot_res!C:V,14,FALSE)</f>
        <v>1843.6930186489897</v>
      </c>
      <c r="P21" s="179">
        <f>VLOOKUP(B21,Tot_res!C:V,15,FALSE)</f>
        <v>4329.5354993154124</v>
      </c>
      <c r="Q21" s="179">
        <f>VLOOKUP(B21,Tot_res!C:V,16,FALSE)</f>
        <v>982.54346310098504</v>
      </c>
      <c r="R21" s="179">
        <f>VLOOKUP(B21,Tot_res!C:V,17,FALSE)</f>
        <v>429.69984323530593</v>
      </c>
      <c r="S21" s="179">
        <f>VLOOKUP(B21,Tot_res!C:V,18,FALSE)</f>
        <v>1464.5765612639848</v>
      </c>
      <c r="T21" s="179">
        <f>VLOOKUP(B21,Tot_res!C:V,19,FALSE)</f>
        <v>214.31349346811589</v>
      </c>
      <c r="U21" s="179">
        <f>VLOOKUP(B21,Tot_res!C:V,20,FALSE)</f>
        <v>112.77896173978557</v>
      </c>
      <c r="V21" s="122">
        <f t="shared" si="2"/>
        <v>31393.709059999997</v>
      </c>
    </row>
    <row r="22" spans="1:22" ht="13.15">
      <c r="A22" s="355"/>
      <c r="B22" s="115" t="s">
        <v>126</v>
      </c>
      <c r="C22" s="333" t="str">
        <f>VLOOKUP(B22,Tot_res!C:D,2,FALSE)</f>
        <v>Asesoramiento del gobierno en materia social, económica y laboral</v>
      </c>
      <c r="D22" s="179">
        <f>VLOOKUP(B22,Tot_res!C:V,3,FALSE)</f>
        <v>1402.4520952614523</v>
      </c>
      <c r="E22" s="179">
        <f>VLOOKUP(B22,Tot_res!C:V,4,FALSE)</f>
        <v>222.53697159136402</v>
      </c>
      <c r="F22" s="179">
        <f>VLOOKUP(B22,Tot_res!C:V,5,FALSE)</f>
        <v>177.35452260451208</v>
      </c>
      <c r="G22" s="179">
        <f>VLOOKUP(B22,Tot_res!C:V,6,FALSE)</f>
        <v>184.44855029534725</v>
      </c>
      <c r="H22" s="179">
        <f>VLOOKUP(B22,Tot_res!C:V,7,FALSE)</f>
        <v>351.68241549476301</v>
      </c>
      <c r="I22" s="179">
        <f>VLOOKUP(B22,Tot_res!C:V,8,FALSE)</f>
        <v>98.301682331702011</v>
      </c>
      <c r="J22" s="179">
        <f>VLOOKUP(B22,Tot_res!C:V,9,FALSE)</f>
        <v>417.56173918964862</v>
      </c>
      <c r="K22" s="179">
        <f>VLOOKUP(B22,Tot_res!C:V,10,FALSE)</f>
        <v>348.02819394171058</v>
      </c>
      <c r="L22" s="179">
        <f>VLOOKUP(B22,Tot_res!C:V,11,FALSE)</f>
        <v>1255.0631886094395</v>
      </c>
      <c r="M22" s="179">
        <f>VLOOKUP(B22,Tot_res!C:V,12,FALSE)</f>
        <v>842.56173648827803</v>
      </c>
      <c r="N22" s="179">
        <f>VLOOKUP(B22,Tot_res!C:V,13,FALSE)</f>
        <v>183.49263224979543</v>
      </c>
      <c r="O22" s="179">
        <f>VLOOKUP(B22,Tot_res!C:V,14,FALSE)</f>
        <v>459.19330236338971</v>
      </c>
      <c r="P22" s="179">
        <f>VLOOKUP(B22,Tot_res!C:V,15,FALSE)</f>
        <v>1078.3214361179255</v>
      </c>
      <c r="Q22" s="179">
        <f>VLOOKUP(B22,Tot_res!C:V,16,FALSE)</f>
        <v>244.7139371756767</v>
      </c>
      <c r="R22" s="179">
        <f>VLOOKUP(B22,Tot_res!C:V,17,FALSE)</f>
        <v>107.02176991744454</v>
      </c>
      <c r="S22" s="179">
        <f>VLOOKUP(B22,Tot_res!C:V,18,FALSE)</f>
        <v>364.76991610221228</v>
      </c>
      <c r="T22" s="179">
        <f>VLOOKUP(B22,Tot_res!C:V,19,FALSE)</f>
        <v>53.377281256275595</v>
      </c>
      <c r="U22" s="179">
        <f>VLOOKUP(B22,Tot_res!C:V,20,FALSE)</f>
        <v>28.088919009063087</v>
      </c>
      <c r="V22" s="122">
        <f t="shared" si="2"/>
        <v>7818.9702900000002</v>
      </c>
    </row>
    <row r="23" spans="1:22" ht="13.15">
      <c r="A23" s="355"/>
      <c r="B23" s="115" t="s">
        <v>127</v>
      </c>
      <c r="C23" s="333" t="str">
        <f>VLOOKUP(B23,Tot_res!C:D,2,FALSE)</f>
        <v>Cobertura informativa</v>
      </c>
      <c r="D23" s="179">
        <f>VLOOKUP(B23,Tot_res!C:V,3,FALSE)</f>
        <v>10425.064099071815</v>
      </c>
      <c r="E23" s="179">
        <f>VLOOKUP(B23,Tot_res!C:V,4,FALSE)</f>
        <v>1654.2184942301321</v>
      </c>
      <c r="F23" s="179">
        <f>VLOOKUP(B23,Tot_res!C:V,5,FALSE)</f>
        <v>1318.3568070948136</v>
      </c>
      <c r="G23" s="179">
        <f>VLOOKUP(B23,Tot_res!C:V,6,FALSE)</f>
        <v>1371.0899404741465</v>
      </c>
      <c r="H23" s="179">
        <f>VLOOKUP(B23,Tot_res!C:V,7,FALSE)</f>
        <v>2614.2152993580994</v>
      </c>
      <c r="I23" s="179">
        <f>VLOOKUP(B23,Tot_res!C:V,8,FALSE)</f>
        <v>730.72110114644602</v>
      </c>
      <c r="J23" s="179">
        <f>VLOOKUP(B23,Tot_res!C:V,9,FALSE)</f>
        <v>3103.9262667723888</v>
      </c>
      <c r="K23" s="179">
        <f>VLOOKUP(B23,Tot_res!C:V,10,FALSE)</f>
        <v>2587.0518090317651</v>
      </c>
      <c r="L23" s="179">
        <f>VLOOKUP(B23,Tot_res!C:V,11,FALSE)</f>
        <v>9329.4553402907204</v>
      </c>
      <c r="M23" s="179">
        <f>VLOOKUP(B23,Tot_res!C:V,12,FALSE)</f>
        <v>6263.1444881388552</v>
      </c>
      <c r="N23" s="179">
        <f>VLOOKUP(B23,Tot_res!C:V,13,FALSE)</f>
        <v>1363.9841669992391</v>
      </c>
      <c r="O23" s="179">
        <f>VLOOKUP(B23,Tot_res!C:V,14,FALSE)</f>
        <v>3413.3926051216481</v>
      </c>
      <c r="P23" s="179">
        <f>VLOOKUP(B23,Tot_res!C:V,15,FALSE)</f>
        <v>8015.653532063664</v>
      </c>
      <c r="Q23" s="179">
        <f>VLOOKUP(B23,Tot_res!C:V,16,FALSE)</f>
        <v>1819.0699629687265</v>
      </c>
      <c r="R23" s="179">
        <f>VLOOKUP(B23,Tot_res!C:V,17,FALSE)</f>
        <v>795.54147707090056</v>
      </c>
      <c r="S23" s="179">
        <f>VLOOKUP(B23,Tot_res!C:V,18,FALSE)</f>
        <v>2711.5006420733985</v>
      </c>
      <c r="T23" s="179">
        <f>VLOOKUP(B23,Tot_res!C:V,19,FALSE)</f>
        <v>396.77760146746346</v>
      </c>
      <c r="U23" s="179">
        <f>VLOOKUP(B23,Tot_res!C:V,20,FALSE)</f>
        <v>208.79770662578588</v>
      </c>
      <c r="V23" s="122">
        <f t="shared" si="2"/>
        <v>58121.961340000002</v>
      </c>
    </row>
    <row r="24" spans="1:22" ht="13.15">
      <c r="A24" s="356"/>
      <c r="B24" s="115"/>
      <c r="C24" s="102"/>
      <c r="D24" s="105"/>
      <c r="E24" s="105"/>
      <c r="F24" s="105"/>
      <c r="G24" s="105"/>
      <c r="H24" s="105"/>
      <c r="I24" s="105"/>
      <c r="J24" s="105"/>
      <c r="K24" s="105"/>
      <c r="L24" s="105"/>
      <c r="M24" s="105"/>
      <c r="N24" s="105"/>
      <c r="O24" s="105"/>
      <c r="P24" s="105"/>
      <c r="Q24" s="105"/>
      <c r="R24" s="105"/>
      <c r="S24" s="105"/>
      <c r="T24" s="105"/>
      <c r="U24" s="105"/>
      <c r="V24" s="122"/>
    </row>
    <row r="25" spans="1:22" ht="18.8" customHeight="1">
      <c r="A25" s="356"/>
      <c r="B25" s="115"/>
      <c r="C25" s="117" t="s">
        <v>47</v>
      </c>
      <c r="D25" s="118">
        <f>SUM(D26:D33)</f>
        <v>323588.25652168231</v>
      </c>
      <c r="E25" s="118">
        <f t="shared" ref="E25:U25" si="3">SUM(E26:E33)</f>
        <v>51346.032347322413</v>
      </c>
      <c r="F25" s="118">
        <f t="shared" si="3"/>
        <v>40921.070280928529</v>
      </c>
      <c r="G25" s="118">
        <f t="shared" si="3"/>
        <v>42557.877741197553</v>
      </c>
      <c r="H25" s="118">
        <f t="shared" si="3"/>
        <v>81143.805242109869</v>
      </c>
      <c r="I25" s="118">
        <f t="shared" si="3"/>
        <v>22681.181130064673</v>
      </c>
      <c r="J25" s="118">
        <f t="shared" si="3"/>
        <v>96344.164361172268</v>
      </c>
      <c r="K25" s="118">
        <f t="shared" si="3"/>
        <v>80300.665440549856</v>
      </c>
      <c r="L25" s="118">
        <f t="shared" si="3"/>
        <v>289581.16316333797</v>
      </c>
      <c r="M25" s="118">
        <f t="shared" si="3"/>
        <v>194404.56058593252</v>
      </c>
      <c r="N25" s="118">
        <f t="shared" si="3"/>
        <v>42337.318440253985</v>
      </c>
      <c r="O25" s="118">
        <f t="shared" si="3"/>
        <v>105949.82931698792</v>
      </c>
      <c r="P25" s="118">
        <f t="shared" si="3"/>
        <v>248801.4775423088</v>
      </c>
      <c r="Q25" s="118">
        <f t="shared" si="3"/>
        <v>56462.931279282915</v>
      </c>
      <c r="R25" s="118">
        <f t="shared" si="3"/>
        <v>24693.169951729746</v>
      </c>
      <c r="S25" s="118">
        <f t="shared" si="3"/>
        <v>84163.488779322943</v>
      </c>
      <c r="T25" s="118">
        <f t="shared" si="3"/>
        <v>12315.758547435953</v>
      </c>
      <c r="U25" s="118">
        <f t="shared" si="3"/>
        <v>6480.9659883798031</v>
      </c>
      <c r="V25" s="127">
        <f>SUM(V26:V33)</f>
        <v>1804073.7166600002</v>
      </c>
    </row>
    <row r="26" spans="1:22" ht="13.15">
      <c r="A26" s="355"/>
      <c r="B26" s="115" t="s">
        <v>129</v>
      </c>
      <c r="C26" s="333" t="str">
        <f>VLOOKUP(B26,Tot_res!C:D,2,FALSE)</f>
        <v>Dirección y servicios generales de asuntos exteriores</v>
      </c>
      <c r="D26" s="179">
        <f>VLOOKUP(B26,Tot_res!C:V,3,FALSE)</f>
        <v>12745.406028514255</v>
      </c>
      <c r="E26" s="179">
        <f>VLOOKUP(B26,Tot_res!C:V,4,FALSE)</f>
        <v>2022.4035237076059</v>
      </c>
      <c r="F26" s="179">
        <f>VLOOKUP(B26,Tot_res!C:V,5,FALSE)</f>
        <v>1611.787959977635</v>
      </c>
      <c r="G26" s="179">
        <f>VLOOKUP(B26,Tot_res!C:V,6,FALSE)</f>
        <v>1676.2580859824463</v>
      </c>
      <c r="H26" s="179">
        <f>VLOOKUP(B26,Tot_res!C:V,7,FALSE)</f>
        <v>3196.0700787671376</v>
      </c>
      <c r="I26" s="179">
        <f>VLOOKUP(B26,Tot_res!C:V,8,FALSE)</f>
        <v>893.36017881594523</v>
      </c>
      <c r="J26" s="179">
        <f>VLOOKUP(B26,Tot_res!C:V,9,FALSE)</f>
        <v>3794.7776796985645</v>
      </c>
      <c r="K26" s="179">
        <f>VLOOKUP(B26,Tot_res!C:V,10,FALSE)</f>
        <v>3162.8607181271805</v>
      </c>
      <c r="L26" s="179">
        <f>VLOOKUP(B26,Tot_res!C:V,11,FALSE)</f>
        <v>11405.94390661662</v>
      </c>
      <c r="M26" s="179">
        <f>VLOOKUP(B26,Tot_res!C:V,12,FALSE)</f>
        <v>7657.1538321465141</v>
      </c>
      <c r="N26" s="179">
        <f>VLOOKUP(B26,Tot_res!C:V,13,FALSE)</f>
        <v>1667.5707563676187</v>
      </c>
      <c r="O26" s="179">
        <f>VLOOKUP(B26,Tot_res!C:V,14,FALSE)</f>
        <v>4173.1229922007733</v>
      </c>
      <c r="P26" s="179">
        <f>VLOOKUP(B26,Tot_res!C:V,15,FALSE)</f>
        <v>9799.7247670776196</v>
      </c>
      <c r="Q26" s="179">
        <f>VLOOKUP(B26,Tot_res!C:V,16,FALSE)</f>
        <v>2223.9465438274901</v>
      </c>
      <c r="R26" s="179">
        <f>VLOOKUP(B26,Tot_res!C:V,17,FALSE)</f>
        <v>972.60784599831391</v>
      </c>
      <c r="S26" s="179">
        <f>VLOOKUP(B26,Tot_res!C:V,18,FALSE)</f>
        <v>3315.008550679272</v>
      </c>
      <c r="T26" s="179">
        <f>VLOOKUP(B26,Tot_res!C:V,19,FALSE)</f>
        <v>485.08974004035986</v>
      </c>
      <c r="U26" s="179">
        <f>VLOOKUP(B26,Tot_res!C:V,20,FALSE)</f>
        <v>255.27052145465279</v>
      </c>
      <c r="V26" s="122">
        <f t="shared" ref="V26:V33" si="4">SUM(D26:U26)</f>
        <v>71058.363710000005</v>
      </c>
    </row>
    <row r="27" spans="1:22" ht="13.15">
      <c r="A27" s="355"/>
      <c r="B27" s="115" t="s">
        <v>130</v>
      </c>
      <c r="C27" s="333" t="str">
        <f>VLOOKUP(B27,Tot_res!C:D,2,FALSE)</f>
        <v>Acción del estado en el exterior</v>
      </c>
      <c r="D27" s="179">
        <f>VLOOKUP(B27,Tot_res!C:V,3,FALSE)</f>
        <v>169385.18446224689</v>
      </c>
      <c r="E27" s="179">
        <f>VLOOKUP(B27,Tot_res!C:V,4,FALSE)</f>
        <v>26877.542634100308</v>
      </c>
      <c r="F27" s="179">
        <f>VLOOKUP(B27,Tot_res!C:V,5,FALSE)</f>
        <v>21420.502438608124</v>
      </c>
      <c r="G27" s="179">
        <f>VLOOKUP(B27,Tot_res!C:V,6,FALSE)</f>
        <v>22277.304031370117</v>
      </c>
      <c r="H27" s="179">
        <f>VLOOKUP(B27,Tot_res!C:V,7,FALSE)</f>
        <v>42475.45497060538</v>
      </c>
      <c r="I27" s="179">
        <f>VLOOKUP(B27,Tot_res!C:V,8,FALSE)</f>
        <v>11872.668343513298</v>
      </c>
      <c r="J27" s="179">
        <f>VLOOKUP(B27,Tot_res!C:V,9,FALSE)</f>
        <v>50432.219721436995</v>
      </c>
      <c r="K27" s="179">
        <f>VLOOKUP(B27,Tot_res!C:V,10,FALSE)</f>
        <v>42034.105855066206</v>
      </c>
      <c r="L27" s="179">
        <f>VLOOKUP(B27,Tot_res!C:V,11,FALSE)</f>
        <v>151583.86545442304</v>
      </c>
      <c r="M27" s="179">
        <f>VLOOKUP(B27,Tot_res!C:V,12,FALSE)</f>
        <v>101762.81645419903</v>
      </c>
      <c r="N27" s="179">
        <f>VLOOKUP(B27,Tot_res!C:V,13,FALSE)</f>
        <v>22161.850280740295</v>
      </c>
      <c r="O27" s="179">
        <f>VLOOKUP(B27,Tot_res!C:V,14,FALSE)</f>
        <v>55460.39147251645</v>
      </c>
      <c r="P27" s="179">
        <f>VLOOKUP(B27,Tot_res!C:V,15,FALSE)</f>
        <v>130237.37208819165</v>
      </c>
      <c r="Q27" s="179">
        <f>VLOOKUP(B27,Tot_res!C:V,16,FALSE)</f>
        <v>29556.0294209245</v>
      </c>
      <c r="R27" s="179">
        <f>VLOOKUP(B27,Tot_res!C:V,17,FALSE)</f>
        <v>12925.861995709018</v>
      </c>
      <c r="S27" s="179">
        <f>VLOOKUP(B27,Tot_res!C:V,18,FALSE)</f>
        <v>44056.135488701286</v>
      </c>
      <c r="T27" s="179">
        <f>VLOOKUP(B27,Tot_res!C:V,19,FALSE)</f>
        <v>6446.7946265230148</v>
      </c>
      <c r="U27" s="179">
        <f>VLOOKUP(B27,Tot_res!C:V,20,FALSE)</f>
        <v>3392.5199611244343</v>
      </c>
      <c r="V27" s="122">
        <f t="shared" si="4"/>
        <v>944358.61970000004</v>
      </c>
    </row>
    <row r="28" spans="1:22" ht="13.15">
      <c r="A28" s="355"/>
      <c r="B28" s="115" t="s">
        <v>131</v>
      </c>
      <c r="C28" s="333" t="str">
        <f>VLOOKUP(B28,Tot_res!C:D,2,FALSE)</f>
        <v>Acción diplomática ante la unión europea</v>
      </c>
      <c r="D28" s="179">
        <f>VLOOKUP(B28,Tot_res!C:V,3,FALSE)</f>
        <v>3567.6107762376337</v>
      </c>
      <c r="E28" s="179">
        <f>VLOOKUP(B28,Tot_res!C:V,4,FALSE)</f>
        <v>566.09797984766874</v>
      </c>
      <c r="F28" s="179">
        <f>VLOOKUP(B28,Tot_res!C:V,5,FALSE)</f>
        <v>451.16115423563269</v>
      </c>
      <c r="G28" s="179">
        <f>VLOOKUP(B28,Tot_res!C:V,6,FALSE)</f>
        <v>469.20721065514522</v>
      </c>
      <c r="H28" s="179">
        <f>VLOOKUP(B28,Tot_res!C:V,7,FALSE)</f>
        <v>894.62305313073546</v>
      </c>
      <c r="I28" s="179">
        <f>VLOOKUP(B28,Tot_res!C:V,8,FALSE)</f>
        <v>250.06354398400256</v>
      </c>
      <c r="J28" s="179">
        <f>VLOOKUP(B28,Tot_res!C:V,9,FALSE)</f>
        <v>1062.209372791305</v>
      </c>
      <c r="K28" s="179">
        <f>VLOOKUP(B28,Tot_res!C:V,10,FALSE)</f>
        <v>885.32730589239623</v>
      </c>
      <c r="L28" s="179">
        <f>VLOOKUP(B28,Tot_res!C:V,11,FALSE)</f>
        <v>3192.6772912036399</v>
      </c>
      <c r="M28" s="179">
        <f>VLOOKUP(B28,Tot_res!C:V,12,FALSE)</f>
        <v>2143.340468382054</v>
      </c>
      <c r="N28" s="179">
        <f>VLOOKUP(B28,Tot_res!C:V,13,FALSE)</f>
        <v>466.77551011290683</v>
      </c>
      <c r="O28" s="179">
        <f>VLOOKUP(B28,Tot_res!C:V,14,FALSE)</f>
        <v>1168.1133205354649</v>
      </c>
      <c r="P28" s="179">
        <f>VLOOKUP(B28,Tot_res!C:V,15,FALSE)</f>
        <v>2743.0749247981753</v>
      </c>
      <c r="Q28" s="179">
        <f>VLOOKUP(B28,Tot_res!C:V,16,FALSE)</f>
        <v>622.5125851451819</v>
      </c>
      <c r="R28" s="179">
        <f>VLOOKUP(B28,Tot_res!C:V,17,FALSE)</f>
        <v>272.24603317257726</v>
      </c>
      <c r="S28" s="179">
        <f>VLOOKUP(B28,Tot_res!C:V,18,FALSE)</f>
        <v>927.91553303711555</v>
      </c>
      <c r="T28" s="179">
        <f>VLOOKUP(B28,Tot_res!C:V,19,FALSE)</f>
        <v>135.78315042600801</v>
      </c>
      <c r="U28" s="179">
        <f>VLOOKUP(B28,Tot_res!C:V,20,FALSE)</f>
        <v>71.453656412355286</v>
      </c>
      <c r="V28" s="122">
        <f t="shared" si="4"/>
        <v>19890.192869999995</v>
      </c>
    </row>
    <row r="29" spans="1:22" ht="13.15">
      <c r="A29" s="355"/>
      <c r="B29" s="115" t="s">
        <v>132</v>
      </c>
      <c r="C29" s="333" t="str">
        <f>VLOOKUP(B29,Tot_res!C:D,2,FALSE)</f>
        <v>Cooperación para el desarrollo</v>
      </c>
      <c r="D29" s="179">
        <f>VLOOKUP(B29,Tot_res!C:V,3,FALSE)</f>
        <v>57734.33698211165</v>
      </c>
      <c r="E29" s="179">
        <f>VLOOKUP(B29,Tot_res!C:V,4,FALSE)</f>
        <v>9161.114702059911</v>
      </c>
      <c r="F29" s="179">
        <f>VLOOKUP(B29,Tot_res!C:V,5,FALSE)</f>
        <v>7301.1019826966349</v>
      </c>
      <c r="G29" s="179">
        <f>VLOOKUP(B29,Tot_res!C:V,6,FALSE)</f>
        <v>7593.1397547153329</v>
      </c>
      <c r="H29" s="179">
        <f>VLOOKUP(B29,Tot_res!C:V,7,FALSE)</f>
        <v>14477.607581364444</v>
      </c>
      <c r="I29" s="179">
        <f>VLOOKUP(B29,Tot_res!C:V,8,FALSE)</f>
        <v>4046.7567290339007</v>
      </c>
      <c r="J29" s="179">
        <f>VLOOKUP(B29,Tot_res!C:V,9,FALSE)</f>
        <v>17189.642514468575</v>
      </c>
      <c r="K29" s="179">
        <f>VLOOKUP(B29,Tot_res!C:V,10,FALSE)</f>
        <v>14327.175306876028</v>
      </c>
      <c r="L29" s="179">
        <f>VLOOKUP(B29,Tot_res!C:V,11,FALSE)</f>
        <v>51666.820784714597</v>
      </c>
      <c r="M29" s="179">
        <f>VLOOKUP(B29,Tot_res!C:V,12,FALSE)</f>
        <v>34685.493634332517</v>
      </c>
      <c r="N29" s="179">
        <f>VLOOKUP(B29,Tot_res!C:V,13,FALSE)</f>
        <v>7553.78775491752</v>
      </c>
      <c r="O29" s="179">
        <f>VLOOKUP(B29,Tot_res!C:V,14,FALSE)</f>
        <v>18903.47695165607</v>
      </c>
      <c r="P29" s="179">
        <f>VLOOKUP(B29,Tot_res!C:V,15,FALSE)</f>
        <v>44390.944530808214</v>
      </c>
      <c r="Q29" s="179">
        <f>VLOOKUP(B29,Tot_res!C:V,16,FALSE)</f>
        <v>10074.067385870982</v>
      </c>
      <c r="R29" s="179">
        <f>VLOOKUP(B29,Tot_res!C:V,17,FALSE)</f>
        <v>4405.7340352034444</v>
      </c>
      <c r="S29" s="179">
        <f>VLOOKUP(B29,Tot_res!C:V,18,FALSE)</f>
        <v>15016.376907516154</v>
      </c>
      <c r="T29" s="179">
        <f>VLOOKUP(B29,Tot_res!C:V,19,FALSE)</f>
        <v>2197.3669928913046</v>
      </c>
      <c r="U29" s="179">
        <f>VLOOKUP(B29,Tot_res!C:V,20,FALSE)</f>
        <v>1156.3283487627186</v>
      </c>
      <c r="V29" s="122">
        <f t="shared" si="4"/>
        <v>321881.27288</v>
      </c>
    </row>
    <row r="30" spans="1:22" ht="13.15">
      <c r="A30" s="355"/>
      <c r="B30" s="115" t="s">
        <v>134</v>
      </c>
      <c r="C30" s="333" t="str">
        <f>VLOOKUP(B30,Tot_res!C:D,2,FALSE)</f>
        <v>Cooperación, promoción y difusión cultural en el exterior</v>
      </c>
      <c r="D30" s="179">
        <f>VLOOKUP(B30,Tot_res!C:V,3,FALSE)</f>
        <v>18180.144974882947</v>
      </c>
      <c r="E30" s="179">
        <f>VLOOKUP(B30,Tot_res!C:V,4,FALSE)</f>
        <v>2884.7719073414592</v>
      </c>
      <c r="F30" s="179">
        <f>VLOOKUP(B30,Tot_res!C:V,5,FALSE)</f>
        <v>2299.0667159294935</v>
      </c>
      <c r="G30" s="179">
        <f>VLOOKUP(B30,Tot_res!C:V,6,FALSE)</f>
        <v>2391.0273984447663</v>
      </c>
      <c r="H30" s="179">
        <f>VLOOKUP(B30,Tot_res!C:V,7,FALSE)</f>
        <v>4558.8988888920858</v>
      </c>
      <c r="I30" s="179">
        <f>VLOOKUP(B30,Tot_res!C:V,8,FALSE)</f>
        <v>1274.2958152392823</v>
      </c>
      <c r="J30" s="179">
        <f>VLOOKUP(B30,Tot_res!C:V,9,FALSE)</f>
        <v>5412.9000056981331</v>
      </c>
      <c r="K30" s="179">
        <f>VLOOKUP(B30,Tot_res!C:V,10,FALSE)</f>
        <v>4511.5288020069074</v>
      </c>
      <c r="L30" s="179">
        <f>VLOOKUP(B30,Tot_res!C:V,11,FALSE)</f>
        <v>16269.525924380872</v>
      </c>
      <c r="M30" s="179">
        <f>VLOOKUP(B30,Tot_res!C:V,12,FALSE)</f>
        <v>10922.222991716788</v>
      </c>
      <c r="N30" s="179">
        <f>VLOOKUP(B30,Tot_res!C:V,13,FALSE)</f>
        <v>2378.6357248104528</v>
      </c>
      <c r="O30" s="179">
        <f>VLOOKUP(B30,Tot_res!C:V,14,FALSE)</f>
        <v>5952.5746630977583</v>
      </c>
      <c r="P30" s="179">
        <f>VLOOKUP(B30,Tot_res!C:V,15,FALSE)</f>
        <v>13978.402616663479</v>
      </c>
      <c r="Q30" s="179">
        <f>VLOOKUP(B30,Tot_res!C:V,16,FALSE)</f>
        <v>3172.2544180012128</v>
      </c>
      <c r="R30" s="179">
        <f>VLOOKUP(B30,Tot_res!C:V,17,FALSE)</f>
        <v>1387.3352959018443</v>
      </c>
      <c r="S30" s="179">
        <f>VLOOKUP(B30,Tot_res!C:V,18,FALSE)</f>
        <v>4728.5536380319763</v>
      </c>
      <c r="T30" s="179">
        <f>VLOOKUP(B30,Tot_res!C:V,19,FALSE)</f>
        <v>691.93572806013333</v>
      </c>
      <c r="U30" s="179">
        <f>VLOOKUP(B30,Tot_res!C:V,20,FALSE)</f>
        <v>364.11983090040047</v>
      </c>
      <c r="V30" s="122">
        <f t="shared" si="4"/>
        <v>101358.19533999999</v>
      </c>
    </row>
    <row r="31" spans="1:22" ht="13.15">
      <c r="A31" s="355"/>
      <c r="B31" s="119" t="s">
        <v>136</v>
      </c>
      <c r="C31" s="333" t="str">
        <f>VLOOKUP(B31,Tot_res!C:D,2,FALSE)</f>
        <v>Educación en el exterior</v>
      </c>
      <c r="D31" s="179">
        <f>VLOOKUP(B31,Tot_res!C:V,3,FALSE)</f>
        <v>17585.426551029217</v>
      </c>
      <c r="E31" s="179">
        <f>VLOOKUP(B31,Tot_res!C:V,4,FALSE)</f>
        <v>2790.4037378751609</v>
      </c>
      <c r="F31" s="179">
        <f>VLOOKUP(B31,Tot_res!C:V,5,FALSE)</f>
        <v>2223.8584414343686</v>
      </c>
      <c r="G31" s="179">
        <f>VLOOKUP(B31,Tot_res!C:V,6,FALSE)</f>
        <v>2312.8108579408968</v>
      </c>
      <c r="H31" s="179">
        <f>VLOOKUP(B31,Tot_res!C:V,7,FALSE)</f>
        <v>4409.7658008195649</v>
      </c>
      <c r="I31" s="179">
        <f>VLOOKUP(B31,Tot_res!C:V,8,FALSE)</f>
        <v>1232.6103831478704</v>
      </c>
      <c r="J31" s="179">
        <f>VLOOKUP(B31,Tot_res!C:V,9,FALSE)</f>
        <v>5235.8303858290892</v>
      </c>
      <c r="K31" s="179">
        <f>VLOOKUP(B31,Tot_res!C:V,10,FALSE)</f>
        <v>4363.9453090255747</v>
      </c>
      <c r="L31" s="179">
        <f>VLOOKUP(B31,Tot_res!C:V,11,FALSE)</f>
        <v>15737.308671550221</v>
      </c>
      <c r="M31" s="179">
        <f>VLOOKUP(B31,Tot_res!C:V,12,FALSE)</f>
        <v>10564.929512947123</v>
      </c>
      <c r="N31" s="179">
        <f>VLOOKUP(B31,Tot_res!C:V,13,FALSE)</f>
        <v>2300.8245472243648</v>
      </c>
      <c r="O31" s="179">
        <f>VLOOKUP(B31,Tot_res!C:V,14,FALSE)</f>
        <v>5757.8509231935923</v>
      </c>
      <c r="P31" s="179">
        <f>VLOOKUP(B31,Tot_res!C:V,15,FALSE)</f>
        <v>13521.13378939834</v>
      </c>
      <c r="Q31" s="179">
        <f>VLOOKUP(B31,Tot_res!C:V,16,FALSE)</f>
        <v>3068.4819700838193</v>
      </c>
      <c r="R31" s="179">
        <f>VLOOKUP(B31,Tot_res!C:V,17,FALSE)</f>
        <v>1341.9520571171545</v>
      </c>
      <c r="S31" s="179">
        <f>VLOOKUP(B31,Tot_res!C:V,18,FALSE)</f>
        <v>4573.8707149527945</v>
      </c>
      <c r="T31" s="179">
        <f>VLOOKUP(B31,Tot_res!C:V,19,FALSE)</f>
        <v>669.30076413830932</v>
      </c>
      <c r="U31" s="179">
        <f>VLOOKUP(B31,Tot_res!C:V,20,FALSE)</f>
        <v>352.2085522925484</v>
      </c>
      <c r="V31" s="122">
        <f t="shared" si="4"/>
        <v>98042.512970000011</v>
      </c>
    </row>
    <row r="32" spans="1:22" ht="13.15">
      <c r="A32" s="355"/>
      <c r="B32" s="115" t="s">
        <v>138</v>
      </c>
      <c r="C32" s="333" t="str">
        <f>VLOOKUP(B32,Tot_res!C:D,2,FALSE)</f>
        <v>Relaciones con los organismos financieros multilaterales</v>
      </c>
      <c r="D32" s="179">
        <f>VLOOKUP(B32,Tot_res!C:V,3,FALSE)</f>
        <v>234.88950101694152</v>
      </c>
      <c r="E32" s="179">
        <f>VLOOKUP(B32,Tot_res!C:V,4,FALSE)</f>
        <v>37.271574830634087</v>
      </c>
      <c r="F32" s="179">
        <f>VLOOKUP(B32,Tot_res!C:V,5,FALSE)</f>
        <v>29.704198423908011</v>
      </c>
      <c r="G32" s="179">
        <f>VLOOKUP(B32,Tot_res!C:V,6,FALSE)</f>
        <v>30.892340699947749</v>
      </c>
      <c r="H32" s="179">
        <f>VLOOKUP(B32,Tot_res!C:V,7,FALSE)</f>
        <v>58.901482176186313</v>
      </c>
      <c r="I32" s="179">
        <f>VLOOKUP(B32,Tot_res!C:V,8,FALSE)</f>
        <v>16.464044076824472</v>
      </c>
      <c r="J32" s="179">
        <f>VLOOKUP(B32,Tot_res!C:V,9,FALSE)</f>
        <v>69.935271866621648</v>
      </c>
      <c r="K32" s="179">
        <f>VLOOKUP(B32,Tot_res!C:V,10,FALSE)</f>
        <v>58.289455369636585</v>
      </c>
      <c r="L32" s="179">
        <f>VLOOKUP(B32,Tot_res!C:V,11,FALSE)</f>
        <v>210.20408976054506</v>
      </c>
      <c r="M32" s="179">
        <f>VLOOKUP(B32,Tot_res!C:V,12,FALSE)</f>
        <v>141.116339394683</v>
      </c>
      <c r="N32" s="179">
        <f>VLOOKUP(B32,Tot_res!C:V,13,FALSE)</f>
        <v>30.732238894337836</v>
      </c>
      <c r="O32" s="179">
        <f>VLOOKUP(B32,Tot_res!C:V,14,FALSE)</f>
        <v>76.907928639338238</v>
      </c>
      <c r="P32" s="179">
        <f>VLOOKUP(B32,Tot_res!C:V,15,FALSE)</f>
        <v>180.60252105680112</v>
      </c>
      <c r="Q32" s="179">
        <f>VLOOKUP(B32,Tot_res!C:V,16,FALSE)</f>
        <v>40.985880936182724</v>
      </c>
      <c r="R32" s="179">
        <f>VLOOKUP(B32,Tot_res!C:V,17,FALSE)</f>
        <v>17.924526776204832</v>
      </c>
      <c r="S32" s="179">
        <f>VLOOKUP(B32,Tot_res!C:V,18,FALSE)</f>
        <v>61.09344045955968</v>
      </c>
      <c r="T32" s="179">
        <f>VLOOKUP(B32,Tot_res!C:V,19,FALSE)</f>
        <v>8.9398867899228787</v>
      </c>
      <c r="U32" s="179">
        <f>VLOOKUP(B32,Tot_res!C:V,20,FALSE)</f>
        <v>4.7044688317244212</v>
      </c>
      <c r="V32" s="122">
        <f t="shared" si="4"/>
        <v>1309.5591899999997</v>
      </c>
    </row>
    <row r="33" spans="1:22" ht="13.15">
      <c r="A33" s="355"/>
      <c r="B33" s="115" t="s">
        <v>139</v>
      </c>
      <c r="C33" s="333" t="str">
        <f>VLOOKUP(B33,Tot_res!C:D,2,FALSE)</f>
        <v>Transferencias al presupuesto general de la unión europea</v>
      </c>
      <c r="D33" s="179">
        <f>VLOOKUP(B33,Tot_res!C:V,3,FALSE)</f>
        <v>44155.257245642766</v>
      </c>
      <c r="E33" s="179">
        <f>VLOOKUP(B33,Tot_res!C:V,4,FALSE)</f>
        <v>7006.4262875596669</v>
      </c>
      <c r="F33" s="179">
        <f>VLOOKUP(B33,Tot_res!C:V,5,FALSE)</f>
        <v>5583.8873896227269</v>
      </c>
      <c r="G33" s="179">
        <f>VLOOKUP(B33,Tot_res!C:V,6,FALSE)</f>
        <v>5807.2380613889136</v>
      </c>
      <c r="H33" s="179">
        <f>VLOOKUP(B33,Tot_res!C:V,7,FALSE)</f>
        <v>11072.483386354354</v>
      </c>
      <c r="I33" s="179">
        <f>VLOOKUP(B33,Tot_res!C:V,8,FALSE)</f>
        <v>3094.9620922535496</v>
      </c>
      <c r="J33" s="179">
        <f>VLOOKUP(B33,Tot_res!C:V,9,FALSE)</f>
        <v>13146.649409383002</v>
      </c>
      <c r="K33" s="179">
        <f>VLOOKUP(B33,Tot_res!C:V,10,FALSE)</f>
        <v>10957.432688185927</v>
      </c>
      <c r="L33" s="179">
        <f>VLOOKUP(B33,Tot_res!C:V,11,FALSE)</f>
        <v>39514.81704068846</v>
      </c>
      <c r="M33" s="179">
        <f>VLOOKUP(B33,Tot_res!C:V,12,FALSE)</f>
        <v>26527.487352813798</v>
      </c>
      <c r="N33" s="179">
        <f>VLOOKUP(B33,Tot_res!C:V,13,FALSE)</f>
        <v>5777.1416271864855</v>
      </c>
      <c r="O33" s="179">
        <f>VLOOKUP(B33,Tot_res!C:V,14,FALSE)</f>
        <v>14457.391065148484</v>
      </c>
      <c r="P33" s="179">
        <f>VLOOKUP(B33,Tot_res!C:V,15,FALSE)</f>
        <v>33950.222304314484</v>
      </c>
      <c r="Q33" s="179">
        <f>VLOOKUP(B33,Tot_res!C:V,16,FALSE)</f>
        <v>7704.653074493549</v>
      </c>
      <c r="R33" s="179">
        <f>VLOOKUP(B33,Tot_res!C:V,17,FALSE)</f>
        <v>3369.5081618511831</v>
      </c>
      <c r="S33" s="179">
        <f>VLOOKUP(B33,Tot_res!C:V,18,FALSE)</f>
        <v>11484.534505944785</v>
      </c>
      <c r="T33" s="179">
        <f>VLOOKUP(B33,Tot_res!C:V,19,FALSE)</f>
        <v>1680.5476585668985</v>
      </c>
      <c r="U33" s="179">
        <f>VLOOKUP(B33,Tot_res!C:V,20,FALSE)</f>
        <v>884.36064860096883</v>
      </c>
      <c r="V33" s="122">
        <f t="shared" si="4"/>
        <v>246175</v>
      </c>
    </row>
    <row r="34" spans="1:22" ht="13.15">
      <c r="A34" s="356"/>
      <c r="B34" s="115"/>
      <c r="C34" s="102"/>
      <c r="D34" s="105"/>
      <c r="E34" s="105"/>
      <c r="F34" s="105"/>
      <c r="G34" s="105"/>
      <c r="H34" s="105"/>
      <c r="I34" s="105"/>
      <c r="J34" s="105"/>
      <c r="K34" s="105"/>
      <c r="L34" s="105"/>
      <c r="M34" s="105"/>
      <c r="N34" s="105"/>
      <c r="O34" s="105"/>
      <c r="P34" s="105"/>
      <c r="Q34" s="105"/>
      <c r="R34" s="105"/>
      <c r="S34" s="105"/>
      <c r="T34" s="105"/>
      <c r="U34" s="105"/>
      <c r="V34" s="122"/>
    </row>
    <row r="35" spans="1:22" ht="13.15">
      <c r="A35" s="356"/>
      <c r="B35" s="115"/>
      <c r="C35" s="128" t="s">
        <v>35</v>
      </c>
      <c r="D35" s="118">
        <f t="shared" ref="D35:V35" si="5">SUM(D36:D45)</f>
        <v>1459837.5015718192</v>
      </c>
      <c r="E35" s="118">
        <f t="shared" si="5"/>
        <v>231642.7190012022</v>
      </c>
      <c r="F35" s="118">
        <f t="shared" si="5"/>
        <v>184611.49870731708</v>
      </c>
      <c r="G35" s="118">
        <f t="shared" si="5"/>
        <v>191995.7991730948</v>
      </c>
      <c r="H35" s="118">
        <f t="shared" si="5"/>
        <v>366072.52434309124</v>
      </c>
      <c r="I35" s="118">
        <f t="shared" si="5"/>
        <v>102323.98156078599</v>
      </c>
      <c r="J35" s="118">
        <f t="shared" si="5"/>
        <v>434647.49216760992</v>
      </c>
      <c r="K35" s="118">
        <f t="shared" si="5"/>
        <v>362268.77968741127</v>
      </c>
      <c r="L35" s="118">
        <f t="shared" si="5"/>
        <v>1306417.7491444366</v>
      </c>
      <c r="M35" s="118">
        <f t="shared" si="5"/>
        <v>877037.60040784709</v>
      </c>
      <c r="N35" s="118">
        <f t="shared" si="5"/>
        <v>191000.76696055738</v>
      </c>
      <c r="O35" s="118">
        <f t="shared" si="5"/>
        <v>477982.53182809375</v>
      </c>
      <c r="P35" s="118">
        <f t="shared" si="5"/>
        <v>1122444.0938214457</v>
      </c>
      <c r="Q35" s="118">
        <f t="shared" si="5"/>
        <v>254727.1196309519</v>
      </c>
      <c r="R35" s="118">
        <f t="shared" si="5"/>
        <v>111400.8768912355</v>
      </c>
      <c r="S35" s="118">
        <f t="shared" si="5"/>
        <v>379695.53810103115</v>
      </c>
      <c r="T35" s="118">
        <f t="shared" si="5"/>
        <v>55561.367959118077</v>
      </c>
      <c r="U35" s="118">
        <f t="shared" si="5"/>
        <v>29238.258822950691</v>
      </c>
      <c r="V35" s="127">
        <f t="shared" si="5"/>
        <v>8138906.1997800004</v>
      </c>
    </row>
    <row r="36" spans="1:22" ht="13.15">
      <c r="A36" s="355"/>
      <c r="B36" s="115" t="s">
        <v>140</v>
      </c>
      <c r="C36" s="333" t="str">
        <f>VLOOKUP(B36,Tot_res!C:D,2,FALSE)</f>
        <v>Administración y servicios generales de defensa</v>
      </c>
      <c r="D36" s="179">
        <f>VLOOKUP(B36,Tot_res!C:V,3,FALSE)</f>
        <v>215461.33766167736</v>
      </c>
      <c r="E36" s="179">
        <f>VLOOKUP(B36,Tot_res!C:V,4,FALSE)</f>
        <v>34188.771039138599</v>
      </c>
      <c r="F36" s="179">
        <f>VLOOKUP(B36,Tot_res!C:V,5,FALSE)</f>
        <v>27247.306920378265</v>
      </c>
      <c r="G36" s="179">
        <f>VLOOKUP(B36,Tot_res!C:V,6,FALSE)</f>
        <v>28337.175658740682</v>
      </c>
      <c r="H36" s="179">
        <f>VLOOKUP(B36,Tot_res!C:V,7,FALSE)</f>
        <v>54029.627058644932</v>
      </c>
      <c r="I36" s="179">
        <f>VLOOKUP(B36,Tot_res!C:V,8,FALSE)</f>
        <v>15102.271258422747</v>
      </c>
      <c r="J36" s="179">
        <f>VLOOKUP(B36,Tot_res!C:V,9,FALSE)</f>
        <v>64150.790737252071</v>
      </c>
      <c r="K36" s="179">
        <f>VLOOKUP(B36,Tot_res!C:V,10,FALSE)</f>
        <v>53468.222168885739</v>
      </c>
      <c r="L36" s="179">
        <f>VLOOKUP(B36,Tot_res!C:V,11,FALSE)</f>
        <v>192817.70434897265</v>
      </c>
      <c r="M36" s="179">
        <f>VLOOKUP(B36,Tot_res!C:V,12,FALSE)</f>
        <v>129444.33497563891</v>
      </c>
      <c r="N36" s="179">
        <f>VLOOKUP(B36,Tot_res!C:V,13,FALSE)</f>
        <v>28190.316182053077</v>
      </c>
      <c r="O36" s="179">
        <f>VLOOKUP(B36,Tot_res!C:V,14,FALSE)</f>
        <v>70546.725629194785</v>
      </c>
      <c r="P36" s="179">
        <f>VLOOKUP(B36,Tot_res!C:V,15,FALSE)</f>
        <v>165664.53844679508</v>
      </c>
      <c r="Q36" s="179">
        <f>VLOOKUP(B36,Tot_res!C:V,16,FALSE)</f>
        <v>37595.859727741685</v>
      </c>
      <c r="R36" s="179">
        <f>VLOOKUP(B36,Tot_res!C:V,17,FALSE)</f>
        <v>16441.954618802203</v>
      </c>
      <c r="S36" s="179">
        <f>VLOOKUP(B36,Tot_res!C:V,18,FALSE)</f>
        <v>56040.284247618896</v>
      </c>
      <c r="T36" s="179">
        <f>VLOOKUP(B36,Tot_res!C:V,19,FALSE)</f>
        <v>8200.4515227856609</v>
      </c>
      <c r="U36" s="179">
        <f>VLOOKUP(B36,Tot_res!C:V,20,FALSE)</f>
        <v>4315.353147256691</v>
      </c>
      <c r="V36" s="122">
        <f t="shared" ref="V36:V45" si="6">SUM(D36:U36)</f>
        <v>1201243.02535</v>
      </c>
    </row>
    <row r="37" spans="1:22" ht="13.15">
      <c r="A37" s="355"/>
      <c r="B37" s="115" t="s">
        <v>141</v>
      </c>
      <c r="C37" s="333" t="str">
        <f>VLOOKUP(B37,Tot_res!C:D,2,FALSE)</f>
        <v>Formación del personal de las fuerzas armadas</v>
      </c>
      <c r="D37" s="179">
        <f>VLOOKUP(B37,Tot_res!C:V,3,FALSE)</f>
        <v>68444.26487367558</v>
      </c>
      <c r="E37" s="179">
        <f>VLOOKUP(B37,Tot_res!C:V,4,FALSE)</f>
        <v>10860.534544636566</v>
      </c>
      <c r="F37" s="179">
        <f>VLOOKUP(B37,Tot_res!C:V,5,FALSE)</f>
        <v>8655.4827524604407</v>
      </c>
      <c r="G37" s="179">
        <f>VLOOKUP(B37,Tot_res!C:V,6,FALSE)</f>
        <v>9001.6945852447861</v>
      </c>
      <c r="H37" s="179">
        <f>VLOOKUP(B37,Tot_res!C:V,7,FALSE)</f>
        <v>17163.256041947167</v>
      </c>
      <c r="I37" s="179">
        <f>VLOOKUP(B37,Tot_res!C:V,8,FALSE)</f>
        <v>4797.4447082876113</v>
      </c>
      <c r="J37" s="179">
        <f>VLOOKUP(B37,Tot_res!C:V,9,FALSE)</f>
        <v>20378.383243729244</v>
      </c>
      <c r="K37" s="179">
        <f>VLOOKUP(B37,Tot_res!C:V,10,FALSE)</f>
        <v>16984.918037583753</v>
      </c>
      <c r="L37" s="179">
        <f>VLOOKUP(B37,Tot_res!C:V,11,FALSE)</f>
        <v>61251.202522086904</v>
      </c>
      <c r="M37" s="179">
        <f>VLOOKUP(B37,Tot_res!C:V,12,FALSE)</f>
        <v>41119.777894357867</v>
      </c>
      <c r="N37" s="179">
        <f>VLOOKUP(B37,Tot_res!C:V,13,FALSE)</f>
        <v>8955.0426474507331</v>
      </c>
      <c r="O37" s="179">
        <f>VLOOKUP(B37,Tot_res!C:V,14,FALSE)</f>
        <v>22410.140154782584</v>
      </c>
      <c r="P37" s="179">
        <f>VLOOKUP(B37,Tot_res!C:V,15,FALSE)</f>
        <v>52625.6249621549</v>
      </c>
      <c r="Q37" s="179">
        <f>VLOOKUP(B37,Tot_res!C:V,16,FALSE)</f>
        <v>11942.843246427992</v>
      </c>
      <c r="R37" s="179">
        <f>VLOOKUP(B37,Tot_res!C:V,17,FALSE)</f>
        <v>5223.0136004136175</v>
      </c>
      <c r="S37" s="179">
        <f>VLOOKUP(B37,Tot_res!C:V,18,FALSE)</f>
        <v>17801.969022687987</v>
      </c>
      <c r="T37" s="179">
        <f>VLOOKUP(B37,Tot_res!C:V,19,FALSE)</f>
        <v>2604.9865010612898</v>
      </c>
      <c r="U37" s="179">
        <f>VLOOKUP(B37,Tot_res!C:V,20,FALSE)</f>
        <v>1370.8314310109308</v>
      </c>
      <c r="V37" s="122">
        <f t="shared" si="6"/>
        <v>381591.41076999996</v>
      </c>
    </row>
    <row r="38" spans="1:22" ht="13.15">
      <c r="A38" s="355"/>
      <c r="B38" s="115" t="s">
        <v>142</v>
      </c>
      <c r="C38" s="333" t="str">
        <f>VLOOKUP(B38,Tot_res!C:D,2,FALSE)</f>
        <v>Personal en reserva</v>
      </c>
      <c r="D38" s="179">
        <f>VLOOKUP(B38,Tot_res!C:V,3,FALSE)</f>
        <v>100733.48343108589</v>
      </c>
      <c r="E38" s="179">
        <f>VLOOKUP(B38,Tot_res!C:V,4,FALSE)</f>
        <v>15984.092730399907</v>
      </c>
      <c r="F38" s="179">
        <f>VLOOKUP(B38,Tot_res!C:V,5,FALSE)</f>
        <v>12738.787245976611</v>
      </c>
      <c r="G38" s="179">
        <f>VLOOKUP(B38,Tot_res!C:V,6,FALSE)</f>
        <v>13248.327731009143</v>
      </c>
      <c r="H38" s="179">
        <f>VLOOKUP(B38,Tot_res!C:V,7,FALSE)</f>
        <v>25260.181715969156</v>
      </c>
      <c r="I38" s="179">
        <f>VLOOKUP(B38,Tot_res!C:V,8,FALSE)</f>
        <v>7060.6838706760536</v>
      </c>
      <c r="J38" s="179">
        <f>VLOOKUP(B38,Tot_res!C:V,9,FALSE)</f>
        <v>29992.075079237824</v>
      </c>
      <c r="K38" s="179">
        <f>VLOOKUP(B38,Tot_res!C:V,10,FALSE)</f>
        <v>24997.711099317326</v>
      </c>
      <c r="L38" s="179">
        <f>VLOOKUP(B38,Tot_res!C:V,11,FALSE)</f>
        <v>90147.027012131672</v>
      </c>
      <c r="M38" s="179">
        <f>VLOOKUP(B38,Tot_res!C:V,12,FALSE)</f>
        <v>60518.41557296559</v>
      </c>
      <c r="N38" s="179">
        <f>VLOOKUP(B38,Tot_res!C:V,13,FALSE)</f>
        <v>13179.667307648928</v>
      </c>
      <c r="O38" s="179">
        <f>VLOOKUP(B38,Tot_res!C:V,14,FALSE)</f>
        <v>32982.332210545006</v>
      </c>
      <c r="P38" s="179">
        <f>VLOOKUP(B38,Tot_res!C:V,15,FALSE)</f>
        <v>77452.253011408349</v>
      </c>
      <c r="Q38" s="179">
        <f>VLOOKUP(B38,Tot_res!C:V,16,FALSE)</f>
        <v>17576.990628864423</v>
      </c>
      <c r="R38" s="179">
        <f>VLOOKUP(B38,Tot_res!C:V,17,FALSE)</f>
        <v>7687.0188458983321</v>
      </c>
      <c r="S38" s="179">
        <f>VLOOKUP(B38,Tot_res!C:V,18,FALSE)</f>
        <v>26200.213486073248</v>
      </c>
      <c r="T38" s="179">
        <f>VLOOKUP(B38,Tot_res!C:V,19,FALSE)</f>
        <v>3833.9131120361462</v>
      </c>
      <c r="U38" s="179">
        <f>VLOOKUP(B38,Tot_res!C:V,20,FALSE)</f>
        <v>2017.5339087564919</v>
      </c>
      <c r="V38" s="122">
        <f t="shared" si="6"/>
        <v>561610.7080000001</v>
      </c>
    </row>
    <row r="39" spans="1:22" ht="13.15">
      <c r="A39" s="355"/>
      <c r="B39" s="115" t="s">
        <v>144</v>
      </c>
      <c r="C39" s="333" t="str">
        <f>VLOOKUP(B39,Tot_res!C:D,2,FALSE)</f>
        <v>Modernización de las fuerzas armadas</v>
      </c>
      <c r="D39" s="179">
        <f>VLOOKUP(B39,Tot_res!C:V,3,FALSE)</f>
        <v>31125.127740331285</v>
      </c>
      <c r="E39" s="179">
        <f>VLOOKUP(B39,Tot_res!C:V,4,FALSE)</f>
        <v>4938.8436803871064</v>
      </c>
      <c r="F39" s="179">
        <f>VLOOKUP(B39,Tot_res!C:V,5,FALSE)</f>
        <v>3936.0932113419603</v>
      </c>
      <c r="G39" s="179">
        <f>VLOOKUP(B39,Tot_res!C:V,6,FALSE)</f>
        <v>4093.5335394763265</v>
      </c>
      <c r="H39" s="179">
        <f>VLOOKUP(B39,Tot_res!C:V,7,FALSE)</f>
        <v>7805.0153322792257</v>
      </c>
      <c r="I39" s="179">
        <f>VLOOKUP(B39,Tot_res!C:V,8,FALSE)</f>
        <v>2181.6448704390837</v>
      </c>
      <c r="J39" s="179">
        <f>VLOOKUP(B39,Tot_res!C:V,9,FALSE)</f>
        <v>9267.0990443561677</v>
      </c>
      <c r="K39" s="179">
        <f>VLOOKUP(B39,Tot_res!C:V,10,FALSE)</f>
        <v>7723.9158686936089</v>
      </c>
      <c r="L39" s="179">
        <f>VLOOKUP(B39,Tot_res!C:V,11,FALSE)</f>
        <v>27854.072306386901</v>
      </c>
      <c r="M39" s="179">
        <f>VLOOKUP(B39,Tot_res!C:V,12,FALSE)</f>
        <v>18699.278047300453</v>
      </c>
      <c r="N39" s="179">
        <f>VLOOKUP(B39,Tot_res!C:V,13,FALSE)</f>
        <v>4072.318503770211</v>
      </c>
      <c r="O39" s="179">
        <f>VLOOKUP(B39,Tot_res!C:V,14,FALSE)</f>
        <v>10191.043417351522</v>
      </c>
      <c r="P39" s="179">
        <f>VLOOKUP(B39,Tot_res!C:V,15,FALSE)</f>
        <v>23931.578524292443</v>
      </c>
      <c r="Q39" s="179">
        <f>VLOOKUP(B39,Tot_res!C:V,16,FALSE)</f>
        <v>5431.0251167704864</v>
      </c>
      <c r="R39" s="179">
        <f>VLOOKUP(B39,Tot_res!C:V,17,FALSE)</f>
        <v>2375.1729352693587</v>
      </c>
      <c r="S39" s="179">
        <f>VLOOKUP(B39,Tot_res!C:V,18,FALSE)</f>
        <v>8095.4709774915364</v>
      </c>
      <c r="T39" s="179">
        <f>VLOOKUP(B39,Tot_res!C:V,19,FALSE)</f>
        <v>1184.6213522348132</v>
      </c>
      <c r="U39" s="179">
        <f>VLOOKUP(B39,Tot_res!C:V,20,FALSE)</f>
        <v>623.38756182750194</v>
      </c>
      <c r="V39" s="122">
        <f t="shared" si="6"/>
        <v>173529.24202999999</v>
      </c>
    </row>
    <row r="40" spans="1:22" ht="13.15">
      <c r="A40" s="355"/>
      <c r="B40" s="115" t="s">
        <v>145</v>
      </c>
      <c r="C40" s="333" t="str">
        <f>VLOOKUP(B40,Tot_res!C:D,2,FALSE)</f>
        <v>Programas especiales de modernización</v>
      </c>
      <c r="D40" s="179">
        <f>VLOOKUP(B40,Tot_res!C:V,3,FALSE)</f>
        <v>158815.48969834059</v>
      </c>
      <c r="E40" s="179">
        <f>VLOOKUP(B40,Tot_res!C:V,4,FALSE)</f>
        <v>25200.374571567445</v>
      </c>
      <c r="F40" s="179">
        <f>VLOOKUP(B40,Tot_res!C:V,5,FALSE)</f>
        <v>20083.855593227967</v>
      </c>
      <c r="G40" s="179">
        <f>VLOOKUP(B40,Tot_res!C:V,6,FALSE)</f>
        <v>20887.192466879646</v>
      </c>
      <c r="H40" s="179">
        <f>VLOOKUP(B40,Tot_res!C:V,7,FALSE)</f>
        <v>39824.971721892391</v>
      </c>
      <c r="I40" s="179">
        <f>VLOOKUP(B40,Tot_res!C:V,8,FALSE)</f>
        <v>11131.809685641729</v>
      </c>
      <c r="J40" s="179">
        <f>VLOOKUP(B40,Tot_res!C:V,9,FALSE)</f>
        <v>47285.231568877214</v>
      </c>
      <c r="K40" s="179">
        <f>VLOOKUP(B40,Tot_res!C:V,10,FALSE)</f>
        <v>39411.162945553355</v>
      </c>
      <c r="L40" s="179">
        <f>VLOOKUP(B40,Tot_res!C:V,11,FALSE)</f>
        <v>142124.97922377166</v>
      </c>
      <c r="M40" s="179">
        <f>VLOOKUP(B40,Tot_res!C:V,12,FALSE)</f>
        <v>95412.781109307107</v>
      </c>
      <c r="N40" s="179">
        <f>VLOOKUP(B40,Tot_res!C:V,13,FALSE)</f>
        <v>20778.943070676567</v>
      </c>
      <c r="O40" s="179">
        <f>VLOOKUP(B40,Tot_res!C:V,14,FALSE)</f>
        <v>51999.64364375989</v>
      </c>
      <c r="P40" s="179">
        <f>VLOOKUP(B40,Tot_res!C:V,15,FALSE)</f>
        <v>122110.51451091464</v>
      </c>
      <c r="Q40" s="179">
        <f>VLOOKUP(B40,Tot_res!C:V,16,FALSE)</f>
        <v>27711.722845919212</v>
      </c>
      <c r="R40" s="179">
        <f>VLOOKUP(B40,Tot_res!C:V,17,FALSE)</f>
        <v>12119.283685517599</v>
      </c>
      <c r="S40" s="179">
        <f>VLOOKUP(B40,Tot_res!C:V,18,FALSE)</f>
        <v>41307.017222713512</v>
      </c>
      <c r="T40" s="179">
        <f>VLOOKUP(B40,Tot_res!C:V,19,FALSE)</f>
        <v>6044.5123866431341</v>
      </c>
      <c r="U40" s="179">
        <f>VLOOKUP(B40,Tot_res!C:V,20,FALSE)</f>
        <v>3180.8255287962243</v>
      </c>
      <c r="V40" s="122">
        <f t="shared" si="6"/>
        <v>885430.31147999992</v>
      </c>
    </row>
    <row r="41" spans="1:22" ht="13.15">
      <c r="A41" s="355"/>
      <c r="B41" s="115" t="s">
        <v>147</v>
      </c>
      <c r="C41" s="333" t="str">
        <f>VLOOKUP(B41,Tot_res!C:D,2,FALSE)</f>
        <v>Gastos operativos de las fuerzas armadas</v>
      </c>
      <c r="D41" s="179">
        <f>VLOOKUP(B41,Tot_res!C:V,3,FALSE)</f>
        <v>545903.43453085609</v>
      </c>
      <c r="E41" s="179">
        <f>VLOOKUP(B41,Tot_res!C:V,4,FALSE)</f>
        <v>86622.350604548497</v>
      </c>
      <c r="F41" s="179">
        <f>VLOOKUP(B41,Tot_res!C:V,5,FALSE)</f>
        <v>69035.115956195354</v>
      </c>
      <c r="G41" s="179">
        <f>VLOOKUP(B41,Tot_res!C:V,6,FALSE)</f>
        <v>71796.460956262512</v>
      </c>
      <c r="H41" s="179">
        <f>VLOOKUP(B41,Tot_res!C:V,7,FALSE)</f>
        <v>136892.11854819747</v>
      </c>
      <c r="I41" s="179">
        <f>VLOOKUP(B41,Tot_res!C:V,8,FALSE)</f>
        <v>38263.856702380363</v>
      </c>
      <c r="J41" s="179">
        <f>VLOOKUP(B41,Tot_res!C:V,9,FALSE)</f>
        <v>162535.59627632872</v>
      </c>
      <c r="K41" s="179">
        <f>VLOOKUP(B41,Tot_res!C:V,10,FALSE)</f>
        <v>135469.71552773914</v>
      </c>
      <c r="L41" s="179">
        <f>VLOOKUP(B41,Tot_res!C:V,11,FALSE)</f>
        <v>488532.41228707548</v>
      </c>
      <c r="M41" s="179">
        <f>VLOOKUP(B41,Tot_res!C:V,12,FALSE)</f>
        <v>327966.52898684959</v>
      </c>
      <c r="N41" s="179">
        <f>VLOOKUP(B41,Tot_res!C:V,13,FALSE)</f>
        <v>71424.370568319893</v>
      </c>
      <c r="O41" s="179">
        <f>VLOOKUP(B41,Tot_res!C:V,14,FALSE)</f>
        <v>178740.65126410479</v>
      </c>
      <c r="P41" s="179">
        <f>VLOOKUP(B41,Tot_res!C:V,15,FALSE)</f>
        <v>419735.81664140883</v>
      </c>
      <c r="Q41" s="179">
        <f>VLOOKUP(B41,Tot_res!C:V,16,FALSE)</f>
        <v>95254.717956598368</v>
      </c>
      <c r="R41" s="179">
        <f>VLOOKUP(B41,Tot_res!C:V,17,FALSE)</f>
        <v>41658.144306606358</v>
      </c>
      <c r="S41" s="179">
        <f>VLOOKUP(B41,Tot_res!C:V,18,FALSE)</f>
        <v>141986.41842137731</v>
      </c>
      <c r="T41" s="179">
        <f>VLOOKUP(B41,Tot_res!C:V,19,FALSE)</f>
        <v>20777.0670115389</v>
      </c>
      <c r="U41" s="179">
        <f>VLOOKUP(B41,Tot_res!C:V,20,FALSE)</f>
        <v>10933.590823612394</v>
      </c>
      <c r="V41" s="122">
        <f t="shared" si="6"/>
        <v>3043528.3673700001</v>
      </c>
    </row>
    <row r="42" spans="1:22" ht="13.15">
      <c r="A42" s="355"/>
      <c r="B42" s="115" t="s">
        <v>148</v>
      </c>
      <c r="C42" s="333" t="str">
        <f>VLOOKUP(B42,Tot_res!C:D,2,FALSE)</f>
        <v>Apoyo logístico</v>
      </c>
      <c r="D42" s="179">
        <f>VLOOKUP(B42,Tot_res!C:V,3,FALSE)</f>
        <v>244688.28554563096</v>
      </c>
      <c r="E42" s="179">
        <f>VLOOKUP(B42,Tot_res!C:V,4,FALSE)</f>
        <v>38826.417125539243</v>
      </c>
      <c r="F42" s="179">
        <f>VLOOKUP(B42,Tot_res!C:V,5,FALSE)</f>
        <v>30943.355724226501</v>
      </c>
      <c r="G42" s="179">
        <f>VLOOKUP(B42,Tot_res!C:V,6,FALSE)</f>
        <v>32181.063221793531</v>
      </c>
      <c r="H42" s="179">
        <f>VLOOKUP(B42,Tot_res!C:V,7,FALSE)</f>
        <v>61358.650034971382</v>
      </c>
      <c r="I42" s="179">
        <f>VLOOKUP(B42,Tot_res!C:V,8,FALSE)</f>
        <v>17150.867539266128</v>
      </c>
      <c r="J42" s="179">
        <f>VLOOKUP(B42,Tot_res!C:V,9,FALSE)</f>
        <v>72852.731595598278</v>
      </c>
      <c r="K42" s="179">
        <f>VLOOKUP(B42,Tot_res!C:V,10,FALSE)</f>
        <v>60721.09156873828</v>
      </c>
      <c r="L42" s="179">
        <f>VLOOKUP(B42,Tot_res!C:V,11,FALSE)</f>
        <v>218973.08357974651</v>
      </c>
      <c r="M42" s="179">
        <f>VLOOKUP(B42,Tot_res!C:V,12,FALSE)</f>
        <v>147003.22917570465</v>
      </c>
      <c r="N42" s="179">
        <f>VLOOKUP(B42,Tot_res!C:V,13,FALSE)</f>
        <v>32014.282517854692</v>
      </c>
      <c r="O42" s="179">
        <f>VLOOKUP(B42,Tot_res!C:V,14,FALSE)</f>
        <v>80116.263699108924</v>
      </c>
      <c r="P42" s="179">
        <f>VLOOKUP(B42,Tot_res!C:V,15,FALSE)</f>
        <v>188136.63893568431</v>
      </c>
      <c r="Q42" s="179">
        <f>VLOOKUP(B42,Tot_res!C:V,16,FALSE)</f>
        <v>42695.671345176816</v>
      </c>
      <c r="R42" s="179">
        <f>VLOOKUP(B42,Tot_res!C:V,17,FALSE)</f>
        <v>18672.276568759789</v>
      </c>
      <c r="S42" s="179">
        <f>VLOOKUP(B42,Tot_res!C:V,18,FALSE)</f>
        <v>63642.049301537532</v>
      </c>
      <c r="T42" s="179">
        <f>VLOOKUP(B42,Tot_res!C:V,19,FALSE)</f>
        <v>9312.8282112553425</v>
      </c>
      <c r="U42" s="179">
        <f>VLOOKUP(B42,Tot_res!C:V,20,FALSE)</f>
        <v>4900.7231394070714</v>
      </c>
      <c r="V42" s="122">
        <f t="shared" si="6"/>
        <v>1364189.5088299999</v>
      </c>
    </row>
    <row r="43" spans="1:22" ht="13.15">
      <c r="A43" s="355"/>
      <c r="B43" s="115" t="s">
        <v>149</v>
      </c>
      <c r="C43" s="333" t="str">
        <f>VLOOKUP(B43,Tot_res!C:D,2,FALSE)</f>
        <v>Asistencia hospitalaria en las fuerzas armadas</v>
      </c>
      <c r="D43" s="179">
        <f>VLOOKUP(B43,Tot_res!C:V,3,FALSE)</f>
        <v>31814.677829476266</v>
      </c>
      <c r="E43" s="179">
        <f>VLOOKUP(B43,Tot_res!C:V,4,FALSE)</f>
        <v>5048.259459448188</v>
      </c>
      <c r="F43" s="179">
        <f>VLOOKUP(B43,Tot_res!C:V,5,FALSE)</f>
        <v>4023.2939273488828</v>
      </c>
      <c r="G43" s="179">
        <f>VLOOKUP(B43,Tot_res!C:V,6,FALSE)</f>
        <v>4184.2222087924138</v>
      </c>
      <c r="H43" s="179">
        <f>VLOOKUP(B43,Tot_res!C:V,7,FALSE)</f>
        <v>7977.9286473040274</v>
      </c>
      <c r="I43" s="179">
        <f>VLOOKUP(B43,Tot_res!C:V,8,FALSE)</f>
        <v>2229.9773119135211</v>
      </c>
      <c r="J43" s="179">
        <f>VLOOKUP(B43,Tot_res!C:V,9,FALSE)</f>
        <v>9472.4035502673505</v>
      </c>
      <c r="K43" s="179">
        <f>VLOOKUP(B43,Tot_res!C:V,10,FALSE)</f>
        <v>7895.0324957558214</v>
      </c>
      <c r="L43" s="179">
        <f>VLOOKUP(B43,Tot_res!C:V,11,FALSE)</f>
        <v>28471.155012108044</v>
      </c>
      <c r="M43" s="179">
        <f>VLOOKUP(B43,Tot_res!C:V,12,FALSE)</f>
        <v>19113.544261789106</v>
      </c>
      <c r="N43" s="179">
        <f>VLOOKUP(B43,Tot_res!C:V,13,FALSE)</f>
        <v>4162.5371724525849</v>
      </c>
      <c r="O43" s="179">
        <f>VLOOKUP(B43,Tot_res!C:V,14,FALSE)</f>
        <v>10416.81710591407</v>
      </c>
      <c r="P43" s="179">
        <f>VLOOKUP(B43,Tot_res!C:V,15,FALSE)</f>
        <v>24461.761797513936</v>
      </c>
      <c r="Q43" s="179">
        <f>VLOOKUP(B43,Tot_res!C:V,16,FALSE)</f>
        <v>5551.3447467704327</v>
      </c>
      <c r="R43" s="179">
        <f>VLOOKUP(B43,Tot_res!C:V,17,FALSE)</f>
        <v>2427.7928224201351</v>
      </c>
      <c r="S43" s="179">
        <f>VLOOKUP(B43,Tot_res!C:V,18,FALSE)</f>
        <v>8274.819084293571</v>
      </c>
      <c r="T43" s="179">
        <f>VLOOKUP(B43,Tot_res!C:V,19,FALSE)</f>
        <v>1210.8656062617001</v>
      </c>
      <c r="U43" s="179">
        <f>VLOOKUP(B43,Tot_res!C:V,20,FALSE)</f>
        <v>637.19817016993863</v>
      </c>
      <c r="V43" s="122">
        <f t="shared" si="6"/>
        <v>177373.63120999996</v>
      </c>
    </row>
    <row r="44" spans="1:22" ht="13.15">
      <c r="A44" s="355"/>
      <c r="B44" s="115" t="s">
        <v>150</v>
      </c>
      <c r="C44" s="333" t="str">
        <f>VLOOKUP(B44,Tot_res!C:D,2,FALSE)</f>
        <v>Investigación y estudios de las fuerzas armadas</v>
      </c>
      <c r="D44" s="179">
        <f>VLOOKUP(B44,Tot_res!C:V,3,FALSE)</f>
        <v>26316.984375543765</v>
      </c>
      <c r="E44" s="179">
        <f>VLOOKUP(B44,Tot_res!C:V,4,FALSE)</f>
        <v>4175.9016398053536</v>
      </c>
      <c r="F44" s="179">
        <f>VLOOKUP(B44,Tot_res!C:V,5,FALSE)</f>
        <v>3328.0539250396573</v>
      </c>
      <c r="G44" s="179">
        <f>VLOOKUP(B44,Tot_res!C:V,6,FALSE)</f>
        <v>3461.173206996008</v>
      </c>
      <c r="H44" s="179">
        <f>VLOOKUP(B44,Tot_res!C:V,7,FALSE)</f>
        <v>6599.3132064904948</v>
      </c>
      <c r="I44" s="179">
        <f>VLOOKUP(B44,Tot_res!C:V,8,FALSE)</f>
        <v>1844.6290228050791</v>
      </c>
      <c r="J44" s="179">
        <f>VLOOKUP(B44,Tot_res!C:V,9,FALSE)</f>
        <v>7835.5373443470407</v>
      </c>
      <c r="K44" s="179">
        <f>VLOOKUP(B44,Tot_res!C:V,10,FALSE)</f>
        <v>6530.7418151100801</v>
      </c>
      <c r="L44" s="179">
        <f>VLOOKUP(B44,Tot_res!C:V,11,FALSE)</f>
        <v>23551.234610118525</v>
      </c>
      <c r="M44" s="179">
        <f>VLOOKUP(B44,Tot_res!C:V,12,FALSE)</f>
        <v>15810.653447281778</v>
      </c>
      <c r="N44" s="179">
        <f>VLOOKUP(B44,Tot_res!C:V,13,FALSE)</f>
        <v>3443.2354247686603</v>
      </c>
      <c r="O44" s="179">
        <f>VLOOKUP(B44,Tot_res!C:V,14,FALSE)</f>
        <v>8616.7527607413922</v>
      </c>
      <c r="P44" s="179">
        <f>VLOOKUP(B44,Tot_res!C:V,15,FALSE)</f>
        <v>20234.679303494464</v>
      </c>
      <c r="Q44" s="179">
        <f>VLOOKUP(B44,Tot_res!C:V,16,FALSE)</f>
        <v>4592.0519373814905</v>
      </c>
      <c r="R44" s="179">
        <f>VLOOKUP(B44,Tot_res!C:V,17,FALSE)</f>
        <v>2008.261284842933</v>
      </c>
      <c r="S44" s="179">
        <f>VLOOKUP(B44,Tot_res!C:V,18,FALSE)</f>
        <v>6844.8998829729835</v>
      </c>
      <c r="T44" s="179">
        <f>VLOOKUP(B44,Tot_res!C:V,19,FALSE)</f>
        <v>1001.6235717260154</v>
      </c>
      <c r="U44" s="179">
        <f>VLOOKUP(B44,Tot_res!C:V,20,FALSE)</f>
        <v>527.08798053427927</v>
      </c>
      <c r="V44" s="122">
        <f t="shared" si="6"/>
        <v>146722.81474000003</v>
      </c>
    </row>
    <row r="45" spans="1:22" ht="13.15">
      <c r="A45" s="355"/>
      <c r="B45" s="115" t="s">
        <v>152</v>
      </c>
      <c r="C45" s="333" t="str">
        <f>VLOOKUP(B45,Tot_res!C:D,2,FALSE)</f>
        <v>Apoyo a la innovación tecnológica en el sector de la defensa</v>
      </c>
      <c r="D45" s="179">
        <f>VLOOKUP(B45,Tot_res!C:V,3,FALSE)</f>
        <v>36534.415885201757</v>
      </c>
      <c r="E45" s="179">
        <f>VLOOKUP(B45,Tot_res!C:V,4,FALSE)</f>
        <v>5797.1736057312792</v>
      </c>
      <c r="F45" s="179">
        <f>VLOOKUP(B45,Tot_res!C:V,5,FALSE)</f>
        <v>4620.1534511214159</v>
      </c>
      <c r="G45" s="179">
        <f>VLOOKUP(B45,Tot_res!C:V,6,FALSE)</f>
        <v>4804.9555978997651</v>
      </c>
      <c r="H45" s="179">
        <f>VLOOKUP(B45,Tot_res!C:V,7,FALSE)</f>
        <v>9161.4620353950177</v>
      </c>
      <c r="I45" s="179">
        <f>VLOOKUP(B45,Tot_res!C:V,8,FALSE)</f>
        <v>2560.7965909536929</v>
      </c>
      <c r="J45" s="179">
        <f>VLOOKUP(B45,Tot_res!C:V,9,FALSE)</f>
        <v>10877.643727616083</v>
      </c>
      <c r="K45" s="179">
        <f>VLOOKUP(B45,Tot_res!C:V,10,FALSE)</f>
        <v>9066.2681600341657</v>
      </c>
      <c r="L45" s="179">
        <f>VLOOKUP(B45,Tot_res!C:V,11,FALSE)</f>
        <v>32694.878242038296</v>
      </c>
      <c r="M45" s="179">
        <f>VLOOKUP(B45,Tot_res!C:V,12,FALSE)</f>
        <v>21949.056936652003</v>
      </c>
      <c r="N45" s="179">
        <f>VLOOKUP(B45,Tot_res!C:V,13,FALSE)</f>
        <v>4780.0535655620051</v>
      </c>
      <c r="O45" s="179">
        <f>VLOOKUP(B45,Tot_res!C:V,14,FALSE)</f>
        <v>11962.161942590803</v>
      </c>
      <c r="P45" s="179">
        <f>VLOOKUP(B45,Tot_res!C:V,15,FALSE)</f>
        <v>28090.687687778689</v>
      </c>
      <c r="Q45" s="179">
        <f>VLOOKUP(B45,Tot_res!C:V,16,FALSE)</f>
        <v>6374.8920793009884</v>
      </c>
      <c r="R45" s="179">
        <f>VLOOKUP(B45,Tot_res!C:V,17,FALSE)</f>
        <v>2787.9582227051937</v>
      </c>
      <c r="S45" s="179">
        <f>VLOOKUP(B45,Tot_res!C:V,18,FALSE)</f>
        <v>9502.3964542645936</v>
      </c>
      <c r="T45" s="179">
        <f>VLOOKUP(B45,Tot_res!C:V,19,FALSE)</f>
        <v>1390.4986835750763</v>
      </c>
      <c r="U45" s="179">
        <f>VLOOKUP(B45,Tot_res!C:V,20,FALSE)</f>
        <v>731.72713157917042</v>
      </c>
      <c r="V45" s="122">
        <f t="shared" si="6"/>
        <v>203687.17999999996</v>
      </c>
    </row>
    <row r="46" spans="1:22" ht="13.15">
      <c r="A46" s="356"/>
      <c r="B46" s="115"/>
      <c r="C46" s="102"/>
      <c r="D46" s="105"/>
      <c r="E46" s="105"/>
      <c r="F46" s="105"/>
      <c r="G46" s="105"/>
      <c r="H46" s="105"/>
      <c r="I46" s="105"/>
      <c r="J46" s="105"/>
      <c r="K46" s="105"/>
      <c r="L46" s="105"/>
      <c r="M46" s="105"/>
      <c r="N46" s="105"/>
      <c r="O46" s="105"/>
      <c r="P46" s="105"/>
      <c r="Q46" s="105"/>
      <c r="R46" s="105"/>
      <c r="S46" s="105"/>
      <c r="T46" s="105"/>
      <c r="U46" s="105"/>
      <c r="V46" s="122"/>
    </row>
    <row r="47" spans="1:22" ht="13.15">
      <c r="A47" s="356"/>
      <c r="B47" s="115"/>
      <c r="C47" s="128" t="s">
        <v>30</v>
      </c>
      <c r="D47" s="130">
        <f t="shared" ref="D47:V47" si="7">SUM(D48:D59)</f>
        <v>412556.19409652532</v>
      </c>
      <c r="E47" s="130">
        <f t="shared" si="7"/>
        <v>65463.20288279379</v>
      </c>
      <c r="F47" s="130">
        <f t="shared" si="7"/>
        <v>52171.982985189366</v>
      </c>
      <c r="G47" s="130">
        <f t="shared" si="7"/>
        <v>54258.817234170048</v>
      </c>
      <c r="H47" s="130">
        <f t="shared" si="7"/>
        <v>103453.62908110175</v>
      </c>
      <c r="I47" s="130">
        <f t="shared" si="7"/>
        <v>28917.185886832132</v>
      </c>
      <c r="J47" s="130">
        <f t="shared" si="7"/>
        <v>122833.20229080073</v>
      </c>
      <c r="K47" s="130">
        <f t="shared" si="7"/>
        <v>102378.67490519336</v>
      </c>
      <c r="L47" s="130">
        <f t="shared" si="7"/>
        <v>369199.12929135159</v>
      </c>
      <c r="M47" s="130">
        <f t="shared" si="7"/>
        <v>247854.50032228106</v>
      </c>
      <c r="N47" s="130">
        <f t="shared" si="7"/>
        <v>53977.616962108339</v>
      </c>
      <c r="O47" s="130">
        <f t="shared" si="7"/>
        <v>135079.86605584418</v>
      </c>
      <c r="P47" s="130">
        <f t="shared" si="7"/>
        <v>317207.40351888892</v>
      </c>
      <c r="Q47" s="130">
        <f t="shared" si="7"/>
        <v>71986.951215436871</v>
      </c>
      <c r="R47" s="130">
        <f t="shared" si="7"/>
        <v>31482.354535884384</v>
      </c>
      <c r="S47" s="130">
        <f t="shared" si="7"/>
        <v>107303.54984423392</v>
      </c>
      <c r="T47" s="130">
        <f t="shared" si="7"/>
        <v>15701.87536580603</v>
      </c>
      <c r="U47" s="130">
        <f t="shared" si="7"/>
        <v>8262.8544403181695</v>
      </c>
      <c r="V47" s="131">
        <f t="shared" si="7"/>
        <v>2300088.9909147597</v>
      </c>
    </row>
    <row r="48" spans="1:22" ht="13.15">
      <c r="A48" s="355"/>
      <c r="B48" s="115" t="s">
        <v>153</v>
      </c>
      <c r="C48" s="333" t="str">
        <f>VLOOKUP(B48,Tot_res!C:D,2,FALSE)</f>
        <v>Coordinación y relaciones financieras con los entes territoriales</v>
      </c>
      <c r="D48" s="179">
        <f>VLOOKUP(B48,Tot_res!C:V,3,FALSE)</f>
        <v>1179.2136774510802</v>
      </c>
      <c r="E48" s="179">
        <f>VLOOKUP(B48,Tot_res!C:V,4,FALSE)</f>
        <v>187.11415635922845</v>
      </c>
      <c r="F48" s="179">
        <f>VLOOKUP(B48,Tot_res!C:V,5,FALSE)</f>
        <v>149.12372374049517</v>
      </c>
      <c r="G48" s="179">
        <f>VLOOKUP(B48,Tot_res!C:V,6,FALSE)</f>
        <v>155.08854386484319</v>
      </c>
      <c r="H48" s="179">
        <f>VLOOKUP(B48,Tot_res!C:V,7,FALSE)</f>
        <v>295.7025882535732</v>
      </c>
      <c r="I48" s="179">
        <f>VLOOKUP(B48,Tot_res!C:V,8,FALSE)</f>
        <v>82.654294370307213</v>
      </c>
      <c r="J48" s="179">
        <f>VLOOKUP(B48,Tot_res!C:V,9,FALSE)</f>
        <v>351.09542471816098</v>
      </c>
      <c r="K48" s="179">
        <f>VLOOKUP(B48,Tot_res!C:V,10,FALSE)</f>
        <v>292.6300355080246</v>
      </c>
      <c r="L48" s="179">
        <f>VLOOKUP(B48,Tot_res!C:V,11,FALSE)</f>
        <v>1055.2857263888995</v>
      </c>
      <c r="M48" s="179">
        <f>VLOOKUP(B48,Tot_res!C:V,12,FALSE)</f>
        <v>708.44510633975392</v>
      </c>
      <c r="N48" s="179">
        <f>VLOOKUP(B48,Tot_res!C:V,13,FALSE)</f>
        <v>154.28478619094781</v>
      </c>
      <c r="O48" s="179">
        <f>VLOOKUP(B48,Tot_res!C:V,14,FALSE)</f>
        <v>386.10019163605858</v>
      </c>
      <c r="P48" s="179">
        <f>VLOOKUP(B48,Tot_res!C:V,15,FALSE)</f>
        <v>906.67723372176647</v>
      </c>
      <c r="Q48" s="179">
        <f>VLOOKUP(B48,Tot_res!C:V,16,FALSE)</f>
        <v>205.76105433866221</v>
      </c>
      <c r="R48" s="179">
        <f>VLOOKUP(B48,Tot_res!C:V,17,FALSE)</f>
        <v>89.986342705093278</v>
      </c>
      <c r="S48" s="179">
        <f>VLOOKUP(B48,Tot_res!C:V,18,FALSE)</f>
        <v>306.7068569712697</v>
      </c>
      <c r="T48" s="179">
        <f>VLOOKUP(B48,Tot_res!C:V,19,FALSE)</f>
        <v>44.880834315284872</v>
      </c>
      <c r="U48" s="179">
        <f>VLOOKUP(B48,Tot_res!C:V,20,FALSE)</f>
        <v>23.617803126550221</v>
      </c>
      <c r="V48" s="122">
        <f t="shared" ref="V48:V59" si="8">SUM(D48:U48)</f>
        <v>6574.368379999999</v>
      </c>
    </row>
    <row r="49" spans="1:22" ht="13.15">
      <c r="A49" s="355"/>
      <c r="B49" s="115" t="s">
        <v>630</v>
      </c>
      <c r="C49" s="333" t="str">
        <f>VLOOKUP(B49,Tot_res!C:D,2,FALSE)</f>
        <v>Gestión del patrimonio del estado</v>
      </c>
      <c r="D49" s="179">
        <f>VLOOKUP(B49,Tot_res!C:V,3,FALSE)</f>
        <v>6595.8652367834366</v>
      </c>
      <c r="E49" s="179">
        <f>VLOOKUP(B49,Tot_res!C:V,4,FALSE)</f>
        <v>1046.6124866424773</v>
      </c>
      <c r="F49" s="179">
        <f>VLOOKUP(B49,Tot_res!C:V,5,FALSE)</f>
        <v>834.11514317381523</v>
      </c>
      <c r="G49" s="179">
        <f>VLOOKUP(B49,Tot_res!C:V,6,FALSE)</f>
        <v>867.47902832387149</v>
      </c>
      <c r="H49" s="179">
        <f>VLOOKUP(B49,Tot_res!C:V,7,FALSE)</f>
        <v>1653.9957597036459</v>
      </c>
      <c r="I49" s="179">
        <f>VLOOKUP(B49,Tot_res!C:V,8,FALSE)</f>
        <v>462.32213663463972</v>
      </c>
      <c r="J49" s="179">
        <f>VLOOKUP(B49,Tot_res!C:V,9,FALSE)</f>
        <v>1963.8324681731012</v>
      </c>
      <c r="K49" s="179">
        <f>VLOOKUP(B49,Tot_res!C:V,10,FALSE)</f>
        <v>1636.8096091101813</v>
      </c>
      <c r="L49" s="179">
        <f>VLOOKUP(B49,Tot_res!C:V,11,FALSE)</f>
        <v>5902.6812278905727</v>
      </c>
      <c r="M49" s="179">
        <f>VLOOKUP(B49,Tot_res!C:V,12,FALSE)</f>
        <v>3962.6477698055533</v>
      </c>
      <c r="N49" s="179">
        <f>VLOOKUP(B49,Tot_res!C:V,13,FALSE)</f>
        <v>862.98325507987067</v>
      </c>
      <c r="O49" s="179">
        <f>VLOOKUP(B49,Tot_res!C:V,14,FALSE)</f>
        <v>2159.6296588353898</v>
      </c>
      <c r="P49" s="179">
        <f>VLOOKUP(B49,Tot_res!C:V,15,FALSE)</f>
        <v>5071.448000683883</v>
      </c>
      <c r="Q49" s="179">
        <f>VLOOKUP(B49,Tot_res!C:V,16,FALSE)</f>
        <v>1150.912859431782</v>
      </c>
      <c r="R49" s="179">
        <f>VLOOKUP(B49,Tot_res!C:V,17,FALSE)</f>
        <v>503.33353571403819</v>
      </c>
      <c r="S49" s="179">
        <f>VLOOKUP(B49,Tot_res!C:V,18,FALSE)</f>
        <v>1715.5475165049818</v>
      </c>
      <c r="T49" s="179">
        <f>VLOOKUP(B49,Tot_res!C:V,19,FALSE)</f>
        <v>251.03841697113066</v>
      </c>
      <c r="U49" s="179">
        <f>VLOOKUP(B49,Tot_res!C:V,20,FALSE)</f>
        <v>132.10485053763318</v>
      </c>
      <c r="V49" s="122">
        <f t="shared" si="8"/>
        <v>36773.358960000005</v>
      </c>
    </row>
    <row r="50" spans="1:22" ht="13.15">
      <c r="A50" s="355"/>
      <c r="B50" s="115" t="s">
        <v>696</v>
      </c>
      <c r="C50" s="333" t="str">
        <f>VLOOKUP(B50,Tot_res!C:D,2,FALSE)</f>
        <v>Dirección y servicios generales de hacienda y administraciones públicas</v>
      </c>
      <c r="D50" s="179">
        <f>VLOOKUP(B50,Tot_res!C:V,3,FALSE)</f>
        <v>25637.318111822071</v>
      </c>
      <c r="E50" s="179">
        <f>VLOOKUP(B50,Tot_res!C:V,4,FALSE)</f>
        <v>4068.0541970780887</v>
      </c>
      <c r="F50" s="179">
        <f>VLOOKUP(B50,Tot_res!C:V,5,FALSE)</f>
        <v>3242.1031206306975</v>
      </c>
      <c r="G50" s="179">
        <f>VLOOKUP(B50,Tot_res!C:V,6,FALSE)</f>
        <v>3371.7844446620261</v>
      </c>
      <c r="H50" s="179">
        <f>VLOOKUP(B50,Tot_res!C:V,7,FALSE)</f>
        <v>6428.8783843931424</v>
      </c>
      <c r="I50" s="179">
        <f>VLOOKUP(B50,Tot_res!C:V,8,FALSE)</f>
        <v>1796.9893655407152</v>
      </c>
      <c r="J50" s="179">
        <f>VLOOKUP(B50,Tot_res!C:V,9,FALSE)</f>
        <v>7633.1756179771628</v>
      </c>
      <c r="K50" s="179">
        <f>VLOOKUP(B50,Tot_res!C:V,10,FALSE)</f>
        <v>6362.0779277335396</v>
      </c>
      <c r="L50" s="179">
        <f>VLOOKUP(B50,Tot_res!C:V,11,FALSE)</f>
        <v>22942.997001847289</v>
      </c>
      <c r="M50" s="179">
        <f>VLOOKUP(B50,Tot_res!C:V,12,FALSE)</f>
        <v>15402.325213234619</v>
      </c>
      <c r="N50" s="179">
        <f>VLOOKUP(B50,Tot_res!C:V,13,FALSE)</f>
        <v>3354.3099262057826</v>
      </c>
      <c r="O50" s="179">
        <f>VLOOKUP(B50,Tot_res!C:V,14,FALSE)</f>
        <v>8394.2152514761183</v>
      </c>
      <c r="P50" s="179">
        <f>VLOOKUP(B50,Tot_res!C:V,15,FALSE)</f>
        <v>19712.095534641634</v>
      </c>
      <c r="Q50" s="179">
        <f>VLOOKUP(B50,Tot_res!C:V,16,FALSE)</f>
        <v>4473.4569365805464</v>
      </c>
      <c r="R50" s="179">
        <f>VLOOKUP(B50,Tot_res!C:V,17,FALSE)</f>
        <v>1956.3956369948248</v>
      </c>
      <c r="S50" s="179">
        <f>VLOOKUP(B50,Tot_res!C:V,18,FALSE)</f>
        <v>6668.1225036721617</v>
      </c>
      <c r="T50" s="179">
        <f>VLOOKUP(B50,Tot_res!C:V,19,FALSE)</f>
        <v>975.75549577415086</v>
      </c>
      <c r="U50" s="179">
        <f>VLOOKUP(B50,Tot_res!C:V,20,FALSE)</f>
        <v>513.47532973545674</v>
      </c>
      <c r="V50" s="122">
        <f t="shared" si="8"/>
        <v>142933.53000000006</v>
      </c>
    </row>
    <row r="51" spans="1:22" ht="13.15">
      <c r="A51" s="355"/>
      <c r="B51" s="115" t="s">
        <v>154</v>
      </c>
      <c r="C51" s="333" t="str">
        <f>VLOOKUP(B51,Tot_res!C:D,2,FALSE)</f>
        <v>Formación del personal de economía y hacienda</v>
      </c>
      <c r="D51" s="179">
        <f>VLOOKUP(B51,Tot_res!C:V,3,FALSE)</f>
        <v>1085.5893237049743</v>
      </c>
      <c r="E51" s="179">
        <f>VLOOKUP(B51,Tot_res!C:V,4,FALSE)</f>
        <v>172.25811940776816</v>
      </c>
      <c r="F51" s="179">
        <f>VLOOKUP(B51,Tot_res!C:V,5,FALSE)</f>
        <v>137.28395921741455</v>
      </c>
      <c r="G51" s="179">
        <f>VLOOKUP(B51,Tot_res!C:V,6,FALSE)</f>
        <v>142.77519898899652</v>
      </c>
      <c r="H51" s="179">
        <f>VLOOKUP(B51,Tot_res!C:V,7,FALSE)</f>
        <v>272.22510978153417</v>
      </c>
      <c r="I51" s="179">
        <f>VLOOKUP(B51,Tot_res!C:V,8,FALSE)</f>
        <v>76.09190873763086</v>
      </c>
      <c r="J51" s="179">
        <f>VLOOKUP(B51,Tot_res!C:V,9,FALSE)</f>
        <v>323.21999987276342</v>
      </c>
      <c r="K51" s="179">
        <f>VLOOKUP(B51,Tot_res!C:V,10,FALSE)</f>
        <v>269.39650414298882</v>
      </c>
      <c r="L51" s="179">
        <f>VLOOKUP(B51,Tot_res!C:V,11,FALSE)</f>
        <v>971.50070418307507</v>
      </c>
      <c r="M51" s="179">
        <f>VLOOKUP(B51,Tot_res!C:V,12,FALSE)</f>
        <v>652.19769629527332</v>
      </c>
      <c r="N51" s="179">
        <f>VLOOKUP(B51,Tot_res!C:V,13,FALSE)</f>
        <v>142.03525612171836</v>
      </c>
      <c r="O51" s="179">
        <f>VLOOKUP(B51,Tot_res!C:V,14,FALSE)</f>
        <v>355.44554302198384</v>
      </c>
      <c r="P51" s="179">
        <f>VLOOKUP(B51,Tot_res!C:V,15,FALSE)</f>
        <v>834.69106896917094</v>
      </c>
      <c r="Q51" s="179">
        <f>VLOOKUP(B51,Tot_res!C:V,16,FALSE)</f>
        <v>189.42453610880659</v>
      </c>
      <c r="R51" s="179">
        <f>VLOOKUP(B51,Tot_res!C:V,17,FALSE)</f>
        <v>82.841824843028803</v>
      </c>
      <c r="S51" s="179">
        <f>VLOOKUP(B51,Tot_res!C:V,18,FALSE)</f>
        <v>282.35568820302433</v>
      </c>
      <c r="T51" s="179">
        <f>VLOOKUP(B51,Tot_res!C:V,19,FALSE)</f>
        <v>41.317494448470171</v>
      </c>
      <c r="U51" s="179">
        <f>VLOOKUP(B51,Tot_res!C:V,20,FALSE)</f>
        <v>21.742653951376443</v>
      </c>
      <c r="V51" s="122">
        <f t="shared" si="8"/>
        <v>6052.3925899999995</v>
      </c>
    </row>
    <row r="52" spans="1:22" ht="13.15">
      <c r="A52" s="355"/>
      <c r="B52" s="115" t="s">
        <v>698</v>
      </c>
      <c r="C52" s="333" t="str">
        <f>VLOOKUP(B52,Tot_res!C:D,2,FALSE)</f>
        <v>Gestión de la deuda y de la tesorería del estado</v>
      </c>
      <c r="D52" s="179">
        <f>VLOOKUP(B52,Tot_res!C:V,3,FALSE)</f>
        <v>20796.020879526637</v>
      </c>
      <c r="E52" s="179">
        <f>VLOOKUP(B52,Tot_res!C:V,4,FALSE)</f>
        <v>3299.8513983594416</v>
      </c>
      <c r="F52" s="179">
        <f>VLOOKUP(B52,Tot_res!C:V,5,FALSE)</f>
        <v>2629.8711860630979</v>
      </c>
      <c r="G52" s="179">
        <f>VLOOKUP(B52,Tot_res!C:V,6,FALSE)</f>
        <v>2735.063761607752</v>
      </c>
      <c r="H52" s="179">
        <f>VLOOKUP(B52,Tot_res!C:V,7,FALSE)</f>
        <v>5214.8625113844018</v>
      </c>
      <c r="I52" s="179">
        <f>VLOOKUP(B52,Tot_res!C:V,8,FALSE)</f>
        <v>1457.6496731473485</v>
      </c>
      <c r="J52" s="179">
        <f>VLOOKUP(B52,Tot_res!C:V,9,FALSE)</f>
        <v>6191.7427882344482</v>
      </c>
      <c r="K52" s="179">
        <f>VLOOKUP(B52,Tot_res!C:V,10,FALSE)</f>
        <v>5160.6765124668937</v>
      </c>
      <c r="L52" s="179">
        <f>VLOOKUP(B52,Tot_res!C:V,11,FALSE)</f>
        <v>18610.489701312348</v>
      </c>
      <c r="M52" s="179">
        <f>VLOOKUP(B52,Tot_res!C:V,12,FALSE)</f>
        <v>12493.782513857575</v>
      </c>
      <c r="N52" s="179">
        <f>VLOOKUP(B52,Tot_res!C:V,13,FALSE)</f>
        <v>2720.889094464696</v>
      </c>
      <c r="O52" s="179">
        <f>VLOOKUP(B52,Tot_res!C:V,14,FALSE)</f>
        <v>6809.0692979481728</v>
      </c>
      <c r="P52" s="179">
        <f>VLOOKUP(B52,Tot_res!C:V,15,FALSE)</f>
        <v>15989.704872000624</v>
      </c>
      <c r="Q52" s="179">
        <f>VLOOKUP(B52,Tot_res!C:V,16,FALSE)</f>
        <v>3628.698737169922</v>
      </c>
      <c r="R52" s="179">
        <f>VLOOKUP(B52,Tot_res!C:V,17,FALSE)</f>
        <v>1586.9539995604341</v>
      </c>
      <c r="S52" s="179">
        <f>VLOOKUP(B52,Tot_res!C:V,18,FALSE)</f>
        <v>5408.928274352651</v>
      </c>
      <c r="T52" s="179">
        <f>VLOOKUP(B52,Tot_res!C:V,19,FALSE)</f>
        <v>791.49588014336757</v>
      </c>
      <c r="U52" s="179">
        <f>VLOOKUP(B52,Tot_res!C:V,20,FALSE)</f>
        <v>416.51172840018518</v>
      </c>
      <c r="V52" s="122">
        <f t="shared" si="8"/>
        <v>115942.26281</v>
      </c>
    </row>
    <row r="53" spans="1:22" ht="13.15">
      <c r="A53" s="355"/>
      <c r="B53" s="115" t="s">
        <v>700</v>
      </c>
      <c r="C53" s="333" t="str">
        <f>VLOOKUP(B53,Tot_res!C:D,2,FALSE)</f>
        <v>Previsión y política económica</v>
      </c>
      <c r="D53" s="179">
        <f>VLOOKUP(B53,Tot_res!C:V,3,FALSE)</f>
        <v>58995.006186729886</v>
      </c>
      <c r="E53" s="179">
        <f>VLOOKUP(B53,Tot_res!C:V,4,FALSE)</f>
        <v>9361.1539817772937</v>
      </c>
      <c r="F53" s="179">
        <f>VLOOKUP(B53,Tot_res!C:V,5,FALSE)</f>
        <v>7460.5265974144686</v>
      </c>
      <c r="G53" s="179">
        <f>VLOOKUP(B53,Tot_res!C:V,6,FALSE)</f>
        <v>7758.941216297856</v>
      </c>
      <c r="H53" s="179">
        <f>VLOOKUP(B53,Tot_res!C:V,7,FALSE)</f>
        <v>14793.736162524536</v>
      </c>
      <c r="I53" s="179">
        <f>VLOOKUP(B53,Tot_res!C:V,8,FALSE)</f>
        <v>4135.1204628801097</v>
      </c>
      <c r="J53" s="179">
        <f>VLOOKUP(B53,Tot_res!C:V,9,FALSE)</f>
        <v>17564.990255330329</v>
      </c>
      <c r="K53" s="179">
        <f>VLOOKUP(B53,Tot_res!C:V,10,FALSE)</f>
        <v>14640.01909521193</v>
      </c>
      <c r="L53" s="179">
        <f>VLOOKUP(B53,Tot_res!C:V,11,FALSE)</f>
        <v>52795.00157397351</v>
      </c>
      <c r="M53" s="179">
        <f>VLOOKUP(B53,Tot_res!C:V,12,FALSE)</f>
        <v>35442.875392874797</v>
      </c>
      <c r="N53" s="179">
        <f>VLOOKUP(B53,Tot_res!C:V,13,FALSE)</f>
        <v>7718.7299383498394</v>
      </c>
      <c r="O53" s="179">
        <f>VLOOKUP(B53,Tot_res!C:V,14,FALSE)</f>
        <v>19316.247453559419</v>
      </c>
      <c r="P53" s="179">
        <f>VLOOKUP(B53,Tot_res!C:V,15,FALSE)</f>
        <v>45360.251526595581</v>
      </c>
      <c r="Q53" s="179">
        <f>VLOOKUP(B53,Tot_res!C:V,16,FALSE)</f>
        <v>10294.041619273046</v>
      </c>
      <c r="R53" s="179">
        <f>VLOOKUP(B53,Tot_res!C:V,17,FALSE)</f>
        <v>4501.9362869698462</v>
      </c>
      <c r="S53" s="179">
        <f>VLOOKUP(B53,Tot_res!C:V,18,FALSE)</f>
        <v>15344.269889782694</v>
      </c>
      <c r="T53" s="179">
        <f>VLOOKUP(B53,Tot_res!C:V,19,FALSE)</f>
        <v>2245.3480219285125</v>
      </c>
      <c r="U53" s="179">
        <f>VLOOKUP(B53,Tot_res!C:V,20,FALSE)</f>
        <v>1181.577578526349</v>
      </c>
      <c r="V53" s="122">
        <f t="shared" si="8"/>
        <v>328909.77323999995</v>
      </c>
    </row>
    <row r="54" spans="1:22" ht="13.15">
      <c r="A54" s="355"/>
      <c r="B54" s="115" t="s">
        <v>156</v>
      </c>
      <c r="C54" s="333" t="str">
        <f>VLOOKUP(B54,Tot_res!C:D,2,FALSE)</f>
        <v>Política presupuestaria</v>
      </c>
      <c r="D54" s="179">
        <f>VLOOKUP(B54,Tot_res!C:V,3,FALSE)</f>
        <v>10720.214580460504</v>
      </c>
      <c r="E54" s="179">
        <f>VLOOKUP(B54,Tot_res!C:V,4,FALSE)</f>
        <v>1701.0521041009401</v>
      </c>
      <c r="F54" s="179">
        <f>VLOOKUP(B54,Tot_res!C:V,5,FALSE)</f>
        <v>1355.6816276003042</v>
      </c>
      <c r="G54" s="179">
        <f>VLOOKUP(B54,Tot_res!C:V,6,FALSE)</f>
        <v>1409.9077215556233</v>
      </c>
      <c r="H54" s="179">
        <f>VLOOKUP(B54,Tot_res!C:V,7,FALSE)</f>
        <v>2688.2279765682006</v>
      </c>
      <c r="I54" s="179">
        <f>VLOOKUP(B54,Tot_res!C:V,8,FALSE)</f>
        <v>751.40900126050371</v>
      </c>
      <c r="J54" s="179">
        <f>VLOOKUP(B54,Tot_res!C:V,9,FALSE)</f>
        <v>3191.8034561236209</v>
      </c>
      <c r="K54" s="179">
        <f>VLOOKUP(B54,Tot_res!C:V,10,FALSE)</f>
        <v>2660.2954437525518</v>
      </c>
      <c r="L54" s="179">
        <f>VLOOKUP(B54,Tot_res!C:V,11,FALSE)</f>
        <v>9593.5873598747767</v>
      </c>
      <c r="M54" s="179">
        <f>VLOOKUP(B54,Tot_res!C:V,12,FALSE)</f>
        <v>6440.4642717980923</v>
      </c>
      <c r="N54" s="179">
        <f>VLOOKUP(B54,Tot_res!C:V,13,FALSE)</f>
        <v>1402.6007721031078</v>
      </c>
      <c r="O54" s="179">
        <f>VLOOKUP(B54,Tot_res!C:V,14,FALSE)</f>
        <v>3510.0312886823513</v>
      </c>
      <c r="P54" s="179">
        <f>VLOOKUP(B54,Tot_res!C:V,15,FALSE)</f>
        <v>8242.5896905515692</v>
      </c>
      <c r="Q54" s="179">
        <f>VLOOKUP(B54,Tot_res!C:V,16,FALSE)</f>
        <v>1870.5707854238831</v>
      </c>
      <c r="R54" s="179">
        <f>VLOOKUP(B54,Tot_res!C:V,17,FALSE)</f>
        <v>818.06454721135663</v>
      </c>
      <c r="S54" s="179">
        <f>VLOOKUP(B54,Tot_res!C:V,18,FALSE)</f>
        <v>2788.2676252006254</v>
      </c>
      <c r="T54" s="179">
        <f>VLOOKUP(B54,Tot_res!C:V,19,FALSE)</f>
        <v>408.011019215734</v>
      </c>
      <c r="U54" s="179">
        <f>VLOOKUP(B54,Tot_res!C:V,20,FALSE)</f>
        <v>214.70910851624927</v>
      </c>
      <c r="V54" s="122">
        <f t="shared" si="8"/>
        <v>59767.488379999995</v>
      </c>
    </row>
    <row r="55" spans="1:22" ht="13.15">
      <c r="A55" s="355"/>
      <c r="B55" s="115" t="s">
        <v>158</v>
      </c>
      <c r="C55" s="333" t="str">
        <f>VLOOKUP(B55,Tot_res!C:D,2,FALSE)</f>
        <v>Política tributaria</v>
      </c>
      <c r="D55" s="179">
        <f>VLOOKUP(B55,Tot_res!C:V,3,FALSE)</f>
        <v>1026.7920073786645</v>
      </c>
      <c r="E55" s="179">
        <f>VLOOKUP(B55,Tot_res!C:V,4,FALSE)</f>
        <v>162.92833427131606</v>
      </c>
      <c r="F55" s="179">
        <f>VLOOKUP(B55,Tot_res!C:V,5,FALSE)</f>
        <v>129.8484325404516</v>
      </c>
      <c r="G55" s="179">
        <f>VLOOKUP(B55,Tot_res!C:V,6,FALSE)</f>
        <v>135.04225766837124</v>
      </c>
      <c r="H55" s="179">
        <f>VLOOKUP(B55,Tot_res!C:V,7,FALSE)</f>
        <v>257.48094682572827</v>
      </c>
      <c r="I55" s="179">
        <f>VLOOKUP(B55,Tot_res!C:V,8,FALSE)</f>
        <v>71.970644894827032</v>
      </c>
      <c r="J55" s="179">
        <f>VLOOKUP(B55,Tot_res!C:V,9,FALSE)</f>
        <v>305.71386918362873</v>
      </c>
      <c r="K55" s="179">
        <f>VLOOKUP(B55,Tot_res!C:V,10,FALSE)</f>
        <v>254.80554315487021</v>
      </c>
      <c r="L55" s="179">
        <f>VLOOKUP(B55,Tot_res!C:V,11,FALSE)</f>
        <v>918.88261650684751</v>
      </c>
      <c r="M55" s="179">
        <f>VLOOKUP(B55,Tot_res!C:V,12,FALSE)</f>
        <v>616.87358853278283</v>
      </c>
      <c r="N55" s="179">
        <f>VLOOKUP(B55,Tot_res!C:V,13,FALSE)</f>
        <v>134.34239133268818</v>
      </c>
      <c r="O55" s="179">
        <f>VLOOKUP(B55,Tot_res!C:V,14,FALSE)</f>
        <v>336.19402352609001</v>
      </c>
      <c r="P55" s="179">
        <f>VLOOKUP(B55,Tot_res!C:V,15,FALSE)</f>
        <v>789.48281779603803</v>
      </c>
      <c r="Q55" s="179">
        <f>VLOOKUP(B55,Tot_res!C:V,16,FALSE)</f>
        <v>179.16498940329677</v>
      </c>
      <c r="R55" s="179">
        <f>VLOOKUP(B55,Tot_res!C:V,17,FALSE)</f>
        <v>78.354974361006157</v>
      </c>
      <c r="S55" s="179">
        <f>VLOOKUP(B55,Tot_res!C:V,18,FALSE)</f>
        <v>267.06283633603425</v>
      </c>
      <c r="T55" s="179">
        <f>VLOOKUP(B55,Tot_res!C:V,19,FALSE)</f>
        <v>39.079670496217062</v>
      </c>
      <c r="U55" s="179">
        <f>VLOOKUP(B55,Tot_res!C:V,20,FALSE)</f>
        <v>20.565035791141113</v>
      </c>
      <c r="V55" s="122">
        <f t="shared" si="8"/>
        <v>5724.5849799999996</v>
      </c>
    </row>
    <row r="56" spans="1:22" ht="13.15">
      <c r="A56" s="355"/>
      <c r="B56" s="115" t="s">
        <v>160</v>
      </c>
      <c r="C56" s="333" t="str">
        <f>VLOOKUP(B56,Tot_res!C:D,2,FALSE)</f>
        <v>Control interno y contabilidad pública</v>
      </c>
      <c r="D56" s="179">
        <f>VLOOKUP(B56,Tot_res!C:V,3,FALSE)</f>
        <v>13176.471532315058</v>
      </c>
      <c r="E56" s="179">
        <f>VLOOKUP(B56,Tot_res!C:V,4,FALSE)</f>
        <v>2090.8037293883945</v>
      </c>
      <c r="F56" s="179">
        <f>VLOOKUP(B56,Tot_res!C:V,5,FALSE)</f>
        <v>1666.3006359515064</v>
      </c>
      <c r="G56" s="179">
        <f>VLOOKUP(B56,Tot_res!C:V,6,FALSE)</f>
        <v>1732.9512219027638</v>
      </c>
      <c r="H56" s="179">
        <f>VLOOKUP(B56,Tot_res!C:V,7,FALSE)</f>
        <v>3304.1651489127398</v>
      </c>
      <c r="I56" s="179">
        <f>VLOOKUP(B56,Tot_res!C:V,8,FALSE)</f>
        <v>923.57473256929961</v>
      </c>
      <c r="J56" s="179">
        <f>VLOOKUP(B56,Tot_res!C:V,9,FALSE)</f>
        <v>3923.1217864811706</v>
      </c>
      <c r="K56" s="179">
        <f>VLOOKUP(B56,Tot_res!C:V,10,FALSE)</f>
        <v>3269.8326063401601</v>
      </c>
      <c r="L56" s="179">
        <f>VLOOKUP(B56,Tot_res!C:V,11,FALSE)</f>
        <v>11791.707133416116</v>
      </c>
      <c r="M56" s="179">
        <f>VLOOKUP(B56,Tot_res!C:V,12,FALSE)</f>
        <v>7916.1283102408188</v>
      </c>
      <c r="N56" s="179">
        <f>VLOOKUP(B56,Tot_res!C:V,13,FALSE)</f>
        <v>1723.9700759819889</v>
      </c>
      <c r="O56" s="179">
        <f>VLOOKUP(B56,Tot_res!C:V,14,FALSE)</f>
        <v>4314.2632086074718</v>
      </c>
      <c r="P56" s="179">
        <f>VLOOKUP(B56,Tot_res!C:V,15,FALSE)</f>
        <v>10131.163662345356</v>
      </c>
      <c r="Q56" s="179">
        <f>VLOOKUP(B56,Tot_res!C:V,16,FALSE)</f>
        <v>2299.1631854312413</v>
      </c>
      <c r="R56" s="179">
        <f>VLOOKUP(B56,Tot_res!C:V,17,FALSE)</f>
        <v>1005.5026545432835</v>
      </c>
      <c r="S56" s="179">
        <f>VLOOKUP(B56,Tot_res!C:V,18,FALSE)</f>
        <v>3427.1262680596028</v>
      </c>
      <c r="T56" s="179">
        <f>VLOOKUP(B56,Tot_res!C:V,19,FALSE)</f>
        <v>501.49607913315009</v>
      </c>
      <c r="U56" s="179">
        <f>VLOOKUP(B56,Tot_res!C:V,20,FALSE)</f>
        <v>263.90408837987775</v>
      </c>
      <c r="V56" s="122">
        <f t="shared" si="8"/>
        <v>73461.646059999999</v>
      </c>
    </row>
    <row r="57" spans="1:22" ht="13.15">
      <c r="A57" s="355"/>
      <c r="B57" s="115" t="s">
        <v>161</v>
      </c>
      <c r="C57" s="333" t="str">
        <f>VLOOKUP(B57,Tot_res!C:D,2,FALSE)</f>
        <v>Aplicación del sistema tributario estatal +  AF01: ajuste forales, gestión tributaria</v>
      </c>
      <c r="D57" s="179">
        <f>VLOOKUP(B57,Tot_res!C:V,3,FALSE)</f>
        <v>249812.553099365</v>
      </c>
      <c r="E57" s="179">
        <f>VLOOKUP(B57,Tot_res!C:V,4,FALSE)</f>
        <v>39639.520822189406</v>
      </c>
      <c r="F57" s="179">
        <f>VLOOKUP(B57,Tot_res!C:V,5,FALSE)</f>
        <v>31591.372172532258</v>
      </c>
      <c r="G57" s="179">
        <f>VLOOKUP(B57,Tot_res!C:V,6,FALSE)</f>
        <v>32854.999768221896</v>
      </c>
      <c r="H57" s="179">
        <f>VLOOKUP(B57,Tot_res!C:V,7,FALSE)</f>
        <v>62643.62425764004</v>
      </c>
      <c r="I57" s="179">
        <f>VLOOKUP(B57,Tot_res!C:V,8,FALSE)</f>
        <v>17510.041391229963</v>
      </c>
      <c r="J57" s="179">
        <f>VLOOKUP(B57,Tot_res!C:V,9,FALSE)</f>
        <v>74378.415131627626</v>
      </c>
      <c r="K57" s="179">
        <f>VLOOKUP(B57,Tot_res!C:V,10,FALSE)</f>
        <v>61992.714027734066</v>
      </c>
      <c r="L57" s="179">
        <f>VLOOKUP(B57,Tot_res!C:V,11,FALSE)</f>
        <v>223558.82279822472</v>
      </c>
      <c r="M57" s="179">
        <f>VLOOKUP(B57,Tot_res!C:V,12,FALSE)</f>
        <v>150081.77409206401</v>
      </c>
      <c r="N57" s="179">
        <f>VLOOKUP(B57,Tot_res!C:V,13,FALSE)</f>
        <v>32684.726339047451</v>
      </c>
      <c r="O57" s="179">
        <f>VLOOKUP(B57,Tot_res!C:V,14,FALSE)</f>
        <v>81794.060287058732</v>
      </c>
      <c r="P57" s="179">
        <f>VLOOKUP(B57,Tot_res!C:V,15,FALSE)</f>
        <v>192076.60064009094</v>
      </c>
      <c r="Q57" s="179">
        <f>VLOOKUP(B57,Tot_res!C:V,16,FALSE)</f>
        <v>43589.805050315648</v>
      </c>
      <c r="R57" s="179">
        <f>VLOOKUP(B57,Tot_res!C:V,17,FALSE)</f>
        <v>19063.31180267908</v>
      </c>
      <c r="S57" s="179">
        <f>VLOOKUP(B57,Tot_res!C:V,18,FALSE)</f>
        <v>64974.842522765117</v>
      </c>
      <c r="T57" s="179">
        <f>VLOOKUP(B57,Tot_res!C:V,19,FALSE)</f>
        <v>9507.8576681417653</v>
      </c>
      <c r="U57" s="179">
        <f>VLOOKUP(B57,Tot_res!C:V,20,FALSE)</f>
        <v>5003.3541931050395</v>
      </c>
      <c r="V57" s="122">
        <f t="shared" si="8"/>
        <v>1392758.3960640328</v>
      </c>
    </row>
    <row r="58" spans="1:22" ht="13.15">
      <c r="A58" s="355"/>
      <c r="B58" s="115" t="s">
        <v>162</v>
      </c>
      <c r="C58" s="333" t="str">
        <f>VLOOKUP(B58,Tot_res!C:D,2,FALSE)</f>
        <v>Gestión del catastro inmobiliario + AF02: corrección forales, catastro</v>
      </c>
      <c r="D58" s="179">
        <f>VLOOKUP(B58,Tot_res!C:V,3,FALSE)</f>
        <v>18304.896109883946</v>
      </c>
      <c r="E58" s="179">
        <f>VLOOKUP(B58,Tot_res!C:V,4,FALSE)</f>
        <v>2904.5670503481315</v>
      </c>
      <c r="F58" s="179">
        <f>VLOOKUP(B58,Tot_res!C:V,5,FALSE)</f>
        <v>2314.8427827678752</v>
      </c>
      <c r="G58" s="179">
        <f>VLOOKUP(B58,Tot_res!C:V,6,FALSE)</f>
        <v>2407.4344943280262</v>
      </c>
      <c r="H58" s="179">
        <f>VLOOKUP(B58,Tot_res!C:V,7,FALSE)</f>
        <v>4590.1817973358748</v>
      </c>
      <c r="I58" s="179">
        <f>VLOOKUP(B58,Tot_res!C:V,8,FALSE)</f>
        <v>1283.0399616417315</v>
      </c>
      <c r="J58" s="179">
        <f>VLOOKUP(B58,Tot_res!C:V,9,FALSE)</f>
        <v>5450.0430219001855</v>
      </c>
      <c r="K58" s="179">
        <f>VLOOKUP(B58,Tot_res!C:V,10,FALSE)</f>
        <v>4542.4866595717185</v>
      </c>
      <c r="L58" s="179">
        <f>VLOOKUP(B58,Tot_res!C:V,11,FALSE)</f>
        <v>16381.166498633649</v>
      </c>
      <c r="M58" s="179">
        <f>VLOOKUP(B58,Tot_res!C:V,12,FALSE)</f>
        <v>10997.170673202998</v>
      </c>
      <c r="N58" s="179">
        <f>VLOOKUP(B58,Tot_res!C:V,13,FALSE)</f>
        <v>2394.9577897243462</v>
      </c>
      <c r="O58" s="179">
        <f>VLOOKUP(B58,Tot_res!C:V,14,FALSE)</f>
        <v>5993.4208965257967</v>
      </c>
      <c r="P58" s="179">
        <f>VLOOKUP(B58,Tot_res!C:V,15,FALSE)</f>
        <v>14074.321631299441</v>
      </c>
      <c r="Q58" s="179">
        <f>VLOOKUP(B58,Tot_res!C:V,16,FALSE)</f>
        <v>3194.0222498696794</v>
      </c>
      <c r="R58" s="179">
        <f>VLOOKUP(B58,Tot_res!C:V,17,FALSE)</f>
        <v>1396.8551128796412</v>
      </c>
      <c r="S58" s="179">
        <f>VLOOKUP(B58,Tot_res!C:V,18,FALSE)</f>
        <v>4761.0007078475674</v>
      </c>
      <c r="T58" s="179">
        <f>VLOOKUP(B58,Tot_res!C:V,19,FALSE)</f>
        <v>696.68375221189342</v>
      </c>
      <c r="U58" s="179">
        <f>VLOOKUP(B58,Tot_res!C:V,20,FALSE)</f>
        <v>366.61840075470877</v>
      </c>
      <c r="V58" s="122">
        <f t="shared" si="8"/>
        <v>102053.7095907272</v>
      </c>
    </row>
    <row r="59" spans="1:22" ht="13.15">
      <c r="A59" s="355"/>
      <c r="B59" s="115" t="s">
        <v>163</v>
      </c>
      <c r="C59" s="333" t="str">
        <f>VLOOKUP(B59,Tot_res!C:D,2,FALSE)</f>
        <v>Resolución de reclamaciones económico-administrativas</v>
      </c>
      <c r="D59" s="179">
        <f>VLOOKUP(B59,Tot_res!C:V,3,FALSE)</f>
        <v>5226.2533511040319</v>
      </c>
      <c r="E59" s="179">
        <f>VLOOKUP(B59,Tot_res!C:V,4,FALSE)</f>
        <v>829.28650287130836</v>
      </c>
      <c r="F59" s="179">
        <f>VLOOKUP(B59,Tot_res!C:V,5,FALSE)</f>
        <v>660.91360355698248</v>
      </c>
      <c r="G59" s="179">
        <f>VLOOKUP(B59,Tot_res!C:V,6,FALSE)</f>
        <v>687.34957674802433</v>
      </c>
      <c r="H59" s="179">
        <f>VLOOKUP(B59,Tot_res!C:V,7,FALSE)</f>
        <v>1310.5484377783469</v>
      </c>
      <c r="I59" s="179">
        <f>VLOOKUP(B59,Tot_res!C:V,8,FALSE)</f>
        <v>366.32231392505838</v>
      </c>
      <c r="J59" s="179">
        <f>VLOOKUP(B59,Tot_res!C:V,9,FALSE)</f>
        <v>1556.0484711785441</v>
      </c>
      <c r="K59" s="179">
        <f>VLOOKUP(B59,Tot_res!C:V,10,FALSE)</f>
        <v>1296.9309404664286</v>
      </c>
      <c r="L59" s="179">
        <f>VLOOKUP(B59,Tot_res!C:V,11,FALSE)</f>
        <v>4677.0069490998058</v>
      </c>
      <c r="M59" s="179">
        <f>VLOOKUP(B59,Tot_res!C:V,12,FALSE)</f>
        <v>3139.815694034799</v>
      </c>
      <c r="N59" s="179">
        <f>VLOOKUP(B59,Tot_res!C:V,13,FALSE)</f>
        <v>683.78733750589549</v>
      </c>
      <c r="O59" s="179">
        <f>VLOOKUP(B59,Tot_res!C:V,14,FALSE)</f>
        <v>1711.1889549666207</v>
      </c>
      <c r="P59" s="179">
        <f>VLOOKUP(B59,Tot_res!C:V,15,FALSE)</f>
        <v>4018.3768401928946</v>
      </c>
      <c r="Q59" s="179">
        <f>VLOOKUP(B59,Tot_res!C:V,16,FALSE)</f>
        <v>911.92921209035364</v>
      </c>
      <c r="R59" s="179">
        <f>VLOOKUP(B59,Tot_res!C:V,17,FALSE)</f>
        <v>398.8178174227458</v>
      </c>
      <c r="S59" s="179">
        <f>VLOOKUP(B59,Tot_res!C:V,18,FALSE)</f>
        <v>1359.3191545381992</v>
      </c>
      <c r="T59" s="179">
        <f>VLOOKUP(B59,Tot_res!C:V,19,FALSE)</f>
        <v>198.91103302635588</v>
      </c>
      <c r="U59" s="179">
        <f>VLOOKUP(B59,Tot_res!C:V,20,FALSE)</f>
        <v>104.67366949360114</v>
      </c>
      <c r="V59" s="122">
        <f t="shared" si="8"/>
        <v>29137.479859999996</v>
      </c>
    </row>
    <row r="60" spans="1:22" ht="13.15">
      <c r="A60" s="356"/>
      <c r="B60" s="115"/>
      <c r="C60" s="102"/>
      <c r="D60" s="105"/>
      <c r="E60" s="105"/>
      <c r="F60" s="105"/>
      <c r="G60" s="105"/>
      <c r="H60" s="105"/>
      <c r="I60" s="105"/>
      <c r="J60" s="105"/>
      <c r="K60" s="105"/>
      <c r="L60" s="105"/>
      <c r="M60" s="105"/>
      <c r="N60" s="105"/>
      <c r="O60" s="105"/>
      <c r="P60" s="105"/>
      <c r="Q60" s="105"/>
      <c r="R60" s="105"/>
      <c r="S60" s="105"/>
      <c r="T60" s="105"/>
      <c r="U60" s="105"/>
      <c r="V60" s="122"/>
    </row>
    <row r="61" spans="1:22" ht="13.15">
      <c r="A61" s="356"/>
      <c r="B61" s="115"/>
      <c r="C61" s="128" t="s">
        <v>0</v>
      </c>
      <c r="D61" s="130">
        <f t="shared" ref="D61:U61" si="9">SUM(D62:D75)</f>
        <v>117572.41134878968</v>
      </c>
      <c r="E61" s="130">
        <f t="shared" si="9"/>
        <v>18656.044261801406</v>
      </c>
      <c r="F61" s="130">
        <f t="shared" si="9"/>
        <v>14868.243241020344</v>
      </c>
      <c r="G61" s="130">
        <f t="shared" si="9"/>
        <v>15462.960126256334</v>
      </c>
      <c r="H61" s="130">
        <f t="shared" si="9"/>
        <v>29482.753641562282</v>
      </c>
      <c r="I61" s="130">
        <f t="shared" si="9"/>
        <v>8240.9701339754483</v>
      </c>
      <c r="J61" s="130">
        <f t="shared" si="9"/>
        <v>35005.645276154035</v>
      </c>
      <c r="K61" s="130">
        <f t="shared" si="9"/>
        <v>29176.407605896089</v>
      </c>
      <c r="L61" s="130">
        <f t="shared" si="9"/>
        <v>105216.28936808967</v>
      </c>
      <c r="M61" s="130">
        <f t="shared" si="9"/>
        <v>70634.865464465431</v>
      </c>
      <c r="N61" s="130">
        <f t="shared" si="9"/>
        <v>15382.822209212973</v>
      </c>
      <c r="O61" s="130">
        <f t="shared" si="9"/>
        <v>38495.763253869147</v>
      </c>
      <c r="P61" s="130">
        <f t="shared" si="9"/>
        <v>90399.416765703645</v>
      </c>
      <c r="Q61" s="130">
        <f t="shared" si="9"/>
        <v>20515.216014588208</v>
      </c>
      <c r="R61" s="130">
        <f t="shared" si="9"/>
        <v>8972.0052460426905</v>
      </c>
      <c r="S61" s="130">
        <f t="shared" si="9"/>
        <v>30579.924097612478</v>
      </c>
      <c r="T61" s="130">
        <f t="shared" si="9"/>
        <v>4474.8021624032208</v>
      </c>
      <c r="U61" s="130">
        <f t="shared" si="9"/>
        <v>2354.7912625569838</v>
      </c>
      <c r="V61" s="131">
        <f>SUM(V62:V75)</f>
        <v>655491.33148000005</v>
      </c>
    </row>
    <row r="62" spans="1:22" ht="13.15">
      <c r="A62" s="355"/>
      <c r="B62" s="115" t="s">
        <v>164</v>
      </c>
      <c r="C62" s="333" t="str">
        <f>VLOOKUP(B62,Tot_res!C:D,2,FALSE)</f>
        <v>Registros vinculados con la fe pública</v>
      </c>
      <c r="D62" s="179">
        <f>VLOOKUP(B62,Tot_res!C:V,3,FALSE)</f>
        <v>3861.1952064762095</v>
      </c>
      <c r="E62" s="179">
        <f>VLOOKUP(B62,Tot_res!C:V,4,FALSE)</f>
        <v>612.68309333027139</v>
      </c>
      <c r="F62" s="179">
        <f>VLOOKUP(B62,Tot_res!C:V,5,FALSE)</f>
        <v>488.28793143180735</v>
      </c>
      <c r="G62" s="179">
        <f>VLOOKUP(B62,Tot_res!C:V,6,FALSE)</f>
        <v>507.81902686601956</v>
      </c>
      <c r="H62" s="179">
        <f>VLOOKUP(B62,Tot_res!C:V,7,FALSE)</f>
        <v>968.24302341478847</v>
      </c>
      <c r="I62" s="179">
        <f>VLOOKUP(B62,Tot_res!C:V,8,FALSE)</f>
        <v>270.64167531294896</v>
      </c>
      <c r="J62" s="179">
        <f>VLOOKUP(B62,Tot_res!C:V,9,FALSE)</f>
        <v>1149.6202909279191</v>
      </c>
      <c r="K62" s="179">
        <f>VLOOKUP(B62,Tot_res!C:V,10,FALSE)</f>
        <v>958.18231418149537</v>
      </c>
      <c r="L62" s="179">
        <f>VLOOKUP(B62,Tot_res!C:V,11,FALSE)</f>
        <v>3455.4078417773626</v>
      </c>
      <c r="M62" s="179">
        <f>VLOOKUP(B62,Tot_res!C:V,12,FALSE)</f>
        <v>2319.7194036651313</v>
      </c>
      <c r="N62" s="179">
        <f>VLOOKUP(B62,Tot_res!C:V,13,FALSE)</f>
        <v>505.1872177741156</v>
      </c>
      <c r="O62" s="179">
        <f>VLOOKUP(B62,Tot_res!C:V,14,FALSE)</f>
        <v>1264.2392449069448</v>
      </c>
      <c r="P62" s="179">
        <f>VLOOKUP(B62,Tot_res!C:V,15,FALSE)</f>
        <v>2968.8069733339976</v>
      </c>
      <c r="Q62" s="179">
        <f>VLOOKUP(B62,Tot_res!C:V,16,FALSE)</f>
        <v>673.74014725579082</v>
      </c>
      <c r="R62" s="179">
        <f>VLOOKUP(B62,Tot_res!C:V,17,FALSE)</f>
        <v>294.64959722335465</v>
      </c>
      <c r="S62" s="179">
        <f>VLOOKUP(B62,Tot_res!C:V,18,FALSE)</f>
        <v>1004.2751950525776</v>
      </c>
      <c r="T62" s="179">
        <f>VLOOKUP(B62,Tot_res!C:V,19,FALSE)</f>
        <v>146.956964318301</v>
      </c>
      <c r="U62" s="179">
        <f>VLOOKUP(B62,Tot_res!C:V,20,FALSE)</f>
        <v>77.333692750962584</v>
      </c>
      <c r="V62" s="122">
        <f t="shared" ref="V62:V75" si="10">SUM(D62:U62)</f>
        <v>21526.988839999995</v>
      </c>
    </row>
    <row r="63" spans="1:22" ht="13.15">
      <c r="A63" s="355"/>
      <c r="B63" s="115" t="s">
        <v>165</v>
      </c>
      <c r="C63" s="333" t="str">
        <f>VLOOKUP(B63,Tot_res!C:D,2,FALSE)</f>
        <v>Derecho de asilo y apátridas</v>
      </c>
      <c r="D63" s="179">
        <f>VLOOKUP(B63,Tot_res!C:V,3,FALSE)</f>
        <v>474.56800760528216</v>
      </c>
      <c r="E63" s="179">
        <f>VLOOKUP(B63,Tot_res!C:V,4,FALSE)</f>
        <v>75.303054973110321</v>
      </c>
      <c r="F63" s="179">
        <f>VLOOKUP(B63,Tot_res!C:V,5,FALSE)</f>
        <v>60.014015962889964</v>
      </c>
      <c r="G63" s="179">
        <f>VLOOKUP(B63,Tot_res!C:V,6,FALSE)</f>
        <v>62.414524756389063</v>
      </c>
      <c r="H63" s="179">
        <f>VLOOKUP(B63,Tot_res!C:V,7,FALSE)</f>
        <v>119.00386743694717</v>
      </c>
      <c r="I63" s="179">
        <f>VLOOKUP(B63,Tot_res!C:V,8,FALSE)</f>
        <v>33.263762581285391</v>
      </c>
      <c r="J63" s="179">
        <f>VLOOKUP(B63,Tot_res!C:V,9,FALSE)</f>
        <v>141.29640740597682</v>
      </c>
      <c r="K63" s="179">
        <f>VLOOKUP(B63,Tot_res!C:V,10,FALSE)</f>
        <v>117.7673356169729</v>
      </c>
      <c r="L63" s="179">
        <f>VLOOKUP(B63,Tot_res!C:V,11,FALSE)</f>
        <v>424.69389068585406</v>
      </c>
      <c r="M63" s="179">
        <f>VLOOKUP(B63,Tot_res!C:V,12,FALSE)</f>
        <v>285.10980583272345</v>
      </c>
      <c r="N63" s="179">
        <f>VLOOKUP(B63,Tot_res!C:V,13,FALSE)</f>
        <v>62.091056936101843</v>
      </c>
      <c r="O63" s="179">
        <f>VLOOKUP(B63,Tot_res!C:V,14,FALSE)</f>
        <v>155.38388180571565</v>
      </c>
      <c r="P63" s="179">
        <f>VLOOKUP(B63,Tot_res!C:V,15,FALSE)</f>
        <v>364.88722661229281</v>
      </c>
      <c r="Q63" s="179">
        <f>VLOOKUP(B63,Tot_res!C:V,16,FALSE)</f>
        <v>82.807395697216236</v>
      </c>
      <c r="R63" s="179">
        <f>VLOOKUP(B63,Tot_res!C:V,17,FALSE)</f>
        <v>36.214504788945547</v>
      </c>
      <c r="S63" s="179">
        <f>VLOOKUP(B63,Tot_res!C:V,18,FALSE)</f>
        <v>123.43247438102412</v>
      </c>
      <c r="T63" s="179">
        <f>VLOOKUP(B63,Tot_res!C:V,19,FALSE)</f>
        <v>18.062042976558939</v>
      </c>
      <c r="U63" s="179">
        <f>VLOOKUP(B63,Tot_res!C:V,20,FALSE)</f>
        <v>9.5048539447132701</v>
      </c>
      <c r="V63" s="122">
        <f t="shared" si="10"/>
        <v>2645.8181100000006</v>
      </c>
    </row>
    <row r="64" spans="1:22" ht="13.15">
      <c r="A64" s="355"/>
      <c r="B64" s="115" t="s">
        <v>166</v>
      </c>
      <c r="C64" s="333" t="str">
        <f>VLOOKUP(B64,Tot_res!C:D,2,FALSE)</f>
        <v>Protección de datos de carácter personal</v>
      </c>
      <c r="D64" s="179">
        <f>VLOOKUP(B64,Tot_res!C:V,3,FALSE)</f>
        <v>2114.6878345536747</v>
      </c>
      <c r="E64" s="179">
        <f>VLOOKUP(B64,Tot_res!C:V,4,FALSE)</f>
        <v>335.55244286254441</v>
      </c>
      <c r="F64" s="179">
        <f>VLOOKUP(B64,Tot_res!C:V,5,FALSE)</f>
        <v>267.4240728949232</v>
      </c>
      <c r="G64" s="179">
        <f>VLOOKUP(B64,Tot_res!C:V,6,FALSE)</f>
        <v>278.12080478792905</v>
      </c>
      <c r="H64" s="179">
        <f>VLOOKUP(B64,Tot_res!C:V,7,FALSE)</f>
        <v>530.28444121977793</v>
      </c>
      <c r="I64" s="179">
        <f>VLOOKUP(B64,Tot_res!C:V,8,FALSE)</f>
        <v>148.22422273486396</v>
      </c>
      <c r="J64" s="179">
        <f>VLOOKUP(B64,Tot_res!C:V,9,FALSE)</f>
        <v>629.62060024931441</v>
      </c>
      <c r="K64" s="179">
        <f>VLOOKUP(B64,Tot_res!C:V,10,FALSE)</f>
        <v>524.77442209747551</v>
      </c>
      <c r="L64" s="179">
        <f>VLOOKUP(B64,Tot_res!C:V,11,FALSE)</f>
        <v>1892.4474251320087</v>
      </c>
      <c r="M64" s="179">
        <f>VLOOKUP(B64,Tot_res!C:V,12,FALSE)</f>
        <v>1270.4569803362992</v>
      </c>
      <c r="N64" s="179">
        <f>VLOOKUP(B64,Tot_res!C:V,13,FALSE)</f>
        <v>276.67942346118798</v>
      </c>
      <c r="O64" s="179">
        <f>VLOOKUP(B64,Tot_res!C:V,14,FALSE)</f>
        <v>692.39476592272422</v>
      </c>
      <c r="P64" s="179">
        <f>VLOOKUP(B64,Tot_res!C:V,15,FALSE)</f>
        <v>1625.9473178454032</v>
      </c>
      <c r="Q64" s="179">
        <f>VLOOKUP(B64,Tot_res!C:V,16,FALSE)</f>
        <v>368.99198741947902</v>
      </c>
      <c r="R64" s="179">
        <f>VLOOKUP(B64,Tot_res!C:V,17,FALSE)</f>
        <v>161.37280955370611</v>
      </c>
      <c r="S64" s="179">
        <f>VLOOKUP(B64,Tot_res!C:V,18,FALSE)</f>
        <v>550.01843314206701</v>
      </c>
      <c r="T64" s="179">
        <f>VLOOKUP(B64,Tot_res!C:V,19,FALSE)</f>
        <v>80.484950391943983</v>
      </c>
      <c r="U64" s="179">
        <f>VLOOKUP(B64,Tot_res!C:V,20,FALSE)</f>
        <v>42.353885394677704</v>
      </c>
      <c r="V64" s="122">
        <f t="shared" si="10"/>
        <v>11789.836819999999</v>
      </c>
    </row>
    <row r="65" spans="1:22" ht="13.15">
      <c r="A65" s="355"/>
      <c r="B65" s="115" t="s">
        <v>167</v>
      </c>
      <c r="C65" s="333" t="str">
        <f>VLOOKUP(B65,Tot_res!C:D,2,FALSE)</f>
        <v>Meteorología</v>
      </c>
      <c r="D65" s="179">
        <f>VLOOKUP(B65,Tot_res!C:V,3,FALSE)</f>
        <v>16445.949128999342</v>
      </c>
      <c r="E65" s="179">
        <f>VLOOKUP(B65,Tot_res!C:V,4,FALSE)</f>
        <v>2609.5948135974372</v>
      </c>
      <c r="F65" s="179">
        <f>VLOOKUP(B65,Tot_res!C:V,5,FALSE)</f>
        <v>2079.7597767558768</v>
      </c>
      <c r="G65" s="179">
        <f>VLOOKUP(B65,Tot_res!C:V,6,FALSE)</f>
        <v>2162.9483711594798</v>
      </c>
      <c r="H65" s="179">
        <f>VLOOKUP(B65,Tot_res!C:V,7,FALSE)</f>
        <v>4124.0275759381611</v>
      </c>
      <c r="I65" s="179">
        <f>VLOOKUP(B65,Tot_res!C:V,8,FALSE)</f>
        <v>1152.7413110112955</v>
      </c>
      <c r="J65" s="179">
        <f>VLOOKUP(B65,Tot_res!C:V,9,FALSE)</f>
        <v>4896.5659106161729</v>
      </c>
      <c r="K65" s="179">
        <f>VLOOKUP(B65,Tot_res!C:V,10,FALSE)</f>
        <v>4081.1761003186753</v>
      </c>
      <c r="L65" s="179">
        <f>VLOOKUP(B65,Tot_res!C:V,11,FALSE)</f>
        <v>14717.583169714331</v>
      </c>
      <c r="M65" s="179">
        <f>VLOOKUP(B65,Tot_res!C:V,12,FALSE)</f>
        <v>9880.357056862129</v>
      </c>
      <c r="N65" s="179">
        <f>VLOOKUP(B65,Tot_res!C:V,13,FALSE)</f>
        <v>2151.7387336953871</v>
      </c>
      <c r="O65" s="179">
        <f>VLOOKUP(B65,Tot_res!C:V,14,FALSE)</f>
        <v>5384.7612453655056</v>
      </c>
      <c r="P65" s="179">
        <f>VLOOKUP(B65,Tot_res!C:V,15,FALSE)</f>
        <v>12645.009083036701</v>
      </c>
      <c r="Q65" s="179">
        <f>VLOOKUP(B65,Tot_res!C:V,16,FALSE)</f>
        <v>2869.6544969673582</v>
      </c>
      <c r="R65" s="179">
        <f>VLOOKUP(B65,Tot_res!C:V,17,FALSE)</f>
        <v>1254.9980064949336</v>
      </c>
      <c r="S65" s="179">
        <f>VLOOKUP(B65,Tot_res!C:V,18,FALSE)</f>
        <v>4277.4990349228146</v>
      </c>
      <c r="T65" s="179">
        <f>VLOOKUP(B65,Tot_res!C:V,19,FALSE)</f>
        <v>625.93229041548625</v>
      </c>
      <c r="U65" s="179">
        <f>VLOOKUP(B65,Tot_res!C:V,20,FALSE)</f>
        <v>329.38660412890272</v>
      </c>
      <c r="V65" s="122">
        <f t="shared" si="10"/>
        <v>91689.682709999979</v>
      </c>
    </row>
    <row r="66" spans="1:22" ht="13.15">
      <c r="A66" s="355"/>
      <c r="B66" s="115" t="s">
        <v>169</v>
      </c>
      <c r="C66" s="333" t="str">
        <f>VLOOKUP(B66,Tot_res!C:D,2,FALSE)</f>
        <v>Metrología</v>
      </c>
      <c r="D66" s="179">
        <f>VLOOKUP(B66,Tot_res!C:V,3,FALSE)</f>
        <v>951.74261120743085</v>
      </c>
      <c r="E66" s="179">
        <f>VLOOKUP(B66,Tot_res!C:V,4,FALSE)</f>
        <v>151.01971692877979</v>
      </c>
      <c r="F66" s="179">
        <f>VLOOKUP(B66,Tot_res!C:V,5,FALSE)</f>
        <v>120.35766285592653</v>
      </c>
      <c r="G66" s="179">
        <f>VLOOKUP(B66,Tot_res!C:V,6,FALSE)</f>
        <v>125.17186539536843</v>
      </c>
      <c r="H66" s="179">
        <f>VLOOKUP(B66,Tot_res!C:V,7,FALSE)</f>
        <v>238.66137144336741</v>
      </c>
      <c r="I66" s="179">
        <f>VLOOKUP(B66,Tot_res!C:V,8,FALSE)</f>
        <v>66.710228566499381</v>
      </c>
      <c r="J66" s="179">
        <f>VLOOKUP(B66,Tot_res!C:V,9,FALSE)</f>
        <v>283.36889462351644</v>
      </c>
      <c r="K66" s="179">
        <f>VLOOKUP(B66,Tot_res!C:V,10,FALSE)</f>
        <v>236.18151607106378</v>
      </c>
      <c r="L66" s="179">
        <f>VLOOKUP(B66,Tot_res!C:V,11,FALSE)</f>
        <v>851.72044050088425</v>
      </c>
      <c r="M66" s="179">
        <f>VLOOKUP(B66,Tot_res!C:V,12,FALSE)</f>
        <v>571.78559602731116</v>
      </c>
      <c r="N66" s="179">
        <f>VLOOKUP(B66,Tot_res!C:V,13,FALSE)</f>
        <v>124.52315308651471</v>
      </c>
      <c r="O66" s="179">
        <f>VLOOKUP(B66,Tot_res!C:V,14,FALSE)</f>
        <v>311.62121980274964</v>
      </c>
      <c r="P66" s="179">
        <f>VLOOKUP(B66,Tot_res!C:V,15,FALSE)</f>
        <v>731.77862031750601</v>
      </c>
      <c r="Q66" s="179">
        <f>VLOOKUP(B66,Tot_res!C:V,16,FALSE)</f>
        <v>166.06961646202285</v>
      </c>
      <c r="R66" s="179">
        <f>VLOOKUP(B66,Tot_res!C:V,17,FALSE)</f>
        <v>72.627920127482724</v>
      </c>
      <c r="S66" s="179">
        <f>VLOOKUP(B66,Tot_res!C:V,18,FALSE)</f>
        <v>247.54290974645684</v>
      </c>
      <c r="T66" s="179">
        <f>VLOOKUP(B66,Tot_res!C:V,19,FALSE)</f>
        <v>36.223292912212109</v>
      </c>
      <c r="U66" s="179">
        <f>VLOOKUP(B66,Tot_res!C:V,20,FALSE)</f>
        <v>19.061913924907333</v>
      </c>
      <c r="V66" s="122">
        <f t="shared" si="10"/>
        <v>5306.1685500000012</v>
      </c>
    </row>
    <row r="67" spans="1:22" ht="13.15">
      <c r="A67" s="355"/>
      <c r="B67" s="115" t="s">
        <v>170</v>
      </c>
      <c r="C67" s="333" t="str">
        <f>VLOOKUP(B67,Tot_res!C:D,2,FALSE)</f>
        <v>Dirección y organización de la administración pública</v>
      </c>
      <c r="D67" s="179">
        <f>VLOOKUP(B67,Tot_res!C:V,3,FALSE)</f>
        <v>8135.9495406180149</v>
      </c>
      <c r="E67" s="179">
        <f>VLOOKUP(B67,Tot_res!C:V,4,FALSE)</f>
        <v>1290.9885320908236</v>
      </c>
      <c r="F67" s="179">
        <f>VLOOKUP(B67,Tot_res!C:V,5,FALSE)</f>
        <v>1028.8746771359101</v>
      </c>
      <c r="G67" s="179">
        <f>VLOOKUP(B67,Tot_res!C:V,6,FALSE)</f>
        <v>1070.0287753952321</v>
      </c>
      <c r="H67" s="179">
        <f>VLOOKUP(B67,Tot_res!C:V,7,FALSE)</f>
        <v>2040.1911740554947</v>
      </c>
      <c r="I67" s="179">
        <f>VLOOKUP(B67,Tot_res!C:V,8,FALSE)</f>
        <v>570.27083485478363</v>
      </c>
      <c r="J67" s="179">
        <f>VLOOKUP(B67,Tot_res!C:V,9,FALSE)</f>
        <v>2422.3723944783624</v>
      </c>
      <c r="K67" s="179">
        <f>VLOOKUP(B67,Tot_res!C:V,10,FALSE)</f>
        <v>2018.9921881747464</v>
      </c>
      <c r="L67" s="179">
        <f>VLOOKUP(B67,Tot_res!C:V,11,FALSE)</f>
        <v>7280.9123443962908</v>
      </c>
      <c r="M67" s="179">
        <f>VLOOKUP(B67,Tot_res!C:V,12,FALSE)</f>
        <v>4887.8958476269172</v>
      </c>
      <c r="N67" s="179">
        <f>VLOOKUP(B67,Tot_res!C:V,13,FALSE)</f>
        <v>1064.4832733350524</v>
      </c>
      <c r="O67" s="179">
        <f>VLOOKUP(B67,Tot_res!C:V,14,FALSE)</f>
        <v>2663.8867381219252</v>
      </c>
      <c r="P67" s="179">
        <f>VLOOKUP(B67,Tot_res!C:V,15,FALSE)</f>
        <v>6255.5924886594103</v>
      </c>
      <c r="Q67" s="179">
        <f>VLOOKUP(B67,Tot_res!C:V,16,FALSE)</f>
        <v>1419.6422476563123</v>
      </c>
      <c r="R67" s="179">
        <f>VLOOKUP(B67,Tot_res!C:V,17,FALSE)</f>
        <v>620.85808330846055</v>
      </c>
      <c r="S67" s="179">
        <f>VLOOKUP(B67,Tot_res!C:V,18,FALSE)</f>
        <v>2116.1147973398711</v>
      </c>
      <c r="T67" s="179">
        <f>VLOOKUP(B67,Tot_res!C:V,19,FALSE)</f>
        <v>309.65397562151611</v>
      </c>
      <c r="U67" s="179">
        <f>VLOOKUP(B67,Tot_res!C:V,20,FALSE)</f>
        <v>162.95032713088122</v>
      </c>
      <c r="V67" s="122">
        <f t="shared" si="10"/>
        <v>45359.658240000004</v>
      </c>
    </row>
    <row r="68" spans="1:22" ht="13.15">
      <c r="A68" s="355"/>
      <c r="B68" s="115" t="s">
        <v>711</v>
      </c>
      <c r="C68" s="333" t="str">
        <f>VLOOKUP(B68,Tot_res!C:D,2,FALSE)</f>
        <v>Formación del personal de las administraciones públicas</v>
      </c>
      <c r="D68" s="179">
        <f>VLOOKUP(B68,Tot_res!C:V,3,FALSE)</f>
        <v>2599.3679619657887</v>
      </c>
      <c r="E68" s="179">
        <f>VLOOKUP(B68,Tot_res!C:V,4,FALSE)</f>
        <v>412.46005925046859</v>
      </c>
      <c r="F68" s="179">
        <f>VLOOKUP(B68,Tot_res!C:V,5,FALSE)</f>
        <v>328.71687063361844</v>
      </c>
      <c r="G68" s="179">
        <f>VLOOKUP(B68,Tot_res!C:V,6,FALSE)</f>
        <v>341.86526148643929</v>
      </c>
      <c r="H68" s="179">
        <f>VLOOKUP(B68,Tot_res!C:V,7,FALSE)</f>
        <v>651.8240492581009</v>
      </c>
      <c r="I68" s="179">
        <f>VLOOKUP(B68,Tot_res!C:V,8,FALSE)</f>
        <v>182.19677130057613</v>
      </c>
      <c r="J68" s="179">
        <f>VLOOKUP(B68,Tot_res!C:V,9,FALSE)</f>
        <v>773.92775885863102</v>
      </c>
      <c r="K68" s="179">
        <f>VLOOKUP(B68,Tot_res!C:V,10,FALSE)</f>
        <v>645.0511502314439</v>
      </c>
      <c r="L68" s="179">
        <f>VLOOKUP(B68,Tot_res!C:V,11,FALSE)</f>
        <v>2326.1907153454786</v>
      </c>
      <c r="M68" s="179">
        <f>VLOOKUP(B68,Tot_res!C:V,12,FALSE)</f>
        <v>1561.6419207513795</v>
      </c>
      <c r="N68" s="179">
        <f>VLOOKUP(B68,Tot_res!C:V,13,FALSE)</f>
        <v>340.09351987026014</v>
      </c>
      <c r="O68" s="179">
        <f>VLOOKUP(B68,Tot_res!C:V,14,FALSE)</f>
        <v>851.08957556952782</v>
      </c>
      <c r="P68" s="179">
        <f>VLOOKUP(B68,Tot_res!C:V,15,FALSE)</f>
        <v>1998.609580474357</v>
      </c>
      <c r="Q68" s="179">
        <f>VLOOKUP(B68,Tot_res!C:V,16,FALSE)</f>
        <v>453.5638474142516</v>
      </c>
      <c r="R68" s="179">
        <f>VLOOKUP(B68,Tot_res!C:V,17,FALSE)</f>
        <v>198.35897489562234</v>
      </c>
      <c r="S68" s="179">
        <f>VLOOKUP(B68,Tot_res!C:V,18,FALSE)</f>
        <v>676.08101311173573</v>
      </c>
      <c r="T68" s="179">
        <f>VLOOKUP(B68,Tot_res!C:V,19,FALSE)</f>
        <v>98.931860320358254</v>
      </c>
      <c r="U68" s="179">
        <f>VLOOKUP(B68,Tot_res!C:V,20,FALSE)</f>
        <v>52.061269261962828</v>
      </c>
      <c r="V68" s="122">
        <f t="shared" si="10"/>
        <v>14492.032159999999</v>
      </c>
    </row>
    <row r="69" spans="1:22" ht="13.15">
      <c r="A69" s="355"/>
      <c r="B69" s="115" t="s">
        <v>171</v>
      </c>
      <c r="C69" s="333" t="str">
        <f>VLOOKUP(B69,Tot_res!C:D,2,FALSE)</f>
        <v>Administración periférica del estado</v>
      </c>
      <c r="D69" s="179">
        <f>VLOOKUP(B69,Tot_res!C:V,3,FALSE)</f>
        <v>53154.882231491647</v>
      </c>
      <c r="E69" s="179">
        <f>VLOOKUP(B69,Tot_res!C:V,4,FALSE)</f>
        <v>8434.4602978303847</v>
      </c>
      <c r="F69" s="179">
        <f>VLOOKUP(B69,Tot_res!C:V,5,FALSE)</f>
        <v>6721.9827287632124</v>
      </c>
      <c r="G69" s="179">
        <f>VLOOKUP(B69,Tot_res!C:V,6,FALSE)</f>
        <v>6990.8562309151612</v>
      </c>
      <c r="H69" s="179">
        <f>VLOOKUP(B69,Tot_res!C:V,7,FALSE)</f>
        <v>13329.251987766238</v>
      </c>
      <c r="I69" s="179">
        <f>VLOOKUP(B69,Tot_res!C:V,8,FALSE)</f>
        <v>3725.770288449683</v>
      </c>
      <c r="J69" s="179">
        <f>VLOOKUP(B69,Tot_res!C:V,9,FALSE)</f>
        <v>15826.169853498499</v>
      </c>
      <c r="K69" s="179">
        <f>VLOOKUP(B69,Tot_res!C:V,10,FALSE)</f>
        <v>13190.751915673531</v>
      </c>
      <c r="L69" s="179">
        <f>VLOOKUP(B69,Tot_res!C:V,11,FALSE)</f>
        <v>47568.637965618509</v>
      </c>
      <c r="M69" s="179">
        <f>VLOOKUP(B69,Tot_res!C:V,12,FALSE)</f>
        <v>31934.260020087335</v>
      </c>
      <c r="N69" s="179">
        <f>VLOOKUP(B69,Tot_res!C:V,13,FALSE)</f>
        <v>6954.6256093445954</v>
      </c>
      <c r="O69" s="179">
        <f>VLOOKUP(B69,Tot_res!C:V,14,FALSE)</f>
        <v>17404.063918536471</v>
      </c>
      <c r="P69" s="179">
        <f>VLOOKUP(B69,Tot_res!C:V,15,FALSE)</f>
        <v>40869.880075194829</v>
      </c>
      <c r="Q69" s="179">
        <f>VLOOKUP(B69,Tot_res!C:V,16,FALSE)</f>
        <v>9274.9980943575629</v>
      </c>
      <c r="R69" s="179">
        <f>VLOOKUP(B69,Tot_res!C:V,17,FALSE)</f>
        <v>4056.2737190014595</v>
      </c>
      <c r="S69" s="179">
        <f>VLOOKUP(B69,Tot_res!C:V,18,FALSE)</f>
        <v>13825.286437601655</v>
      </c>
      <c r="T69" s="179">
        <f>VLOOKUP(B69,Tot_res!C:V,19,FALSE)</f>
        <v>2023.07309362007</v>
      </c>
      <c r="U69" s="179">
        <f>VLOOKUP(B69,Tot_res!C:V,20,FALSE)</f>
        <v>1064.6090422491834</v>
      </c>
      <c r="V69" s="122">
        <f t="shared" si="10"/>
        <v>296349.83351000003</v>
      </c>
    </row>
    <row r="70" spans="1:22" ht="13.15">
      <c r="A70" s="355"/>
      <c r="B70" s="115" t="s">
        <v>172</v>
      </c>
      <c r="C70" s="333" t="str">
        <f>VLOOKUP(B70,Tot_res!C:D,2,FALSE)</f>
        <v>Publicidad de las normas legales</v>
      </c>
      <c r="D70" s="179">
        <f>VLOOKUP(B70,Tot_res!C:V,3,FALSE)</f>
        <v>4600.1757478638156</v>
      </c>
      <c r="E70" s="179">
        <f>VLOOKUP(B70,Tot_res!C:V,4,FALSE)</f>
        <v>729.9423510981361</v>
      </c>
      <c r="F70" s="179">
        <f>VLOOKUP(B70,Tot_res!C:V,5,FALSE)</f>
        <v>581.73963760747506</v>
      </c>
      <c r="G70" s="179">
        <f>VLOOKUP(B70,Tot_res!C:V,6,FALSE)</f>
        <v>605.00872055748516</v>
      </c>
      <c r="H70" s="179">
        <f>VLOOKUP(B70,Tot_res!C:V,7,FALSE)</f>
        <v>1153.5516429939632</v>
      </c>
      <c r="I70" s="179">
        <f>VLOOKUP(B70,Tot_res!C:V,8,FALSE)</f>
        <v>322.43883164665681</v>
      </c>
      <c r="J70" s="179">
        <f>VLOOKUP(B70,Tot_res!C:V,9,FALSE)</f>
        <v>1369.642066453586</v>
      </c>
      <c r="K70" s="179">
        <f>VLOOKUP(B70,Tot_res!C:V,10,FALSE)</f>
        <v>1141.5654500805151</v>
      </c>
      <c r="L70" s="179">
        <f>VLOOKUP(B70,Tot_res!C:V,11,FALSE)</f>
        <v>4116.7261696745836</v>
      </c>
      <c r="M70" s="179">
        <f>VLOOKUP(B70,Tot_res!C:V,12,FALSE)</f>
        <v>2763.6823242428313</v>
      </c>
      <c r="N70" s="179">
        <f>VLOOKUP(B70,Tot_res!C:V,13,FALSE)</f>
        <v>601.8732187995638</v>
      </c>
      <c r="O70" s="179">
        <f>VLOOKUP(B70,Tot_res!C:V,14,FALSE)</f>
        <v>1506.1975380483584</v>
      </c>
      <c r="P70" s="179">
        <f>VLOOKUP(B70,Tot_res!C:V,15,FALSE)</f>
        <v>3536.9964760946827</v>
      </c>
      <c r="Q70" s="179">
        <f>VLOOKUP(B70,Tot_res!C:V,16,FALSE)</f>
        <v>802.68489937259039</v>
      </c>
      <c r="R70" s="179">
        <f>VLOOKUP(B70,Tot_res!C:V,17,FALSE)</f>
        <v>351.0415451131035</v>
      </c>
      <c r="S70" s="179">
        <f>VLOOKUP(B70,Tot_res!C:V,18,FALSE)</f>
        <v>1196.4798849624115</v>
      </c>
      <c r="T70" s="179">
        <f>VLOOKUP(B70,Tot_res!C:V,19,FALSE)</f>
        <v>175.082539754236</v>
      </c>
      <c r="U70" s="179">
        <f>VLOOKUP(B70,Tot_res!C:V,20,FALSE)</f>
        <v>92.134315636010513</v>
      </c>
      <c r="V70" s="122">
        <f t="shared" si="10"/>
        <v>25646.963360000009</v>
      </c>
    </row>
    <row r="71" spans="1:22" ht="13.15">
      <c r="A71" s="355"/>
      <c r="B71" s="115" t="s">
        <v>174</v>
      </c>
      <c r="C71" s="333" t="str">
        <f>VLOOKUP(B71,Tot_res!C:D,2,FALSE)</f>
        <v>Asesoramiento y defensa intereses del estado</v>
      </c>
      <c r="D71" s="179">
        <f>VLOOKUP(B71,Tot_res!C:V,3,FALSE)</f>
        <v>5375.6946888403427</v>
      </c>
      <c r="E71" s="179">
        <f>VLOOKUP(B71,Tot_res!C:V,4,FALSE)</f>
        <v>852.99941459411559</v>
      </c>
      <c r="F71" s="179">
        <f>VLOOKUP(B71,Tot_res!C:V,5,FALSE)</f>
        <v>679.8120010146597</v>
      </c>
      <c r="G71" s="179">
        <f>VLOOKUP(B71,Tot_res!C:V,6,FALSE)</f>
        <v>707.00389377802685</v>
      </c>
      <c r="H71" s="179">
        <f>VLOOKUP(B71,Tot_res!C:V,7,FALSE)</f>
        <v>1348.022723572099</v>
      </c>
      <c r="I71" s="179">
        <f>VLOOKUP(B71,Tot_res!C:V,8,FALSE)</f>
        <v>376.7970637999486</v>
      </c>
      <c r="J71" s="179">
        <f>VLOOKUP(B71,Tot_res!C:V,9,FALSE)</f>
        <v>1600.5426718024651</v>
      </c>
      <c r="K71" s="179">
        <f>VLOOKUP(B71,Tot_res!C:V,10,FALSE)</f>
        <v>1334.0158427232186</v>
      </c>
      <c r="L71" s="179">
        <f>VLOOKUP(B71,Tot_res!C:V,11,FALSE)</f>
        <v>4810.7429408553235</v>
      </c>
      <c r="M71" s="179">
        <f>VLOOKUP(B71,Tot_res!C:V,12,FALSE)</f>
        <v>3229.5966950769512</v>
      </c>
      <c r="N71" s="179">
        <f>VLOOKUP(B71,Tot_res!C:V,13,FALSE)</f>
        <v>703.33979460643866</v>
      </c>
      <c r="O71" s="179">
        <f>VLOOKUP(B71,Tot_res!C:V,14,FALSE)</f>
        <v>1760.1192974835581</v>
      </c>
      <c r="P71" s="179">
        <f>VLOOKUP(B71,Tot_res!C:V,15,FALSE)</f>
        <v>4133.2797295448199</v>
      </c>
      <c r="Q71" s="179">
        <f>VLOOKUP(B71,Tot_res!C:V,16,FALSE)</f>
        <v>938.00523868535481</v>
      </c>
      <c r="R71" s="179">
        <f>VLOOKUP(B71,Tot_res!C:V,17,FALSE)</f>
        <v>410.22175522383628</v>
      </c>
      <c r="S71" s="179">
        <f>VLOOKUP(B71,Tot_res!C:V,18,FALSE)</f>
        <v>1398.1880074654816</v>
      </c>
      <c r="T71" s="179">
        <f>VLOOKUP(B71,Tot_res!C:V,19,FALSE)</f>
        <v>204.5987654933804</v>
      </c>
      <c r="U71" s="179">
        <f>VLOOKUP(B71,Tot_res!C:V,20,FALSE)</f>
        <v>107.666745439984</v>
      </c>
      <c r="V71" s="122">
        <f t="shared" si="10"/>
        <v>29970.647270000001</v>
      </c>
    </row>
    <row r="72" spans="1:22" ht="13.15">
      <c r="A72" s="355"/>
      <c r="B72" s="115" t="s">
        <v>175</v>
      </c>
      <c r="C72" s="333" t="str">
        <f>VLOOKUP(B72,Tot_res!C:D,2,FALSE)</f>
        <v>Servicios de transportes de ministerios</v>
      </c>
      <c r="D72" s="179">
        <f>VLOOKUP(B72,Tot_res!C:V,3,FALSE)</f>
        <v>6551.5871286439451</v>
      </c>
      <c r="E72" s="179">
        <f>VLOOKUP(B72,Tot_res!C:V,4,FALSE)</f>
        <v>1039.5865667365854</v>
      </c>
      <c r="F72" s="179">
        <f>VLOOKUP(B72,Tot_res!C:V,5,FALSE)</f>
        <v>828.5157200224337</v>
      </c>
      <c r="G72" s="179">
        <f>VLOOKUP(B72,Tot_res!C:V,6,FALSE)</f>
        <v>861.6556330836745</v>
      </c>
      <c r="H72" s="179">
        <f>VLOOKUP(B72,Tot_res!C:V,7,FALSE)</f>
        <v>1642.8924699180996</v>
      </c>
      <c r="I72" s="179">
        <f>VLOOKUP(B72,Tot_res!C:V,8,FALSE)</f>
        <v>459.21856358905518</v>
      </c>
      <c r="J72" s="179">
        <f>VLOOKUP(B72,Tot_res!C:V,9,FALSE)</f>
        <v>1950.6492415194261</v>
      </c>
      <c r="K72" s="179">
        <f>VLOOKUP(B72,Tot_res!C:V,10,FALSE)</f>
        <v>1625.8216901224243</v>
      </c>
      <c r="L72" s="179">
        <f>VLOOKUP(B72,Tot_res!C:V,11,FALSE)</f>
        <v>5863.0564708133743</v>
      </c>
      <c r="M72" s="179">
        <f>VLOOKUP(B72,Tot_res!C:V,12,FALSE)</f>
        <v>3936.046476393481</v>
      </c>
      <c r="N72" s="179">
        <f>VLOOKUP(B72,Tot_res!C:V,13,FALSE)</f>
        <v>857.19004000963207</v>
      </c>
      <c r="O72" s="179">
        <f>VLOOKUP(B72,Tot_res!C:V,14,FALSE)</f>
        <v>2145.1320437170739</v>
      </c>
      <c r="P72" s="179">
        <f>VLOOKUP(B72,Tot_res!C:V,15,FALSE)</f>
        <v>5037.4033204278639</v>
      </c>
      <c r="Q72" s="179">
        <f>VLOOKUP(B72,Tot_res!C:V,16,FALSE)</f>
        <v>1143.1867700985949</v>
      </c>
      <c r="R72" s="179">
        <f>VLOOKUP(B72,Tot_res!C:V,17,FALSE)</f>
        <v>499.954652743493</v>
      </c>
      <c r="S72" s="179">
        <f>VLOOKUP(B72,Tot_res!C:V,18,FALSE)</f>
        <v>1704.0310291712765</v>
      </c>
      <c r="T72" s="179">
        <f>VLOOKUP(B72,Tot_res!C:V,19,FALSE)</f>
        <v>249.35319361152864</v>
      </c>
      <c r="U72" s="179">
        <f>VLOOKUP(B72,Tot_res!C:V,20,FALSE)</f>
        <v>131.21802937803213</v>
      </c>
      <c r="V72" s="122">
        <f t="shared" si="10"/>
        <v>36526.499039999988</v>
      </c>
    </row>
    <row r="73" spans="1:22" ht="13.15">
      <c r="A73" s="355"/>
      <c r="B73" s="115" t="s">
        <v>176</v>
      </c>
      <c r="C73" s="333" t="str">
        <f>VLOOKUP(B73,Tot_res!C:D,2,FALSE)</f>
        <v>Evaluación de políticas y programas públicos, calidad de los servicios e impacto normativo</v>
      </c>
      <c r="D73" s="179">
        <f>VLOOKUP(B73,Tot_res!C:V,3,FALSE)</f>
        <v>625.11970634485806</v>
      </c>
      <c r="E73" s="179">
        <f>VLOOKUP(B73,Tot_res!C:V,4,FALSE)</f>
        <v>99.192155512544247</v>
      </c>
      <c r="F73" s="179">
        <f>VLOOKUP(B73,Tot_res!C:V,5,FALSE)</f>
        <v>79.052830013988128</v>
      </c>
      <c r="G73" s="179">
        <f>VLOOKUP(B73,Tot_res!C:V,6,FALSE)</f>
        <v>82.214874922246082</v>
      </c>
      <c r="H73" s="179">
        <f>VLOOKUP(B73,Tot_res!C:V,7,FALSE)</f>
        <v>156.75659014916457</v>
      </c>
      <c r="I73" s="179">
        <f>VLOOKUP(B73,Tot_res!C:V,8,FALSE)</f>
        <v>43.81634067931796</v>
      </c>
      <c r="J73" s="179">
        <f>VLOOKUP(B73,Tot_res!C:V,9,FALSE)</f>
        <v>186.12120347284983</v>
      </c>
      <c r="K73" s="179">
        <f>VLOOKUP(B73,Tot_res!C:V,10,FALSE)</f>
        <v>155.12778164163595</v>
      </c>
      <c r="L73" s="179">
        <f>VLOOKUP(B73,Tot_res!C:V,11,FALSE)</f>
        <v>559.42355147718001</v>
      </c>
      <c r="M73" s="179">
        <f>VLOOKUP(B73,Tot_res!C:V,12,FALSE)</f>
        <v>375.55788684017438</v>
      </c>
      <c r="N73" s="179">
        <f>VLOOKUP(B73,Tot_res!C:V,13,FALSE)</f>
        <v>81.788790345137087</v>
      </c>
      <c r="O73" s="179">
        <f>VLOOKUP(B73,Tot_res!C:V,14,FALSE)</f>
        <v>204.67778065204737</v>
      </c>
      <c r="P73" s="179">
        <f>VLOOKUP(B73,Tot_res!C:V,15,FALSE)</f>
        <v>480.64385355404079</v>
      </c>
      <c r="Q73" s="179">
        <f>VLOOKUP(B73,Tot_res!C:V,16,FALSE)</f>
        <v>109.07716923994798</v>
      </c>
      <c r="R73" s="179">
        <f>VLOOKUP(B73,Tot_res!C:V,17,FALSE)</f>
        <v>47.70317475323661</v>
      </c>
      <c r="S73" s="179">
        <f>VLOOKUP(B73,Tot_res!C:V,18,FALSE)</f>
        <v>162.59012597128594</v>
      </c>
      <c r="T73" s="179">
        <f>VLOOKUP(B73,Tot_res!C:V,19,FALSE)</f>
        <v>23.792035747352504</v>
      </c>
      <c r="U73" s="179">
        <f>VLOOKUP(B73,Tot_res!C:V,20,FALSE)</f>
        <v>12.520168682992763</v>
      </c>
      <c r="V73" s="122">
        <f t="shared" si="10"/>
        <v>3485.1760199999999</v>
      </c>
    </row>
    <row r="74" spans="1:22" ht="13.15">
      <c r="A74" s="355"/>
      <c r="B74" s="115" t="s">
        <v>177</v>
      </c>
      <c r="C74" s="333" t="str">
        <f>VLOOKUP(B74,Tot_res!C:D,2,FALSE)</f>
        <v>Organización territorial del estado y desarrollo de sus sistemas de colaboración</v>
      </c>
      <c r="D74" s="179">
        <f>VLOOKUP(B74,Tot_res!C:V,3,FALSE)</f>
        <v>423.7125696544681</v>
      </c>
      <c r="E74" s="179">
        <f>VLOOKUP(B74,Tot_res!C:V,4,FALSE)</f>
        <v>67.233463727345253</v>
      </c>
      <c r="F74" s="179">
        <f>VLOOKUP(B74,Tot_res!C:V,5,FALSE)</f>
        <v>53.58282166392992</v>
      </c>
      <c r="G74" s="179">
        <f>VLOOKUP(B74,Tot_res!C:V,6,FALSE)</f>
        <v>55.726088241262367</v>
      </c>
      <c r="H74" s="179">
        <f>VLOOKUP(B74,Tot_res!C:V,7,FALSE)</f>
        <v>106.25122988161441</v>
      </c>
      <c r="I74" s="179">
        <f>VLOOKUP(B74,Tot_res!C:V,8,FALSE)</f>
        <v>29.699166597457126</v>
      </c>
      <c r="J74" s="179">
        <f>VLOOKUP(B74,Tot_res!C:V,9,FALSE)</f>
        <v>126.15486696424475</v>
      </c>
      <c r="K74" s="179">
        <f>VLOOKUP(B74,Tot_res!C:V,10,FALSE)</f>
        <v>105.14720671421919</v>
      </c>
      <c r="L74" s="179">
        <f>VLOOKUP(B74,Tot_res!C:V,11,FALSE)</f>
        <v>379.18303984942725</v>
      </c>
      <c r="M74" s="179">
        <f>VLOOKUP(B74,Tot_res!C:V,12,FALSE)</f>
        <v>254.55700031837776</v>
      </c>
      <c r="N74" s="179">
        <f>VLOOKUP(B74,Tot_res!C:V,13,FALSE)</f>
        <v>55.437283730342983</v>
      </c>
      <c r="O74" s="179">
        <f>VLOOKUP(B74,Tot_res!C:V,14,FALSE)</f>
        <v>138.7327059297815</v>
      </c>
      <c r="P74" s="179">
        <f>VLOOKUP(B74,Tot_res!C:V,15,FALSE)</f>
        <v>325.78534992729658</v>
      </c>
      <c r="Q74" s="179">
        <f>VLOOKUP(B74,Tot_res!C:V,16,FALSE)</f>
        <v>73.9336277519254</v>
      </c>
      <c r="R74" s="179">
        <f>VLOOKUP(B74,Tot_res!C:V,17,FALSE)</f>
        <v>32.333702729600873</v>
      </c>
      <c r="S74" s="179">
        <f>VLOOKUP(B74,Tot_res!C:V,18,FALSE)</f>
        <v>110.20526049091158</v>
      </c>
      <c r="T74" s="179">
        <f>VLOOKUP(B74,Tot_res!C:V,19,FALSE)</f>
        <v>16.126486657677599</v>
      </c>
      <c r="U74" s="179">
        <f>VLOOKUP(B74,Tot_res!C:V,20,FALSE)</f>
        <v>8.4862991701171744</v>
      </c>
      <c r="V74" s="122">
        <f t="shared" si="10"/>
        <v>2362.2881699999998</v>
      </c>
    </row>
    <row r="75" spans="1:22" ht="13.15">
      <c r="A75" s="355"/>
      <c r="B75" s="115" t="s">
        <v>178</v>
      </c>
      <c r="C75" s="333" t="str">
        <f>VLOOKUP(B75,Tot_res!C:D,2,FALSE)</f>
        <v>Elecciones y partidos políticos</v>
      </c>
      <c r="D75" s="179">
        <f>VLOOKUP(B75,Tot_res!C:V,3,FALSE)</f>
        <v>12257.778984524844</v>
      </c>
      <c r="E75" s="179">
        <f>VLOOKUP(B75,Tot_res!C:V,4,FALSE)</f>
        <v>1945.0282992688544</v>
      </c>
      <c r="F75" s="179">
        <f>VLOOKUP(B75,Tot_res!C:V,5,FALSE)</f>
        <v>1550.1224942636927</v>
      </c>
      <c r="G75" s="179">
        <f>VLOOKUP(B75,Tot_res!C:V,6,FALSE)</f>
        <v>1612.1260549116205</v>
      </c>
      <c r="H75" s="179">
        <f>VLOOKUP(B75,Tot_res!C:V,7,FALSE)</f>
        <v>3073.7914945144635</v>
      </c>
      <c r="I75" s="179">
        <f>VLOOKUP(B75,Tot_res!C:V,8,FALSE)</f>
        <v>859.18107285107612</v>
      </c>
      <c r="J75" s="179">
        <f>VLOOKUP(B75,Tot_res!C:V,9,FALSE)</f>
        <v>3649.5931152830744</v>
      </c>
      <c r="K75" s="179">
        <f>VLOOKUP(B75,Tot_res!C:V,10,FALSE)</f>
        <v>3041.8526922486699</v>
      </c>
      <c r="L75" s="179">
        <f>VLOOKUP(B75,Tot_res!C:V,11,FALSE)</f>
        <v>10969.563402249052</v>
      </c>
      <c r="M75" s="179">
        <f>VLOOKUP(B75,Tot_res!C:V,12,FALSE)</f>
        <v>7364.1984504043876</v>
      </c>
      <c r="N75" s="179">
        <f>VLOOKUP(B75,Tot_res!C:V,13,FALSE)</f>
        <v>1603.7710942186432</v>
      </c>
      <c r="O75" s="179">
        <f>VLOOKUP(B75,Tot_res!C:V,14,FALSE)</f>
        <v>4013.4632980067613</v>
      </c>
      <c r="P75" s="179">
        <f>VLOOKUP(B75,Tot_res!C:V,15,FALSE)</f>
        <v>9424.7966706804491</v>
      </c>
      <c r="Q75" s="179">
        <f>VLOOKUP(B75,Tot_res!C:V,16,FALSE)</f>
        <v>2138.8604762098012</v>
      </c>
      <c r="R75" s="179">
        <f>VLOOKUP(B75,Tot_res!C:V,17,FALSE)</f>
        <v>935.39680008545554</v>
      </c>
      <c r="S75" s="179">
        <f>VLOOKUP(B75,Tot_res!C:V,18,FALSE)</f>
        <v>3188.1794942529082</v>
      </c>
      <c r="T75" s="179">
        <f>VLOOKUP(B75,Tot_res!C:V,19,FALSE)</f>
        <v>466.53067056259869</v>
      </c>
      <c r="U75" s="179">
        <f>VLOOKUP(B75,Tot_res!C:V,20,FALSE)</f>
        <v>245.50411546365603</v>
      </c>
      <c r="V75" s="122">
        <f t="shared" si="10"/>
        <v>68339.738680000024</v>
      </c>
    </row>
    <row r="76" spans="1:22" ht="13.15">
      <c r="A76" s="356"/>
      <c r="B76" s="115"/>
      <c r="C76" s="102"/>
      <c r="D76" s="105"/>
      <c r="E76" s="105"/>
      <c r="F76" s="105"/>
      <c r="G76" s="105"/>
      <c r="H76" s="105"/>
      <c r="I76" s="105"/>
      <c r="J76" s="105"/>
      <c r="K76" s="105"/>
      <c r="L76" s="105"/>
      <c r="M76" s="105"/>
      <c r="N76" s="105"/>
      <c r="O76" s="105"/>
      <c r="P76" s="105"/>
      <c r="Q76" s="105"/>
      <c r="R76" s="105"/>
      <c r="S76" s="105"/>
      <c r="T76" s="105"/>
      <c r="U76" s="105"/>
      <c r="V76" s="122"/>
    </row>
    <row r="77" spans="1:22" ht="13.15">
      <c r="A77" s="356"/>
      <c r="B77" s="115"/>
      <c r="C77" s="128" t="s">
        <v>25</v>
      </c>
      <c r="D77" s="130">
        <f t="shared" ref="D77:U77" si="11">SUM(D78:D90)</f>
        <v>385119.14221916615</v>
      </c>
      <c r="E77" s="130">
        <f t="shared" si="11"/>
        <v>61109.572227734338</v>
      </c>
      <c r="F77" s="130">
        <f t="shared" si="11"/>
        <v>48702.284979941571</v>
      </c>
      <c r="G77" s="130">
        <f t="shared" si="11"/>
        <v>50650.334306121324</v>
      </c>
      <c r="H77" s="130">
        <f t="shared" si="11"/>
        <v>96573.444930151556</v>
      </c>
      <c r="I77" s="130">
        <f t="shared" si="11"/>
        <v>26994.048285997524</v>
      </c>
      <c r="J77" s="130">
        <f t="shared" si="11"/>
        <v>114664.17952071399</v>
      </c>
      <c r="K77" s="130">
        <f t="shared" si="11"/>
        <v>95569.980587415514</v>
      </c>
      <c r="L77" s="130">
        <f t="shared" si="11"/>
        <v>344645.53923890757</v>
      </c>
      <c r="M77" s="130">
        <f t="shared" si="11"/>
        <v>231370.93546326394</v>
      </c>
      <c r="N77" s="130">
        <f t="shared" si="11"/>
        <v>50387.835259645086</v>
      </c>
      <c r="O77" s="130">
        <f t="shared" si="11"/>
        <v>126096.37884708404</v>
      </c>
      <c r="P77" s="130">
        <f t="shared" si="11"/>
        <v>296111.52346480387</v>
      </c>
      <c r="Q77" s="130">
        <f t="shared" si="11"/>
        <v>67199.458642900805</v>
      </c>
      <c r="R77" s="130">
        <f t="shared" si="11"/>
        <v>29388.620380434095</v>
      </c>
      <c r="S77" s="130">
        <f t="shared" si="11"/>
        <v>100167.32669250443</v>
      </c>
      <c r="T77" s="130">
        <f t="shared" si="11"/>
        <v>14657.622061290989</v>
      </c>
      <c r="U77" s="130">
        <f t="shared" si="11"/>
        <v>7713.3332619231742</v>
      </c>
      <c r="V77" s="131">
        <f>SUM(V78:V90)</f>
        <v>2147121.5603700005</v>
      </c>
    </row>
    <row r="78" spans="1:22" ht="13.15">
      <c r="A78" s="355"/>
      <c r="B78" s="115" t="s">
        <v>179</v>
      </c>
      <c r="C78" s="333" t="str">
        <f>VLOOKUP(B78,Tot_res!C:D,2,FALSE)</f>
        <v>Investigación y estudios sociológicos y constitucionales</v>
      </c>
      <c r="D78" s="179">
        <f>VLOOKUP(B78,Tot_res!C:V,3,FALSE)</f>
        <v>1930.6798691413674</v>
      </c>
      <c r="E78" s="179">
        <f>VLOOKUP(B78,Tot_res!C:V,4,FALSE)</f>
        <v>306.35460037658805</v>
      </c>
      <c r="F78" s="179">
        <f>VLOOKUP(B78,Tot_res!C:V,5,FALSE)</f>
        <v>244.15436908729086</v>
      </c>
      <c r="G78" s="179">
        <f>VLOOKUP(B78,Tot_res!C:V,6,FALSE)</f>
        <v>253.92033293026518</v>
      </c>
      <c r="H78" s="179">
        <f>VLOOKUP(B78,Tot_res!C:V,7,FALSE)</f>
        <v>484.14214091224903</v>
      </c>
      <c r="I78" s="179">
        <f>VLOOKUP(B78,Tot_res!C:V,8,FALSE)</f>
        <v>135.32660389741531</v>
      </c>
      <c r="J78" s="179">
        <f>VLOOKUP(B78,Tot_res!C:V,9,FALSE)</f>
        <v>574.83463905896951</v>
      </c>
      <c r="K78" s="179">
        <f>VLOOKUP(B78,Tot_res!C:V,10,FALSE)</f>
        <v>479.11157194401233</v>
      </c>
      <c r="L78" s="179">
        <f>VLOOKUP(B78,Tot_res!C:V,11,FALSE)</f>
        <v>1727.7775411622088</v>
      </c>
      <c r="M78" s="179">
        <f>VLOOKUP(B78,Tot_res!C:V,12,FALSE)</f>
        <v>1159.909125340535</v>
      </c>
      <c r="N78" s="179">
        <f>VLOOKUP(B78,Tot_res!C:V,13,FALSE)</f>
        <v>252.60437231148069</v>
      </c>
      <c r="O78" s="179">
        <f>VLOOKUP(B78,Tot_res!C:V,14,FALSE)</f>
        <v>632.14655809848921</v>
      </c>
      <c r="P78" s="179">
        <f>VLOOKUP(B78,Tot_res!C:V,15,FALSE)</f>
        <v>1484.4667395133879</v>
      </c>
      <c r="Q78" s="179">
        <f>VLOOKUP(B78,Tot_res!C:V,16,FALSE)</f>
        <v>336.88442820952474</v>
      </c>
      <c r="R78" s="179">
        <f>VLOOKUP(B78,Tot_res!C:V,17,FALSE)</f>
        <v>147.33107636091435</v>
      </c>
      <c r="S78" s="179">
        <f>VLOOKUP(B78,Tot_res!C:V,18,FALSE)</f>
        <v>502.15899442585669</v>
      </c>
      <c r="T78" s="179">
        <f>VLOOKUP(B78,Tot_res!C:V,19,FALSE)</f>
        <v>73.481613196760335</v>
      </c>
      <c r="U78" s="179">
        <f>VLOOKUP(B78,Tot_res!C:V,20,FALSE)</f>
        <v>38.668494032682389</v>
      </c>
      <c r="V78" s="122">
        <f t="shared" ref="V78:V90" si="12">SUM(D78:U78)</f>
        <v>10763.953070000001</v>
      </c>
    </row>
    <row r="79" spans="1:22" ht="13.15">
      <c r="A79" s="355"/>
      <c r="B79" s="115" t="s">
        <v>181</v>
      </c>
      <c r="C79" s="333" t="str">
        <f>VLOOKUP(B79,Tot_res!C:D,2,FALSE)</f>
        <v>Investigación y estudios estadísticos y económicos</v>
      </c>
      <c r="D79" s="179">
        <f>VLOOKUP(B79,Tot_res!C:V,3,FALSE)</f>
        <v>1177.2938192422469</v>
      </c>
      <c r="E79" s="179">
        <f>VLOOKUP(B79,Tot_res!C:V,4,FALSE)</f>
        <v>186.80951890806548</v>
      </c>
      <c r="F79" s="179">
        <f>VLOOKUP(B79,Tot_res!C:V,5,FALSE)</f>
        <v>148.88093788189335</v>
      </c>
      <c r="G79" s="179">
        <f>VLOOKUP(B79,Tot_res!C:V,6,FALSE)</f>
        <v>154.83604678163556</v>
      </c>
      <c r="H79" s="179">
        <f>VLOOKUP(B79,Tot_res!C:V,7,FALSE)</f>
        <v>295.22115977942337</v>
      </c>
      <c r="I79" s="179">
        <f>VLOOKUP(B79,Tot_res!C:V,8,FALSE)</f>
        <v>82.51972628601807</v>
      </c>
      <c r="J79" s="179">
        <f>VLOOKUP(B79,Tot_res!C:V,9,FALSE)</f>
        <v>350.52381208669459</v>
      </c>
      <c r="K79" s="179">
        <f>VLOOKUP(B79,Tot_res!C:V,10,FALSE)</f>
        <v>292.15360940598379</v>
      </c>
      <c r="L79" s="179">
        <f>VLOOKUP(B79,Tot_res!C:V,11,FALSE)</f>
        <v>1053.5676332195162</v>
      </c>
      <c r="M79" s="179">
        <f>VLOOKUP(B79,Tot_res!C:V,12,FALSE)</f>
        <v>707.29169862500112</v>
      </c>
      <c r="N79" s="179">
        <f>VLOOKUP(B79,Tot_res!C:V,13,FALSE)</f>
        <v>154.03359769226364</v>
      </c>
      <c r="O79" s="179">
        <f>VLOOKUP(B79,Tot_res!C:V,14,FALSE)</f>
        <v>385.47158832478522</v>
      </c>
      <c r="P79" s="179">
        <f>VLOOKUP(B79,Tot_res!C:V,15,FALSE)</f>
        <v>905.20108757182902</v>
      </c>
      <c r="Q79" s="179">
        <f>VLOOKUP(B79,Tot_res!C:V,16,FALSE)</f>
        <v>205.42605818250826</v>
      </c>
      <c r="R79" s="179">
        <f>VLOOKUP(B79,Tot_res!C:V,17,FALSE)</f>
        <v>89.839837434650107</v>
      </c>
      <c r="S79" s="179">
        <f>VLOOKUP(B79,Tot_res!C:V,18,FALSE)</f>
        <v>306.20751262993321</v>
      </c>
      <c r="T79" s="179">
        <f>VLOOKUP(B79,Tot_res!C:V,19,FALSE)</f>
        <v>44.807764574128434</v>
      </c>
      <c r="U79" s="179">
        <f>VLOOKUP(B79,Tot_res!C:V,20,FALSE)</f>
        <v>23.579351373425098</v>
      </c>
      <c r="V79" s="122">
        <f t="shared" si="12"/>
        <v>6563.6647600000006</v>
      </c>
    </row>
    <row r="80" spans="1:22" ht="13.15">
      <c r="A80" s="355"/>
      <c r="B80" s="115" t="s">
        <v>183</v>
      </c>
      <c r="C80" s="333" t="str">
        <f>VLOOKUP(B80,Tot_res!C:D,2,FALSE)</f>
        <v>Investigación científica</v>
      </c>
      <c r="D80" s="179">
        <f>VLOOKUP(B80,Tot_res!C:V,3,FALSE)</f>
        <v>134926.35177320964</v>
      </c>
      <c r="E80" s="179">
        <f>VLOOKUP(B80,Tot_res!C:V,4,FALSE)</f>
        <v>21409.7164622821</v>
      </c>
      <c r="F80" s="179">
        <f>VLOOKUP(B80,Tot_res!C:V,5,FALSE)</f>
        <v>17062.827875803447</v>
      </c>
      <c r="G80" s="179">
        <f>VLOOKUP(B80,Tot_res!C:V,6,FALSE)</f>
        <v>17745.326250569022</v>
      </c>
      <c r="H80" s="179">
        <f>VLOOKUP(B80,Tot_res!C:V,7,FALSE)</f>
        <v>33834.471398933856</v>
      </c>
      <c r="I80" s="179">
        <f>VLOOKUP(B80,Tot_res!C:V,8,FALSE)</f>
        <v>9457.3550248166484</v>
      </c>
      <c r="J80" s="179">
        <f>VLOOKUP(B80,Tot_res!C:V,9,FALSE)</f>
        <v>40172.553700262069</v>
      </c>
      <c r="K80" s="179">
        <f>VLOOKUP(B80,Tot_res!C:V,10,FALSE)</f>
        <v>33482.908030466373</v>
      </c>
      <c r="L80" s="179">
        <f>VLOOKUP(B80,Tot_res!C:V,11,FALSE)</f>
        <v>120746.4396510128</v>
      </c>
      <c r="M80" s="179">
        <f>VLOOKUP(B80,Tot_res!C:V,12,FALSE)</f>
        <v>81060.723308962828</v>
      </c>
      <c r="N80" s="179">
        <f>VLOOKUP(B80,Tot_res!C:V,13,FALSE)</f>
        <v>17653.35980485849</v>
      </c>
      <c r="O80" s="179">
        <f>VLOOKUP(B80,Tot_res!C:V,14,FALSE)</f>
        <v>44177.820587186718</v>
      </c>
      <c r="P80" s="179">
        <f>VLOOKUP(B80,Tot_res!C:V,15,FALSE)</f>
        <v>103742.56483043442</v>
      </c>
      <c r="Q80" s="179">
        <f>VLOOKUP(B80,Tot_res!C:V,16,FALSE)</f>
        <v>23543.305958708719</v>
      </c>
      <c r="R80" s="179">
        <f>VLOOKUP(B80,Tot_res!C:V,17,FALSE)</f>
        <v>10296.292489463349</v>
      </c>
      <c r="S80" s="179">
        <f>VLOOKUP(B80,Tot_res!C:V,18,FALSE)</f>
        <v>35093.586570681378</v>
      </c>
      <c r="T80" s="179">
        <f>VLOOKUP(B80,Tot_res!C:V,19,FALSE)</f>
        <v>5135.2925720711737</v>
      </c>
      <c r="U80" s="179">
        <f>VLOOKUP(B80,Tot_res!C:V,20,FALSE)</f>
        <v>2702.3635102769781</v>
      </c>
      <c r="V80" s="122">
        <f t="shared" si="12"/>
        <v>752243.25980000012</v>
      </c>
    </row>
    <row r="81" spans="1:22" ht="13.15">
      <c r="A81" s="355"/>
      <c r="B81" s="115" t="s">
        <v>185</v>
      </c>
      <c r="C81" s="333" t="str">
        <f>VLOOKUP(B81,Tot_res!C:D,2,FALSE)</f>
        <v>Fomento y coordinación de la investigación científica y técnica</v>
      </c>
      <c r="D81" s="179">
        <f>VLOOKUP(B81,Tot_res!C:V,3,FALSE)</f>
        <v>93144.229628716581</v>
      </c>
      <c r="E81" s="179">
        <f>VLOOKUP(B81,Tot_res!C:V,4,FALSE)</f>
        <v>14779.85226933613</v>
      </c>
      <c r="F81" s="179">
        <f>VLOOKUP(B81,Tot_res!C:V,5,FALSE)</f>
        <v>11779.047879768341</v>
      </c>
      <c r="G81" s="179">
        <f>VLOOKUP(B81,Tot_res!C:V,6,FALSE)</f>
        <v>12250.199619253919</v>
      </c>
      <c r="H81" s="179">
        <f>VLOOKUP(B81,Tot_res!C:V,7,FALSE)</f>
        <v>23357.081340535311</v>
      </c>
      <c r="I81" s="179">
        <f>VLOOKUP(B81,Tot_res!C:V,8,FALSE)</f>
        <v>6528.7324272464739</v>
      </c>
      <c r="J81" s="179">
        <f>VLOOKUP(B81,Tot_res!C:V,9,FALSE)</f>
        <v>27732.474179088571</v>
      </c>
      <c r="K81" s="179">
        <f>VLOOKUP(B81,Tot_res!C:V,10,FALSE)</f>
        <v>23114.38524232151</v>
      </c>
      <c r="L81" s="179">
        <f>VLOOKUP(B81,Tot_res!C:V,11,FALSE)</f>
        <v>83355.356117595889</v>
      </c>
      <c r="M81" s="179">
        <f>VLOOKUP(B81,Tot_res!C:V,12,FALSE)</f>
        <v>55958.962252613521</v>
      </c>
      <c r="N81" s="179">
        <f>VLOOKUP(B81,Tot_res!C:V,13,FALSE)</f>
        <v>12186.712067527944</v>
      </c>
      <c r="O81" s="179">
        <f>VLOOKUP(B81,Tot_res!C:V,14,FALSE)</f>
        <v>30497.445541147434</v>
      </c>
      <c r="P81" s="179">
        <f>VLOOKUP(B81,Tot_res!C:V,15,FALSE)</f>
        <v>71617.00552817175</v>
      </c>
      <c r="Q81" s="179">
        <f>VLOOKUP(B81,Tot_res!C:V,16,FALSE)</f>
        <v>16252.74134828059</v>
      </c>
      <c r="R81" s="179">
        <f>VLOOKUP(B81,Tot_res!C:V,17,FALSE)</f>
        <v>7107.879367960697</v>
      </c>
      <c r="S81" s="179">
        <f>VLOOKUP(B81,Tot_res!C:V,18,FALSE)</f>
        <v>24226.291180903489</v>
      </c>
      <c r="T81" s="179">
        <f>VLOOKUP(B81,Tot_res!C:V,19,FALSE)</f>
        <v>3545.0663584799718</v>
      </c>
      <c r="U81" s="179">
        <f>VLOOKUP(B81,Tot_res!C:V,20,FALSE)</f>
        <v>1865.5330410518202</v>
      </c>
      <c r="V81" s="122">
        <f t="shared" si="12"/>
        <v>519298.99538999988</v>
      </c>
    </row>
    <row r="82" spans="1:22" ht="13.15">
      <c r="A82" s="355"/>
      <c r="B82" s="115" t="s">
        <v>186</v>
      </c>
      <c r="C82" s="333" t="str">
        <f>VLOOKUP(B82,Tot_res!C:D,2,FALSE)</f>
        <v>Investigación sanitaria</v>
      </c>
      <c r="D82" s="179">
        <f>VLOOKUP(B82,Tot_res!C:V,3,FALSE)</f>
        <v>48993.526916920113</v>
      </c>
      <c r="E82" s="179">
        <f>VLOOKUP(B82,Tot_res!C:V,4,FALSE)</f>
        <v>7774.1486818049289</v>
      </c>
      <c r="F82" s="179">
        <f>VLOOKUP(B82,Tot_res!C:V,5,FALSE)</f>
        <v>6195.7364578943352</v>
      </c>
      <c r="G82" s="179">
        <f>VLOOKUP(B82,Tot_res!C:V,6,FALSE)</f>
        <v>6443.5605638261077</v>
      </c>
      <c r="H82" s="179">
        <f>VLOOKUP(B82,Tot_res!C:V,7,FALSE)</f>
        <v>12285.740060545897</v>
      </c>
      <c r="I82" s="179">
        <f>VLOOKUP(B82,Tot_res!C:V,8,FALSE)</f>
        <v>3434.0895746595343</v>
      </c>
      <c r="J82" s="179">
        <f>VLOOKUP(B82,Tot_res!C:V,9,FALSE)</f>
        <v>14587.180822493743</v>
      </c>
      <c r="K82" s="179">
        <f>VLOOKUP(B82,Tot_res!C:V,10,FALSE)</f>
        <v>12158.082793231901</v>
      </c>
      <c r="L82" s="179">
        <f>VLOOKUP(B82,Tot_res!C:V,11,FALSE)</f>
        <v>43844.614957852726</v>
      </c>
      <c r="M82" s="179">
        <f>VLOOKUP(B82,Tot_res!C:V,12,FALSE)</f>
        <v>29434.21116149408</v>
      </c>
      <c r="N82" s="179">
        <f>VLOOKUP(B82,Tot_res!C:V,13,FALSE)</f>
        <v>6410.1663419105398</v>
      </c>
      <c r="O82" s="179">
        <f>VLOOKUP(B82,Tot_res!C:V,14,FALSE)</f>
        <v>16041.545729386266</v>
      </c>
      <c r="P82" s="179">
        <f>VLOOKUP(B82,Tot_res!C:V,15,FALSE)</f>
        <v>37670.285127055657</v>
      </c>
      <c r="Q82" s="179">
        <f>VLOOKUP(B82,Tot_res!C:V,16,FALSE)</f>
        <v>8548.8829946286969</v>
      </c>
      <c r="R82" s="179">
        <f>VLOOKUP(B82,Tot_res!C:V,17,FALSE)</f>
        <v>3738.7187646999482</v>
      </c>
      <c r="S82" s="179">
        <f>VLOOKUP(B82,Tot_res!C:V,18,FALSE)</f>
        <v>12742.941283641319</v>
      </c>
      <c r="T82" s="179">
        <f>VLOOKUP(B82,Tot_res!C:V,19,FALSE)</f>
        <v>1864.6920453235343</v>
      </c>
      <c r="U82" s="179">
        <f>VLOOKUP(B82,Tot_res!C:V,20,FALSE)</f>
        <v>981.26361263068156</v>
      </c>
      <c r="V82" s="122">
        <f t="shared" si="12"/>
        <v>273149.38789000001</v>
      </c>
    </row>
    <row r="83" spans="1:22" ht="13.15">
      <c r="A83" s="355"/>
      <c r="B83" s="115" t="s">
        <v>187</v>
      </c>
      <c r="C83" s="333" t="str">
        <f>VLOOKUP(B83,Tot_res!C:D,2,FALSE)</f>
        <v>Astronomía y astrofísica</v>
      </c>
      <c r="D83" s="179">
        <f>VLOOKUP(B83,Tot_res!C:V,3,FALSE)</f>
        <v>3681.0926679659492</v>
      </c>
      <c r="E83" s="179">
        <f>VLOOKUP(B83,Tot_res!C:V,4,FALSE)</f>
        <v>584.10495249294138</v>
      </c>
      <c r="F83" s="179">
        <f>VLOOKUP(B83,Tot_res!C:V,5,FALSE)</f>
        <v>465.51210910941052</v>
      </c>
      <c r="G83" s="179">
        <f>VLOOKUP(B83,Tot_res!C:V,6,FALSE)</f>
        <v>484.13219132634538</v>
      </c>
      <c r="H83" s="179">
        <f>VLOOKUP(B83,Tot_res!C:V,7,FALSE)</f>
        <v>923.08005778192739</v>
      </c>
      <c r="I83" s="179">
        <f>VLOOKUP(B83,Tot_res!C:V,8,FALSE)</f>
        <v>258.01779847067564</v>
      </c>
      <c r="J83" s="179">
        <f>VLOOKUP(B83,Tot_res!C:V,9,FALSE)</f>
        <v>1095.9971194364214</v>
      </c>
      <c r="K83" s="179">
        <f>VLOOKUP(B83,Tot_res!C:V,10,FALSE)</f>
        <v>913.48862274360135</v>
      </c>
      <c r="L83" s="179">
        <f>VLOOKUP(B83,Tot_res!C:V,11,FALSE)</f>
        <v>3294.2329488715177</v>
      </c>
      <c r="M83" s="179">
        <f>VLOOKUP(B83,Tot_res!C:V,12,FALSE)</f>
        <v>2211.5178414828147</v>
      </c>
      <c r="N83" s="179">
        <f>VLOOKUP(B83,Tot_res!C:V,13,FALSE)</f>
        <v>481.62314098477117</v>
      </c>
      <c r="O83" s="179">
        <f>VLOOKUP(B83,Tot_res!C:V,14,FALSE)</f>
        <v>1205.269758746251</v>
      </c>
      <c r="P83" s="179">
        <f>VLOOKUP(B83,Tot_res!C:V,15,FALSE)</f>
        <v>2830.3292109697418</v>
      </c>
      <c r="Q83" s="179">
        <f>VLOOKUP(B83,Tot_res!C:V,16,FALSE)</f>
        <v>642.31404618389399</v>
      </c>
      <c r="R83" s="179">
        <f>VLOOKUP(B83,Tot_res!C:V,17,FALSE)</f>
        <v>280.90588896899214</v>
      </c>
      <c r="S83" s="179">
        <f>VLOOKUP(B83,Tot_res!C:V,18,FALSE)</f>
        <v>957.43153594710498</v>
      </c>
      <c r="T83" s="179">
        <f>VLOOKUP(B83,Tot_res!C:V,19,FALSE)</f>
        <v>140.10226754433441</v>
      </c>
      <c r="U83" s="179">
        <f>VLOOKUP(B83,Tot_res!C:V,20,FALSE)</f>
        <v>73.726520973306776</v>
      </c>
      <c r="V83" s="122">
        <f t="shared" si="12"/>
        <v>20522.878680000002</v>
      </c>
    </row>
    <row r="84" spans="1:22" ht="13.15">
      <c r="A84" s="355"/>
      <c r="B84" s="115" t="s">
        <v>723</v>
      </c>
      <c r="C84" s="333" t="str">
        <f>VLOOKUP(B84,Tot_res!C:D,2,FALSE)</f>
        <v>Investigación y desarrollo tecnológico-industrial</v>
      </c>
      <c r="D84" s="179">
        <f>VLOOKUP(B84,Tot_res!C:V,3,FALSE)</f>
        <v>27836.686677205271</v>
      </c>
      <c r="E84" s="179">
        <f>VLOOKUP(B84,Tot_res!C:V,4,FALSE)</f>
        <v>4417.0435291253807</v>
      </c>
      <c r="F84" s="179">
        <f>VLOOKUP(B84,Tot_res!C:V,5,FALSE)</f>
        <v>3520.2359447484359</v>
      </c>
      <c r="G84" s="179">
        <f>VLOOKUP(B84,Tot_res!C:V,6,FALSE)</f>
        <v>3661.0423414705879</v>
      </c>
      <c r="H84" s="179">
        <f>VLOOKUP(B84,Tot_res!C:V,7,FALSE)</f>
        <v>6980.3975787033187</v>
      </c>
      <c r="I84" s="179">
        <f>VLOOKUP(B84,Tot_res!C:V,8,FALSE)</f>
        <v>1951.1490910494322</v>
      </c>
      <c r="J84" s="179">
        <f>VLOOKUP(B84,Tot_res!C:V,9,FALSE)</f>
        <v>8288.0087965102539</v>
      </c>
      <c r="K84" s="179">
        <f>VLOOKUP(B84,Tot_res!C:V,10,FALSE)</f>
        <v>6907.8664592696468</v>
      </c>
      <c r="L84" s="179">
        <f>VLOOKUP(B84,Tot_res!C:V,11,FALSE)</f>
        <v>24911.225744863717</v>
      </c>
      <c r="M84" s="179">
        <f>VLOOKUP(B84,Tot_res!C:V,12,FALSE)</f>
        <v>16723.656475734202</v>
      </c>
      <c r="N84" s="179">
        <f>VLOOKUP(B84,Tot_res!C:V,13,FALSE)</f>
        <v>3642.0687228970764</v>
      </c>
      <c r="O84" s="179">
        <f>VLOOKUP(B84,Tot_res!C:V,14,FALSE)</f>
        <v>9114.3363294543742</v>
      </c>
      <c r="P84" s="179">
        <f>VLOOKUP(B84,Tot_res!C:V,15,FALSE)</f>
        <v>21403.152418502254</v>
      </c>
      <c r="Q84" s="179">
        <f>VLOOKUP(B84,Tot_res!C:V,16,FALSE)</f>
        <v>4857.2248690139213</v>
      </c>
      <c r="R84" s="179">
        <f>VLOOKUP(B84,Tot_res!C:V,17,FALSE)</f>
        <v>2124.2304723973275</v>
      </c>
      <c r="S84" s="179">
        <f>VLOOKUP(B84,Tot_res!C:V,18,FALSE)</f>
        <v>7240.1659194746171</v>
      </c>
      <c r="T84" s="179">
        <f>VLOOKUP(B84,Tot_res!C:V,19,FALSE)</f>
        <v>1059.4633920347962</v>
      </c>
      <c r="U84" s="179">
        <f>VLOOKUP(B84,Tot_res!C:V,20,FALSE)</f>
        <v>557.52523754539936</v>
      </c>
      <c r="V84" s="122">
        <f t="shared" si="12"/>
        <v>155195.47999999998</v>
      </c>
    </row>
    <row r="85" spans="1:22" ht="13.15">
      <c r="A85" s="355"/>
      <c r="B85" s="115" t="s">
        <v>188</v>
      </c>
      <c r="C85" s="333" t="str">
        <f>VLOOKUP(B85,Tot_res!C:D,2,FALSE)</f>
        <v>Investigación y experimentación agraria</v>
      </c>
      <c r="D85" s="179">
        <f>VLOOKUP(B85,Tot_res!C:V,3,FALSE)</f>
        <v>10395.629480852809</v>
      </c>
      <c r="E85" s="179">
        <f>VLOOKUP(B85,Tot_res!C:V,4,FALSE)</f>
        <v>1649.5478956260604</v>
      </c>
      <c r="F85" s="179">
        <f>VLOOKUP(B85,Tot_res!C:V,5,FALSE)</f>
        <v>1314.6344962366272</v>
      </c>
      <c r="G85" s="179">
        <f>VLOOKUP(B85,Tot_res!C:V,6,FALSE)</f>
        <v>1367.2187403972694</v>
      </c>
      <c r="H85" s="179">
        <f>VLOOKUP(B85,Tot_res!C:V,7,FALSE)</f>
        <v>2606.8342004461279</v>
      </c>
      <c r="I85" s="179">
        <f>VLOOKUP(B85,Tot_res!C:V,8,FALSE)</f>
        <v>728.65794868691034</v>
      </c>
      <c r="J85" s="179">
        <f>VLOOKUP(B85,Tot_res!C:V,9,FALSE)</f>
        <v>3095.1624947922701</v>
      </c>
      <c r="K85" s="179">
        <f>VLOOKUP(B85,Tot_res!C:V,10,FALSE)</f>
        <v>2579.7474048009635</v>
      </c>
      <c r="L85" s="179">
        <f>VLOOKUP(B85,Tot_res!C:V,11,FALSE)</f>
        <v>9303.1141155727673</v>
      </c>
      <c r="M85" s="179">
        <f>VLOOKUP(B85,Tot_res!C:V,12,FALSE)</f>
        <v>6245.4608302632887</v>
      </c>
      <c r="N85" s="179">
        <f>VLOOKUP(B85,Tot_res!C:V,13,FALSE)</f>
        <v>1360.1330296987053</v>
      </c>
      <c r="O85" s="179">
        <f>VLOOKUP(B85,Tot_res!C:V,14,FALSE)</f>
        <v>3403.7550712697193</v>
      </c>
      <c r="P85" s="179">
        <f>VLOOKUP(B85,Tot_res!C:V,15,FALSE)</f>
        <v>7993.0217574050193</v>
      </c>
      <c r="Q85" s="179">
        <f>VLOOKUP(B85,Tot_res!C:V,16,FALSE)</f>
        <v>1813.9339149440038</v>
      </c>
      <c r="R85" s="179">
        <f>VLOOKUP(B85,Tot_res!C:V,17,FALSE)</f>
        <v>793.29530770134716</v>
      </c>
      <c r="S85" s="179">
        <f>VLOOKUP(B85,Tot_res!C:V,18,FALSE)</f>
        <v>2703.8448631312694</v>
      </c>
      <c r="T85" s="179">
        <f>VLOOKUP(B85,Tot_res!C:V,19,FALSE)</f>
        <v>395.65732085277762</v>
      </c>
      <c r="U85" s="179">
        <f>VLOOKUP(B85,Tot_res!C:V,20,FALSE)</f>
        <v>208.20817732206859</v>
      </c>
      <c r="V85" s="122">
        <f t="shared" si="12"/>
        <v>57957.857050000006</v>
      </c>
    </row>
    <row r="86" spans="1:22" ht="13.15">
      <c r="A86" s="355"/>
      <c r="B86" s="115" t="s">
        <v>189</v>
      </c>
      <c r="C86" s="333" t="str">
        <f>VLOOKUP(B86,Tot_res!C:D,2,FALSE)</f>
        <v>Investigación oceanográfica y pesquera</v>
      </c>
      <c r="D86" s="179">
        <f>VLOOKUP(B86,Tot_res!C:V,3,FALSE)</f>
        <v>10265.876092983859</v>
      </c>
      <c r="E86" s="179">
        <f>VLOOKUP(B86,Tot_res!C:V,4,FALSE)</f>
        <v>1628.959009854035</v>
      </c>
      <c r="F86" s="179">
        <f>VLOOKUP(B86,Tot_res!C:V,5,FALSE)</f>
        <v>1298.2258429645697</v>
      </c>
      <c r="G86" s="179">
        <f>VLOOKUP(B86,Tot_res!C:V,6,FALSE)</f>
        <v>1350.1537551694666</v>
      </c>
      <c r="H86" s="179">
        <f>VLOOKUP(B86,Tot_res!C:V,7,FALSE)</f>
        <v>2574.296914489224</v>
      </c>
      <c r="I86" s="179">
        <f>VLOOKUP(B86,Tot_res!C:V,8,FALSE)</f>
        <v>719.56318077373055</v>
      </c>
      <c r="J86" s="179">
        <f>VLOOKUP(B86,Tot_res!C:V,9,FALSE)</f>
        <v>3056.5301233284822</v>
      </c>
      <c r="K86" s="179">
        <f>VLOOKUP(B86,Tot_res!C:V,10,FALSE)</f>
        <v>2547.5482035659079</v>
      </c>
      <c r="L86" s="179">
        <f>VLOOKUP(B86,Tot_res!C:V,11,FALSE)</f>
        <v>9186.9969938101713</v>
      </c>
      <c r="M86" s="179">
        <f>VLOOKUP(B86,Tot_res!C:V,12,FALSE)</f>
        <v>6167.5079075449412</v>
      </c>
      <c r="N86" s="179">
        <f>VLOOKUP(B86,Tot_res!C:V,13,FALSE)</f>
        <v>1343.1564849997123</v>
      </c>
      <c r="O86" s="179">
        <f>VLOOKUP(B86,Tot_res!C:V,14,FALSE)</f>
        <v>3361.2709915142013</v>
      </c>
      <c r="P86" s="179">
        <f>VLOOKUP(B86,Tot_res!C:V,15,FALSE)</f>
        <v>7893.2565960702723</v>
      </c>
      <c r="Q86" s="179">
        <f>VLOOKUP(B86,Tot_res!C:V,16,FALSE)</f>
        <v>1791.2932397191048</v>
      </c>
      <c r="R86" s="179">
        <f>VLOOKUP(B86,Tot_res!C:V,17,FALSE)</f>
        <v>783.39376648689949</v>
      </c>
      <c r="S86" s="179">
        <f>VLOOKUP(B86,Tot_res!C:V,18,FALSE)</f>
        <v>2670.0967354291884</v>
      </c>
      <c r="T86" s="179">
        <f>VLOOKUP(B86,Tot_res!C:V,19,FALSE)</f>
        <v>390.71891111911435</v>
      </c>
      <c r="U86" s="179">
        <f>VLOOKUP(B86,Tot_res!C:V,20,FALSE)</f>
        <v>205.60942017712452</v>
      </c>
      <c r="V86" s="122">
        <f t="shared" si="12"/>
        <v>57234.454170000005</v>
      </c>
    </row>
    <row r="87" spans="1:22" ht="13.15">
      <c r="A87" s="355"/>
      <c r="B87" s="115" t="s">
        <v>190</v>
      </c>
      <c r="C87" s="333" t="str">
        <f>VLOOKUP(B87,Tot_res!C:D,2,FALSE)</f>
        <v>Investigación geológico-minera y medioambiental</v>
      </c>
      <c r="D87" s="179">
        <f>VLOOKUP(B87,Tot_res!C:V,3,FALSE)</f>
        <v>4273.4510782942216</v>
      </c>
      <c r="E87" s="179">
        <f>VLOOKUP(B87,Tot_res!C:V,4,FALSE)</f>
        <v>678.09864195764533</v>
      </c>
      <c r="F87" s="179">
        <f>VLOOKUP(B87,Tot_res!C:V,5,FALSE)</f>
        <v>540.4219355694388</v>
      </c>
      <c r="G87" s="179">
        <f>VLOOKUP(B87,Tot_res!C:V,6,FALSE)</f>
        <v>562.03834613153856</v>
      </c>
      <c r="H87" s="179">
        <f>VLOOKUP(B87,Tot_res!C:V,7,FALSE)</f>
        <v>1071.6213429258228</v>
      </c>
      <c r="I87" s="179">
        <f>VLOOKUP(B87,Tot_res!C:V,8,FALSE)</f>
        <v>299.53781079433816</v>
      </c>
      <c r="J87" s="179">
        <f>VLOOKUP(B87,Tot_res!C:V,9,FALSE)</f>
        <v>1272.3640761945255</v>
      </c>
      <c r="K87" s="179">
        <f>VLOOKUP(B87,Tot_res!C:V,10,FALSE)</f>
        <v>1060.4864620347171</v>
      </c>
      <c r="L87" s="179">
        <f>VLOOKUP(B87,Tot_res!C:V,11,FALSE)</f>
        <v>3824.3382107754001</v>
      </c>
      <c r="M87" s="179">
        <f>VLOOKUP(B87,Tot_res!C:V,12,FALSE)</f>
        <v>2567.3934771041377</v>
      </c>
      <c r="N87" s="179">
        <f>VLOOKUP(B87,Tot_res!C:V,13,FALSE)</f>
        <v>559.12554146867217</v>
      </c>
      <c r="O87" s="179">
        <f>VLOOKUP(B87,Tot_res!C:V,14,FALSE)</f>
        <v>1399.2207789204256</v>
      </c>
      <c r="P87" s="179">
        <f>VLOOKUP(B87,Tot_res!C:V,15,FALSE)</f>
        <v>3285.7834641880199</v>
      </c>
      <c r="Q87" s="179">
        <f>VLOOKUP(B87,Tot_res!C:V,16,FALSE)</f>
        <v>745.67469522163015</v>
      </c>
      <c r="R87" s="179">
        <f>VLOOKUP(B87,Tot_res!C:V,17,FALSE)</f>
        <v>326.10903402686102</v>
      </c>
      <c r="S87" s="179">
        <f>VLOOKUP(B87,Tot_res!C:V,18,FALSE)</f>
        <v>1111.5006327582885</v>
      </c>
      <c r="T87" s="179">
        <f>VLOOKUP(B87,Tot_res!C:V,19,FALSE)</f>
        <v>162.64740942792798</v>
      </c>
      <c r="U87" s="179">
        <f>VLOOKUP(B87,Tot_res!C:V,20,FALSE)</f>
        <v>85.590532206393732</v>
      </c>
      <c r="V87" s="122">
        <f t="shared" si="12"/>
        <v>23825.403470000012</v>
      </c>
    </row>
    <row r="88" spans="1:22" ht="13.15">
      <c r="A88" s="355"/>
      <c r="B88" s="115" t="s">
        <v>192</v>
      </c>
      <c r="C88" s="333" t="str">
        <f>VLOOKUP(B88,Tot_res!C:D,2,FALSE)</f>
        <v>Investigación energética, medioambiental y tecnológica</v>
      </c>
      <c r="D88" s="179">
        <f>VLOOKUP(B88,Tot_res!C:V,3,FALSE)</f>
        <v>16155.206650753764</v>
      </c>
      <c r="E88" s="179">
        <f>VLOOKUP(B88,Tot_res!C:V,4,FALSE)</f>
        <v>2563.4606526942957</v>
      </c>
      <c r="F88" s="179">
        <f>VLOOKUP(B88,Tot_res!C:V,5,FALSE)</f>
        <v>2042.992393681388</v>
      </c>
      <c r="G88" s="179">
        <f>VLOOKUP(B88,Tot_res!C:V,6,FALSE)</f>
        <v>2124.7103245246844</v>
      </c>
      <c r="H88" s="179">
        <f>VLOOKUP(B88,Tot_res!C:V,7,FALSE)</f>
        <v>4051.1202606852457</v>
      </c>
      <c r="I88" s="179">
        <f>VLOOKUP(B88,Tot_res!C:V,8,FALSE)</f>
        <v>1132.3623798282661</v>
      </c>
      <c r="J88" s="179">
        <f>VLOOKUP(B88,Tot_res!C:V,9,FALSE)</f>
        <v>4810.0011464557965</v>
      </c>
      <c r="K88" s="179">
        <f>VLOOKUP(B88,Tot_res!C:V,10,FALSE)</f>
        <v>4009.0263420860547</v>
      </c>
      <c r="L88" s="179">
        <f>VLOOKUP(B88,Tot_res!C:V,11,FALSE)</f>
        <v>14457.395899828953</v>
      </c>
      <c r="M88" s="179">
        <f>VLOOKUP(B88,Tot_res!C:V,12,FALSE)</f>
        <v>9705.6855025401037</v>
      </c>
      <c r="N88" s="179">
        <f>VLOOKUP(B88,Tot_res!C:V,13,FALSE)</f>
        <v>2113.6988585222075</v>
      </c>
      <c r="O88" s="179">
        <f>VLOOKUP(B88,Tot_res!C:V,14,FALSE)</f>
        <v>5289.5658378546241</v>
      </c>
      <c r="P88" s="179">
        <f>VLOOKUP(B88,Tot_res!C:V,15,FALSE)</f>
        <v>12421.462162794971</v>
      </c>
      <c r="Q88" s="179">
        <f>VLOOKUP(B88,Tot_res!C:V,16,FALSE)</f>
        <v>2818.9228272040318</v>
      </c>
      <c r="R88" s="179">
        <f>VLOOKUP(B88,Tot_res!C:V,17,FALSE)</f>
        <v>1232.8113131189825</v>
      </c>
      <c r="S88" s="179">
        <f>VLOOKUP(B88,Tot_res!C:V,18,FALSE)</f>
        <v>4201.8785486649804</v>
      </c>
      <c r="T88" s="179">
        <f>VLOOKUP(B88,Tot_res!C:V,19,FALSE)</f>
        <v>614.86664112386632</v>
      </c>
      <c r="U88" s="179">
        <f>VLOOKUP(B88,Tot_res!C:V,20,FALSE)</f>
        <v>323.56348763777447</v>
      </c>
      <c r="V88" s="122">
        <f t="shared" si="12"/>
        <v>90068.731230000005</v>
      </c>
    </row>
    <row r="89" spans="1:22" ht="13.15">
      <c r="A89" s="355"/>
      <c r="B89" s="115" t="s">
        <v>193</v>
      </c>
      <c r="C89" s="333" t="str">
        <f>VLOOKUP(B89,Tot_res!C:D,2,FALSE)</f>
        <v>Desarrollo y aplicación de la información geográfica española</v>
      </c>
      <c r="D89" s="179">
        <f>VLOOKUP(B89,Tot_res!C:V,3,FALSE)</f>
        <v>5179.7635322716042</v>
      </c>
      <c r="E89" s="179">
        <f>VLOOKUP(B89,Tot_res!C:V,4,FALSE)</f>
        <v>821.90963522088714</v>
      </c>
      <c r="F89" s="179">
        <f>VLOOKUP(B89,Tot_res!C:V,5,FALSE)</f>
        <v>655.03448679224311</v>
      </c>
      <c r="G89" s="179">
        <f>VLOOKUP(B89,Tot_res!C:V,6,FALSE)</f>
        <v>681.2353003915573</v>
      </c>
      <c r="H89" s="179">
        <f>VLOOKUP(B89,Tot_res!C:V,7,FALSE)</f>
        <v>1298.8905338555364</v>
      </c>
      <c r="I89" s="179">
        <f>VLOOKUP(B89,Tot_res!C:V,8,FALSE)</f>
        <v>363.06371606067165</v>
      </c>
      <c r="J89" s="179">
        <f>VLOOKUP(B89,Tot_res!C:V,9,FALSE)</f>
        <v>1542.206736639539</v>
      </c>
      <c r="K89" s="179">
        <f>VLOOKUP(B89,Tot_res!C:V,10,FALSE)</f>
        <v>1285.3941701627621</v>
      </c>
      <c r="L89" s="179">
        <f>VLOOKUP(B89,Tot_res!C:V,11,FALSE)</f>
        <v>4635.4029182321237</v>
      </c>
      <c r="M89" s="179">
        <f>VLOOKUP(B89,Tot_res!C:V,12,FALSE)</f>
        <v>3111.88565448705</v>
      </c>
      <c r="N89" s="179">
        <f>VLOOKUP(B89,Tot_res!C:V,13,FALSE)</f>
        <v>677.70474883195732</v>
      </c>
      <c r="O89" s="179">
        <f>VLOOKUP(B89,Tot_res!C:V,14,FALSE)</f>
        <v>1695.9671776894736</v>
      </c>
      <c r="P89" s="179">
        <f>VLOOKUP(B89,Tot_res!C:V,15,FALSE)</f>
        <v>3982.6316134021718</v>
      </c>
      <c r="Q89" s="179">
        <f>VLOOKUP(B89,Tot_res!C:V,16,FALSE)</f>
        <v>903.817201246271</v>
      </c>
      <c r="R89" s="179">
        <f>VLOOKUP(B89,Tot_res!C:V,17,FALSE)</f>
        <v>395.27015778331963</v>
      </c>
      <c r="S89" s="179">
        <f>VLOOKUP(B89,Tot_res!C:V,18,FALSE)</f>
        <v>1347.227413670608</v>
      </c>
      <c r="T89" s="179">
        <f>VLOOKUP(B89,Tot_res!C:V,19,FALSE)</f>
        <v>197.14163202951883</v>
      </c>
      <c r="U89" s="179">
        <f>VLOOKUP(B89,Tot_res!C:V,20,FALSE)</f>
        <v>103.74255123270494</v>
      </c>
      <c r="V89" s="122">
        <f t="shared" si="12"/>
        <v>28878.28918</v>
      </c>
    </row>
    <row r="90" spans="1:22" ht="13.15">
      <c r="A90" s="355"/>
      <c r="B90" s="115" t="s">
        <v>194</v>
      </c>
      <c r="C90" s="333" t="str">
        <f>VLOOKUP(B90,Tot_res!C:D,2,FALSE)</f>
        <v>Elaboración y difusión estadística</v>
      </c>
      <c r="D90" s="179">
        <f>VLOOKUP(B90,Tot_res!C:V,3,FALSE)</f>
        <v>27159.354031608789</v>
      </c>
      <c r="E90" s="179">
        <f>VLOOKUP(B90,Tot_res!C:V,4,FALSE)</f>
        <v>4309.5663780552713</v>
      </c>
      <c r="F90" s="179">
        <f>VLOOKUP(B90,Tot_res!C:V,5,FALSE)</f>
        <v>3434.5802504041526</v>
      </c>
      <c r="G90" s="179">
        <f>VLOOKUP(B90,Tot_res!C:V,6,FALSE)</f>
        <v>3571.960493348929</v>
      </c>
      <c r="H90" s="179">
        <f>VLOOKUP(B90,Tot_res!C:V,7,FALSE)</f>
        <v>6810.5479405576243</v>
      </c>
      <c r="I90" s="179">
        <f>VLOOKUP(B90,Tot_res!C:V,8,FALSE)</f>
        <v>1903.6730034274133</v>
      </c>
      <c r="J90" s="179">
        <f>VLOOKUP(B90,Tot_res!C:V,9,FALSE)</f>
        <v>8086.3418743666734</v>
      </c>
      <c r="K90" s="179">
        <f>VLOOKUP(B90,Tot_res!C:V,10,FALSE)</f>
        <v>6739.781675382068</v>
      </c>
      <c r="L90" s="179">
        <f>VLOOKUP(B90,Tot_res!C:V,11,FALSE)</f>
        <v>24305.076506109785</v>
      </c>
      <c r="M90" s="179">
        <f>VLOOKUP(B90,Tot_res!C:V,12,FALSE)</f>
        <v>16316.730227071443</v>
      </c>
      <c r="N90" s="179">
        <f>VLOOKUP(B90,Tot_res!C:V,13,FALSE)</f>
        <v>3553.4485479412638</v>
      </c>
      <c r="O90" s="179">
        <f>VLOOKUP(B90,Tot_res!C:V,14,FALSE)</f>
        <v>8892.5628974912688</v>
      </c>
      <c r="P90" s="179">
        <f>VLOOKUP(B90,Tot_res!C:V,15,FALSE)</f>
        <v>20882.36292872436</v>
      </c>
      <c r="Q90" s="179">
        <f>VLOOKUP(B90,Tot_res!C:V,16,FALSE)</f>
        <v>4739.0370613579089</v>
      </c>
      <c r="R90" s="179">
        <f>VLOOKUP(B90,Tot_res!C:V,17,FALSE)</f>
        <v>2072.542904030804</v>
      </c>
      <c r="S90" s="179">
        <f>VLOOKUP(B90,Tot_res!C:V,18,FALSE)</f>
        <v>7063.9955011463844</v>
      </c>
      <c r="T90" s="179">
        <f>VLOOKUP(B90,Tot_res!C:V,19,FALSE)</f>
        <v>1033.684133513085</v>
      </c>
      <c r="U90" s="179">
        <f>VLOOKUP(B90,Tot_res!C:V,20,FALSE)</f>
        <v>543.95932546281438</v>
      </c>
      <c r="V90" s="122">
        <f t="shared" si="12"/>
        <v>151419.20568000001</v>
      </c>
    </row>
    <row r="91" spans="1:22" ht="13.15">
      <c r="A91" s="356"/>
      <c r="B91" s="115"/>
      <c r="C91" s="129"/>
      <c r="D91" s="105"/>
      <c r="E91" s="105"/>
      <c r="F91" s="105"/>
      <c r="G91" s="105"/>
      <c r="H91" s="105"/>
      <c r="I91" s="105"/>
      <c r="J91" s="105"/>
      <c r="K91" s="105"/>
      <c r="L91" s="105"/>
      <c r="M91" s="105"/>
      <c r="N91" s="105"/>
      <c r="O91" s="105"/>
      <c r="P91" s="105"/>
      <c r="Q91" s="105"/>
      <c r="R91" s="105"/>
      <c r="S91" s="105"/>
      <c r="T91" s="105"/>
      <c r="U91" s="105"/>
      <c r="V91" s="122"/>
    </row>
    <row r="92" spans="1:22" ht="13.15">
      <c r="A92" s="356"/>
      <c r="B92" s="115"/>
      <c r="C92" s="128" t="s">
        <v>21</v>
      </c>
      <c r="D92" s="114">
        <f t="shared" ref="D92:V92" si="13">SUM(D93:D100)</f>
        <v>101058.46819249591</v>
      </c>
      <c r="E92" s="114">
        <f t="shared" si="13"/>
        <v>16035.660356033528</v>
      </c>
      <c r="F92" s="114">
        <f t="shared" si="13"/>
        <v>12779.884918694534</v>
      </c>
      <c r="G92" s="114">
        <f t="shared" si="13"/>
        <v>13291.069275132249</v>
      </c>
      <c r="H92" s="114">
        <f t="shared" si="13"/>
        <v>25341.675712290194</v>
      </c>
      <c r="I92" s="114">
        <f t="shared" si="13"/>
        <v>7083.4629366325398</v>
      </c>
      <c r="J92" s="114">
        <f t="shared" si="13"/>
        <v>30088.835034635238</v>
      </c>
      <c r="K92" s="114">
        <f t="shared" si="13"/>
        <v>25078.358317111262</v>
      </c>
      <c r="L92" s="114">
        <f t="shared" si="13"/>
        <v>90437.857916290814</v>
      </c>
      <c r="M92" s="114">
        <f t="shared" si="13"/>
        <v>60713.659122339603</v>
      </c>
      <c r="N92" s="114">
        <f t="shared" si="13"/>
        <v>13222.18734060669</v>
      </c>
      <c r="O92" s="114">
        <f t="shared" si="13"/>
        <v>33088.739285919532</v>
      </c>
      <c r="P92" s="114">
        <f t="shared" si="13"/>
        <v>77702.12823768107</v>
      </c>
      <c r="Q92" s="114">
        <f t="shared" si="13"/>
        <v>17633.697236352447</v>
      </c>
      <c r="R92" s="114">
        <f t="shared" si="13"/>
        <v>7711.81858378586</v>
      </c>
      <c r="S92" s="114">
        <f t="shared" si="13"/>
        <v>26284.740197933548</v>
      </c>
      <c r="T92" s="114">
        <f t="shared" si="13"/>
        <v>3846.2820215143365</v>
      </c>
      <c r="U92" s="114">
        <f t="shared" si="13"/>
        <v>2024.0428445506407</v>
      </c>
      <c r="V92" s="126">
        <f t="shared" si="13"/>
        <v>563422.56752999988</v>
      </c>
    </row>
    <row r="93" spans="1:22" ht="13.15">
      <c r="A93" s="355"/>
      <c r="B93" s="115" t="s">
        <v>196</v>
      </c>
      <c r="C93" s="333" t="str">
        <f>VLOOKUP(B93,Tot_res!C:D,2,FALSE)</f>
        <v>Dirección, control y gestión de seguros</v>
      </c>
      <c r="D93" s="179">
        <f>VLOOKUP(B93,Tot_res!C:V,3,FALSE)</f>
        <v>2065.321286586674</v>
      </c>
      <c r="E93" s="179">
        <f>VLOOKUP(B93,Tot_res!C:V,4,FALSE)</f>
        <v>327.71910429817217</v>
      </c>
      <c r="F93" s="179">
        <f>VLOOKUP(B93,Tot_res!C:V,5,FALSE)</f>
        <v>261.18116408049559</v>
      </c>
      <c r="G93" s="179">
        <f>VLOOKUP(B93,Tot_res!C:V,6,FALSE)</f>
        <v>271.62818501405968</v>
      </c>
      <c r="H93" s="179">
        <f>VLOOKUP(B93,Tot_res!C:V,7,FALSE)</f>
        <v>517.90516146232119</v>
      </c>
      <c r="I93" s="179">
        <f>VLOOKUP(B93,Tot_res!C:V,8,FALSE)</f>
        <v>144.76398710010585</v>
      </c>
      <c r="J93" s="179">
        <f>VLOOKUP(B93,Tot_res!C:V,9,FALSE)</f>
        <v>614.92235729574872</v>
      </c>
      <c r="K93" s="179">
        <f>VLOOKUP(B93,Tot_res!C:V,10,FALSE)</f>
        <v>512.52377154895237</v>
      </c>
      <c r="L93" s="179">
        <f>VLOOKUP(B93,Tot_res!C:V,11,FALSE)</f>
        <v>1848.2689912935577</v>
      </c>
      <c r="M93" s="179">
        <f>VLOOKUP(B93,Tot_res!C:V,12,FALSE)</f>
        <v>1240.7986665015198</v>
      </c>
      <c r="N93" s="179">
        <f>VLOOKUP(B93,Tot_res!C:V,13,FALSE)</f>
        <v>270.22045216216327</v>
      </c>
      <c r="O93" s="179">
        <f>VLOOKUP(B93,Tot_res!C:V,14,FALSE)</f>
        <v>676.23108499284422</v>
      </c>
      <c r="P93" s="179">
        <f>VLOOKUP(B93,Tot_res!C:V,15,FALSE)</f>
        <v>1587.990223211068</v>
      </c>
      <c r="Q93" s="179">
        <f>VLOOKUP(B93,Tot_res!C:V,16,FALSE)</f>
        <v>360.37801596291774</v>
      </c>
      <c r="R93" s="179">
        <f>VLOOKUP(B93,Tot_res!C:V,17,FALSE)</f>
        <v>157.6056253796485</v>
      </c>
      <c r="S93" s="179">
        <f>VLOOKUP(B93,Tot_res!C:V,18,FALSE)</f>
        <v>537.17847117757526</v>
      </c>
      <c r="T93" s="179">
        <f>VLOOKUP(B93,Tot_res!C:V,19,FALSE)</f>
        <v>78.606061177553542</v>
      </c>
      <c r="U93" s="179">
        <f>VLOOKUP(B93,Tot_res!C:V,20,FALSE)</f>
        <v>41.36515075462313</v>
      </c>
      <c r="V93" s="122">
        <f t="shared" ref="V93:V100" si="14">SUM(D93:U93)</f>
        <v>11514.607760000001</v>
      </c>
    </row>
    <row r="94" spans="1:22" ht="13.15">
      <c r="A94" s="355"/>
      <c r="B94" s="115" t="s">
        <v>198</v>
      </c>
      <c r="C94" s="333" t="str">
        <f>VLOOKUP(B94,Tot_res!C:D,2,FALSE)</f>
        <v>Regulación contable y de auditorias</v>
      </c>
      <c r="D94" s="179">
        <f>VLOOKUP(B94,Tot_res!C:V,3,FALSE)</f>
        <v>918.57018835734061</v>
      </c>
      <c r="E94" s="179">
        <f>VLOOKUP(B94,Tot_res!C:V,4,FALSE)</f>
        <v>145.75601448478932</v>
      </c>
      <c r="F94" s="179">
        <f>VLOOKUP(B94,Tot_res!C:V,5,FALSE)</f>
        <v>116.16266807636083</v>
      </c>
      <c r="G94" s="179">
        <f>VLOOKUP(B94,Tot_res!C:V,6,FALSE)</f>
        <v>120.80907444859977</v>
      </c>
      <c r="H94" s="179">
        <f>VLOOKUP(B94,Tot_res!C:V,7,FALSE)</f>
        <v>230.34297123907484</v>
      </c>
      <c r="I94" s="179">
        <f>VLOOKUP(B94,Tot_res!C:V,8,FALSE)</f>
        <v>64.385083212729171</v>
      </c>
      <c r="J94" s="179">
        <f>VLOOKUP(B94,Tot_res!C:V,9,FALSE)</f>
        <v>273.4922402798714</v>
      </c>
      <c r="K94" s="179">
        <f>VLOOKUP(B94,Tot_res!C:V,10,FALSE)</f>
        <v>227.94954975136187</v>
      </c>
      <c r="L94" s="179">
        <f>VLOOKUP(B94,Tot_res!C:V,11,FALSE)</f>
        <v>822.03423094206619</v>
      </c>
      <c r="M94" s="179">
        <f>VLOOKUP(B94,Tot_res!C:V,12,FALSE)</f>
        <v>551.85634903589437</v>
      </c>
      <c r="N94" s="179">
        <f>VLOOKUP(B94,Tot_res!C:V,13,FALSE)</f>
        <v>120.18297262157586</v>
      </c>
      <c r="O94" s="179">
        <f>VLOOKUP(B94,Tot_res!C:V,14,FALSE)</f>
        <v>300.75984746255006</v>
      </c>
      <c r="P94" s="179">
        <f>VLOOKUP(B94,Tot_res!C:V,15,FALSE)</f>
        <v>706.27291158914352</v>
      </c>
      <c r="Q94" s="179">
        <f>VLOOKUP(B94,Tot_res!C:V,16,FALSE)</f>
        <v>160.28135871779764</v>
      </c>
      <c r="R94" s="179">
        <f>VLOOKUP(B94,Tot_res!C:V,17,FALSE)</f>
        <v>70.096517152748888</v>
      </c>
      <c r="S94" s="179">
        <f>VLOOKUP(B94,Tot_res!C:V,18,FALSE)</f>
        <v>238.9149488051751</v>
      </c>
      <c r="T94" s="179">
        <f>VLOOKUP(B94,Tot_res!C:V,19,FALSE)</f>
        <v>34.960751574505117</v>
      </c>
      <c r="U94" s="179">
        <f>VLOOKUP(B94,Tot_res!C:V,20,FALSE)</f>
        <v>18.397522248415257</v>
      </c>
      <c r="V94" s="122">
        <f t="shared" si="14"/>
        <v>5121.2251999999999</v>
      </c>
    </row>
    <row r="95" spans="1:22" ht="13.15">
      <c r="A95" s="355"/>
      <c r="B95" s="115" t="s">
        <v>481</v>
      </c>
      <c r="C95" s="333" t="str">
        <f>VLOOKUP(B95,Tot_res!C:D,2,FALSE)</f>
        <v>Regulación del juego</v>
      </c>
      <c r="D95" s="179">
        <f>VLOOKUP(B95,Tot_res!C:V,3,FALSE)</f>
        <v>1101.8317806005687</v>
      </c>
      <c r="E95" s="179">
        <f>VLOOKUP(B95,Tot_res!C:V,4,FALSE)</f>
        <v>174.83542467256942</v>
      </c>
      <c r="F95" s="179">
        <f>VLOOKUP(B95,Tot_res!C:V,5,FALSE)</f>
        <v>139.33798530384962</v>
      </c>
      <c r="G95" s="179">
        <f>VLOOKUP(B95,Tot_res!C:V,6,FALSE)</f>
        <v>144.91138434445321</v>
      </c>
      <c r="H95" s="179">
        <f>VLOOKUP(B95,Tot_res!C:V,7,FALSE)</f>
        <v>276.29810913310729</v>
      </c>
      <c r="I95" s="179">
        <f>VLOOKUP(B95,Tot_res!C:V,8,FALSE)</f>
        <v>77.230386724459649</v>
      </c>
      <c r="J95" s="179">
        <f>VLOOKUP(B95,Tot_res!C:V,9,FALSE)</f>
        <v>328.05597863663911</v>
      </c>
      <c r="K95" s="179">
        <f>VLOOKUP(B95,Tot_res!C:V,10,FALSE)</f>
        <v>273.42718223719925</v>
      </c>
      <c r="L95" s="179">
        <f>VLOOKUP(B95,Tot_res!C:V,11,FALSE)</f>
        <v>986.0361808750157</v>
      </c>
      <c r="M95" s="179">
        <f>VLOOKUP(B95,Tot_res!C:V,12,FALSE)</f>
        <v>661.95579978631395</v>
      </c>
      <c r="N95" s="179">
        <f>VLOOKUP(B95,Tot_res!C:V,13,FALSE)</f>
        <v>144.16037054098905</v>
      </c>
      <c r="O95" s="179">
        <f>VLOOKUP(B95,Tot_res!C:V,14,FALSE)</f>
        <v>360.76367648663717</v>
      </c>
      <c r="P95" s="179">
        <f>VLOOKUP(B95,Tot_res!C:V,15,FALSE)</f>
        <v>847.17961635336928</v>
      </c>
      <c r="Q95" s="179">
        <f>VLOOKUP(B95,Tot_res!C:V,16,FALSE)</f>
        <v>192.25868323565453</v>
      </c>
      <c r="R95" s="179">
        <f>VLOOKUP(B95,Tot_res!C:V,17,FALSE)</f>
        <v>84.081294262802643</v>
      </c>
      <c r="S95" s="179">
        <f>VLOOKUP(B95,Tot_res!C:V,18,FALSE)</f>
        <v>286.58026005051784</v>
      </c>
      <c r="T95" s="179">
        <f>VLOOKUP(B95,Tot_res!C:V,19,FALSE)</f>
        <v>41.935681831082661</v>
      </c>
      <c r="U95" s="179">
        <f>VLOOKUP(B95,Tot_res!C:V,20,FALSE)</f>
        <v>22.06796492477087</v>
      </c>
      <c r="V95" s="122">
        <f t="shared" si="14"/>
        <v>6142.9477599999991</v>
      </c>
    </row>
    <row r="96" spans="1:22" ht="13.15">
      <c r="A96" s="355"/>
      <c r="B96" s="115" t="s">
        <v>632</v>
      </c>
      <c r="C96" s="333" t="str">
        <f>VLOOKUP(B96,Tot_res!C:D,2,FALSE)</f>
        <v>Comisión Nacional de la Competencia</v>
      </c>
      <c r="D96" s="179">
        <f>VLOOKUP(B96,Tot_res!C:V,3,FALSE)</f>
        <v>2092.1996082250384</v>
      </c>
      <c r="E96" s="179">
        <f>VLOOKUP(B96,Tot_res!C:V,4,FALSE)</f>
        <v>331.98407728303926</v>
      </c>
      <c r="F96" s="179">
        <f>VLOOKUP(B96,Tot_res!C:V,5,FALSE)</f>
        <v>264.58020488815612</v>
      </c>
      <c r="G96" s="179">
        <f>VLOOKUP(B96,Tot_res!C:V,6,FALSE)</f>
        <v>275.1631845176571</v>
      </c>
      <c r="H96" s="179">
        <f>VLOOKUP(B96,Tot_res!C:V,7,FALSE)</f>
        <v>524.6452370129681</v>
      </c>
      <c r="I96" s="179">
        <f>VLOOKUP(B96,Tot_res!C:V,8,FALSE)</f>
        <v>146.64796177862152</v>
      </c>
      <c r="J96" s="179">
        <f>VLOOKUP(B96,Tot_res!C:V,9,FALSE)</f>
        <v>622.92502545656168</v>
      </c>
      <c r="K96" s="179">
        <f>VLOOKUP(B96,Tot_res!C:V,10,FALSE)</f>
        <v>519.19381309089931</v>
      </c>
      <c r="L96" s="179">
        <f>VLOOKUP(B96,Tot_res!C:V,11,FALSE)</f>
        <v>1872.3225701458373</v>
      </c>
      <c r="M96" s="179">
        <f>VLOOKUP(B96,Tot_res!C:V,12,FALSE)</f>
        <v>1256.9465587753652</v>
      </c>
      <c r="N96" s="179">
        <f>VLOOKUP(B96,Tot_res!C:V,13,FALSE)</f>
        <v>273.7371312733743</v>
      </c>
      <c r="O96" s="179">
        <f>VLOOKUP(B96,Tot_res!C:V,14,FALSE)</f>
        <v>685.03163177573094</v>
      </c>
      <c r="P96" s="179">
        <f>VLOOKUP(B96,Tot_res!C:V,15,FALSE)</f>
        <v>1608.6565051378795</v>
      </c>
      <c r="Q96" s="179">
        <f>VLOOKUP(B96,Tot_res!C:V,16,FALSE)</f>
        <v>365.06801566773629</v>
      </c>
      <c r="R96" s="179">
        <f>VLOOKUP(B96,Tot_res!C:V,17,FALSE)</f>
        <v>159.65672257139383</v>
      </c>
      <c r="S96" s="179">
        <f>VLOOKUP(B96,Tot_res!C:V,18,FALSE)</f>
        <v>544.16937173105669</v>
      </c>
      <c r="T96" s="179">
        <f>VLOOKUP(B96,Tot_res!C:V,19,FALSE)</f>
        <v>79.629049227295198</v>
      </c>
      <c r="U96" s="179">
        <f>VLOOKUP(B96,Tot_res!C:V,20,FALSE)</f>
        <v>41.903481441389886</v>
      </c>
      <c r="V96" s="122">
        <f t="shared" si="14"/>
        <v>11664.460150000001</v>
      </c>
    </row>
    <row r="97" spans="1:28" ht="13.15">
      <c r="A97" s="355"/>
      <c r="B97" s="115" t="s">
        <v>199</v>
      </c>
      <c r="C97" s="333" t="str">
        <f>VLOOKUP(B97,Tot_res!C:D,2,FALSE)</f>
        <v>Comisión Nacional del Mercado de las Telecomunicaciones</v>
      </c>
      <c r="D97" s="179">
        <f>VLOOKUP(B97,Tot_res!C:V,3,FALSE)</f>
        <v>2775.4136157055327</v>
      </c>
      <c r="E97" s="179">
        <f>VLOOKUP(B97,Tot_res!C:V,4,FALSE)</f>
        <v>440.39446555028667</v>
      </c>
      <c r="F97" s="179">
        <f>VLOOKUP(B97,Tot_res!C:V,5,FALSE)</f>
        <v>350.97965806222641</v>
      </c>
      <c r="G97" s="179">
        <f>VLOOKUP(B97,Tot_res!C:V,6,FALSE)</f>
        <v>365.01854117977456</v>
      </c>
      <c r="H97" s="179">
        <f>VLOOKUP(B97,Tot_res!C:V,7,FALSE)</f>
        <v>695.96970026018096</v>
      </c>
      <c r="I97" s="179">
        <f>VLOOKUP(B97,Tot_res!C:V,8,FALSE)</f>
        <v>194.53629005367475</v>
      </c>
      <c r="J97" s="179">
        <f>VLOOKUP(B97,Tot_res!C:V,9,FALSE)</f>
        <v>826.34304605504838</v>
      </c>
      <c r="K97" s="179">
        <f>VLOOKUP(B97,Tot_res!C:V,10,FALSE)</f>
        <v>688.7380976354541</v>
      </c>
      <c r="L97" s="179">
        <f>VLOOKUP(B97,Tot_res!C:V,11,FALSE)</f>
        <v>2483.735076589594</v>
      </c>
      <c r="M97" s="179">
        <f>VLOOKUP(B97,Tot_res!C:V,12,FALSE)</f>
        <v>1667.4061976328089</v>
      </c>
      <c r="N97" s="179">
        <f>VLOOKUP(B97,Tot_res!C:V,13,FALSE)</f>
        <v>363.12680600529893</v>
      </c>
      <c r="O97" s="179">
        <f>VLOOKUP(B97,Tot_res!C:V,14,FALSE)</f>
        <v>908.7307494681661</v>
      </c>
      <c r="P97" s="179">
        <f>VLOOKUP(B97,Tot_res!C:V,15,FALSE)</f>
        <v>2133.9680735055008</v>
      </c>
      <c r="Q97" s="179">
        <f>VLOOKUP(B97,Tot_res!C:V,16,FALSE)</f>
        <v>484.28206245694605</v>
      </c>
      <c r="R97" s="179">
        <f>VLOOKUP(B97,Tot_res!C:V,17,FALSE)</f>
        <v>211.79310039135891</v>
      </c>
      <c r="S97" s="179">
        <f>VLOOKUP(B97,Tot_res!C:V,18,FALSE)</f>
        <v>721.86949926522118</v>
      </c>
      <c r="T97" s="179">
        <f>VLOOKUP(B97,Tot_res!C:V,19,FALSE)</f>
        <v>105.63215219154651</v>
      </c>
      <c r="U97" s="179">
        <f>VLOOKUP(B97,Tot_res!C:V,20,FALSE)</f>
        <v>55.587187991380382</v>
      </c>
      <c r="V97" s="122">
        <f t="shared" si="14"/>
        <v>15473.524320000002</v>
      </c>
    </row>
    <row r="98" spans="1:28" ht="13.15">
      <c r="A98" s="355"/>
      <c r="B98" s="115" t="s">
        <v>201</v>
      </c>
      <c r="C98" s="333" t="str">
        <f>VLOOKUP(B98,Tot_res!C:D,2,FALSE)</f>
        <v>Comisión Nacional de Energía</v>
      </c>
      <c r="D98" s="179">
        <f>VLOOKUP(B98,Tot_res!C:V,3,FALSE)</f>
        <v>4171.5870226170655</v>
      </c>
      <c r="E98" s="179">
        <f>VLOOKUP(B98,Tot_res!C:V,4,FALSE)</f>
        <v>661.93515335008442</v>
      </c>
      <c r="F98" s="179">
        <f>VLOOKUP(B98,Tot_res!C:V,5,FALSE)</f>
        <v>527.54017581006997</v>
      </c>
      <c r="G98" s="179">
        <f>VLOOKUP(B98,Tot_res!C:V,6,FALSE)</f>
        <v>548.64132711011291</v>
      </c>
      <c r="H98" s="179">
        <f>VLOOKUP(B98,Tot_res!C:V,7,FALSE)</f>
        <v>1046.077656069298</v>
      </c>
      <c r="I98" s="179">
        <f>VLOOKUP(B98,Tot_res!C:V,8,FALSE)</f>
        <v>292.39788203953253</v>
      </c>
      <c r="J98" s="179">
        <f>VLOOKUP(B98,Tot_res!C:V,9,FALSE)</f>
        <v>1242.0353880395585</v>
      </c>
      <c r="K98" s="179">
        <f>VLOOKUP(B98,Tot_res!C:V,10,FALSE)</f>
        <v>1035.2081916077407</v>
      </c>
      <c r="L98" s="179">
        <f>VLOOKUP(B98,Tot_res!C:V,11,FALSE)</f>
        <v>3733.1794275593306</v>
      </c>
      <c r="M98" s="179">
        <f>VLOOKUP(B98,Tot_res!C:V,12,FALSE)</f>
        <v>2506.1958391048993</v>
      </c>
      <c r="N98" s="179">
        <f>VLOOKUP(B98,Tot_res!C:V,13,FALSE)</f>
        <v>545.79795347404865</v>
      </c>
      <c r="O98" s="179">
        <f>VLOOKUP(B98,Tot_res!C:V,14,FALSE)</f>
        <v>1365.8682727802416</v>
      </c>
      <c r="P98" s="179">
        <f>VLOOKUP(B98,Tot_res!C:V,15,FALSE)</f>
        <v>3207.4619335077796</v>
      </c>
      <c r="Q98" s="179">
        <f>VLOOKUP(B98,Tot_res!C:V,16,FALSE)</f>
        <v>727.90043098425372</v>
      </c>
      <c r="R98" s="179">
        <f>VLOOKUP(B98,Tot_res!C:V,17,FALSE)</f>
        <v>318.3357406884486</v>
      </c>
      <c r="S98" s="179">
        <f>VLOOKUP(B98,Tot_res!C:V,18,FALSE)</f>
        <v>1085.0063637784554</v>
      </c>
      <c r="T98" s="179">
        <f>VLOOKUP(B98,Tot_res!C:V,19,FALSE)</f>
        <v>158.77046677287717</v>
      </c>
      <c r="U98" s="179">
        <f>VLOOKUP(B98,Tot_res!C:V,20,FALSE)</f>
        <v>83.550354706201162</v>
      </c>
      <c r="V98" s="122">
        <f t="shared" si="14"/>
        <v>23257.489579999994</v>
      </c>
    </row>
    <row r="99" spans="1:28" ht="13.15">
      <c r="A99" s="355"/>
      <c r="B99" s="115" t="s">
        <v>203</v>
      </c>
      <c r="C99" s="333" t="str">
        <f>VLOOKUP(B99,Tot_res!C:D,2,FALSE)</f>
        <v>Comisión Nacional del Mercado de Valores</v>
      </c>
      <c r="D99" s="179">
        <f>VLOOKUP(B99,Tot_res!C:V,3,FALSE)</f>
        <v>7712.4060568555042</v>
      </c>
      <c r="E99" s="179">
        <f>VLOOKUP(B99,Tot_res!C:V,4,FALSE)</f>
        <v>1223.7818984152586</v>
      </c>
      <c r="F99" s="179">
        <f>VLOOKUP(B99,Tot_res!C:V,5,FALSE)</f>
        <v>975.31323812579672</v>
      </c>
      <c r="G99" s="179">
        <f>VLOOKUP(B99,Tot_res!C:V,6,FALSE)</f>
        <v>1014.3249250954669</v>
      </c>
      <c r="H99" s="179">
        <f>VLOOKUP(B99,Tot_res!C:V,7,FALSE)</f>
        <v>1933.9823445775094</v>
      </c>
      <c r="I99" s="179">
        <f>VLOOKUP(B99,Tot_res!C:V,8,FALSE)</f>
        <v>540.5835199474443</v>
      </c>
      <c r="J99" s="179">
        <f>VLOOKUP(B99,Tot_res!C:V,9,FALSE)</f>
        <v>2296.2678706234169</v>
      </c>
      <c r="K99" s="179">
        <f>VLOOKUP(B99,Tot_res!C:V,10,FALSE)</f>
        <v>1913.8869412948759</v>
      </c>
      <c r="L99" s="179">
        <f>VLOOKUP(B99,Tot_res!C:V,11,FALSE)</f>
        <v>6901.8806205735755</v>
      </c>
      <c r="M99" s="179">
        <f>VLOOKUP(B99,Tot_res!C:V,12,FALSE)</f>
        <v>4633.4404303167748</v>
      </c>
      <c r="N99" s="179">
        <f>VLOOKUP(B99,Tot_res!C:V,13,FALSE)</f>
        <v>1009.0681122964551</v>
      </c>
      <c r="O99" s="179">
        <f>VLOOKUP(B99,Tot_res!C:V,14,FALSE)</f>
        <v>2525.2093945887441</v>
      </c>
      <c r="P99" s="179">
        <f>VLOOKUP(B99,Tot_res!C:V,15,FALSE)</f>
        <v>5929.9371459833128</v>
      </c>
      <c r="Q99" s="179">
        <f>VLOOKUP(B99,Tot_res!C:V,16,FALSE)</f>
        <v>1345.7381237102434</v>
      </c>
      <c r="R99" s="179">
        <f>VLOOKUP(B99,Tot_res!C:V,17,FALSE)</f>
        <v>588.53728360170555</v>
      </c>
      <c r="S99" s="179">
        <f>VLOOKUP(B99,Tot_res!C:V,18,FALSE)</f>
        <v>2005.9535151401481</v>
      </c>
      <c r="T99" s="179">
        <f>VLOOKUP(B99,Tot_res!C:V,19,FALSE)</f>
        <v>293.53392436740205</v>
      </c>
      <c r="U99" s="179">
        <f>VLOOKUP(B99,Tot_res!C:V,20,FALSE)</f>
        <v>154.46741448636504</v>
      </c>
      <c r="V99" s="122">
        <f t="shared" si="14"/>
        <v>42998.312760000001</v>
      </c>
    </row>
    <row r="100" spans="1:28" ht="13.15">
      <c r="A100" s="355"/>
      <c r="B100" s="115" t="s">
        <v>205</v>
      </c>
      <c r="C100" s="333" t="str">
        <f>VLOOKUP(B100,Tot_res!C:D,2,FALSE)</f>
        <v>Banco de España</v>
      </c>
      <c r="D100" s="179">
        <f>VLOOKUP(B100,Tot_res!C:V,3,FALSE)</f>
        <v>80221.138633548195</v>
      </c>
      <c r="E100" s="179">
        <f>VLOOKUP(B100,Tot_res!C:V,4,FALSE)</f>
        <v>12729.254217979329</v>
      </c>
      <c r="F100" s="179">
        <f>VLOOKUP(B100,Tot_res!C:V,5,FALSE)</f>
        <v>10144.789824347577</v>
      </c>
      <c r="G100" s="179">
        <f>VLOOKUP(B100,Tot_res!C:V,6,FALSE)</f>
        <v>10550.572653422125</v>
      </c>
      <c r="H100" s="179">
        <f>VLOOKUP(B100,Tot_res!C:V,7,FALSE)</f>
        <v>20116.454532535736</v>
      </c>
      <c r="I100" s="179">
        <f>VLOOKUP(B100,Tot_res!C:V,8,FALSE)</f>
        <v>5622.9178257759722</v>
      </c>
      <c r="J100" s="179">
        <f>VLOOKUP(B100,Tot_res!C:V,9,FALSE)</f>
        <v>23884.793128248391</v>
      </c>
      <c r="K100" s="179">
        <f>VLOOKUP(B100,Tot_res!C:V,10,FALSE)</f>
        <v>19907.430769944778</v>
      </c>
      <c r="L100" s="179">
        <f>VLOOKUP(B100,Tot_res!C:V,11,FALSE)</f>
        <v>71790.400818311828</v>
      </c>
      <c r="M100" s="179">
        <f>VLOOKUP(B100,Tot_res!C:V,12,FALSE)</f>
        <v>48195.059281186026</v>
      </c>
      <c r="N100" s="179">
        <f>VLOOKUP(B100,Tot_res!C:V,13,FALSE)</f>
        <v>10495.893542232785</v>
      </c>
      <c r="O100" s="179">
        <f>VLOOKUP(B100,Tot_res!C:V,14,FALSE)</f>
        <v>26266.144628364618</v>
      </c>
      <c r="P100" s="179">
        <f>VLOOKUP(B100,Tot_res!C:V,15,FALSE)</f>
        <v>61680.661828393022</v>
      </c>
      <c r="Q100" s="179">
        <f>VLOOKUP(B100,Tot_res!C:V,16,FALSE)</f>
        <v>13997.790545616897</v>
      </c>
      <c r="R100" s="179">
        <f>VLOOKUP(B100,Tot_res!C:V,17,FALSE)</f>
        <v>6121.7122997377537</v>
      </c>
      <c r="S100" s="179">
        <f>VLOOKUP(B100,Tot_res!C:V,18,FALSE)</f>
        <v>20865.067767985398</v>
      </c>
      <c r="T100" s="179">
        <f>VLOOKUP(B100,Tot_res!C:V,19,FALSE)</f>
        <v>3053.2139343720742</v>
      </c>
      <c r="U100" s="179">
        <f>VLOOKUP(B100,Tot_res!C:V,20,FALSE)</f>
        <v>1606.7037679974949</v>
      </c>
      <c r="V100" s="122">
        <f t="shared" si="14"/>
        <v>447249.99999999994</v>
      </c>
    </row>
    <row r="101" spans="1:28" ht="13.15">
      <c r="A101" s="356"/>
      <c r="B101" s="115"/>
      <c r="C101" s="102"/>
      <c r="D101" s="105"/>
      <c r="E101" s="105"/>
      <c r="F101" s="105"/>
      <c r="G101" s="105"/>
      <c r="H101" s="105"/>
      <c r="I101" s="105"/>
      <c r="J101" s="105"/>
      <c r="K101" s="105"/>
      <c r="L101" s="105"/>
      <c r="M101" s="105"/>
      <c r="N101" s="105"/>
      <c r="O101" s="105"/>
      <c r="P101" s="105"/>
      <c r="Q101" s="105"/>
      <c r="R101" s="105"/>
      <c r="S101" s="105"/>
      <c r="T101" s="105"/>
      <c r="U101" s="105"/>
      <c r="V101" s="122"/>
    </row>
    <row r="102" spans="1:28" ht="13.15">
      <c r="A102" s="356"/>
      <c r="B102" s="115"/>
      <c r="C102" s="102"/>
      <c r="D102" s="105"/>
      <c r="E102" s="105"/>
      <c r="F102" s="105"/>
      <c r="G102" s="105"/>
      <c r="H102" s="105"/>
      <c r="I102" s="105"/>
      <c r="J102" s="105"/>
      <c r="K102" s="105"/>
      <c r="L102" s="105"/>
      <c r="M102" s="105"/>
      <c r="N102" s="105"/>
      <c r="O102" s="105"/>
      <c r="P102" s="105"/>
      <c r="Q102" s="105"/>
      <c r="R102" s="105"/>
      <c r="S102" s="105"/>
      <c r="T102" s="105"/>
      <c r="U102" s="105"/>
      <c r="V102" s="122"/>
    </row>
    <row r="103" spans="1:28" ht="13.15">
      <c r="A103" s="356"/>
      <c r="B103" s="115"/>
      <c r="C103" s="134" t="s">
        <v>77</v>
      </c>
      <c r="D103" s="111">
        <f t="shared" ref="D103:V103" si="15">D106+D208+D233+D271+D288</f>
        <v>29567664.492260933</v>
      </c>
      <c r="E103" s="111">
        <f t="shared" si="15"/>
        <v>5568375.3525036909</v>
      </c>
      <c r="F103" s="111">
        <f t="shared" si="15"/>
        <v>4385042.7800336191</v>
      </c>
      <c r="G103" s="111">
        <f t="shared" si="15"/>
        <v>4275800.4548149705</v>
      </c>
      <c r="H103" s="111">
        <f t="shared" si="15"/>
        <v>8862610.9983228892</v>
      </c>
      <c r="I103" s="111">
        <f t="shared" si="15"/>
        <v>2533646.2120207627</v>
      </c>
      <c r="J103" s="111">
        <f t="shared" si="15"/>
        <v>10776646.401097881</v>
      </c>
      <c r="K103" s="111">
        <f t="shared" si="15"/>
        <v>7631126.0984451026</v>
      </c>
      <c r="L103" s="111">
        <f t="shared" si="15"/>
        <v>28451176.615054294</v>
      </c>
      <c r="M103" s="111">
        <f t="shared" si="15"/>
        <v>16359501.765989665</v>
      </c>
      <c r="N103" s="111">
        <f t="shared" si="15"/>
        <v>4777446.3421185119</v>
      </c>
      <c r="O103" s="111">
        <f t="shared" si="15"/>
        <v>10679115.550228685</v>
      </c>
      <c r="P103" s="111">
        <f t="shared" si="15"/>
        <v>22631674.741805144</v>
      </c>
      <c r="Q103" s="111">
        <f t="shared" si="15"/>
        <v>4798773.117319352</v>
      </c>
      <c r="R103" s="111">
        <f t="shared" si="15"/>
        <v>2689420.1867503785</v>
      </c>
      <c r="S103" s="111">
        <f t="shared" si="15"/>
        <v>11999690.935006503</v>
      </c>
      <c r="T103" s="111">
        <f t="shared" si="15"/>
        <v>1323484.3898149142</v>
      </c>
      <c r="U103" s="111">
        <f t="shared" si="15"/>
        <v>1010264.1775645833</v>
      </c>
      <c r="V103" s="125">
        <f t="shared" si="15"/>
        <v>178321460.61115187</v>
      </c>
    </row>
    <row r="104" spans="1:28" ht="13.15">
      <c r="A104" s="356"/>
      <c r="B104" s="115"/>
      <c r="C104" s="134" t="s">
        <v>44</v>
      </c>
      <c r="D104" s="114">
        <f t="shared" ref="D104:V104" si="16">D103-D191</f>
        <v>28793094.703102663</v>
      </c>
      <c r="E104" s="114">
        <f t="shared" si="16"/>
        <v>5455483.7925711861</v>
      </c>
      <c r="F104" s="114">
        <f t="shared" si="16"/>
        <v>4196543.0696608471</v>
      </c>
      <c r="G104" s="114">
        <f t="shared" si="16"/>
        <v>4096705.2686951156</v>
      </c>
      <c r="H104" s="114">
        <f t="shared" si="16"/>
        <v>8801723.7988709621</v>
      </c>
      <c r="I104" s="114">
        <f t="shared" si="16"/>
        <v>2452697.5216438835</v>
      </c>
      <c r="J104" s="114">
        <f t="shared" si="16"/>
        <v>10613431.923826946</v>
      </c>
      <c r="K104" s="114">
        <f t="shared" si="16"/>
        <v>7721095.3733203858</v>
      </c>
      <c r="L104" s="114">
        <f t="shared" si="16"/>
        <v>27069098.677149743</v>
      </c>
      <c r="M104" s="114">
        <f t="shared" si="16"/>
        <v>15920851.91650348</v>
      </c>
      <c r="N104" s="114">
        <f t="shared" si="16"/>
        <v>4541501.1419980805</v>
      </c>
      <c r="O104" s="114">
        <f t="shared" si="16"/>
        <v>10531915.586439477</v>
      </c>
      <c r="P104" s="114">
        <f t="shared" si="16"/>
        <v>22831457.26542417</v>
      </c>
      <c r="Q104" s="114">
        <f t="shared" si="16"/>
        <v>4662063.016018806</v>
      </c>
      <c r="R104" s="114">
        <f t="shared" si="16"/>
        <v>3037598.3441367541</v>
      </c>
      <c r="S104" s="114">
        <f t="shared" si="16"/>
        <v>12824522.614603864</v>
      </c>
      <c r="T104" s="114">
        <f t="shared" si="16"/>
        <v>1304341.945705808</v>
      </c>
      <c r="U104" s="114">
        <f t="shared" si="16"/>
        <v>1010264.1775645833</v>
      </c>
      <c r="V104" s="126">
        <f t="shared" si="16"/>
        <v>175864390.13723674</v>
      </c>
    </row>
    <row r="105" spans="1:28" ht="13.15">
      <c r="A105" s="356"/>
      <c r="B105" s="115"/>
      <c r="C105" s="129"/>
      <c r="D105" s="105"/>
      <c r="E105" s="105"/>
      <c r="F105" s="105"/>
      <c r="G105" s="105"/>
      <c r="H105" s="105"/>
      <c r="I105" s="105"/>
      <c r="J105" s="105"/>
      <c r="K105" s="105"/>
      <c r="L105" s="105"/>
      <c r="M105" s="105"/>
      <c r="N105" s="105"/>
      <c r="O105" s="105"/>
      <c r="P105" s="105"/>
      <c r="Q105" s="105"/>
      <c r="R105" s="105"/>
      <c r="S105" s="105"/>
      <c r="T105" s="105"/>
      <c r="U105" s="105"/>
      <c r="V105" s="122"/>
      <c r="W105" s="135"/>
    </row>
    <row r="106" spans="1:28" ht="13.15">
      <c r="A106" s="356"/>
      <c r="B106" s="115"/>
      <c r="C106" s="128" t="s">
        <v>43</v>
      </c>
      <c r="D106" s="114">
        <f t="shared" ref="D106:U106" si="17">D189+D191</f>
        <v>16759445.102822179</v>
      </c>
      <c r="E106" s="114">
        <f t="shared" si="17"/>
        <v>3193199.4956919611</v>
      </c>
      <c r="F106" s="114">
        <f t="shared" si="17"/>
        <v>2619310.5431054053</v>
      </c>
      <c r="G106" s="114">
        <f t="shared" si="17"/>
        <v>2452994.8194711767</v>
      </c>
      <c r="H106" s="114">
        <f t="shared" si="17"/>
        <v>4557472.6328807566</v>
      </c>
      <c r="I106" s="114">
        <f t="shared" si="17"/>
        <v>1584244.2499460636</v>
      </c>
      <c r="J106" s="114">
        <f t="shared" si="17"/>
        <v>6232681.0410730951</v>
      </c>
      <c r="K106" s="114">
        <f t="shared" si="17"/>
        <v>4442559.5734626763</v>
      </c>
      <c r="L106" s="114">
        <f t="shared" si="17"/>
        <v>16254415.01600506</v>
      </c>
      <c r="M106" s="114">
        <f t="shared" si="17"/>
        <v>9667299.7404284626</v>
      </c>
      <c r="N106" s="114">
        <f t="shared" si="17"/>
        <v>2873093.2047614176</v>
      </c>
      <c r="O106" s="114">
        <f t="shared" si="17"/>
        <v>6575280.3253569584</v>
      </c>
      <c r="P106" s="114">
        <f t="shared" si="17"/>
        <v>11940067.106039464</v>
      </c>
      <c r="Q106" s="114">
        <f t="shared" si="17"/>
        <v>2899306.6558140963</v>
      </c>
      <c r="R106" s="114">
        <f t="shared" si="17"/>
        <v>1750466.2341801319</v>
      </c>
      <c r="S106" s="114">
        <f t="shared" si="17"/>
        <v>8308234.7890509367</v>
      </c>
      <c r="T106" s="114">
        <f t="shared" si="17"/>
        <v>814425.42261345591</v>
      </c>
      <c r="U106" s="114">
        <f t="shared" si="17"/>
        <v>695194.32151790499</v>
      </c>
      <c r="V106" s="126">
        <f>V189+V191</f>
        <v>103619690.2742212</v>
      </c>
      <c r="W106" s="136"/>
    </row>
    <row r="107" spans="1:28" s="103" customFormat="1" ht="13.15">
      <c r="A107" s="356"/>
      <c r="B107" s="115"/>
      <c r="C107" s="129"/>
      <c r="D107" s="105"/>
      <c r="E107" s="105"/>
      <c r="F107" s="105"/>
      <c r="G107" s="105"/>
      <c r="H107" s="105"/>
      <c r="I107" s="105"/>
      <c r="J107" s="105"/>
      <c r="K107" s="105"/>
      <c r="L107" s="105"/>
      <c r="M107" s="105"/>
      <c r="N107" s="105"/>
      <c r="O107" s="105"/>
      <c r="P107" s="105"/>
      <c r="Q107" s="105"/>
      <c r="R107" s="105"/>
      <c r="S107" s="105"/>
      <c r="T107" s="105"/>
      <c r="U107" s="105"/>
      <c r="V107" s="122"/>
      <c r="W107" s="102"/>
      <c r="X107" s="102"/>
      <c r="Y107" s="102"/>
      <c r="Z107" s="102"/>
      <c r="AA107" s="102"/>
      <c r="AB107" s="102"/>
    </row>
    <row r="108" spans="1:28" ht="13.15">
      <c r="A108" s="356"/>
      <c r="B108" s="137"/>
      <c r="C108" s="128" t="s">
        <v>207</v>
      </c>
      <c r="D108" s="114">
        <f>SUM(D109:D121)</f>
        <v>16808068.71668173</v>
      </c>
      <c r="E108" s="114">
        <f t="shared" ref="E108:V108" si="18">SUM(E109:E121)</f>
        <v>3166342.0503374944</v>
      </c>
      <c r="F108" s="114">
        <f t="shared" si="18"/>
        <v>2505901.8011072278</v>
      </c>
      <c r="G108" s="114">
        <f t="shared" si="18"/>
        <v>2330630.0599201443</v>
      </c>
      <c r="H108" s="114">
        <f t="shared" si="18"/>
        <v>4761101.2798664682</v>
      </c>
      <c r="I108" s="114">
        <f t="shared" si="18"/>
        <v>1631038.0741131213</v>
      </c>
      <c r="J108" s="114">
        <f t="shared" si="18"/>
        <v>6085091.9639490657</v>
      </c>
      <c r="K108" s="114">
        <f t="shared" si="18"/>
        <v>4543878.1616052845</v>
      </c>
      <c r="L108" s="114">
        <f t="shared" si="18"/>
        <v>17061104.692985449</v>
      </c>
      <c r="M108" s="114">
        <f t="shared" si="18"/>
        <v>9443096.5398838166</v>
      </c>
      <c r="N108" s="114">
        <f t="shared" si="18"/>
        <v>2644802.7212395682</v>
      </c>
      <c r="O108" s="114">
        <f t="shared" si="18"/>
        <v>6653266.3334807921</v>
      </c>
      <c r="P108" s="114">
        <f t="shared" si="18"/>
        <v>13144014.902199024</v>
      </c>
      <c r="Q108" s="114">
        <f t="shared" si="18"/>
        <v>2781022.8509494541</v>
      </c>
      <c r="R108" s="114">
        <f t="shared" si="18"/>
        <v>0</v>
      </c>
      <c r="S108" s="114">
        <f t="shared" si="18"/>
        <v>0</v>
      </c>
      <c r="T108" s="114">
        <f t="shared" si="18"/>
        <v>864705.47992089379</v>
      </c>
      <c r="U108" s="114">
        <f t="shared" si="18"/>
        <v>73142.559999999998</v>
      </c>
      <c r="V108" s="114">
        <f t="shared" si="18"/>
        <v>94497208.188239515</v>
      </c>
      <c r="W108" s="103"/>
      <c r="X108" s="103"/>
      <c r="Y108" s="103"/>
      <c r="Z108" s="103"/>
      <c r="AA108" s="103"/>
      <c r="AB108" s="103"/>
    </row>
    <row r="109" spans="1:28" ht="13.15">
      <c r="A109" s="355"/>
      <c r="B109" s="115" t="s">
        <v>1006</v>
      </c>
      <c r="C109" s="333" t="str">
        <f>VLOOKUP(B109,Tot_res!C:D,2,FALSE)</f>
        <v>Transferencias a Comunidades Autónomas por participación en ingresos del Estado</v>
      </c>
      <c r="D109" s="179">
        <f>VLOOKUP(B109,Tot_res!C:V,3,FALSE)</f>
        <v>5295251.0655399999</v>
      </c>
      <c r="E109" s="179">
        <f>VLOOKUP(B109,Tot_res!C:V,4,FALSE)</f>
        <v>562608.61968</v>
      </c>
      <c r="F109" s="179">
        <f>VLOOKUP(B109,Tot_res!C:V,5,FALSE)</f>
        <v>515679.41788999998</v>
      </c>
      <c r="G109" s="179">
        <f>VLOOKUP(B109,Tot_res!C:V,6,FALSE)</f>
        <v>518883.89441999991</v>
      </c>
      <c r="H109" s="179">
        <f>VLOOKUP(B109,Tot_res!C:V,7,FALSE)</f>
        <v>2716355.5270400001</v>
      </c>
      <c r="I109" s="179">
        <f>VLOOKUP(B109,Tot_res!C:V,8,FALSE)</f>
        <v>505470.07672000001</v>
      </c>
      <c r="J109" s="179">
        <f>VLOOKUP(B109,Tot_res!C:V,9,FALSE)</f>
        <v>1471958.0676800001</v>
      </c>
      <c r="K109" s="179">
        <f>VLOOKUP(B109,Tot_res!C:V,10,FALSE)</f>
        <v>1278751.3288500002</v>
      </c>
      <c r="L109" s="179">
        <f>VLOOKUP(B109,Tot_res!C:V,11,FALSE)</f>
        <v>1366617.2865899999</v>
      </c>
      <c r="M109" s="179">
        <f>VLOOKUP(B109,Tot_res!C:V,12,FALSE)</f>
        <v>2662729.3632300003</v>
      </c>
      <c r="N109" s="179">
        <f>VLOOKUP(B109,Tot_res!C:V,13,FALSE)</f>
        <v>1171513.3781600001</v>
      </c>
      <c r="O109" s="179">
        <f>VLOOKUP(B109,Tot_res!C:V,14,FALSE)</f>
        <v>2104767.6168200001</v>
      </c>
      <c r="P109" s="179">
        <f>VLOOKUP(B109,Tot_res!C:V,15,FALSE)</f>
        <v>-1563974.3054100003</v>
      </c>
      <c r="Q109" s="179">
        <f>VLOOKUP(B109,Tot_res!C:V,16,FALSE)</f>
        <v>769614.70341000007</v>
      </c>
      <c r="R109" s="179">
        <f>VLOOKUP(B109,Tot_res!C:V,17,FALSE)</f>
        <v>0</v>
      </c>
      <c r="S109" s="179">
        <f>VLOOKUP(B109,Tot_res!C:V,18,FALSE)</f>
        <v>0</v>
      </c>
      <c r="T109" s="179">
        <f>VLOOKUP(B109,Tot_res!C:V,19,FALSE)</f>
        <v>333028.30327999999</v>
      </c>
      <c r="U109" s="179">
        <f>VLOOKUP(B109,Tot_res!C:V,20,FALSE)</f>
        <v>75787.209999999992</v>
      </c>
      <c r="V109" s="122">
        <f t="shared" ref="V109:V121" si="19">SUM(D109:U109)</f>
        <v>19785041.553899996</v>
      </c>
    </row>
    <row r="110" spans="1:28" ht="13.15">
      <c r="A110" s="355"/>
      <c r="B110" s="115" t="s">
        <v>208</v>
      </c>
      <c r="C110" s="333" t="str">
        <f>VLOOKUP(B110,Tot_res!C:D,2,FALSE)</f>
        <v>Transferencias al Estado por Fondos de Suficiencia negativos</v>
      </c>
      <c r="D110" s="179">
        <f>VLOOKUP(B110,Tot_res!C:V,3,FALSE)</f>
        <v>-80985.014899999995</v>
      </c>
      <c r="E110" s="179">
        <f>VLOOKUP(B110,Tot_res!C:V,4,FALSE)</f>
        <v>-31204.262429999999</v>
      </c>
      <c r="F110" s="179">
        <f>VLOOKUP(B110,Tot_res!C:V,5,FALSE)</f>
        <v>-17042.05861</v>
      </c>
      <c r="G110" s="179">
        <f>VLOOKUP(B110,Tot_res!C:V,6,FALSE)</f>
        <v>-648098.00129000004</v>
      </c>
      <c r="H110" s="179">
        <f>VLOOKUP(B110,Tot_res!C:V,7,FALSE)</f>
        <v>-43321.382510000003</v>
      </c>
      <c r="I110" s="179">
        <f>VLOOKUP(B110,Tot_res!C:V,8,FALSE)</f>
        <v>0</v>
      </c>
      <c r="J110" s="179">
        <f>VLOOKUP(B110,Tot_res!C:V,9,FALSE)</f>
        <v>-31439.748800000001</v>
      </c>
      <c r="K110" s="179">
        <f>VLOOKUP(B110,Tot_res!C:V,10,FALSE)</f>
        <v>0</v>
      </c>
      <c r="L110" s="179">
        <f>VLOOKUP(B110,Tot_res!C:V,11,FALSE)</f>
        <v>-158236.41435000001</v>
      </c>
      <c r="M110" s="179">
        <f>VLOOKUP(B110,Tot_res!C:V,12,FALSE)</f>
        <v>-1368869.6916999999</v>
      </c>
      <c r="N110" s="179">
        <f>VLOOKUP(B110,Tot_res!C:V,13,FALSE)</f>
        <v>-12331.924580000001</v>
      </c>
      <c r="O110" s="179">
        <f>VLOOKUP(B110,Tot_res!C:V,14,FALSE)</f>
        <v>-48286.379809999999</v>
      </c>
      <c r="P110" s="179">
        <f>VLOOKUP(B110,Tot_res!C:V,15,FALSE)</f>
        <v>-752003.21828999999</v>
      </c>
      <c r="Q110" s="179">
        <f>VLOOKUP(B110,Tot_res!C:V,16,FALSE)</f>
        <v>-156267.60900999999</v>
      </c>
      <c r="R110" s="179">
        <f>VLOOKUP(B110,Tot_res!C:V,17,FALSE)</f>
        <v>0</v>
      </c>
      <c r="S110" s="179">
        <f>VLOOKUP(B110,Tot_res!C:V,18,FALSE)</f>
        <v>0</v>
      </c>
      <c r="T110" s="179">
        <f>VLOOKUP(B110,Tot_res!C:V,19,FALSE)</f>
        <v>-18800.53325</v>
      </c>
      <c r="U110" s="179">
        <f>VLOOKUP(B110,Tot_res!C:V,20,FALSE)</f>
        <v>-1471.5</v>
      </c>
      <c r="V110" s="122">
        <f t="shared" si="19"/>
        <v>-3368357.7395299994</v>
      </c>
      <c r="W110" s="103"/>
    </row>
    <row r="111" spans="1:28" ht="13.15">
      <c r="A111" s="355"/>
      <c r="B111" s="115" t="s">
        <v>209</v>
      </c>
      <c r="C111" s="333" t="str">
        <f>VLOOKUP(B111,Tot_res!C:D,2,FALSE)</f>
        <v>Otros Flujos de financiación regional, en parte extrapresupuestarios</v>
      </c>
      <c r="D111" s="179">
        <f>VLOOKUP(B111,Tot_res!C:V,3,FALSE)</f>
        <v>-582113.03480000014</v>
      </c>
      <c r="E111" s="179">
        <f>VLOOKUP(B111,Tot_res!C:V,4,FALSE)</f>
        <v>-86441.306979999994</v>
      </c>
      <c r="F111" s="179">
        <f>VLOOKUP(B111,Tot_res!C:V,5,FALSE)</f>
        <v>-72655.707800000004</v>
      </c>
      <c r="G111" s="179">
        <f>VLOOKUP(B111,Tot_res!C:V,6,FALSE)</f>
        <v>-31859.837090000008</v>
      </c>
      <c r="H111" s="179">
        <f>VLOOKUP(B111,Tot_res!C:V,7,FALSE)</f>
        <v>-137635.58708999999</v>
      </c>
      <c r="I111" s="179">
        <f>VLOOKUP(B111,Tot_res!C:V,8,FALSE)</f>
        <v>-45457.352230000004</v>
      </c>
      <c r="J111" s="179">
        <f>VLOOKUP(B111,Tot_res!C:V,9,FALSE)</f>
        <v>-179439.14766000002</v>
      </c>
      <c r="K111" s="179">
        <f>VLOOKUP(B111,Tot_res!C:V,10,FALSE)</f>
        <v>-124761.68212000001</v>
      </c>
      <c r="L111" s="179">
        <f>VLOOKUP(B111,Tot_res!C:V,11,FALSE)</f>
        <v>-309601.71135000006</v>
      </c>
      <c r="M111" s="179">
        <f>VLOOKUP(B111,Tot_res!C:V,12,FALSE)</f>
        <v>-221760.08216000005</v>
      </c>
      <c r="N111" s="179">
        <f>VLOOKUP(B111,Tot_res!C:V,13,FALSE)</f>
        <v>-96626.432220000032</v>
      </c>
      <c r="O111" s="179">
        <f>VLOOKUP(B111,Tot_res!C:V,14,FALSE)</f>
        <v>-206127.89974000002</v>
      </c>
      <c r="P111" s="179">
        <f>VLOOKUP(B111,Tot_res!C:V,15,FALSE)</f>
        <v>-147654.79771999997</v>
      </c>
      <c r="Q111" s="179">
        <f>VLOOKUP(B111,Tot_res!C:V,16,FALSE)</f>
        <v>-72500.652150000009</v>
      </c>
      <c r="R111" s="179">
        <f>VLOOKUP(B111,Tot_res!C:V,17,FALSE)</f>
        <v>0</v>
      </c>
      <c r="S111" s="179">
        <f>VLOOKUP(B111,Tot_res!C:V,18,FALSE)</f>
        <v>0</v>
      </c>
      <c r="T111" s="179">
        <f>VLOOKUP(B111,Tot_res!C:V,19,FALSE)</f>
        <v>-24002.646000000008</v>
      </c>
      <c r="U111" s="179">
        <f>VLOOKUP(B111,Tot_res!C:V,20,FALSE)</f>
        <v>-1173.1500000000001</v>
      </c>
      <c r="V111" s="122">
        <f t="shared" si="19"/>
        <v>-2339811.0271100001</v>
      </c>
    </row>
    <row r="112" spans="1:28" ht="13.15">
      <c r="A112" s="355"/>
      <c r="B112" s="115" t="s">
        <v>959</v>
      </c>
      <c r="C112" s="333" t="str">
        <f>VLOOKUP(B112,Tot_res!C:D,2,FALSE)</f>
        <v>Participación CCAARC en IRPF, sin ejercicio de la capacidad normativa</v>
      </c>
      <c r="D112" s="179">
        <f>VLOOKUP(B112,Tot_res!C:V,3,FALSE)</f>
        <v>3954747.9186077281</v>
      </c>
      <c r="E112" s="179">
        <f>VLOOKUP(B112,Tot_res!C:V,4,FALSE)</f>
        <v>1054228.4961241609</v>
      </c>
      <c r="F112" s="179">
        <f>VLOOKUP(B112,Tot_res!C:V,5,FALSE)</f>
        <v>862754.99638206291</v>
      </c>
      <c r="G112" s="179">
        <f>VLOOKUP(B112,Tot_res!C:V,6,FALSE)</f>
        <v>729943.94822269562</v>
      </c>
      <c r="H112" s="179">
        <f>VLOOKUP(B112,Tot_res!C:V,7,FALSE)</f>
        <v>1052913.7398029987</v>
      </c>
      <c r="I112" s="179">
        <f>VLOOKUP(B112,Tot_res!C:V,8,FALSE)</f>
        <v>445974.08158700156</v>
      </c>
      <c r="J112" s="179">
        <f>VLOOKUP(B112,Tot_res!C:V,9,FALSE)</f>
        <v>1764852.4136185788</v>
      </c>
      <c r="K112" s="179">
        <f>VLOOKUP(B112,Tot_res!C:V,10,FALSE)</f>
        <v>1097745.4077927661</v>
      </c>
      <c r="L112" s="179">
        <f>VLOOKUP(B112,Tot_res!C:V,11,FALSE)</f>
        <v>7041184.4749751873</v>
      </c>
      <c r="M112" s="179">
        <f>VLOOKUP(B112,Tot_res!C:V,12,FALSE)</f>
        <v>2838290.2392096873</v>
      </c>
      <c r="N112" s="179">
        <f>VLOOKUP(B112,Tot_res!C:V,13,FALSE)</f>
        <v>495288.37695874245</v>
      </c>
      <c r="O112" s="179">
        <f>VLOOKUP(B112,Tot_res!C:V,14,FALSE)</f>
        <v>1780554.6609047651</v>
      </c>
      <c r="P112" s="179">
        <f>VLOOKUP(B112,Tot_res!C:V,15,FALSE)</f>
        <v>8187298.727130346</v>
      </c>
      <c r="Q112" s="179">
        <f>VLOOKUP(B112,Tot_res!C:V,16,FALSE)</f>
        <v>724858.4639823063</v>
      </c>
      <c r="R112" s="179">
        <f>VLOOKUP(B112,Tot_res!C:V,17,FALSE)</f>
        <v>0</v>
      </c>
      <c r="S112" s="179">
        <f>VLOOKUP(B112,Tot_res!C:V,18,FALSE)</f>
        <v>0</v>
      </c>
      <c r="T112" s="179">
        <f>VLOOKUP(B112,Tot_res!C:V,19,FALSE)</f>
        <v>214092.24076431053</v>
      </c>
      <c r="U112" s="179">
        <f>VLOOKUP(B112,Tot_res!C:V,20,FALSE)</f>
        <v>0</v>
      </c>
      <c r="V112" s="122">
        <f t="shared" si="19"/>
        <v>32244728.186063338</v>
      </c>
    </row>
    <row r="113" spans="1:28" ht="13.15">
      <c r="A113" s="355"/>
      <c r="B113" s="115" t="s">
        <v>210</v>
      </c>
      <c r="C113" s="333" t="str">
        <f>VLOOKUP(B113,Tot_res!C:D,2,FALSE)</f>
        <v>Participación CCAARC en el IVA</v>
      </c>
      <c r="D113" s="179">
        <f>VLOOKUP(B113,Tot_res!C:V,3,FALSE)</f>
        <v>4891568.5699999994</v>
      </c>
      <c r="E113" s="179">
        <f>VLOOKUP(B113,Tot_res!C:V,4,FALSE)</f>
        <v>949686.11</v>
      </c>
      <c r="F113" s="179">
        <f>VLOOKUP(B113,Tot_res!C:V,5,FALSE)</f>
        <v>731849.59000000008</v>
      </c>
      <c r="G113" s="179">
        <f>VLOOKUP(B113,Tot_res!C:V,6,FALSE)</f>
        <v>1053131.0099999998</v>
      </c>
      <c r="H113" s="179">
        <f>VLOOKUP(B113,Tot_res!C:V,7,FALSE)</f>
        <v>0</v>
      </c>
      <c r="I113" s="179">
        <f>VLOOKUP(B113,Tot_res!C:V,8,FALSE)</f>
        <v>407756.53</v>
      </c>
      <c r="J113" s="179">
        <f>VLOOKUP(B113,Tot_res!C:V,9,FALSE)</f>
        <v>1711210.4</v>
      </c>
      <c r="K113" s="179">
        <f>VLOOKUP(B113,Tot_res!C:V,10,FALSE)</f>
        <v>1262913.6099999999</v>
      </c>
      <c r="L113" s="179">
        <f>VLOOKUP(B113,Tot_res!C:V,11,FALSE)</f>
        <v>5378340.5100000007</v>
      </c>
      <c r="M113" s="179">
        <f>VLOOKUP(B113,Tot_res!C:V,12,FALSE)</f>
        <v>3170948.52</v>
      </c>
      <c r="N113" s="179">
        <f>VLOOKUP(B113,Tot_res!C:V,13,FALSE)</f>
        <v>625107.75</v>
      </c>
      <c r="O113" s="179">
        <f>VLOOKUP(B113,Tot_res!C:V,14,FALSE)</f>
        <v>1805773.9400000002</v>
      </c>
      <c r="P113" s="179">
        <f>VLOOKUP(B113,Tot_res!C:V,15,FALSE)</f>
        <v>4404088.1800000006</v>
      </c>
      <c r="Q113" s="179">
        <f>VLOOKUP(B113,Tot_res!C:V,16,FALSE)</f>
        <v>842713.60000000009</v>
      </c>
      <c r="R113" s="179">
        <f>VLOOKUP(B113,Tot_res!C:V,17,FALSE)</f>
        <v>0</v>
      </c>
      <c r="S113" s="179">
        <f>VLOOKUP(B113,Tot_res!C:V,18,FALSE)</f>
        <v>0</v>
      </c>
      <c r="T113" s="179">
        <f>VLOOKUP(B113,Tot_res!C:V,19,FALSE)</f>
        <v>211399.16999999998</v>
      </c>
      <c r="U113" s="179">
        <f>VLOOKUP(B113,Tot_res!C:V,20,FALSE)</f>
        <v>0</v>
      </c>
      <c r="V113" s="122">
        <f t="shared" si="19"/>
        <v>27446487.490000002</v>
      </c>
    </row>
    <row r="114" spans="1:28" ht="13.15">
      <c r="A114" s="355"/>
      <c r="B114" s="115" t="s">
        <v>1117</v>
      </c>
      <c r="C114" s="333" t="str">
        <f>VLOOKUP(B114,Tot_res!C:D,2,FALSE)</f>
        <v>Participación de las CCAARC en los impuestos especiales (excluyendo electricidad), sin ejercicio de la capacidad normativa en el IH</v>
      </c>
      <c r="D114" s="179">
        <f>VLOOKUP(B114,Tot_res!C:V,3,FALSE)</f>
        <v>1690775.43</v>
      </c>
      <c r="E114" s="179">
        <f>VLOOKUP(B114,Tot_res!C:V,4,FALSE)</f>
        <v>391845.92000000004</v>
      </c>
      <c r="F114" s="179">
        <f>VLOOKUP(B114,Tot_res!C:V,5,FALSE)</f>
        <v>246070.53</v>
      </c>
      <c r="G114" s="179">
        <f>VLOOKUP(B114,Tot_res!C:V,6,FALSE)</f>
        <v>309722.73</v>
      </c>
      <c r="H114" s="179">
        <f>VLOOKUP(B114,Tot_res!C:V,7,FALSE)</f>
        <v>27537.699999999997</v>
      </c>
      <c r="I114" s="179">
        <f>VLOOKUP(B114,Tot_res!C:V,8,FALSE)</f>
        <v>162471.95000000001</v>
      </c>
      <c r="J114" s="179">
        <f>VLOOKUP(B114,Tot_res!C:V,9,FALSE)</f>
        <v>818390.1399999999</v>
      </c>
      <c r="K114" s="179">
        <f>VLOOKUP(B114,Tot_res!C:V,10,FALSE)</f>
        <v>591804.86</v>
      </c>
      <c r="L114" s="179">
        <f>VLOOKUP(B114,Tot_res!C:V,11,FALSE)</f>
        <v>1895393.3000000003</v>
      </c>
      <c r="M114" s="179">
        <f>VLOOKUP(B114,Tot_res!C:V,12,FALSE)</f>
        <v>1157295.1199999999</v>
      </c>
      <c r="N114" s="179">
        <f>VLOOKUP(B114,Tot_res!C:V,13,FALSE)</f>
        <v>298434.57</v>
      </c>
      <c r="O114" s="179">
        <f>VLOOKUP(B114,Tot_res!C:V,14,FALSE)</f>
        <v>673854.61</v>
      </c>
      <c r="P114" s="179">
        <f>VLOOKUP(B114,Tot_res!C:V,15,FALSE)</f>
        <v>1250100.26</v>
      </c>
      <c r="Q114" s="179">
        <f>VLOOKUP(B114,Tot_res!C:V,16,FALSE)</f>
        <v>394162.62</v>
      </c>
      <c r="R114" s="179">
        <f>VLOOKUP(B114,Tot_res!C:V,17,FALSE)</f>
        <v>0</v>
      </c>
      <c r="S114" s="179">
        <f>VLOOKUP(B114,Tot_res!C:V,18,FALSE)</f>
        <v>0</v>
      </c>
      <c r="T114" s="179">
        <f>VLOOKUP(B114,Tot_res!C:V,19,FALSE)</f>
        <v>77262.11</v>
      </c>
      <c r="U114" s="179">
        <f>VLOOKUP(B114,Tot_res!C:V,20,FALSE)</f>
        <v>0</v>
      </c>
      <c r="V114" s="122">
        <f t="shared" si="19"/>
        <v>9985121.8499999996</v>
      </c>
    </row>
    <row r="115" spans="1:28" ht="13.15">
      <c r="A115" s="355"/>
      <c r="B115" s="115" t="s">
        <v>211</v>
      </c>
      <c r="C115" s="333" t="str">
        <f>VLOOKUP(B115,Tot_res!C:D,2,FALSE)</f>
        <v>Participación de las CCAARC en el impuesto sobre la electricidad</v>
      </c>
      <c r="D115" s="179">
        <f>VLOOKUP(B115,Tot_res!C:V,3,FALSE)</f>
        <v>221872.86</v>
      </c>
      <c r="E115" s="179">
        <f>VLOOKUP(B115,Tot_res!C:V,4,FALSE)</f>
        <v>67196.13</v>
      </c>
      <c r="F115" s="179">
        <f>VLOOKUP(B115,Tot_res!C:V,5,FALSE)</f>
        <v>62535</v>
      </c>
      <c r="G115" s="179">
        <f>VLOOKUP(B115,Tot_res!C:V,6,FALSE)</f>
        <v>33230.730000000003</v>
      </c>
      <c r="H115" s="179">
        <f>VLOOKUP(B115,Tot_res!C:V,7,FALSE)</f>
        <v>46976.850000000006</v>
      </c>
      <c r="I115" s="179">
        <f>VLOOKUP(B115,Tot_res!C:V,8,FALSE)</f>
        <v>26888.78</v>
      </c>
      <c r="J115" s="179">
        <f>VLOOKUP(B115,Tot_res!C:V,9,FALSE)</f>
        <v>80256.17</v>
      </c>
      <c r="K115" s="179">
        <f>VLOOKUP(B115,Tot_res!C:V,10,FALSE)</f>
        <v>72424.62</v>
      </c>
      <c r="L115" s="179">
        <f>VLOOKUP(B115,Tot_res!C:V,11,FALSE)</f>
        <v>274333.94</v>
      </c>
      <c r="M115" s="179">
        <f>VLOOKUP(B115,Tot_res!C:V,12,FALSE)</f>
        <v>151176.03999999998</v>
      </c>
      <c r="N115" s="179">
        <f>VLOOKUP(B115,Tot_res!C:V,13,FALSE)</f>
        <v>30515.480000000003</v>
      </c>
      <c r="O115" s="179">
        <f>VLOOKUP(B115,Tot_res!C:V,14,FALSE)</f>
        <v>114159.1</v>
      </c>
      <c r="P115" s="179">
        <f>VLOOKUP(B115,Tot_res!C:V,15,FALSE)</f>
        <v>182029.69</v>
      </c>
      <c r="Q115" s="179">
        <f>VLOOKUP(B115,Tot_res!C:V,16,FALSE)</f>
        <v>46088.090000000004</v>
      </c>
      <c r="R115" s="179">
        <f>VLOOKUP(B115,Tot_res!C:V,17,FALSE)</f>
        <v>0</v>
      </c>
      <c r="S115" s="179">
        <f>VLOOKUP(B115,Tot_res!C:V,18,FALSE)</f>
        <v>0</v>
      </c>
      <c r="T115" s="179">
        <f>VLOOKUP(B115,Tot_res!C:V,19,FALSE)</f>
        <v>9865.6899999999987</v>
      </c>
      <c r="U115" s="179">
        <f>VLOOKUP(B115,Tot_res!C:V,20,FALSE)</f>
        <v>0</v>
      </c>
      <c r="V115" s="122">
        <f t="shared" si="19"/>
        <v>1419549.1700000002</v>
      </c>
    </row>
    <row r="116" spans="1:28" ht="13.15">
      <c r="A116" s="355"/>
      <c r="B116" s="115" t="s">
        <v>960</v>
      </c>
      <c r="C116" s="333" t="str">
        <f>VLOOKUP(B116,Tot_res!C:D,2,FALSE)</f>
        <v>Sucesiones y donaciones, ingresos homogeneizados de las CCAARC</v>
      </c>
      <c r="D116" s="179">
        <f>VLOOKUP(B116,Tot_res!C:V,3,FALSE)</f>
        <v>242562.77639713924</v>
      </c>
      <c r="E116" s="179">
        <f>VLOOKUP(B116,Tot_res!C:V,4,FALSE)</f>
        <v>94234.614821306153</v>
      </c>
      <c r="F116" s="179">
        <f>VLOOKUP(B116,Tot_res!C:V,5,FALSE)</f>
        <v>74177.864198695301</v>
      </c>
      <c r="G116" s="179">
        <f>VLOOKUP(B116,Tot_res!C:V,6,FALSE)</f>
        <v>43459.175508691231</v>
      </c>
      <c r="H116" s="179">
        <f>VLOOKUP(B116,Tot_res!C:V,7,FALSE)</f>
        <v>55067.707755521369</v>
      </c>
      <c r="I116" s="179">
        <f>VLOOKUP(B116,Tot_res!C:V,8,FALSE)</f>
        <v>43478.577137183376</v>
      </c>
      <c r="J116" s="179">
        <f>VLOOKUP(B116,Tot_res!C:V,9,FALSE)</f>
        <v>158565.85107955357</v>
      </c>
      <c r="K116" s="179">
        <f>VLOOKUP(B116,Tot_res!C:V,10,FALSE)</f>
        <v>70147.287932866762</v>
      </c>
      <c r="L116" s="179">
        <f>VLOOKUP(B116,Tot_res!C:V,11,FALSE)</f>
        <v>429867.95880526456</v>
      </c>
      <c r="M116" s="179">
        <f>VLOOKUP(B116,Tot_res!C:V,12,FALSE)</f>
        <v>224377.6883169169</v>
      </c>
      <c r="N116" s="179">
        <f>VLOOKUP(B116,Tot_res!C:V,13,FALSE)</f>
        <v>37473.062839338178</v>
      </c>
      <c r="O116" s="179">
        <f>VLOOKUP(B116,Tot_res!C:V,14,FALSE)</f>
        <v>176818.56984752612</v>
      </c>
      <c r="P116" s="179">
        <f>VLOOKUP(B116,Tot_res!C:V,15,FALSE)</f>
        <v>410132.13203351095</v>
      </c>
      <c r="Q116" s="179">
        <f>VLOOKUP(B116,Tot_res!C:V,16,FALSE)</f>
        <v>41866.064645224302</v>
      </c>
      <c r="R116" s="179">
        <f>VLOOKUP(B116,Tot_res!C:V,17,FALSE)</f>
        <v>0</v>
      </c>
      <c r="S116" s="179">
        <f>VLOOKUP(B116,Tot_res!C:V,18,FALSE)</f>
        <v>0</v>
      </c>
      <c r="T116" s="179">
        <f>VLOOKUP(B116,Tot_res!C:V,19,FALSE)</f>
        <v>20610.668681262196</v>
      </c>
      <c r="U116" s="179">
        <f>VLOOKUP(B116,Tot_res!C:V,20,FALSE)</f>
        <v>0</v>
      </c>
      <c r="V116" s="122">
        <f t="shared" si="19"/>
        <v>2122839.9999999995</v>
      </c>
    </row>
    <row r="117" spans="1:28" ht="13.15">
      <c r="A117" s="355"/>
      <c r="B117" s="115" t="s">
        <v>961</v>
      </c>
      <c r="C117" s="333" t="str">
        <f>VLOOKUP(B117,Tot_res!C:D,2,FALSE)</f>
        <v>ITP y AJD, ingresos homogeneizados de las CCAARC</v>
      </c>
      <c r="D117" s="179">
        <f>VLOOKUP(B117,Tot_res!C:V,3,FALSE)</f>
        <v>956711.50342054211</v>
      </c>
      <c r="E117" s="179">
        <f>VLOOKUP(B117,Tot_res!C:V,4,FALSE)</f>
        <v>120553</v>
      </c>
      <c r="F117" s="179">
        <f>VLOOKUP(B117,Tot_res!C:V,5,FALSE)</f>
        <v>71988.421281806615</v>
      </c>
      <c r="G117" s="179">
        <f>VLOOKUP(B117,Tot_res!C:V,6,FALSE)</f>
        <v>266621.48812987917</v>
      </c>
      <c r="H117" s="179">
        <f>VLOOKUP(B117,Tot_res!C:V,7,FALSE)</f>
        <v>214413.9914671627</v>
      </c>
      <c r="I117" s="179">
        <f>VLOOKUP(B117,Tot_res!C:V,8,FALSE)</f>
        <v>63973.511201081696</v>
      </c>
      <c r="J117" s="179">
        <f>VLOOKUP(B117,Tot_res!C:V,9,FALSE)</f>
        <v>202861.11324780167</v>
      </c>
      <c r="K117" s="179">
        <f>VLOOKUP(B117,Tot_res!C:V,10,FALSE)</f>
        <v>232405.71185554849</v>
      </c>
      <c r="L117" s="179">
        <f>VLOOKUP(B117,Tot_res!C:V,11,FALSE)</f>
        <v>914897.30259134155</v>
      </c>
      <c r="M117" s="179">
        <f>VLOOKUP(B117,Tot_res!C:V,12,FALSE)</f>
        <v>633786.3311227893</v>
      </c>
      <c r="N117" s="179">
        <f>VLOOKUP(B117,Tot_res!C:V,13,FALSE)</f>
        <v>68324.617993990643</v>
      </c>
      <c r="O117" s="179">
        <f>VLOOKUP(B117,Tot_res!C:V,14,FALSE)</f>
        <v>175885.29354110206</v>
      </c>
      <c r="P117" s="179">
        <f>VLOOKUP(B117,Tot_res!C:V,15,FALSE)</f>
        <v>789627</v>
      </c>
      <c r="Q117" s="179">
        <f>VLOOKUP(B117,Tot_res!C:V,16,FALSE)</f>
        <v>153418.50658475194</v>
      </c>
      <c r="R117" s="179">
        <f>VLOOKUP(B117,Tot_res!C:V,17,FALSE)</f>
        <v>0</v>
      </c>
      <c r="S117" s="179">
        <f>VLOOKUP(B117,Tot_res!C:V,18,FALSE)</f>
        <v>0</v>
      </c>
      <c r="T117" s="179">
        <f>VLOOKUP(B117,Tot_res!C:V,19,FALSE)</f>
        <v>32748.000000000004</v>
      </c>
      <c r="U117" s="179">
        <f>VLOOKUP(B117,Tot_res!C:V,20,FALSE)</f>
        <v>0</v>
      </c>
      <c r="V117" s="122">
        <f t="shared" si="19"/>
        <v>4898215.7924377983</v>
      </c>
    </row>
    <row r="118" spans="1:28" ht="13.15">
      <c r="A118" s="355"/>
      <c r="B118" s="115" t="s">
        <v>962</v>
      </c>
      <c r="C118" s="333" t="str">
        <f>VLOOKUP(B118,Tot_res!C:D,2,FALSE)</f>
        <v>Tasas sobre el juego, ingresos homogeneizados de las CCAARC</v>
      </c>
      <c r="D118" s="179">
        <f>VLOOKUP(B118,Tot_res!C:V,3,FALSE)</f>
        <v>155022.90241631889</v>
      </c>
      <c r="E118" s="179">
        <f>VLOOKUP(B118,Tot_res!C:V,4,FALSE)</f>
        <v>29381.469122027782</v>
      </c>
      <c r="F118" s="179">
        <f>VLOOKUP(B118,Tot_res!C:V,5,FALSE)</f>
        <v>21332.277764663304</v>
      </c>
      <c r="G118" s="179">
        <f>VLOOKUP(B118,Tot_res!C:V,6,FALSE)</f>
        <v>38356.372018879047</v>
      </c>
      <c r="H118" s="179">
        <f>VLOOKUP(B118,Tot_res!C:V,7,FALSE)</f>
        <v>39140.610922389205</v>
      </c>
      <c r="I118" s="179">
        <f>VLOOKUP(B118,Tot_res!C:V,8,FALSE)</f>
        <v>14134.759697854335</v>
      </c>
      <c r="J118" s="179">
        <f>VLOOKUP(B118,Tot_res!C:V,9,FALSE)</f>
        <v>62385.134783131805</v>
      </c>
      <c r="K118" s="179">
        <f>VLOOKUP(B118,Tot_res!C:V,10,FALSE)</f>
        <v>43520.75729410239</v>
      </c>
      <c r="L118" s="179">
        <f>VLOOKUP(B118,Tot_res!C:V,11,FALSE)</f>
        <v>147374.27572365417</v>
      </c>
      <c r="M118" s="179">
        <f>VLOOKUP(B118,Tot_res!C:V,12,FALSE)</f>
        <v>143938.98186442236</v>
      </c>
      <c r="N118" s="179">
        <f>VLOOKUP(B118,Tot_res!C:V,13,FALSE)</f>
        <v>18427.152087497714</v>
      </c>
      <c r="O118" s="179">
        <f>VLOOKUP(B118,Tot_res!C:V,14,FALSE)</f>
        <v>50265.161917398684</v>
      </c>
      <c r="P118" s="179">
        <f>VLOOKUP(B118,Tot_res!C:V,15,FALSE)</f>
        <v>248107.83445516715</v>
      </c>
      <c r="Q118" s="179">
        <f>VLOOKUP(B118,Tot_res!C:V,16,FALSE)</f>
        <v>22651.03348717195</v>
      </c>
      <c r="R118" s="179">
        <f>VLOOKUP(B118,Tot_res!C:V,17,FALSE)</f>
        <v>0</v>
      </c>
      <c r="S118" s="179">
        <f>VLOOKUP(B118,Tot_res!C:V,18,FALSE)</f>
        <v>0</v>
      </c>
      <c r="T118" s="179">
        <f>VLOOKUP(B118,Tot_res!C:V,19,FALSE)</f>
        <v>5060.2764453210857</v>
      </c>
      <c r="U118" s="179">
        <f>VLOOKUP(B118,Tot_res!C:V,20,FALSE)</f>
        <v>0</v>
      </c>
      <c r="V118" s="122">
        <f t="shared" si="19"/>
        <v>1039098.9999999999</v>
      </c>
    </row>
    <row r="119" spans="1:28" ht="13.15">
      <c r="A119" s="355"/>
      <c r="B119" s="115" t="s">
        <v>963</v>
      </c>
      <c r="C119" s="333" t="str">
        <f>VLOOKUP(B119,Tot_res!C:D,2,FALSE)</f>
        <v>Impuesto sobre la venta minorista de hidrocarburos (IVMH),  sin ejercicio capacidad normativa</v>
      </c>
      <c r="D119" s="179">
        <f>VLOOKUP(B119,Tot_res!C:V,3,FALSE)</f>
        <v>30560.05</v>
      </c>
      <c r="E119" s="179">
        <f>VLOOKUP(B119,Tot_res!C:V,4,FALSE)</f>
        <v>8561.6299999999992</v>
      </c>
      <c r="F119" s="179">
        <f>VLOOKUP(B119,Tot_res!C:V,5,FALSE)</f>
        <v>4477.6099999999997</v>
      </c>
      <c r="G119" s="179">
        <f>VLOOKUP(B119,Tot_res!C:V,6,FALSE)</f>
        <v>3841.94</v>
      </c>
      <c r="H119" s="179">
        <f>VLOOKUP(B119,Tot_res!C:V,7,FALSE)</f>
        <v>0</v>
      </c>
      <c r="I119" s="179">
        <f>VLOOKUP(B119,Tot_res!C:V,8,FALSE)</f>
        <v>2836.05</v>
      </c>
      <c r="J119" s="179">
        <f>VLOOKUP(B119,Tot_res!C:V,9,FALSE)</f>
        <v>14987.65</v>
      </c>
      <c r="K119" s="179">
        <f>VLOOKUP(B119,Tot_res!C:V,10,FALSE)</f>
        <v>11700.11</v>
      </c>
      <c r="L119" s="179">
        <f>VLOOKUP(B119,Tot_res!C:V,11,FALSE)</f>
        <v>31194.77</v>
      </c>
      <c r="M119" s="179">
        <f>VLOOKUP(B119,Tot_res!C:V,12,FALSE)</f>
        <v>19548.7</v>
      </c>
      <c r="N119" s="179">
        <f>VLOOKUP(B119,Tot_res!C:V,13,FALSE)</f>
        <v>5533.79</v>
      </c>
      <c r="O119" s="179">
        <f>VLOOKUP(B119,Tot_res!C:V,14,FALSE)</f>
        <v>13867.98</v>
      </c>
      <c r="P119" s="179">
        <f>VLOOKUP(B119,Tot_res!C:V,15,FALSE)</f>
        <v>23186.27</v>
      </c>
      <c r="Q119" s="179">
        <f>VLOOKUP(B119,Tot_res!C:V,16,FALSE)</f>
        <v>7401.44</v>
      </c>
      <c r="R119" s="179">
        <f>VLOOKUP(B119,Tot_res!C:V,17,FALSE)</f>
        <v>0</v>
      </c>
      <c r="S119" s="179">
        <f>VLOOKUP(B119,Tot_res!C:V,18,FALSE)</f>
        <v>0</v>
      </c>
      <c r="T119" s="179">
        <f>VLOOKUP(B119,Tot_res!C:V,19,FALSE)</f>
        <v>1651.02</v>
      </c>
      <c r="U119" s="179">
        <f>VLOOKUP(B119,Tot_res!C:V,20,FALSE)</f>
        <v>0</v>
      </c>
      <c r="V119" s="122">
        <f t="shared" si="19"/>
        <v>179349.01</v>
      </c>
    </row>
    <row r="120" spans="1:28" ht="13.15">
      <c r="A120" s="355"/>
      <c r="B120" s="115" t="s">
        <v>964</v>
      </c>
      <c r="C120" s="333" t="str">
        <f>VLOOKUP(B120,Tot_res!C:D,2,FALSE)</f>
        <v>Impuesto de matriculación, ingresos de las CCAARC sin ej cap normativa</v>
      </c>
      <c r="D120" s="179">
        <f>VLOOKUP(B120,Tot_res!C:V,3,FALSE)</f>
        <v>32093.69</v>
      </c>
      <c r="E120" s="179">
        <f>VLOOKUP(B120,Tot_res!C:V,4,FALSE)</f>
        <v>5691.63</v>
      </c>
      <c r="F120" s="179">
        <f>VLOOKUP(B120,Tot_res!C:V,5,FALSE)</f>
        <v>4733.8599999999997</v>
      </c>
      <c r="G120" s="179">
        <f>VLOOKUP(B120,Tot_res!C:V,6,FALSE)</f>
        <v>13396.61</v>
      </c>
      <c r="H120" s="179">
        <f>VLOOKUP(B120,Tot_res!C:V,7,FALSE)</f>
        <v>0</v>
      </c>
      <c r="I120" s="179">
        <f>VLOOKUP(B120,Tot_res!C:V,8,FALSE)</f>
        <v>3511.11</v>
      </c>
      <c r="J120" s="179">
        <f>VLOOKUP(B120,Tot_res!C:V,9,FALSE)</f>
        <v>10503.92</v>
      </c>
      <c r="K120" s="179">
        <f>VLOOKUP(B120,Tot_res!C:V,10,FALSE)</f>
        <v>7226.15</v>
      </c>
      <c r="L120" s="179">
        <f>VLOOKUP(B120,Tot_res!C:V,11,FALSE)</f>
        <v>49739</v>
      </c>
      <c r="M120" s="179">
        <f>VLOOKUP(B120,Tot_res!C:V,12,FALSE)</f>
        <v>31635.33</v>
      </c>
      <c r="N120" s="179">
        <f>VLOOKUP(B120,Tot_res!C:V,13,FALSE)</f>
        <v>3142.9</v>
      </c>
      <c r="O120" s="179">
        <f>VLOOKUP(B120,Tot_res!C:V,14,FALSE)</f>
        <v>11733.68</v>
      </c>
      <c r="P120" s="179">
        <f>VLOOKUP(B120,Tot_res!C:V,15,FALSE)</f>
        <v>113077.13</v>
      </c>
      <c r="Q120" s="179">
        <f>VLOOKUP(B120,Tot_res!C:V,16,FALSE)</f>
        <v>7016.59</v>
      </c>
      <c r="R120" s="179">
        <f>VLOOKUP(B120,Tot_res!C:V,17,FALSE)</f>
        <v>0</v>
      </c>
      <c r="S120" s="179">
        <f>VLOOKUP(B120,Tot_res!C:V,18,FALSE)</f>
        <v>0</v>
      </c>
      <c r="T120" s="179">
        <f>VLOOKUP(B120,Tot_res!C:V,19,FALSE)</f>
        <v>1791.18</v>
      </c>
      <c r="U120" s="179">
        <f>VLOOKUP(B120,Tot_res!C:V,20,FALSE)</f>
        <v>0</v>
      </c>
      <c r="V120" s="122">
        <f t="shared" si="19"/>
        <v>295292.78000000003</v>
      </c>
    </row>
    <row r="121" spans="1:28" s="103" customFormat="1" ht="13.15">
      <c r="A121" s="355"/>
      <c r="B121" s="115" t="s">
        <v>965</v>
      </c>
      <c r="C121" s="333" t="str">
        <f>VLOOKUP(B121,Tot_res!C:D,2,FALSE)</f>
        <v>Recursos REF de la comunidad autónoma de Canarias, neto de compensación por supresión del IGTE</v>
      </c>
      <c r="D121" s="179">
        <f>VLOOKUP(B121,Tot_res!C:V,3,FALSE)</f>
        <v>0</v>
      </c>
      <c r="E121" s="179">
        <f>VLOOKUP(B121,Tot_res!C:V,4,FALSE)</f>
        <v>0</v>
      </c>
      <c r="F121" s="179">
        <f>VLOOKUP(B121,Tot_res!C:V,5,FALSE)</f>
        <v>0</v>
      </c>
      <c r="G121" s="179">
        <f>VLOOKUP(B121,Tot_res!C:V,6,FALSE)</f>
        <v>0</v>
      </c>
      <c r="H121" s="179">
        <f>VLOOKUP(B121,Tot_res!C:V,7,FALSE)</f>
        <v>789652.12247839605</v>
      </c>
      <c r="I121" s="179">
        <f>VLOOKUP(B121,Tot_res!C:V,8,FALSE)</f>
        <v>0</v>
      </c>
      <c r="J121" s="179">
        <f>VLOOKUP(B121,Tot_res!C:V,9,FALSE)</f>
        <v>0</v>
      </c>
      <c r="K121" s="179">
        <f>VLOOKUP(B121,Tot_res!C:V,10,FALSE)</f>
        <v>0</v>
      </c>
      <c r="L121" s="179">
        <f>VLOOKUP(B121,Tot_res!C:V,11,FALSE)</f>
        <v>0</v>
      </c>
      <c r="M121" s="179">
        <f>VLOOKUP(B121,Tot_res!C:V,12,FALSE)</f>
        <v>0</v>
      </c>
      <c r="N121" s="179">
        <f>VLOOKUP(B121,Tot_res!C:V,13,FALSE)</f>
        <v>0</v>
      </c>
      <c r="O121" s="179">
        <f>VLOOKUP(B121,Tot_res!C:V,14,FALSE)</f>
        <v>0</v>
      </c>
      <c r="P121" s="179">
        <f>VLOOKUP(B121,Tot_res!C:V,15,FALSE)</f>
        <v>0</v>
      </c>
      <c r="Q121" s="179">
        <f>VLOOKUP(B121,Tot_res!C:V,16,FALSE)</f>
        <v>0</v>
      </c>
      <c r="R121" s="179">
        <f>VLOOKUP(B121,Tot_res!C:V,17,FALSE)</f>
        <v>0</v>
      </c>
      <c r="S121" s="179">
        <f>VLOOKUP(B121,Tot_res!C:V,18,FALSE)</f>
        <v>0</v>
      </c>
      <c r="T121" s="179">
        <f>VLOOKUP(B121,Tot_res!C:V,19,FALSE)</f>
        <v>0</v>
      </c>
      <c r="U121" s="179">
        <f>VLOOKUP(B121,Tot_res!C:V,20,FALSE)</f>
        <v>0</v>
      </c>
      <c r="V121" s="122">
        <f t="shared" si="19"/>
        <v>789652.12247839605</v>
      </c>
      <c r="W121" s="102"/>
      <c r="X121" s="102"/>
      <c r="Y121" s="102"/>
      <c r="Z121" s="102"/>
      <c r="AA121" s="102"/>
      <c r="AB121" s="102"/>
    </row>
    <row r="122" spans="1:28" ht="13.15">
      <c r="A122" s="356"/>
      <c r="B122" s="115"/>
      <c r="C122" s="138"/>
      <c r="D122" s="105"/>
      <c r="E122" s="105"/>
      <c r="F122" s="105"/>
      <c r="G122" s="105"/>
      <c r="H122" s="105"/>
      <c r="I122" s="105"/>
      <c r="J122" s="105"/>
      <c r="K122" s="105"/>
      <c r="L122" s="105"/>
      <c r="M122" s="105"/>
      <c r="N122" s="105"/>
      <c r="O122" s="105"/>
      <c r="P122" s="105"/>
      <c r="Q122" s="105"/>
      <c r="R122" s="105"/>
      <c r="S122" s="105"/>
      <c r="T122" s="105"/>
      <c r="U122" s="105"/>
      <c r="V122" s="122"/>
      <c r="W122" s="103"/>
      <c r="X122" s="103"/>
      <c r="Y122" s="103"/>
      <c r="Z122" s="103"/>
      <c r="AA122" s="103"/>
      <c r="AB122" s="103"/>
    </row>
    <row r="123" spans="1:28" ht="13.15">
      <c r="A123" s="356"/>
      <c r="B123" s="137"/>
      <c r="C123" s="128" t="s">
        <v>36</v>
      </c>
      <c r="D123" s="114">
        <f t="shared" ref="D123:U123" si="20">D124</f>
        <v>-823193.40301782207</v>
      </c>
      <c r="E123" s="114">
        <f t="shared" si="20"/>
        <v>-86034.114578038309</v>
      </c>
      <c r="F123" s="114">
        <f t="shared" si="20"/>
        <v>-75090.968374594653</v>
      </c>
      <c r="G123" s="114">
        <f t="shared" si="20"/>
        <v>-56730.426568822302</v>
      </c>
      <c r="H123" s="114">
        <f t="shared" si="20"/>
        <v>-264515.84643763927</v>
      </c>
      <c r="I123" s="114">
        <f t="shared" si="20"/>
        <v>-127742.51454393653</v>
      </c>
      <c r="J123" s="114">
        <f t="shared" si="20"/>
        <v>-15625.400146903943</v>
      </c>
      <c r="K123" s="114">
        <f t="shared" si="20"/>
        <v>-11349.313267323847</v>
      </c>
      <c r="L123" s="114">
        <f t="shared" si="20"/>
        <v>-2188767.6148849409</v>
      </c>
      <c r="M123" s="114">
        <f t="shared" si="20"/>
        <v>-214446.64894153914</v>
      </c>
      <c r="N123" s="114">
        <f t="shared" si="20"/>
        <v>-7654.7165985817455</v>
      </c>
      <c r="O123" s="114">
        <f t="shared" si="20"/>
        <v>-225185.97191304123</v>
      </c>
      <c r="P123" s="114">
        <f t="shared" si="20"/>
        <v>-1004165.2725405359</v>
      </c>
      <c r="Q123" s="114">
        <f t="shared" si="20"/>
        <v>-18426.296435903441</v>
      </c>
      <c r="R123" s="114">
        <f t="shared" si="20"/>
        <v>0</v>
      </c>
      <c r="S123" s="114">
        <f t="shared" si="20"/>
        <v>0</v>
      </c>
      <c r="T123" s="114">
        <f t="shared" si="20"/>
        <v>-69422.50141654411</v>
      </c>
      <c r="U123" s="114">
        <f t="shared" si="20"/>
        <v>0</v>
      </c>
      <c r="V123" s="126">
        <f>V124</f>
        <v>-5188351.0096661681</v>
      </c>
    </row>
    <row r="124" spans="1:28" s="103" customFormat="1" ht="13.15">
      <c r="A124" s="355"/>
      <c r="B124" s="115" t="s">
        <v>966</v>
      </c>
      <c r="C124" s="333" t="str">
        <f>VLOOKUP(B124,Tot_res!C:D,2,FALSE)</f>
        <v>Financiación para competencias no homogéneas de las comunidades de régimen común (caja)</v>
      </c>
      <c r="D124" s="179">
        <f>VLOOKUP(B124,Tot_res!C:V,3,FALSE)</f>
        <v>-823193.40301782207</v>
      </c>
      <c r="E124" s="179">
        <f>VLOOKUP(B124,Tot_res!C:V,4,FALSE)</f>
        <v>-86034.114578038309</v>
      </c>
      <c r="F124" s="179">
        <f>VLOOKUP(B124,Tot_res!C:V,5,FALSE)</f>
        <v>-75090.968374594653</v>
      </c>
      <c r="G124" s="179">
        <f>VLOOKUP(B124,Tot_res!C:V,6,FALSE)</f>
        <v>-56730.426568822302</v>
      </c>
      <c r="H124" s="179">
        <f>VLOOKUP(B124,Tot_res!C:V,7,FALSE)</f>
        <v>-264515.84643763927</v>
      </c>
      <c r="I124" s="179">
        <f>VLOOKUP(B124,Tot_res!C:V,8,FALSE)</f>
        <v>-127742.51454393653</v>
      </c>
      <c r="J124" s="179">
        <f>VLOOKUP(B124,Tot_res!C:V,9,FALSE)</f>
        <v>-15625.400146903943</v>
      </c>
      <c r="K124" s="179">
        <f>VLOOKUP(B124,Tot_res!C:V,10,FALSE)</f>
        <v>-11349.313267323847</v>
      </c>
      <c r="L124" s="179">
        <f>VLOOKUP(B124,Tot_res!C:V,11,FALSE)</f>
        <v>-2188767.6148849409</v>
      </c>
      <c r="M124" s="179">
        <f>VLOOKUP(B124,Tot_res!C:V,12,FALSE)</f>
        <v>-214446.64894153914</v>
      </c>
      <c r="N124" s="179">
        <f>VLOOKUP(B124,Tot_res!C:V,13,FALSE)</f>
        <v>-7654.7165985817455</v>
      </c>
      <c r="O124" s="179">
        <f>VLOOKUP(B124,Tot_res!C:V,14,FALSE)</f>
        <v>-225185.97191304123</v>
      </c>
      <c r="P124" s="179">
        <f>VLOOKUP(B124,Tot_res!C:V,15,FALSE)</f>
        <v>-1004165.2725405359</v>
      </c>
      <c r="Q124" s="179">
        <f>VLOOKUP(B124,Tot_res!C:V,16,FALSE)</f>
        <v>-18426.296435903441</v>
      </c>
      <c r="R124" s="179">
        <f>VLOOKUP(B124,Tot_res!C:V,17,FALSE)</f>
        <v>0</v>
      </c>
      <c r="S124" s="179">
        <f>VLOOKUP(B124,Tot_res!C:V,18,FALSE)</f>
        <v>0</v>
      </c>
      <c r="T124" s="179">
        <f>VLOOKUP(B124,Tot_res!C:V,19,FALSE)</f>
        <v>-69422.50141654411</v>
      </c>
      <c r="U124" s="179">
        <f>VLOOKUP(B124,Tot_res!C:V,20,FALSE)</f>
        <v>0</v>
      </c>
      <c r="V124" s="122">
        <f>SUM(D124:U124)</f>
        <v>-5188351.0096661681</v>
      </c>
      <c r="W124" s="102"/>
      <c r="X124" s="102"/>
      <c r="Y124" s="102"/>
      <c r="Z124" s="102"/>
      <c r="AA124" s="102"/>
      <c r="AB124" s="102"/>
    </row>
    <row r="125" spans="1:28" ht="13.15">
      <c r="A125" s="356"/>
      <c r="B125" s="115"/>
      <c r="C125" s="129"/>
      <c r="D125" s="105"/>
      <c r="E125" s="105"/>
      <c r="F125" s="105"/>
      <c r="G125" s="105"/>
      <c r="H125" s="105"/>
      <c r="I125" s="105"/>
      <c r="J125" s="105"/>
      <c r="K125" s="105"/>
      <c r="L125" s="105"/>
      <c r="M125" s="105"/>
      <c r="N125" s="105"/>
      <c r="O125" s="105"/>
      <c r="P125" s="105"/>
      <c r="Q125" s="105"/>
      <c r="R125" s="105"/>
      <c r="S125" s="105"/>
      <c r="T125" s="105"/>
      <c r="U125" s="105"/>
      <c r="V125" s="122"/>
      <c r="W125" s="103"/>
      <c r="X125" s="103"/>
      <c r="Y125" s="103"/>
      <c r="Z125" s="103"/>
      <c r="AA125" s="103"/>
      <c r="AB125" s="103"/>
    </row>
    <row r="126" spans="1:28" ht="13.15">
      <c r="A126" s="356"/>
      <c r="B126" s="137"/>
      <c r="C126" s="128" t="s">
        <v>70</v>
      </c>
      <c r="D126" s="114">
        <f t="shared" ref="D126:V126" si="21">SUM(D127:D144)</f>
        <v>0</v>
      </c>
      <c r="E126" s="114">
        <f t="shared" si="21"/>
        <v>0</v>
      </c>
      <c r="F126" s="114">
        <f t="shared" si="21"/>
        <v>0</v>
      </c>
      <c r="G126" s="114">
        <f t="shared" si="21"/>
        <v>0</v>
      </c>
      <c r="H126" s="114">
        <f t="shared" si="21"/>
        <v>0</v>
      </c>
      <c r="I126" s="114">
        <f t="shared" si="21"/>
        <v>0</v>
      </c>
      <c r="J126" s="114">
        <f t="shared" si="21"/>
        <v>0</v>
      </c>
      <c r="K126" s="114">
        <f t="shared" si="21"/>
        <v>0</v>
      </c>
      <c r="L126" s="114">
        <f t="shared" si="21"/>
        <v>0</v>
      </c>
      <c r="M126" s="114">
        <f t="shared" si="21"/>
        <v>0</v>
      </c>
      <c r="N126" s="114">
        <f t="shared" si="21"/>
        <v>0</v>
      </c>
      <c r="O126" s="114">
        <f t="shared" si="21"/>
        <v>0</v>
      </c>
      <c r="P126" s="114">
        <f t="shared" si="21"/>
        <v>0</v>
      </c>
      <c r="Q126" s="114">
        <f t="shared" si="21"/>
        <v>0</v>
      </c>
      <c r="R126" s="114">
        <f t="shared" si="21"/>
        <v>0</v>
      </c>
      <c r="S126" s="114">
        <f t="shared" si="21"/>
        <v>0</v>
      </c>
      <c r="T126" s="114">
        <f t="shared" si="21"/>
        <v>0</v>
      </c>
      <c r="U126" s="114">
        <f t="shared" si="21"/>
        <v>622051.76151790493</v>
      </c>
      <c r="V126" s="139">
        <f t="shared" si="21"/>
        <v>622051.76151790493</v>
      </c>
    </row>
    <row r="127" spans="1:28" ht="13.15">
      <c r="A127" s="355"/>
      <c r="B127" s="115" t="s">
        <v>967</v>
      </c>
      <c r="C127" s="333" t="str">
        <f>VLOOKUP(B127,Tot_res!C:D,2,FALSE)</f>
        <v>Dirección y Servicios Generales de la Educación, gasto directo en Ceuta y Melilla</v>
      </c>
      <c r="D127" s="179">
        <f>VLOOKUP(B127,Tot_res!C:V,3,FALSE)</f>
        <v>0</v>
      </c>
      <c r="E127" s="179">
        <f>VLOOKUP(B127,Tot_res!C:V,4,FALSE)</f>
        <v>0</v>
      </c>
      <c r="F127" s="179">
        <f>VLOOKUP(B127,Tot_res!C:V,5,FALSE)</f>
        <v>0</v>
      </c>
      <c r="G127" s="179">
        <f>VLOOKUP(B127,Tot_res!C:V,6,FALSE)</f>
        <v>0</v>
      </c>
      <c r="H127" s="179">
        <f>VLOOKUP(B127,Tot_res!C:V,7,FALSE)</f>
        <v>0</v>
      </c>
      <c r="I127" s="179">
        <f>VLOOKUP(B127,Tot_res!C:V,8,FALSE)</f>
        <v>0</v>
      </c>
      <c r="J127" s="179">
        <f>VLOOKUP(B127,Tot_res!C:V,9,FALSE)</f>
        <v>0</v>
      </c>
      <c r="K127" s="179">
        <f>VLOOKUP(B127,Tot_res!C:V,10,FALSE)</f>
        <v>0</v>
      </c>
      <c r="L127" s="179">
        <f>VLOOKUP(B127,Tot_res!C:V,11,FALSE)</f>
        <v>0</v>
      </c>
      <c r="M127" s="179">
        <f>VLOOKUP(B127,Tot_res!C:V,12,FALSE)</f>
        <v>0</v>
      </c>
      <c r="N127" s="179">
        <f>VLOOKUP(B127,Tot_res!C:V,13,FALSE)</f>
        <v>0</v>
      </c>
      <c r="O127" s="179">
        <f>VLOOKUP(B127,Tot_res!C:V,14,FALSE)</f>
        <v>0</v>
      </c>
      <c r="P127" s="179">
        <f>VLOOKUP(B127,Tot_res!C:V,15,FALSE)</f>
        <v>0</v>
      </c>
      <c r="Q127" s="179">
        <f>VLOOKUP(B127,Tot_res!C:V,16,FALSE)</f>
        <v>0</v>
      </c>
      <c r="R127" s="179">
        <f>VLOOKUP(B127,Tot_res!C:V,17,FALSE)</f>
        <v>0</v>
      </c>
      <c r="S127" s="179">
        <f>VLOOKUP(B127,Tot_res!C:V,18,FALSE)</f>
        <v>0</v>
      </c>
      <c r="T127" s="179">
        <f>VLOOKUP(B127,Tot_res!C:V,19,FALSE)</f>
        <v>0</v>
      </c>
      <c r="U127" s="179">
        <f>VLOOKUP(B127,Tot_res!C:V,20,FALSE)</f>
        <v>5307.2398941645624</v>
      </c>
      <c r="V127" s="122">
        <f t="shared" ref="V127:V144" si="22">SUM(D127:U127)</f>
        <v>5307.2398941645624</v>
      </c>
    </row>
    <row r="128" spans="1:28" ht="13.15">
      <c r="A128" s="355"/>
      <c r="B128" s="115" t="s">
        <v>968</v>
      </c>
      <c r="C128" s="333" t="str">
        <f>VLOOKUP(B128,Tot_res!C:D,2,FALSE)</f>
        <v>Formación permanente del profesorado de Educación, gasto directo del Estado en Ceuta y Melilla</v>
      </c>
      <c r="D128" s="179">
        <f>VLOOKUP(B128,Tot_res!C:V,3,FALSE)</f>
        <v>0</v>
      </c>
      <c r="E128" s="179">
        <f>VLOOKUP(B128,Tot_res!C:V,4,FALSE)</f>
        <v>0</v>
      </c>
      <c r="F128" s="179">
        <f>VLOOKUP(B128,Tot_res!C:V,5,FALSE)</f>
        <v>0</v>
      </c>
      <c r="G128" s="179">
        <f>VLOOKUP(B128,Tot_res!C:V,6,FALSE)</f>
        <v>0</v>
      </c>
      <c r="H128" s="179">
        <f>VLOOKUP(B128,Tot_res!C:V,7,FALSE)</f>
        <v>0</v>
      </c>
      <c r="I128" s="179">
        <f>VLOOKUP(B128,Tot_res!C:V,8,FALSE)</f>
        <v>0</v>
      </c>
      <c r="J128" s="179">
        <f>VLOOKUP(B128,Tot_res!C:V,9,FALSE)</f>
        <v>0</v>
      </c>
      <c r="K128" s="179">
        <f>VLOOKUP(B128,Tot_res!C:V,10,FALSE)</f>
        <v>0</v>
      </c>
      <c r="L128" s="179">
        <f>VLOOKUP(B128,Tot_res!C:V,11,FALSE)</f>
        <v>0</v>
      </c>
      <c r="M128" s="179">
        <f>VLOOKUP(B128,Tot_res!C:V,12,FALSE)</f>
        <v>0</v>
      </c>
      <c r="N128" s="179">
        <f>VLOOKUP(B128,Tot_res!C:V,13,FALSE)</f>
        <v>0</v>
      </c>
      <c r="O128" s="179">
        <f>VLOOKUP(B128,Tot_res!C:V,14,FALSE)</f>
        <v>0</v>
      </c>
      <c r="P128" s="179">
        <f>VLOOKUP(B128,Tot_res!C:V,15,FALSE)</f>
        <v>0</v>
      </c>
      <c r="Q128" s="179">
        <f>VLOOKUP(B128,Tot_res!C:V,16,FALSE)</f>
        <v>0</v>
      </c>
      <c r="R128" s="179">
        <f>VLOOKUP(B128,Tot_res!C:V,17,FALSE)</f>
        <v>0</v>
      </c>
      <c r="S128" s="179">
        <f>VLOOKUP(B128,Tot_res!C:V,18,FALSE)</f>
        <v>0</v>
      </c>
      <c r="T128" s="179">
        <f>VLOOKUP(B128,Tot_res!C:V,19,FALSE)</f>
        <v>0</v>
      </c>
      <c r="U128" s="179">
        <f>VLOOKUP(B128,Tot_res!C:V,20,FALSE)</f>
        <v>426.24635999999998</v>
      </c>
      <c r="V128" s="122">
        <f t="shared" ref="V128" si="23">SUM(D128:U128)</f>
        <v>426.24635999999998</v>
      </c>
    </row>
    <row r="129" spans="1:28" ht="13.15">
      <c r="A129" s="355"/>
      <c r="B129" s="115" t="s">
        <v>969</v>
      </c>
      <c r="C129" s="333" t="str">
        <f>VLOOKUP(B129,Tot_res!C:D,2,FALSE)</f>
        <v xml:space="preserve">Educación infantil y primaria, gasto directo del Estado en Ceuta y Melilla  </v>
      </c>
      <c r="D129" s="179">
        <f>VLOOKUP(B129,Tot_res!C:V,3,FALSE)</f>
        <v>0</v>
      </c>
      <c r="E129" s="179">
        <f>VLOOKUP(B129,Tot_res!C:V,4,FALSE)</f>
        <v>0</v>
      </c>
      <c r="F129" s="179">
        <f>VLOOKUP(B129,Tot_res!C:V,5,FALSE)</f>
        <v>0</v>
      </c>
      <c r="G129" s="179">
        <f>VLOOKUP(B129,Tot_res!C:V,6,FALSE)</f>
        <v>0</v>
      </c>
      <c r="H129" s="179">
        <f>VLOOKUP(B129,Tot_res!C:V,7,FALSE)</f>
        <v>0</v>
      </c>
      <c r="I129" s="179">
        <f>VLOOKUP(B129,Tot_res!C:V,8,FALSE)</f>
        <v>0</v>
      </c>
      <c r="J129" s="179">
        <f>VLOOKUP(B129,Tot_res!C:V,9,FALSE)</f>
        <v>0</v>
      </c>
      <c r="K129" s="179">
        <f>VLOOKUP(B129,Tot_res!C:V,10,FALSE)</f>
        <v>0</v>
      </c>
      <c r="L129" s="179">
        <f>VLOOKUP(B129,Tot_res!C:V,11,FALSE)</f>
        <v>0</v>
      </c>
      <c r="M129" s="179">
        <f>VLOOKUP(B129,Tot_res!C:V,12,FALSE)</f>
        <v>0</v>
      </c>
      <c r="N129" s="179">
        <f>VLOOKUP(B129,Tot_res!C:V,13,FALSE)</f>
        <v>0</v>
      </c>
      <c r="O129" s="179">
        <f>VLOOKUP(B129,Tot_res!C:V,14,FALSE)</f>
        <v>0</v>
      </c>
      <c r="P129" s="179">
        <f>VLOOKUP(B129,Tot_res!C:V,15,FALSE)</f>
        <v>0</v>
      </c>
      <c r="Q129" s="179">
        <f>VLOOKUP(B129,Tot_res!C:V,16,FALSE)</f>
        <v>0</v>
      </c>
      <c r="R129" s="179">
        <f>VLOOKUP(B129,Tot_res!C:V,17,FALSE)</f>
        <v>0</v>
      </c>
      <c r="S129" s="179">
        <f>VLOOKUP(B129,Tot_res!C:V,18,FALSE)</f>
        <v>0</v>
      </c>
      <c r="T129" s="179">
        <f>VLOOKUP(B129,Tot_res!C:V,19,FALSE)</f>
        <v>0</v>
      </c>
      <c r="U129" s="179">
        <f>VLOOKUP(B129,Tot_res!C:V,20,FALSE)</f>
        <v>56633.151989999998</v>
      </c>
      <c r="V129" s="122">
        <f t="shared" si="22"/>
        <v>56633.151989999998</v>
      </c>
    </row>
    <row r="130" spans="1:28" ht="13.15">
      <c r="A130" s="355"/>
      <c r="B130" s="115" t="s">
        <v>970</v>
      </c>
      <c r="C130" s="333" t="str">
        <f>VLOOKUP(B130,Tot_res!C:D,2,FALSE)</f>
        <v>Educ. secundaria, formación profesional y EE.OO de Idiomas, gasto directo del Estado en Ceuta y Melilla</v>
      </c>
      <c r="D130" s="179">
        <f>VLOOKUP(B130,Tot_res!C:V,3,FALSE)</f>
        <v>0</v>
      </c>
      <c r="E130" s="179">
        <f>VLOOKUP(B130,Tot_res!C:V,4,FALSE)</f>
        <v>0</v>
      </c>
      <c r="F130" s="179">
        <f>VLOOKUP(B130,Tot_res!C:V,5,FALSE)</f>
        <v>0</v>
      </c>
      <c r="G130" s="179">
        <f>VLOOKUP(B130,Tot_res!C:V,6,FALSE)</f>
        <v>0</v>
      </c>
      <c r="H130" s="179">
        <f>VLOOKUP(B130,Tot_res!C:V,7,FALSE)</f>
        <v>0</v>
      </c>
      <c r="I130" s="179">
        <f>VLOOKUP(B130,Tot_res!C:V,8,FALSE)</f>
        <v>0</v>
      </c>
      <c r="J130" s="179">
        <f>VLOOKUP(B130,Tot_res!C:V,9,FALSE)</f>
        <v>0</v>
      </c>
      <c r="K130" s="179">
        <f>VLOOKUP(B130,Tot_res!C:V,10,FALSE)</f>
        <v>0</v>
      </c>
      <c r="L130" s="179">
        <f>VLOOKUP(B130,Tot_res!C:V,11,FALSE)</f>
        <v>0</v>
      </c>
      <c r="M130" s="179">
        <f>VLOOKUP(B130,Tot_res!C:V,12,FALSE)</f>
        <v>0</v>
      </c>
      <c r="N130" s="179">
        <f>VLOOKUP(B130,Tot_res!C:V,13,FALSE)</f>
        <v>0</v>
      </c>
      <c r="O130" s="179">
        <f>VLOOKUP(B130,Tot_res!C:V,14,FALSE)</f>
        <v>0</v>
      </c>
      <c r="P130" s="179">
        <f>VLOOKUP(B130,Tot_res!C:V,15,FALSE)</f>
        <v>0</v>
      </c>
      <c r="Q130" s="179">
        <f>VLOOKUP(B130,Tot_res!C:V,16,FALSE)</f>
        <v>0</v>
      </c>
      <c r="R130" s="179">
        <f>VLOOKUP(B130,Tot_res!C:V,17,FALSE)</f>
        <v>0</v>
      </c>
      <c r="S130" s="179">
        <f>VLOOKUP(B130,Tot_res!C:V,18,FALSE)</f>
        <v>0</v>
      </c>
      <c r="T130" s="179">
        <f>VLOOKUP(B130,Tot_res!C:V,19,FALSE)</f>
        <v>0</v>
      </c>
      <c r="U130" s="179">
        <f>VLOOKUP(B130,Tot_res!C:V,20,FALSE)</f>
        <v>67088.614350000003</v>
      </c>
      <c r="V130" s="122">
        <f t="shared" si="22"/>
        <v>67088.614350000003</v>
      </c>
    </row>
    <row r="131" spans="1:28" ht="13.15">
      <c r="A131" s="355"/>
      <c r="B131" s="115" t="s">
        <v>971</v>
      </c>
      <c r="C131" s="333" t="str">
        <f>VLOOKUP(B131,Tot_res!C:D,2,FALSE)</f>
        <v>Enseñanzas universitarias, gasto directo del Estado en Ceuta y Melilla</v>
      </c>
      <c r="D131" s="179">
        <f>VLOOKUP(B131,Tot_res!C:V,3,FALSE)</f>
        <v>0</v>
      </c>
      <c r="E131" s="179">
        <f>VLOOKUP(B131,Tot_res!C:V,4,FALSE)</f>
        <v>0</v>
      </c>
      <c r="F131" s="179">
        <f>VLOOKUP(B131,Tot_res!C:V,5,FALSE)</f>
        <v>0</v>
      </c>
      <c r="G131" s="179">
        <f>VLOOKUP(B131,Tot_res!C:V,6,FALSE)</f>
        <v>0</v>
      </c>
      <c r="H131" s="179">
        <f>VLOOKUP(B131,Tot_res!C:V,7,FALSE)</f>
        <v>0</v>
      </c>
      <c r="I131" s="179">
        <f>VLOOKUP(B131,Tot_res!C:V,8,FALSE)</f>
        <v>0</v>
      </c>
      <c r="J131" s="179">
        <f>VLOOKUP(B131,Tot_res!C:V,9,FALSE)</f>
        <v>0</v>
      </c>
      <c r="K131" s="179">
        <f>VLOOKUP(B131,Tot_res!C:V,10,FALSE)</f>
        <v>0</v>
      </c>
      <c r="L131" s="179">
        <f>VLOOKUP(B131,Tot_res!C:V,11,FALSE)</f>
        <v>0</v>
      </c>
      <c r="M131" s="179">
        <f>VLOOKUP(B131,Tot_res!C:V,12,FALSE)</f>
        <v>0</v>
      </c>
      <c r="N131" s="179">
        <f>VLOOKUP(B131,Tot_res!C:V,13,FALSE)</f>
        <v>0</v>
      </c>
      <c r="O131" s="179">
        <f>VLOOKUP(B131,Tot_res!C:V,14,FALSE)</f>
        <v>0</v>
      </c>
      <c r="P131" s="179">
        <f>VLOOKUP(B131,Tot_res!C:V,15,FALSE)</f>
        <v>0</v>
      </c>
      <c r="Q131" s="179">
        <f>VLOOKUP(B131,Tot_res!C:V,16,FALSE)</f>
        <v>0</v>
      </c>
      <c r="R131" s="179">
        <f>VLOOKUP(B131,Tot_res!C:V,17,FALSE)</f>
        <v>0</v>
      </c>
      <c r="S131" s="179">
        <f>VLOOKUP(B131,Tot_res!C:V,18,FALSE)</f>
        <v>0</v>
      </c>
      <c r="T131" s="179">
        <f>VLOOKUP(B131,Tot_res!C:V,19,FALSE)</f>
        <v>0</v>
      </c>
      <c r="U131" s="179">
        <f>VLOOKUP(B131,Tot_res!C:V,20,FALSE)</f>
        <v>8300</v>
      </c>
      <c r="V131" s="122">
        <f t="shared" si="22"/>
        <v>8300</v>
      </c>
    </row>
    <row r="132" spans="1:28" ht="13.15">
      <c r="A132" s="355"/>
      <c r="B132" s="115" t="s">
        <v>972</v>
      </c>
      <c r="C132" s="333" t="str">
        <f>VLOOKUP(B132,Tot_res!C:D,2,FALSE)</f>
        <v>Enseñanzas artísticas, gasto directo del Estado en Ceuta y Melilla</v>
      </c>
      <c r="D132" s="179">
        <f>VLOOKUP(B132,Tot_res!C:V,3,FALSE)</f>
        <v>0</v>
      </c>
      <c r="E132" s="179">
        <f>VLOOKUP(B132,Tot_res!C:V,4,FALSE)</f>
        <v>0</v>
      </c>
      <c r="F132" s="179">
        <f>VLOOKUP(B132,Tot_res!C:V,5,FALSE)</f>
        <v>0</v>
      </c>
      <c r="G132" s="179">
        <f>VLOOKUP(B132,Tot_res!C:V,6,FALSE)</f>
        <v>0</v>
      </c>
      <c r="H132" s="179">
        <f>VLOOKUP(B132,Tot_res!C:V,7,FALSE)</f>
        <v>0</v>
      </c>
      <c r="I132" s="179">
        <f>VLOOKUP(B132,Tot_res!C:V,8,FALSE)</f>
        <v>0</v>
      </c>
      <c r="J132" s="179">
        <f>VLOOKUP(B132,Tot_res!C:V,9,FALSE)</f>
        <v>0</v>
      </c>
      <c r="K132" s="179">
        <f>VLOOKUP(B132,Tot_res!C:V,10,FALSE)</f>
        <v>0</v>
      </c>
      <c r="L132" s="179">
        <f>VLOOKUP(B132,Tot_res!C:V,11,FALSE)</f>
        <v>0</v>
      </c>
      <c r="M132" s="179">
        <f>VLOOKUP(B132,Tot_res!C:V,12,FALSE)</f>
        <v>0</v>
      </c>
      <c r="N132" s="179">
        <f>VLOOKUP(B132,Tot_res!C:V,13,FALSE)</f>
        <v>0</v>
      </c>
      <c r="O132" s="179">
        <f>VLOOKUP(B132,Tot_res!C:V,14,FALSE)</f>
        <v>0</v>
      </c>
      <c r="P132" s="179">
        <f>VLOOKUP(B132,Tot_res!C:V,15,FALSE)</f>
        <v>0</v>
      </c>
      <c r="Q132" s="179">
        <f>VLOOKUP(B132,Tot_res!C:V,16,FALSE)</f>
        <v>0</v>
      </c>
      <c r="R132" s="179">
        <f>VLOOKUP(B132,Tot_res!C:V,17,FALSE)</f>
        <v>0</v>
      </c>
      <c r="S132" s="179">
        <f>VLOOKUP(B132,Tot_res!C:V,18,FALSE)</f>
        <v>0</v>
      </c>
      <c r="T132" s="179">
        <f>VLOOKUP(B132,Tot_res!C:V,19,FALSE)</f>
        <v>0</v>
      </c>
      <c r="U132" s="179">
        <f>VLOOKUP(B132,Tot_res!C:V,20,FALSE)</f>
        <v>3653.0627999999997</v>
      </c>
      <c r="V132" s="122">
        <f t="shared" ref="V132:V133" si="24">SUM(D132:U132)</f>
        <v>3653.0627999999997</v>
      </c>
    </row>
    <row r="133" spans="1:28" ht="13.15">
      <c r="A133" s="355"/>
      <c r="B133" s="115" t="s">
        <v>973</v>
      </c>
      <c r="C133" s="333" t="str">
        <f>VLOOKUP(B133,Tot_res!C:D,2,FALSE)</f>
        <v>Educación compensatoria, gasto directo del Estado en Ceuta y Melilla</v>
      </c>
      <c r="D133" s="179">
        <f>VLOOKUP(B133,Tot_res!C:V,3,FALSE)</f>
        <v>0</v>
      </c>
      <c r="E133" s="179">
        <f>VLOOKUP(B133,Tot_res!C:V,4,FALSE)</f>
        <v>0</v>
      </c>
      <c r="F133" s="179">
        <f>VLOOKUP(B133,Tot_res!C:V,5,FALSE)</f>
        <v>0</v>
      </c>
      <c r="G133" s="179">
        <f>VLOOKUP(B133,Tot_res!C:V,6,FALSE)</f>
        <v>0</v>
      </c>
      <c r="H133" s="179">
        <f>VLOOKUP(B133,Tot_res!C:V,7,FALSE)</f>
        <v>0</v>
      </c>
      <c r="I133" s="179">
        <f>VLOOKUP(B133,Tot_res!C:V,8,FALSE)</f>
        <v>0</v>
      </c>
      <c r="J133" s="179">
        <f>VLOOKUP(B133,Tot_res!C:V,9,FALSE)</f>
        <v>0</v>
      </c>
      <c r="K133" s="179">
        <f>VLOOKUP(B133,Tot_res!C:V,10,FALSE)</f>
        <v>0</v>
      </c>
      <c r="L133" s="179">
        <f>VLOOKUP(B133,Tot_res!C:V,11,FALSE)</f>
        <v>0</v>
      </c>
      <c r="M133" s="179">
        <f>VLOOKUP(B133,Tot_res!C:V,12,FALSE)</f>
        <v>0</v>
      </c>
      <c r="N133" s="179">
        <f>VLOOKUP(B133,Tot_res!C:V,13,FALSE)</f>
        <v>0</v>
      </c>
      <c r="O133" s="179">
        <f>VLOOKUP(B133,Tot_res!C:V,14,FALSE)</f>
        <v>0</v>
      </c>
      <c r="P133" s="179">
        <f>VLOOKUP(B133,Tot_res!C:V,15,FALSE)</f>
        <v>0</v>
      </c>
      <c r="Q133" s="179">
        <f>VLOOKUP(B133,Tot_res!C:V,16,FALSE)</f>
        <v>0</v>
      </c>
      <c r="R133" s="179">
        <f>VLOOKUP(B133,Tot_res!C:V,17,FALSE)</f>
        <v>0</v>
      </c>
      <c r="S133" s="179">
        <f>VLOOKUP(B133,Tot_res!C:V,18,FALSE)</f>
        <v>0</v>
      </c>
      <c r="T133" s="179">
        <f>VLOOKUP(B133,Tot_res!C:V,19,FALSE)</f>
        <v>0</v>
      </c>
      <c r="U133" s="179">
        <f>VLOOKUP(B133,Tot_res!C:V,20,FALSE)</f>
        <v>3685.8482099999997</v>
      </c>
      <c r="V133" s="122">
        <f t="shared" si="24"/>
        <v>3685.8482099999997</v>
      </c>
    </row>
    <row r="134" spans="1:28" ht="13.15">
      <c r="A134" s="355"/>
      <c r="B134" s="115" t="s">
        <v>974</v>
      </c>
      <c r="C134" s="333" t="str">
        <f>VLOOKUP(B134,Tot_res!C:D,2,FALSE)</f>
        <v xml:space="preserve">Deporte en edad escolar y en la universidad, gasto directo del Estado en Ceuta y Melilla  </v>
      </c>
      <c r="D134" s="179">
        <f>VLOOKUP(B134,Tot_res!C:V,3,FALSE)</f>
        <v>0</v>
      </c>
      <c r="E134" s="179">
        <f>VLOOKUP(B134,Tot_res!C:V,4,FALSE)</f>
        <v>0</v>
      </c>
      <c r="F134" s="179">
        <f>VLOOKUP(B134,Tot_res!C:V,5,FALSE)</f>
        <v>0</v>
      </c>
      <c r="G134" s="179">
        <f>VLOOKUP(B134,Tot_res!C:V,6,FALSE)</f>
        <v>0</v>
      </c>
      <c r="H134" s="179">
        <f>VLOOKUP(B134,Tot_res!C:V,7,FALSE)</f>
        <v>0</v>
      </c>
      <c r="I134" s="179">
        <f>VLOOKUP(B134,Tot_res!C:V,8,FALSE)</f>
        <v>0</v>
      </c>
      <c r="J134" s="179">
        <f>VLOOKUP(B134,Tot_res!C:V,9,FALSE)</f>
        <v>0</v>
      </c>
      <c r="K134" s="179">
        <f>VLOOKUP(B134,Tot_res!C:V,10,FALSE)</f>
        <v>0</v>
      </c>
      <c r="L134" s="179">
        <f>VLOOKUP(B134,Tot_res!C:V,11,FALSE)</f>
        <v>0</v>
      </c>
      <c r="M134" s="179">
        <f>VLOOKUP(B134,Tot_res!C:V,12,FALSE)</f>
        <v>0</v>
      </c>
      <c r="N134" s="179">
        <f>VLOOKUP(B134,Tot_res!C:V,13,FALSE)</f>
        <v>0</v>
      </c>
      <c r="O134" s="179">
        <f>VLOOKUP(B134,Tot_res!C:V,14,FALSE)</f>
        <v>0</v>
      </c>
      <c r="P134" s="179">
        <f>VLOOKUP(B134,Tot_res!C:V,15,FALSE)</f>
        <v>0</v>
      </c>
      <c r="Q134" s="179">
        <f>VLOOKUP(B134,Tot_res!C:V,16,FALSE)</f>
        <v>0</v>
      </c>
      <c r="R134" s="179">
        <f>VLOOKUP(B134,Tot_res!C:V,17,FALSE)</f>
        <v>0</v>
      </c>
      <c r="S134" s="179">
        <f>VLOOKUP(B134,Tot_res!C:V,18,FALSE)</f>
        <v>0</v>
      </c>
      <c r="T134" s="179">
        <f>VLOOKUP(B134,Tot_res!C:V,19,FALSE)</f>
        <v>0</v>
      </c>
      <c r="U134" s="179">
        <f>VLOOKUP(B134,Tot_res!C:V,20,FALSE)</f>
        <v>80.552990000000008</v>
      </c>
      <c r="V134" s="122">
        <f t="shared" si="22"/>
        <v>80.552990000000008</v>
      </c>
    </row>
    <row r="135" spans="1:28" ht="13.15">
      <c r="A135" s="355"/>
      <c r="B135" s="115" t="s">
        <v>975</v>
      </c>
      <c r="C135" s="333" t="str">
        <f>VLOOKUP(B135,Tot_res!C:D,2,FALSE)</f>
        <v>Otras enseñanzas y actividades educativas, gasto directo en Ceuta y Melilla</v>
      </c>
      <c r="D135" s="179">
        <f>VLOOKUP(B135,Tot_res!C:V,3,FALSE)</f>
        <v>0</v>
      </c>
      <c r="E135" s="179">
        <f>VLOOKUP(B135,Tot_res!C:V,4,FALSE)</f>
        <v>0</v>
      </c>
      <c r="F135" s="179">
        <f>VLOOKUP(B135,Tot_res!C:V,5,FALSE)</f>
        <v>0</v>
      </c>
      <c r="G135" s="179">
        <f>VLOOKUP(B135,Tot_res!C:V,6,FALSE)</f>
        <v>0</v>
      </c>
      <c r="H135" s="179">
        <f>VLOOKUP(B135,Tot_res!C:V,7,FALSE)</f>
        <v>0</v>
      </c>
      <c r="I135" s="179">
        <f>VLOOKUP(B135,Tot_res!C:V,8,FALSE)</f>
        <v>0</v>
      </c>
      <c r="J135" s="179">
        <f>VLOOKUP(B135,Tot_res!C:V,9,FALSE)</f>
        <v>0</v>
      </c>
      <c r="K135" s="179">
        <f>VLOOKUP(B135,Tot_res!C:V,10,FALSE)</f>
        <v>0</v>
      </c>
      <c r="L135" s="179">
        <f>VLOOKUP(B135,Tot_res!C:V,11,FALSE)</f>
        <v>0</v>
      </c>
      <c r="M135" s="179">
        <f>VLOOKUP(B135,Tot_res!C:V,12,FALSE)</f>
        <v>0</v>
      </c>
      <c r="N135" s="179">
        <f>VLOOKUP(B135,Tot_res!C:V,13,FALSE)</f>
        <v>0</v>
      </c>
      <c r="O135" s="179">
        <f>VLOOKUP(B135,Tot_res!C:V,14,FALSE)</f>
        <v>0</v>
      </c>
      <c r="P135" s="179">
        <f>VLOOKUP(B135,Tot_res!C:V,15,FALSE)</f>
        <v>0</v>
      </c>
      <c r="Q135" s="179">
        <f>VLOOKUP(B135,Tot_res!C:V,16,FALSE)</f>
        <v>0</v>
      </c>
      <c r="R135" s="179">
        <f>VLOOKUP(B135,Tot_res!C:V,17,FALSE)</f>
        <v>0</v>
      </c>
      <c r="S135" s="179">
        <f>VLOOKUP(B135,Tot_res!C:V,18,FALSE)</f>
        <v>0</v>
      </c>
      <c r="T135" s="179">
        <f>VLOOKUP(B135,Tot_res!C:V,19,FALSE)</f>
        <v>0</v>
      </c>
      <c r="U135" s="179">
        <f>VLOOKUP(B135,Tot_res!C:V,20,FALSE)</f>
        <v>15879.731089999999</v>
      </c>
      <c r="V135" s="122">
        <f t="shared" si="22"/>
        <v>15879.731089999999</v>
      </c>
    </row>
    <row r="136" spans="1:28" ht="13.15">
      <c r="A136" s="355"/>
      <c r="B136" s="115" t="s">
        <v>976</v>
      </c>
      <c r="C136" s="333" t="str">
        <f>VLOOKUP(B136,Tot_res!C:D,2,FALSE)</f>
        <v>Servicios complementarios de la enseñanza, gasto directo del Estado en Ceuta y Melilla</v>
      </c>
      <c r="D136" s="179">
        <f>VLOOKUP(B136,Tot_res!C:V,3,FALSE)</f>
        <v>0</v>
      </c>
      <c r="E136" s="179">
        <f>VLOOKUP(B136,Tot_res!C:V,4,FALSE)</f>
        <v>0</v>
      </c>
      <c r="F136" s="179">
        <f>VLOOKUP(B136,Tot_res!C:V,5,FALSE)</f>
        <v>0</v>
      </c>
      <c r="G136" s="179">
        <f>VLOOKUP(B136,Tot_res!C:V,6,FALSE)</f>
        <v>0</v>
      </c>
      <c r="H136" s="179">
        <f>VLOOKUP(B136,Tot_res!C:V,7,FALSE)</f>
        <v>0</v>
      </c>
      <c r="I136" s="179">
        <f>VLOOKUP(B136,Tot_res!C:V,8,FALSE)</f>
        <v>0</v>
      </c>
      <c r="J136" s="179">
        <f>VLOOKUP(B136,Tot_res!C:V,9,FALSE)</f>
        <v>0</v>
      </c>
      <c r="K136" s="179">
        <f>VLOOKUP(B136,Tot_res!C:V,10,FALSE)</f>
        <v>0</v>
      </c>
      <c r="L136" s="179">
        <f>VLOOKUP(B136,Tot_res!C:V,11,FALSE)</f>
        <v>0</v>
      </c>
      <c r="M136" s="179">
        <f>VLOOKUP(B136,Tot_res!C:V,12,FALSE)</f>
        <v>0</v>
      </c>
      <c r="N136" s="179">
        <f>VLOOKUP(B136,Tot_res!C:V,13,FALSE)</f>
        <v>0</v>
      </c>
      <c r="O136" s="179">
        <f>VLOOKUP(B136,Tot_res!C:V,14,FALSE)</f>
        <v>0</v>
      </c>
      <c r="P136" s="179">
        <f>VLOOKUP(B136,Tot_res!C:V,15,FALSE)</f>
        <v>0</v>
      </c>
      <c r="Q136" s="179">
        <f>VLOOKUP(B136,Tot_res!C:V,16,FALSE)</f>
        <v>0</v>
      </c>
      <c r="R136" s="179">
        <f>VLOOKUP(B136,Tot_res!C:V,17,FALSE)</f>
        <v>0</v>
      </c>
      <c r="S136" s="179">
        <f>VLOOKUP(B136,Tot_res!C:V,18,FALSE)</f>
        <v>0</v>
      </c>
      <c r="T136" s="179">
        <f>VLOOKUP(B136,Tot_res!C:V,19,FALSE)</f>
        <v>0</v>
      </c>
      <c r="U136" s="179">
        <f>VLOOKUP(B136,Tot_res!C:V,20,FALSE)</f>
        <v>1627.9338700000001</v>
      </c>
      <c r="V136" s="122">
        <f t="shared" si="22"/>
        <v>1627.9338700000001</v>
      </c>
    </row>
    <row r="137" spans="1:28" ht="15.05" customHeight="1">
      <c r="A137" s="355"/>
      <c r="B137" s="115" t="s">
        <v>1007</v>
      </c>
      <c r="C137" s="333" t="str">
        <f>VLOOKUP(B137,Tot_res!C:D,2,FALSE)</f>
        <v xml:space="preserve">Atención Primaria de Salud, INGESA, Ceuta y Melilla </v>
      </c>
      <c r="D137" s="179">
        <f>VLOOKUP(B137,Tot_res!C:V,3,FALSE)</f>
        <v>0</v>
      </c>
      <c r="E137" s="179">
        <f>VLOOKUP(B137,Tot_res!C:V,4,FALSE)</f>
        <v>0</v>
      </c>
      <c r="F137" s="179">
        <f>VLOOKUP(B137,Tot_res!C:V,5,FALSE)</f>
        <v>0</v>
      </c>
      <c r="G137" s="179">
        <f>VLOOKUP(B137,Tot_res!C:V,6,FALSE)</f>
        <v>0</v>
      </c>
      <c r="H137" s="179">
        <f>VLOOKUP(B137,Tot_res!C:V,7,FALSE)</f>
        <v>0</v>
      </c>
      <c r="I137" s="179">
        <f>VLOOKUP(B137,Tot_res!C:V,8,FALSE)</f>
        <v>0</v>
      </c>
      <c r="J137" s="179">
        <f>VLOOKUP(B137,Tot_res!C:V,9,FALSE)</f>
        <v>0</v>
      </c>
      <c r="K137" s="179">
        <f>VLOOKUP(B137,Tot_res!C:V,10,FALSE)</f>
        <v>0</v>
      </c>
      <c r="L137" s="179">
        <f>VLOOKUP(B137,Tot_res!C:V,11,FALSE)</f>
        <v>0</v>
      </c>
      <c r="M137" s="179">
        <f>VLOOKUP(B137,Tot_res!C:V,12,FALSE)</f>
        <v>0</v>
      </c>
      <c r="N137" s="179">
        <f>VLOOKUP(B137,Tot_res!C:V,13,FALSE)</f>
        <v>0</v>
      </c>
      <c r="O137" s="179">
        <f>VLOOKUP(B137,Tot_res!C:V,14,FALSE)</f>
        <v>0</v>
      </c>
      <c r="P137" s="179">
        <f>VLOOKUP(B137,Tot_res!C:V,15,FALSE)</f>
        <v>0</v>
      </c>
      <c r="Q137" s="179">
        <f>VLOOKUP(B137,Tot_res!C:V,16,FALSE)</f>
        <v>0</v>
      </c>
      <c r="R137" s="179">
        <f>VLOOKUP(B137,Tot_res!C:V,17,FALSE)</f>
        <v>0</v>
      </c>
      <c r="S137" s="179">
        <f>VLOOKUP(B137,Tot_res!C:V,18,FALSE)</f>
        <v>0</v>
      </c>
      <c r="T137" s="179">
        <f>VLOOKUP(B137,Tot_res!C:V,19,FALSE)</f>
        <v>0</v>
      </c>
      <c r="U137" s="179">
        <f>VLOOKUP(B137,Tot_res!C:V,20,FALSE)</f>
        <v>55579.21499</v>
      </c>
      <c r="V137" s="122">
        <f t="shared" si="22"/>
        <v>55579.21499</v>
      </c>
    </row>
    <row r="138" spans="1:28" ht="13.15">
      <c r="A138" s="355"/>
      <c r="B138" s="115" t="s">
        <v>1008</v>
      </c>
      <c r="C138" s="333" t="str">
        <f>VLOOKUP(B138,Tot_res!C:D,2,FALSE)</f>
        <v>Atención Especializada, gasto directo del INGESA en Ceuta y Melilla</v>
      </c>
      <c r="D138" s="179">
        <f>VLOOKUP(B138,Tot_res!C:V,3,FALSE)</f>
        <v>0</v>
      </c>
      <c r="E138" s="179">
        <f>VLOOKUP(B138,Tot_res!C:V,4,FALSE)</f>
        <v>0</v>
      </c>
      <c r="F138" s="179">
        <f>VLOOKUP(B138,Tot_res!C:V,5,FALSE)</f>
        <v>0</v>
      </c>
      <c r="G138" s="179">
        <f>VLOOKUP(B138,Tot_res!C:V,6,FALSE)</f>
        <v>0</v>
      </c>
      <c r="H138" s="179">
        <f>VLOOKUP(B138,Tot_res!C:V,7,FALSE)</f>
        <v>0</v>
      </c>
      <c r="I138" s="179">
        <f>VLOOKUP(B138,Tot_res!C:V,8,FALSE)</f>
        <v>0</v>
      </c>
      <c r="J138" s="179">
        <f>VLOOKUP(B138,Tot_res!C:V,9,FALSE)</f>
        <v>0</v>
      </c>
      <c r="K138" s="179">
        <f>VLOOKUP(B138,Tot_res!C:V,10,FALSE)</f>
        <v>0</v>
      </c>
      <c r="L138" s="179">
        <f>VLOOKUP(B138,Tot_res!C:V,11,FALSE)</f>
        <v>0</v>
      </c>
      <c r="M138" s="179">
        <f>VLOOKUP(B138,Tot_res!C:V,12,FALSE)</f>
        <v>0</v>
      </c>
      <c r="N138" s="179">
        <f>VLOOKUP(B138,Tot_res!C:V,13,FALSE)</f>
        <v>0</v>
      </c>
      <c r="O138" s="179">
        <f>VLOOKUP(B138,Tot_res!C:V,14,FALSE)</f>
        <v>0</v>
      </c>
      <c r="P138" s="179">
        <f>VLOOKUP(B138,Tot_res!C:V,15,FALSE)</f>
        <v>0</v>
      </c>
      <c r="Q138" s="179">
        <f>VLOOKUP(B138,Tot_res!C:V,16,FALSE)</f>
        <v>0</v>
      </c>
      <c r="R138" s="179">
        <f>VLOOKUP(B138,Tot_res!C:V,17,FALSE)</f>
        <v>0</v>
      </c>
      <c r="S138" s="179">
        <f>VLOOKUP(B138,Tot_res!C:V,18,FALSE)</f>
        <v>0</v>
      </c>
      <c r="T138" s="179">
        <f>VLOOKUP(B138,Tot_res!C:V,19,FALSE)</f>
        <v>0</v>
      </c>
      <c r="U138" s="179">
        <f>VLOOKUP(B138,Tot_res!C:V,20,FALSE)</f>
        <v>137418.97167460475</v>
      </c>
      <c r="V138" s="122">
        <f t="shared" si="22"/>
        <v>137418.97167460475</v>
      </c>
    </row>
    <row r="139" spans="1:28" ht="13.15">
      <c r="A139" s="355"/>
      <c r="B139" s="115" t="s">
        <v>977</v>
      </c>
      <c r="C139" s="333" t="str">
        <f>VLOOKUP(B139,Tot_res!C:D,2,FALSE)</f>
        <v>Admón.,Ser.Grales.y Cont.Int.Asist.San, gasto directo del INGESA en Ceuta y Melila</v>
      </c>
      <c r="D139" s="179">
        <f>VLOOKUP(B139,Tot_res!C:V,3,FALSE)</f>
        <v>0</v>
      </c>
      <c r="E139" s="179">
        <f>VLOOKUP(B139,Tot_res!C:V,4,FALSE)</f>
        <v>0</v>
      </c>
      <c r="F139" s="179">
        <f>VLOOKUP(B139,Tot_res!C:V,5,FALSE)</f>
        <v>0</v>
      </c>
      <c r="G139" s="179">
        <f>VLOOKUP(B139,Tot_res!C:V,6,FALSE)</f>
        <v>0</v>
      </c>
      <c r="H139" s="179">
        <f>VLOOKUP(B139,Tot_res!C:V,7,FALSE)</f>
        <v>0</v>
      </c>
      <c r="I139" s="179">
        <f>VLOOKUP(B139,Tot_res!C:V,8,FALSE)</f>
        <v>0</v>
      </c>
      <c r="J139" s="179">
        <f>VLOOKUP(B139,Tot_res!C:V,9,FALSE)</f>
        <v>0</v>
      </c>
      <c r="K139" s="179">
        <f>VLOOKUP(B139,Tot_res!C:V,10,FALSE)</f>
        <v>0</v>
      </c>
      <c r="L139" s="179">
        <f>VLOOKUP(B139,Tot_res!C:V,11,FALSE)</f>
        <v>0</v>
      </c>
      <c r="M139" s="179">
        <f>VLOOKUP(B139,Tot_res!C:V,12,FALSE)</f>
        <v>0</v>
      </c>
      <c r="N139" s="179">
        <f>VLOOKUP(B139,Tot_res!C:V,13,FALSE)</f>
        <v>0</v>
      </c>
      <c r="O139" s="179">
        <f>VLOOKUP(B139,Tot_res!C:V,14,FALSE)</f>
        <v>0</v>
      </c>
      <c r="P139" s="179">
        <f>VLOOKUP(B139,Tot_res!C:V,15,FALSE)</f>
        <v>0</v>
      </c>
      <c r="Q139" s="179">
        <f>VLOOKUP(B139,Tot_res!C:V,16,FALSE)</f>
        <v>0</v>
      </c>
      <c r="R139" s="179">
        <f>VLOOKUP(B139,Tot_res!C:V,17,FALSE)</f>
        <v>0</v>
      </c>
      <c r="S139" s="179">
        <f>VLOOKUP(B139,Tot_res!C:V,18,FALSE)</f>
        <v>0</v>
      </c>
      <c r="T139" s="179">
        <f>VLOOKUP(B139,Tot_res!C:V,19,FALSE)</f>
        <v>0</v>
      </c>
      <c r="U139" s="179">
        <f>VLOOKUP(B139,Tot_res!C:V,20,FALSE)</f>
        <v>11982.840101583606</v>
      </c>
      <c r="V139" s="122">
        <f t="shared" si="22"/>
        <v>11982.840101583606</v>
      </c>
    </row>
    <row r="140" spans="1:28" ht="13.15">
      <c r="A140" s="355"/>
      <c r="B140" s="115" t="s">
        <v>978</v>
      </c>
      <c r="C140" s="333" t="str">
        <f>VLOOKUP(B140,Tot_res!C:D,2,FALSE)</f>
        <v>Formación del Personal Sanitario, gasto directo del INGESA en Ceuta y Melilla</v>
      </c>
      <c r="D140" s="179">
        <f>VLOOKUP(B140,Tot_res!C:V,3,FALSE)</f>
        <v>0</v>
      </c>
      <c r="E140" s="179">
        <f>VLOOKUP(B140,Tot_res!C:V,4,FALSE)</f>
        <v>0</v>
      </c>
      <c r="F140" s="179">
        <f>VLOOKUP(B140,Tot_res!C:V,5,FALSE)</f>
        <v>0</v>
      </c>
      <c r="G140" s="179">
        <f>VLOOKUP(B140,Tot_res!C:V,6,FALSE)</f>
        <v>0</v>
      </c>
      <c r="H140" s="179">
        <f>VLOOKUP(B140,Tot_res!C:V,7,FALSE)</f>
        <v>0</v>
      </c>
      <c r="I140" s="179">
        <f>VLOOKUP(B140,Tot_res!C:V,8,FALSE)</f>
        <v>0</v>
      </c>
      <c r="J140" s="179">
        <f>VLOOKUP(B140,Tot_res!C:V,9,FALSE)</f>
        <v>0</v>
      </c>
      <c r="K140" s="179">
        <f>VLOOKUP(B140,Tot_res!C:V,10,FALSE)</f>
        <v>0</v>
      </c>
      <c r="L140" s="179">
        <f>VLOOKUP(B140,Tot_res!C:V,11,FALSE)</f>
        <v>0</v>
      </c>
      <c r="M140" s="179">
        <f>VLOOKUP(B140,Tot_res!C:V,12,FALSE)</f>
        <v>0</v>
      </c>
      <c r="N140" s="179">
        <f>VLOOKUP(B140,Tot_res!C:V,13,FALSE)</f>
        <v>0</v>
      </c>
      <c r="O140" s="179">
        <f>VLOOKUP(B140,Tot_res!C:V,14,FALSE)</f>
        <v>0</v>
      </c>
      <c r="P140" s="179">
        <f>VLOOKUP(B140,Tot_res!C:V,15,FALSE)</f>
        <v>0</v>
      </c>
      <c r="Q140" s="179">
        <f>VLOOKUP(B140,Tot_res!C:V,16,FALSE)</f>
        <v>0</v>
      </c>
      <c r="R140" s="179">
        <f>VLOOKUP(B140,Tot_res!C:V,17,FALSE)</f>
        <v>0</v>
      </c>
      <c r="S140" s="179">
        <f>VLOOKUP(B140,Tot_res!C:V,18,FALSE)</f>
        <v>0</v>
      </c>
      <c r="T140" s="179">
        <f>VLOOKUP(B140,Tot_res!C:V,19,FALSE)</f>
        <v>0</v>
      </c>
      <c r="U140" s="179">
        <f>VLOOKUP(B140,Tot_res!C:V,20,FALSE)</f>
        <v>1890.7470200000002</v>
      </c>
      <c r="V140" s="122">
        <f t="shared" si="22"/>
        <v>1890.7470200000002</v>
      </c>
    </row>
    <row r="141" spans="1:28" ht="13.15">
      <c r="A141" s="355"/>
      <c r="B141" s="115" t="s">
        <v>979</v>
      </c>
      <c r="C141" s="333" t="str">
        <f>VLOOKUP(B141,Tot_res!C:D,2,FALSE)</f>
        <v>Servicios Sociales Generales, gasto directo del IMSERSO en Ceuta y Melilla</v>
      </c>
      <c r="D141" s="179">
        <f>VLOOKUP(B141,Tot_res!C:V,3,FALSE)</f>
        <v>0</v>
      </c>
      <c r="E141" s="179">
        <f>VLOOKUP(B141,Tot_res!C:V,4,FALSE)</f>
        <v>0</v>
      </c>
      <c r="F141" s="179">
        <f>VLOOKUP(B141,Tot_res!C:V,5,FALSE)</f>
        <v>0</v>
      </c>
      <c r="G141" s="179">
        <f>VLOOKUP(B141,Tot_res!C:V,6,FALSE)</f>
        <v>0</v>
      </c>
      <c r="H141" s="179">
        <f>VLOOKUP(B141,Tot_res!C:V,7,FALSE)</f>
        <v>0</v>
      </c>
      <c r="I141" s="179">
        <f>VLOOKUP(B141,Tot_res!C:V,8,FALSE)</f>
        <v>0</v>
      </c>
      <c r="J141" s="179">
        <f>VLOOKUP(B141,Tot_res!C:V,9,FALSE)</f>
        <v>0</v>
      </c>
      <c r="K141" s="179">
        <f>VLOOKUP(B141,Tot_res!C:V,10,FALSE)</f>
        <v>0</v>
      </c>
      <c r="L141" s="179">
        <f>VLOOKUP(B141,Tot_res!C:V,11,FALSE)</f>
        <v>0</v>
      </c>
      <c r="M141" s="179">
        <f>VLOOKUP(B141,Tot_res!C:V,12,FALSE)</f>
        <v>0</v>
      </c>
      <c r="N141" s="179">
        <f>VLOOKUP(B141,Tot_res!C:V,13,FALSE)</f>
        <v>0</v>
      </c>
      <c r="O141" s="179">
        <f>VLOOKUP(B141,Tot_res!C:V,14,FALSE)</f>
        <v>0</v>
      </c>
      <c r="P141" s="179">
        <f>VLOOKUP(B141,Tot_res!C:V,15,FALSE)</f>
        <v>0</v>
      </c>
      <c r="Q141" s="179">
        <f>VLOOKUP(B141,Tot_res!C:V,16,FALSE)</f>
        <v>0</v>
      </c>
      <c r="R141" s="179">
        <f>VLOOKUP(B141,Tot_res!C:V,17,FALSE)</f>
        <v>0</v>
      </c>
      <c r="S141" s="179">
        <f>VLOOKUP(B141,Tot_res!C:V,18,FALSE)</f>
        <v>0</v>
      </c>
      <c r="T141" s="179">
        <f>VLOOKUP(B141,Tot_res!C:V,19,FALSE)</f>
        <v>0</v>
      </c>
      <c r="U141" s="179">
        <f>VLOOKUP(B141,Tot_res!C:V,20,FALSE)</f>
        <v>22346.281347551903</v>
      </c>
      <c r="V141" s="122">
        <f t="shared" si="22"/>
        <v>22346.281347551903</v>
      </c>
    </row>
    <row r="142" spans="1:28" ht="13.15">
      <c r="A142" s="355"/>
      <c r="B142" s="115" t="s">
        <v>980</v>
      </c>
      <c r="C142" s="333" t="str">
        <f>VLOOKUP(B142,Tot_res!C:D,2,FALSE)</f>
        <v>Administración y Servicios Generales de Servicios Sociales, gasto directo del IMSERSO en Ceuta y Melilla</v>
      </c>
      <c r="D142" s="179">
        <f>VLOOKUP(B142,Tot_res!C:V,3,FALSE)</f>
        <v>0</v>
      </c>
      <c r="E142" s="179">
        <f>VLOOKUP(B142,Tot_res!C:V,4,FALSE)</f>
        <v>0</v>
      </c>
      <c r="F142" s="179">
        <f>VLOOKUP(B142,Tot_res!C:V,5,FALSE)</f>
        <v>0</v>
      </c>
      <c r="G142" s="179">
        <f>VLOOKUP(B142,Tot_res!C:V,6,FALSE)</f>
        <v>0</v>
      </c>
      <c r="H142" s="179">
        <f>VLOOKUP(B142,Tot_res!C:V,7,FALSE)</f>
        <v>0</v>
      </c>
      <c r="I142" s="179">
        <f>VLOOKUP(B142,Tot_res!C:V,8,FALSE)</f>
        <v>0</v>
      </c>
      <c r="J142" s="179">
        <f>VLOOKUP(B142,Tot_res!C:V,9,FALSE)</f>
        <v>0</v>
      </c>
      <c r="K142" s="179">
        <f>VLOOKUP(B142,Tot_res!C:V,10,FALSE)</f>
        <v>0</v>
      </c>
      <c r="L142" s="179">
        <f>VLOOKUP(B142,Tot_res!C:V,11,FALSE)</f>
        <v>0</v>
      </c>
      <c r="M142" s="179">
        <f>VLOOKUP(B142,Tot_res!C:V,12,FALSE)</f>
        <v>0</v>
      </c>
      <c r="N142" s="179">
        <f>VLOOKUP(B142,Tot_res!C:V,13,FALSE)</f>
        <v>0</v>
      </c>
      <c r="O142" s="179">
        <f>VLOOKUP(B142,Tot_res!C:V,14,FALSE)</f>
        <v>0</v>
      </c>
      <c r="P142" s="179">
        <f>VLOOKUP(B142,Tot_res!C:V,15,FALSE)</f>
        <v>0</v>
      </c>
      <c r="Q142" s="179">
        <f>VLOOKUP(B142,Tot_res!C:V,16,FALSE)</f>
        <v>0</v>
      </c>
      <c r="R142" s="179">
        <f>VLOOKUP(B142,Tot_res!C:V,17,FALSE)</f>
        <v>0</v>
      </c>
      <c r="S142" s="179">
        <f>VLOOKUP(B142,Tot_res!C:V,18,FALSE)</f>
        <v>0</v>
      </c>
      <c r="T142" s="179">
        <f>VLOOKUP(B142,Tot_res!C:V,19,FALSE)</f>
        <v>0</v>
      </c>
      <c r="U142" s="179">
        <f>VLOOKUP(B142,Tot_res!C:V,20,FALSE)</f>
        <v>1922.11205</v>
      </c>
      <c r="V142" s="122">
        <f t="shared" si="22"/>
        <v>1922.11205</v>
      </c>
    </row>
    <row r="143" spans="1:28" ht="13.15">
      <c r="A143" s="355"/>
      <c r="B143" s="115" t="s">
        <v>219</v>
      </c>
      <c r="C143" s="333" t="str">
        <f>VLOOKUP(B143,Tot_res!C:D,2,FALSE)</f>
        <v>Recaudación IPSI</v>
      </c>
      <c r="D143" s="179">
        <f>VLOOKUP(B143,Tot_res!C:V,3,FALSE)</f>
        <v>0</v>
      </c>
      <c r="E143" s="179">
        <f>VLOOKUP(B143,Tot_res!C:V,4,FALSE)</f>
        <v>0</v>
      </c>
      <c r="F143" s="179">
        <f>VLOOKUP(B143,Tot_res!C:V,5,FALSE)</f>
        <v>0</v>
      </c>
      <c r="G143" s="179">
        <f>VLOOKUP(B143,Tot_res!C:V,6,FALSE)</f>
        <v>0</v>
      </c>
      <c r="H143" s="179">
        <f>VLOOKUP(B143,Tot_res!C:V,7,FALSE)</f>
        <v>0</v>
      </c>
      <c r="I143" s="179">
        <f>VLOOKUP(B143,Tot_res!C:V,8,FALSE)</f>
        <v>0</v>
      </c>
      <c r="J143" s="179">
        <f>VLOOKUP(B143,Tot_res!C:V,9,FALSE)</f>
        <v>0</v>
      </c>
      <c r="K143" s="179">
        <f>VLOOKUP(B143,Tot_res!C:V,10,FALSE)</f>
        <v>0</v>
      </c>
      <c r="L143" s="179">
        <f>VLOOKUP(B143,Tot_res!C:V,11,FALSE)</f>
        <v>0</v>
      </c>
      <c r="M143" s="179">
        <f>VLOOKUP(B143,Tot_res!C:V,12,FALSE)</f>
        <v>0</v>
      </c>
      <c r="N143" s="179">
        <f>VLOOKUP(B143,Tot_res!C:V,13,FALSE)</f>
        <v>0</v>
      </c>
      <c r="O143" s="179">
        <f>VLOOKUP(B143,Tot_res!C:V,14,FALSE)</f>
        <v>0</v>
      </c>
      <c r="P143" s="179">
        <f>VLOOKUP(B143,Tot_res!C:V,15,FALSE)</f>
        <v>0</v>
      </c>
      <c r="Q143" s="179">
        <f>VLOOKUP(B143,Tot_res!C:V,16,FALSE)</f>
        <v>0</v>
      </c>
      <c r="R143" s="179">
        <f>VLOOKUP(B143,Tot_res!C:V,17,FALSE)</f>
        <v>0</v>
      </c>
      <c r="S143" s="179">
        <f>VLOOKUP(B143,Tot_res!C:V,18,FALSE)</f>
        <v>0</v>
      </c>
      <c r="T143" s="179">
        <f>VLOOKUP(B143,Tot_res!C:V,19,FALSE)</f>
        <v>0</v>
      </c>
      <c r="U143" s="179">
        <f>VLOOKUP(B143,Tot_res!C:V,20,FALSE)</f>
        <v>147204</v>
      </c>
      <c r="V143" s="122">
        <f t="shared" si="22"/>
        <v>147204</v>
      </c>
    </row>
    <row r="144" spans="1:28" s="103" customFormat="1" ht="13.15">
      <c r="A144" s="355"/>
      <c r="B144" s="115" t="s">
        <v>981</v>
      </c>
      <c r="C144" s="333" t="str">
        <f>VLOOKUP(B144,Tot_res!C:D,2,FALSE)</f>
        <v xml:space="preserve">Otras aportaciones a Corporaciones Locales, compensaciones IPSI Ceuta y Melilla </v>
      </c>
      <c r="D144" s="179">
        <f>VLOOKUP(B144,Tot_res!C:V,3,FALSE)</f>
        <v>0</v>
      </c>
      <c r="E144" s="179">
        <f>VLOOKUP(B144,Tot_res!C:V,4,FALSE)</f>
        <v>0</v>
      </c>
      <c r="F144" s="179">
        <f>VLOOKUP(B144,Tot_res!C:V,5,FALSE)</f>
        <v>0</v>
      </c>
      <c r="G144" s="179">
        <f>VLOOKUP(B144,Tot_res!C:V,6,FALSE)</f>
        <v>0</v>
      </c>
      <c r="H144" s="179">
        <f>VLOOKUP(B144,Tot_res!C:V,7,FALSE)</f>
        <v>0</v>
      </c>
      <c r="I144" s="179">
        <f>VLOOKUP(B144,Tot_res!C:V,8,FALSE)</f>
        <v>0</v>
      </c>
      <c r="J144" s="179">
        <f>VLOOKUP(B144,Tot_res!C:V,9,FALSE)</f>
        <v>0</v>
      </c>
      <c r="K144" s="179">
        <f>VLOOKUP(B144,Tot_res!C:V,10,FALSE)</f>
        <v>0</v>
      </c>
      <c r="L144" s="179">
        <f>VLOOKUP(B144,Tot_res!C:V,11,FALSE)</f>
        <v>0</v>
      </c>
      <c r="M144" s="179">
        <f>VLOOKUP(B144,Tot_res!C:V,12,FALSE)</f>
        <v>0</v>
      </c>
      <c r="N144" s="179">
        <f>VLOOKUP(B144,Tot_res!C:V,13,FALSE)</f>
        <v>0</v>
      </c>
      <c r="O144" s="179">
        <f>VLOOKUP(B144,Tot_res!C:V,14,FALSE)</f>
        <v>0</v>
      </c>
      <c r="P144" s="179">
        <f>VLOOKUP(B144,Tot_res!C:V,15,FALSE)</f>
        <v>0</v>
      </c>
      <c r="Q144" s="179">
        <f>VLOOKUP(B144,Tot_res!C:V,16,FALSE)</f>
        <v>0</v>
      </c>
      <c r="R144" s="179">
        <f>VLOOKUP(B144,Tot_res!C:V,17,FALSE)</f>
        <v>0</v>
      </c>
      <c r="S144" s="179">
        <f>VLOOKUP(B144,Tot_res!C:V,18,FALSE)</f>
        <v>0</v>
      </c>
      <c r="T144" s="179">
        <f>VLOOKUP(B144,Tot_res!C:V,19,FALSE)</f>
        <v>0</v>
      </c>
      <c r="U144" s="179">
        <f>VLOOKUP(B144,Tot_res!C:V,20,FALSE)</f>
        <v>81025.212780000002</v>
      </c>
      <c r="V144" s="122">
        <f t="shared" si="22"/>
        <v>81025.212780000002</v>
      </c>
      <c r="W144" s="102"/>
      <c r="X144" s="102"/>
      <c r="Y144" s="102"/>
      <c r="Z144" s="102"/>
      <c r="AA144" s="102"/>
      <c r="AB144" s="102"/>
    </row>
    <row r="145" spans="1:28" ht="13.15">
      <c r="A145" s="356"/>
      <c r="B145" s="115"/>
      <c r="C145" s="140"/>
      <c r="D145" s="105"/>
      <c r="E145" s="105"/>
      <c r="F145" s="105"/>
      <c r="G145" s="105"/>
      <c r="H145" s="105"/>
      <c r="I145" s="105"/>
      <c r="J145" s="105"/>
      <c r="K145" s="105"/>
      <c r="L145" s="105"/>
      <c r="M145" s="105"/>
      <c r="N145" s="105"/>
      <c r="O145" s="105"/>
      <c r="P145" s="105"/>
      <c r="Q145" s="105"/>
      <c r="R145" s="105"/>
      <c r="S145" s="105"/>
      <c r="T145" s="105"/>
      <c r="U145" s="105"/>
      <c r="V145" s="122"/>
      <c r="W145" s="103"/>
      <c r="X145" s="103"/>
      <c r="Y145" s="103"/>
      <c r="Z145" s="103"/>
      <c r="AA145" s="103"/>
      <c r="AB145" s="103"/>
    </row>
    <row r="146" spans="1:28" ht="13.15">
      <c r="A146" s="356"/>
      <c r="B146" s="137"/>
      <c r="C146" s="117" t="s">
        <v>220</v>
      </c>
      <c r="D146" s="114">
        <f t="shared" ref="D146:U146" si="25">SUM(D147:D156)</f>
        <v>0</v>
      </c>
      <c r="E146" s="114">
        <f t="shared" si="25"/>
        <v>0</v>
      </c>
      <c r="F146" s="114">
        <f t="shared" si="25"/>
        <v>0</v>
      </c>
      <c r="G146" s="114">
        <f t="shared" si="25"/>
        <v>0</v>
      </c>
      <c r="H146" s="114">
        <f t="shared" si="25"/>
        <v>0</v>
      </c>
      <c r="I146" s="114">
        <f t="shared" si="25"/>
        <v>0</v>
      </c>
      <c r="J146" s="114">
        <f t="shared" si="25"/>
        <v>0</v>
      </c>
      <c r="K146" s="114">
        <f t="shared" si="25"/>
        <v>0</v>
      </c>
      <c r="L146" s="114">
        <f t="shared" si="25"/>
        <v>0</v>
      </c>
      <c r="M146" s="114">
        <f t="shared" si="25"/>
        <v>0</v>
      </c>
      <c r="N146" s="114">
        <f t="shared" si="25"/>
        <v>0</v>
      </c>
      <c r="O146" s="114">
        <f t="shared" si="25"/>
        <v>0</v>
      </c>
      <c r="P146" s="114">
        <f t="shared" si="25"/>
        <v>0</v>
      </c>
      <c r="Q146" s="114">
        <f t="shared" si="25"/>
        <v>0</v>
      </c>
      <c r="R146" s="114">
        <f t="shared" si="25"/>
        <v>3208239.1573863756</v>
      </c>
      <c r="S146" s="114">
        <f t="shared" si="25"/>
        <v>12496460.28959736</v>
      </c>
      <c r="T146" s="114">
        <f t="shared" si="25"/>
        <v>0</v>
      </c>
      <c r="U146" s="114">
        <f t="shared" si="25"/>
        <v>0</v>
      </c>
      <c r="V146" s="126">
        <f>SUM(V147:V156)</f>
        <v>15704699.446983738</v>
      </c>
    </row>
    <row r="147" spans="1:28" ht="13.15">
      <c r="A147" s="355"/>
      <c r="B147" s="115" t="s">
        <v>982</v>
      </c>
      <c r="C147" s="333" t="str">
        <f>VLOOKUP(B147,Tot_res!C:D,2,FALSE)</f>
        <v>IRPF, ingresos homogeneizados de las comunidades forales</v>
      </c>
      <c r="D147" s="179">
        <f>VLOOKUP(B147,Tot_res!C:V,3,FALSE)</f>
        <v>0</v>
      </c>
      <c r="E147" s="179">
        <f>VLOOKUP(B147,Tot_res!C:V,4,FALSE)</f>
        <v>0</v>
      </c>
      <c r="F147" s="179">
        <f>VLOOKUP(B147,Tot_res!C:V,5,FALSE)</f>
        <v>0</v>
      </c>
      <c r="G147" s="179">
        <f>VLOOKUP(B147,Tot_res!C:V,6,FALSE)</f>
        <v>0</v>
      </c>
      <c r="H147" s="179">
        <f>VLOOKUP(B147,Tot_res!C:V,7,FALSE)</f>
        <v>0</v>
      </c>
      <c r="I147" s="179">
        <f>VLOOKUP(B147,Tot_res!C:V,8,FALSE)</f>
        <v>0</v>
      </c>
      <c r="J147" s="179">
        <f>VLOOKUP(B147,Tot_res!C:V,9,FALSE)</f>
        <v>0</v>
      </c>
      <c r="K147" s="179">
        <f>VLOOKUP(B147,Tot_res!C:V,10,FALSE)</f>
        <v>0</v>
      </c>
      <c r="L147" s="179">
        <f>VLOOKUP(B147,Tot_res!C:V,11,FALSE)</f>
        <v>0</v>
      </c>
      <c r="M147" s="179">
        <f>VLOOKUP(B147,Tot_res!C:V,12,FALSE)</f>
        <v>0</v>
      </c>
      <c r="N147" s="179">
        <f>VLOOKUP(B147,Tot_res!C:V,13,FALSE)</f>
        <v>0</v>
      </c>
      <c r="O147" s="179">
        <f>VLOOKUP(B147,Tot_res!C:V,14,FALSE)</f>
        <v>0</v>
      </c>
      <c r="P147" s="179">
        <f>VLOOKUP(B147,Tot_res!C:V,15,FALSE)</f>
        <v>0</v>
      </c>
      <c r="Q147" s="179">
        <f>VLOOKUP(B147,Tot_res!C:V,16,FALSE)</f>
        <v>0</v>
      </c>
      <c r="R147" s="179">
        <f>VLOOKUP(B147,Tot_res!C:V,17,FALSE)</f>
        <v>1346207.888955889</v>
      </c>
      <c r="S147" s="179">
        <f>VLOOKUP(B147,Tot_res!C:V,18,FALSE)</f>
        <v>5084513.464062823</v>
      </c>
      <c r="T147" s="179">
        <f>VLOOKUP(B147,Tot_res!C:V,19,FALSE)</f>
        <v>0</v>
      </c>
      <c r="U147" s="179">
        <f>VLOOKUP(B147,Tot_res!C:V,20,FALSE)</f>
        <v>0</v>
      </c>
      <c r="V147" s="122">
        <f t="shared" ref="V147:V156" si="26">SUM(D147:U147)</f>
        <v>6430721.3530187123</v>
      </c>
    </row>
    <row r="148" spans="1:28" ht="13.15">
      <c r="A148" s="355"/>
      <c r="B148" s="115" t="s">
        <v>983</v>
      </c>
      <c r="C148" s="333" t="str">
        <f>VLOOKUP(B148,Tot_res!C:D,2,FALSE)</f>
        <v>Sociedades, ingresos homogeneizados de las comunidades forales</v>
      </c>
      <c r="D148" s="179">
        <f>VLOOKUP(B148,Tot_res!C:V,3,FALSE)</f>
        <v>0</v>
      </c>
      <c r="E148" s="179">
        <f>VLOOKUP(B148,Tot_res!C:V,4,FALSE)</f>
        <v>0</v>
      </c>
      <c r="F148" s="179">
        <f>VLOOKUP(B148,Tot_res!C:V,5,FALSE)</f>
        <v>0</v>
      </c>
      <c r="G148" s="179">
        <f>VLOOKUP(B148,Tot_res!C:V,6,FALSE)</f>
        <v>0</v>
      </c>
      <c r="H148" s="179">
        <f>VLOOKUP(B148,Tot_res!C:V,7,FALSE)</f>
        <v>0</v>
      </c>
      <c r="I148" s="179">
        <f>VLOOKUP(B148,Tot_res!C:V,8,FALSE)</f>
        <v>0</v>
      </c>
      <c r="J148" s="179">
        <f>VLOOKUP(B148,Tot_res!C:V,9,FALSE)</f>
        <v>0</v>
      </c>
      <c r="K148" s="179">
        <f>VLOOKUP(B148,Tot_res!C:V,10,FALSE)</f>
        <v>0</v>
      </c>
      <c r="L148" s="179">
        <f>VLOOKUP(B148,Tot_res!C:V,11,FALSE)</f>
        <v>0</v>
      </c>
      <c r="M148" s="179">
        <f>VLOOKUP(B148,Tot_res!C:V,12,FALSE)</f>
        <v>0</v>
      </c>
      <c r="N148" s="179">
        <f>VLOOKUP(B148,Tot_res!C:V,13,FALSE)</f>
        <v>0</v>
      </c>
      <c r="O148" s="179">
        <f>VLOOKUP(B148,Tot_res!C:V,14,FALSE)</f>
        <v>0</v>
      </c>
      <c r="P148" s="179">
        <f>VLOOKUP(B148,Tot_res!C:V,15,FALSE)</f>
        <v>0</v>
      </c>
      <c r="Q148" s="179">
        <f>VLOOKUP(B148,Tot_res!C:V,16,FALSE)</f>
        <v>0</v>
      </c>
      <c r="R148" s="179">
        <f>VLOOKUP(B148,Tot_res!C:V,17,FALSE)</f>
        <v>353341.03808028146</v>
      </c>
      <c r="S148" s="179">
        <f>VLOOKUP(B148,Tot_res!C:V,18,FALSE)</f>
        <v>1238317.9377738982</v>
      </c>
      <c r="T148" s="179">
        <f>VLOOKUP(B148,Tot_res!C:V,19,FALSE)</f>
        <v>0</v>
      </c>
      <c r="U148" s="179">
        <f>VLOOKUP(B148,Tot_res!C:V,20,FALSE)</f>
        <v>0</v>
      </c>
      <c r="V148" s="122">
        <f t="shared" si="26"/>
        <v>1591658.9758541798</v>
      </c>
    </row>
    <row r="149" spans="1:28" ht="13.15">
      <c r="A149" s="355"/>
      <c r="B149" s="115" t="s">
        <v>221</v>
      </c>
      <c r="C149" s="333" t="str">
        <f>VLOOKUP(B149,Tot_res!C:D,2,FALSE)</f>
        <v>No residentes, ingresos comunidades forales</v>
      </c>
      <c r="D149" s="179">
        <f>VLOOKUP(B149,Tot_res!C:V,3,FALSE)</f>
        <v>0</v>
      </c>
      <c r="E149" s="179">
        <f>VLOOKUP(B149,Tot_res!C:V,4,FALSE)</f>
        <v>0</v>
      </c>
      <c r="F149" s="179">
        <f>VLOOKUP(B149,Tot_res!C:V,5,FALSE)</f>
        <v>0</v>
      </c>
      <c r="G149" s="179">
        <f>VLOOKUP(B149,Tot_res!C:V,6,FALSE)</f>
        <v>0</v>
      </c>
      <c r="H149" s="179">
        <f>VLOOKUP(B149,Tot_res!C:V,7,FALSE)</f>
        <v>0</v>
      </c>
      <c r="I149" s="179">
        <f>VLOOKUP(B149,Tot_res!C:V,8,FALSE)</f>
        <v>0</v>
      </c>
      <c r="J149" s="179">
        <f>VLOOKUP(B149,Tot_res!C:V,9,FALSE)</f>
        <v>0</v>
      </c>
      <c r="K149" s="179">
        <f>VLOOKUP(B149,Tot_res!C:V,10,FALSE)</f>
        <v>0</v>
      </c>
      <c r="L149" s="179">
        <f>VLOOKUP(B149,Tot_res!C:V,11,FALSE)</f>
        <v>0</v>
      </c>
      <c r="M149" s="179">
        <f>VLOOKUP(B149,Tot_res!C:V,12,FALSE)</f>
        <v>0</v>
      </c>
      <c r="N149" s="179">
        <f>VLOOKUP(B149,Tot_res!C:V,13,FALSE)</f>
        <v>0</v>
      </c>
      <c r="O149" s="179">
        <f>VLOOKUP(B149,Tot_res!C:V,14,FALSE)</f>
        <v>0</v>
      </c>
      <c r="P149" s="179">
        <f>VLOOKUP(B149,Tot_res!C:V,15,FALSE)</f>
        <v>0</v>
      </c>
      <c r="Q149" s="179">
        <f>VLOOKUP(B149,Tot_res!C:V,16,FALSE)</f>
        <v>0</v>
      </c>
      <c r="R149" s="179">
        <f>VLOOKUP(B149,Tot_res!C:V,17,FALSE)</f>
        <v>6705</v>
      </c>
      <c r="S149" s="179">
        <f>VLOOKUP(B149,Tot_res!C:V,18,FALSE)</f>
        <v>43135</v>
      </c>
      <c r="T149" s="179">
        <f>VLOOKUP(B149,Tot_res!C:V,19,FALSE)</f>
        <v>0</v>
      </c>
      <c r="U149" s="179">
        <f>VLOOKUP(B149,Tot_res!C:V,20,FALSE)</f>
        <v>0</v>
      </c>
      <c r="V149" s="122">
        <f t="shared" si="26"/>
        <v>49840</v>
      </c>
    </row>
    <row r="150" spans="1:28" ht="13.15">
      <c r="A150" s="355"/>
      <c r="B150" s="115" t="s">
        <v>222</v>
      </c>
      <c r="C150" s="333" t="str">
        <f>VLOOKUP(B150,Tot_res!C:D,2,FALSE)</f>
        <v xml:space="preserve"> IVA, ingresos comunidades forales</v>
      </c>
      <c r="D150" s="179">
        <f>VLOOKUP(B150,Tot_res!C:V,3,FALSE)</f>
        <v>0</v>
      </c>
      <c r="E150" s="179">
        <f>VLOOKUP(B150,Tot_res!C:V,4,FALSE)</f>
        <v>0</v>
      </c>
      <c r="F150" s="179">
        <f>VLOOKUP(B150,Tot_res!C:V,5,FALSE)</f>
        <v>0</v>
      </c>
      <c r="G150" s="179">
        <f>VLOOKUP(B150,Tot_res!C:V,6,FALSE)</f>
        <v>0</v>
      </c>
      <c r="H150" s="179">
        <f>VLOOKUP(B150,Tot_res!C:V,7,FALSE)</f>
        <v>0</v>
      </c>
      <c r="I150" s="179">
        <f>VLOOKUP(B150,Tot_res!C:V,8,FALSE)</f>
        <v>0</v>
      </c>
      <c r="J150" s="179">
        <f>VLOOKUP(B150,Tot_res!C:V,9,FALSE)</f>
        <v>0</v>
      </c>
      <c r="K150" s="179">
        <f>VLOOKUP(B150,Tot_res!C:V,10,FALSE)</f>
        <v>0</v>
      </c>
      <c r="L150" s="179">
        <f>VLOOKUP(B150,Tot_res!C:V,11,FALSE)</f>
        <v>0</v>
      </c>
      <c r="M150" s="179">
        <f>VLOOKUP(B150,Tot_res!C:V,12,FALSE)</f>
        <v>0</v>
      </c>
      <c r="N150" s="179">
        <f>VLOOKUP(B150,Tot_res!C:V,13,FALSE)</f>
        <v>0</v>
      </c>
      <c r="O150" s="179">
        <f>VLOOKUP(B150,Tot_res!C:V,14,FALSE)</f>
        <v>0</v>
      </c>
      <c r="P150" s="179">
        <f>VLOOKUP(B150,Tot_res!C:V,15,FALSE)</f>
        <v>0</v>
      </c>
      <c r="Q150" s="179">
        <f>VLOOKUP(B150,Tot_res!C:V,16,FALSE)</f>
        <v>0</v>
      </c>
      <c r="R150" s="179">
        <f>VLOOKUP(B150,Tot_res!C:V,17,FALSE)</f>
        <v>919471</v>
      </c>
      <c r="S150" s="179">
        <f>VLOOKUP(B150,Tot_res!C:V,18,FALSE)</f>
        <v>4278687</v>
      </c>
      <c r="T150" s="179">
        <f>VLOOKUP(B150,Tot_res!C:V,19,FALSE)</f>
        <v>0</v>
      </c>
      <c r="U150" s="179">
        <f>VLOOKUP(B150,Tot_res!C:V,20,FALSE)</f>
        <v>0</v>
      </c>
      <c r="V150" s="122">
        <f t="shared" si="26"/>
        <v>5198158</v>
      </c>
    </row>
    <row r="151" spans="1:28" ht="13.15">
      <c r="A151" s="355"/>
      <c r="B151" s="115" t="s">
        <v>1119</v>
      </c>
      <c r="C151" s="333" t="str">
        <f>VLOOKUP(B151,Tot_res!C:D,2,FALSE)</f>
        <v>Imp. Especiales (incl. Matriculación y electricidad),  sin ejercicio de la capacidad normativa en el IH</v>
      </c>
      <c r="D151" s="179">
        <f>VLOOKUP(B151,Tot_res!C:V,3,FALSE)</f>
        <v>0</v>
      </c>
      <c r="E151" s="179">
        <f>VLOOKUP(B151,Tot_res!C:V,4,FALSE)</f>
        <v>0</v>
      </c>
      <c r="F151" s="179">
        <f>VLOOKUP(B151,Tot_res!C:V,5,FALSE)</f>
        <v>0</v>
      </c>
      <c r="G151" s="179">
        <f>VLOOKUP(B151,Tot_res!C:V,6,FALSE)</f>
        <v>0</v>
      </c>
      <c r="H151" s="179">
        <f>VLOOKUP(B151,Tot_res!C:V,7,FALSE)</f>
        <v>0</v>
      </c>
      <c r="I151" s="179">
        <f>VLOOKUP(B151,Tot_res!C:V,8,FALSE)</f>
        <v>0</v>
      </c>
      <c r="J151" s="179">
        <f>VLOOKUP(B151,Tot_res!C:V,9,FALSE)</f>
        <v>0</v>
      </c>
      <c r="K151" s="179">
        <f>VLOOKUP(B151,Tot_res!C:V,10,FALSE)</f>
        <v>0</v>
      </c>
      <c r="L151" s="179">
        <f>VLOOKUP(B151,Tot_res!C:V,11,FALSE)</f>
        <v>0</v>
      </c>
      <c r="M151" s="179">
        <f>VLOOKUP(B151,Tot_res!C:V,12,FALSE)</f>
        <v>0</v>
      </c>
      <c r="N151" s="179">
        <f>VLOOKUP(B151,Tot_res!C:V,13,FALSE)</f>
        <v>0</v>
      </c>
      <c r="O151" s="179">
        <f>VLOOKUP(B151,Tot_res!C:V,14,FALSE)</f>
        <v>0</v>
      </c>
      <c r="P151" s="179">
        <f>VLOOKUP(B151,Tot_res!C:V,15,FALSE)</f>
        <v>0</v>
      </c>
      <c r="Q151" s="179">
        <f>VLOOKUP(B151,Tot_res!C:V,16,FALSE)</f>
        <v>0</v>
      </c>
      <c r="R151" s="179">
        <f>VLOOKUP(B151,Tot_res!C:V,17,FALSE)</f>
        <v>448599.13594000001</v>
      </c>
      <c r="S151" s="179">
        <f>VLOOKUP(B151,Tot_res!C:V,18,FALSE)</f>
        <v>1373121</v>
      </c>
      <c r="T151" s="179">
        <f>VLOOKUP(B151,Tot_res!C:V,19,FALSE)</f>
        <v>0</v>
      </c>
      <c r="U151" s="179">
        <f>VLOOKUP(B151,Tot_res!C:V,20,FALSE)</f>
        <v>0</v>
      </c>
      <c r="V151" s="122">
        <f t="shared" si="26"/>
        <v>1821720.1359399999</v>
      </c>
    </row>
    <row r="152" spans="1:28" ht="13.15">
      <c r="A152" s="355"/>
      <c r="B152" s="115" t="s">
        <v>223</v>
      </c>
      <c r="C152" s="333" t="str">
        <f>VLOOKUP(B152,Tot_res!C:D,2,FALSE)</f>
        <v>Primas de seguross, ingresos comunidades forales</v>
      </c>
      <c r="D152" s="179">
        <f>VLOOKUP(B152,Tot_res!C:V,3,FALSE)</f>
        <v>0</v>
      </c>
      <c r="E152" s="179">
        <f>VLOOKUP(B152,Tot_res!C:V,4,FALSE)</f>
        <v>0</v>
      </c>
      <c r="F152" s="179">
        <f>VLOOKUP(B152,Tot_res!C:V,5,FALSE)</f>
        <v>0</v>
      </c>
      <c r="G152" s="179">
        <f>VLOOKUP(B152,Tot_res!C:V,6,FALSE)</f>
        <v>0</v>
      </c>
      <c r="H152" s="179">
        <f>VLOOKUP(B152,Tot_res!C:V,7,FALSE)</f>
        <v>0</v>
      </c>
      <c r="I152" s="179">
        <f>VLOOKUP(B152,Tot_res!C:V,8,FALSE)</f>
        <v>0</v>
      </c>
      <c r="J152" s="179">
        <f>VLOOKUP(B152,Tot_res!C:V,9,FALSE)</f>
        <v>0</v>
      </c>
      <c r="K152" s="179">
        <f>VLOOKUP(B152,Tot_res!C:V,10,FALSE)</f>
        <v>0</v>
      </c>
      <c r="L152" s="179">
        <f>VLOOKUP(B152,Tot_res!C:V,11,FALSE)</f>
        <v>0</v>
      </c>
      <c r="M152" s="179">
        <f>VLOOKUP(B152,Tot_res!C:V,12,FALSE)</f>
        <v>0</v>
      </c>
      <c r="N152" s="179">
        <f>VLOOKUP(B152,Tot_res!C:V,13,FALSE)</f>
        <v>0</v>
      </c>
      <c r="O152" s="179">
        <f>VLOOKUP(B152,Tot_res!C:V,14,FALSE)</f>
        <v>0</v>
      </c>
      <c r="P152" s="179">
        <f>VLOOKUP(B152,Tot_res!C:V,15,FALSE)</f>
        <v>0</v>
      </c>
      <c r="Q152" s="179">
        <f>VLOOKUP(B152,Tot_res!C:V,16,FALSE)</f>
        <v>0</v>
      </c>
      <c r="R152" s="179">
        <f>VLOOKUP(B152,Tot_res!C:V,17,FALSE)</f>
        <v>21359</v>
      </c>
      <c r="S152" s="179">
        <f>VLOOKUP(B152,Tot_res!C:V,18,FALSE)</f>
        <v>71019</v>
      </c>
      <c r="T152" s="179">
        <f>VLOOKUP(B152,Tot_res!C:V,19,FALSE)</f>
        <v>0</v>
      </c>
      <c r="U152" s="179">
        <f>VLOOKUP(B152,Tot_res!C:V,20,FALSE)</f>
        <v>0</v>
      </c>
      <c r="V152" s="122">
        <f t="shared" si="26"/>
        <v>92378</v>
      </c>
    </row>
    <row r="153" spans="1:28" ht="13.15">
      <c r="A153" s="355"/>
      <c r="B153" s="115" t="s">
        <v>984</v>
      </c>
      <c r="C153" s="333" t="str">
        <f>VLOOKUP(B153,Tot_res!C:D,2,FALSE)</f>
        <v>Sucesiones y donaciones, ingresos homogeneizados de las comunidades forales</v>
      </c>
      <c r="D153" s="179">
        <f>VLOOKUP(B153,Tot_res!C:V,3,FALSE)</f>
        <v>0</v>
      </c>
      <c r="E153" s="179">
        <f>VLOOKUP(B153,Tot_res!C:V,4,FALSE)</f>
        <v>0</v>
      </c>
      <c r="F153" s="179">
        <f>VLOOKUP(B153,Tot_res!C:V,5,FALSE)</f>
        <v>0</v>
      </c>
      <c r="G153" s="179">
        <f>VLOOKUP(B153,Tot_res!C:V,6,FALSE)</f>
        <v>0</v>
      </c>
      <c r="H153" s="179">
        <f>VLOOKUP(B153,Tot_res!C:V,7,FALSE)</f>
        <v>0</v>
      </c>
      <c r="I153" s="179">
        <f>VLOOKUP(B153,Tot_res!C:V,8,FALSE)</f>
        <v>0</v>
      </c>
      <c r="J153" s="179">
        <f>VLOOKUP(B153,Tot_res!C:V,9,FALSE)</f>
        <v>0</v>
      </c>
      <c r="K153" s="179">
        <f>VLOOKUP(B153,Tot_res!C:V,10,FALSE)</f>
        <v>0</v>
      </c>
      <c r="L153" s="179">
        <f>VLOOKUP(B153,Tot_res!C:V,11,FALSE)</f>
        <v>0</v>
      </c>
      <c r="M153" s="179">
        <f>VLOOKUP(B153,Tot_res!C:V,12,FALSE)</f>
        <v>0</v>
      </c>
      <c r="N153" s="179">
        <f>VLOOKUP(B153,Tot_res!C:V,13,FALSE)</f>
        <v>0</v>
      </c>
      <c r="O153" s="179">
        <f>VLOOKUP(B153,Tot_res!C:V,14,FALSE)</f>
        <v>0</v>
      </c>
      <c r="P153" s="179">
        <f>VLOOKUP(B153,Tot_res!C:V,15,FALSE)</f>
        <v>0</v>
      </c>
      <c r="Q153" s="179">
        <f>VLOOKUP(B153,Tot_res!C:V,16,FALSE)</f>
        <v>0</v>
      </c>
      <c r="R153" s="179">
        <f>VLOOKUP(B153,Tot_res!C:V,17,FALSE)</f>
        <v>44384.853776334283</v>
      </c>
      <c r="S153" s="179">
        <f>VLOOKUP(B153,Tot_res!C:V,18,FALSE)</f>
        <v>183296.91342022215</v>
      </c>
      <c r="T153" s="179">
        <f>VLOOKUP(B153,Tot_res!C:V,19,FALSE)</f>
        <v>0</v>
      </c>
      <c r="U153" s="179">
        <f>VLOOKUP(B153,Tot_res!C:V,20,FALSE)</f>
        <v>0</v>
      </c>
      <c r="V153" s="122">
        <f t="shared" si="26"/>
        <v>227681.76719655644</v>
      </c>
    </row>
    <row r="154" spans="1:28" ht="13.15">
      <c r="A154" s="355"/>
      <c r="B154" s="115" t="s">
        <v>1109</v>
      </c>
      <c r="C154" s="333" t="str">
        <f>VLOOKUP(B154,Tot_res!C:D,2,FALSE)</f>
        <v>Venta minorista de hidrocarburos, ingresos de las comunidades forales</v>
      </c>
      <c r="D154" s="179">
        <f>VLOOKUP(B154,Tot_res!C:V,3,FALSE)</f>
        <v>0</v>
      </c>
      <c r="E154" s="179">
        <f>VLOOKUP(B154,Tot_res!C:V,4,FALSE)</f>
        <v>0</v>
      </c>
      <c r="F154" s="179">
        <f>VLOOKUP(B154,Tot_res!C:V,5,FALSE)</f>
        <v>0</v>
      </c>
      <c r="G154" s="179">
        <f>VLOOKUP(B154,Tot_res!C:V,6,FALSE)</f>
        <v>0</v>
      </c>
      <c r="H154" s="179">
        <f>VLOOKUP(B154,Tot_res!C:V,7,FALSE)</f>
        <v>0</v>
      </c>
      <c r="I154" s="179">
        <f>VLOOKUP(B154,Tot_res!C:V,8,FALSE)</f>
        <v>0</v>
      </c>
      <c r="J154" s="179">
        <f>VLOOKUP(B154,Tot_res!C:V,9,FALSE)</f>
        <v>0</v>
      </c>
      <c r="K154" s="179">
        <f>VLOOKUP(B154,Tot_res!C:V,10,FALSE)</f>
        <v>0</v>
      </c>
      <c r="L154" s="179">
        <f>VLOOKUP(B154,Tot_res!C:V,11,FALSE)</f>
        <v>0</v>
      </c>
      <c r="M154" s="179">
        <f>VLOOKUP(B154,Tot_res!C:V,12,FALSE)</f>
        <v>0</v>
      </c>
      <c r="N154" s="179">
        <f>VLOOKUP(B154,Tot_res!C:V,13,FALSE)</f>
        <v>0</v>
      </c>
      <c r="O154" s="179">
        <f>VLOOKUP(B154,Tot_res!C:V,14,FALSE)</f>
        <v>0</v>
      </c>
      <c r="P154" s="179">
        <f>VLOOKUP(B154,Tot_res!C:V,15,FALSE)</f>
        <v>0</v>
      </c>
      <c r="Q154" s="179">
        <f>VLOOKUP(B154,Tot_res!C:V,16,FALSE)</f>
        <v>0</v>
      </c>
      <c r="R154" s="179">
        <f>VLOOKUP(B154,Tot_res!C:V,17,FALSE)</f>
        <v>6004.0680899999998</v>
      </c>
      <c r="S154" s="179">
        <f>VLOOKUP(B154,Tot_res!C:V,18,FALSE)</f>
        <v>12268</v>
      </c>
      <c r="T154" s="179">
        <f>VLOOKUP(B154,Tot_res!C:V,19,FALSE)</f>
        <v>0</v>
      </c>
      <c r="U154" s="179">
        <f>VLOOKUP(B154,Tot_res!C:V,20,FALSE)</f>
        <v>0</v>
      </c>
      <c r="V154" s="122">
        <f t="shared" si="26"/>
        <v>18272.068090000001</v>
      </c>
    </row>
    <row r="155" spans="1:28" ht="13.15">
      <c r="A155" s="355"/>
      <c r="B155" s="115" t="s">
        <v>985</v>
      </c>
      <c r="C155" s="333" t="str">
        <f>VLOOKUP(B155,Tot_res!C:D,2,FALSE)</f>
        <v>ITP y AJD, ingresos homogeneizados de las comunidades forales</v>
      </c>
      <c r="D155" s="179">
        <f>VLOOKUP(B155,Tot_res!C:V,3,FALSE)</f>
        <v>0</v>
      </c>
      <c r="E155" s="179">
        <f>VLOOKUP(B155,Tot_res!C:V,4,FALSE)</f>
        <v>0</v>
      </c>
      <c r="F155" s="179">
        <f>VLOOKUP(B155,Tot_res!C:V,5,FALSE)</f>
        <v>0</v>
      </c>
      <c r="G155" s="179">
        <f>VLOOKUP(B155,Tot_res!C:V,6,FALSE)</f>
        <v>0</v>
      </c>
      <c r="H155" s="179">
        <f>VLOOKUP(B155,Tot_res!C:V,7,FALSE)</f>
        <v>0</v>
      </c>
      <c r="I155" s="179">
        <f>VLOOKUP(B155,Tot_res!C:V,8,FALSE)</f>
        <v>0</v>
      </c>
      <c r="J155" s="179">
        <f>VLOOKUP(B155,Tot_res!C:V,9,FALSE)</f>
        <v>0</v>
      </c>
      <c r="K155" s="179">
        <f>VLOOKUP(B155,Tot_res!C:V,10,FALSE)</f>
        <v>0</v>
      </c>
      <c r="L155" s="179">
        <f>VLOOKUP(B155,Tot_res!C:V,11,FALSE)</f>
        <v>0</v>
      </c>
      <c r="M155" s="179">
        <f>VLOOKUP(B155,Tot_res!C:V,12,FALSE)</f>
        <v>0</v>
      </c>
      <c r="N155" s="179">
        <f>VLOOKUP(B155,Tot_res!C:V,13,FALSE)</f>
        <v>0</v>
      </c>
      <c r="O155" s="179">
        <f>VLOOKUP(B155,Tot_res!C:V,14,FALSE)</f>
        <v>0</v>
      </c>
      <c r="P155" s="179">
        <f>VLOOKUP(B155,Tot_res!C:V,15,FALSE)</f>
        <v>0</v>
      </c>
      <c r="Q155" s="179">
        <f>VLOOKUP(B155,Tot_res!C:V,16,FALSE)</f>
        <v>0</v>
      </c>
      <c r="R155" s="179">
        <f>VLOOKUP(B155,Tot_res!C:V,17,FALSE)</f>
        <v>51461.400242745025</v>
      </c>
      <c r="S155" s="179">
        <f>VLOOKUP(B155,Tot_res!C:V,18,FALSE)</f>
        <v>181938.57091712259</v>
      </c>
      <c r="T155" s="179">
        <f>VLOOKUP(B155,Tot_res!C:V,19,FALSE)</f>
        <v>0</v>
      </c>
      <c r="U155" s="179">
        <f>VLOOKUP(B155,Tot_res!C:V,20,FALSE)</f>
        <v>0</v>
      </c>
      <c r="V155" s="122">
        <f t="shared" si="26"/>
        <v>233399.97115986762</v>
      </c>
    </row>
    <row r="156" spans="1:28" s="103" customFormat="1" ht="13.15">
      <c r="A156" s="355"/>
      <c r="B156" s="115" t="s">
        <v>986</v>
      </c>
      <c r="C156" s="333" t="str">
        <f>VLOOKUP(B156,Tot_res!C:D,2,FALSE)</f>
        <v>Tasas juego, ingresos homogeneizados de las comunidades forales</v>
      </c>
      <c r="D156" s="179">
        <f>VLOOKUP(B156,Tot_res!C:V,3,FALSE)</f>
        <v>0</v>
      </c>
      <c r="E156" s="179">
        <f>VLOOKUP(B156,Tot_res!C:V,4,FALSE)</f>
        <v>0</v>
      </c>
      <c r="F156" s="179">
        <f>VLOOKUP(B156,Tot_res!C:V,5,FALSE)</f>
        <v>0</v>
      </c>
      <c r="G156" s="179">
        <f>VLOOKUP(B156,Tot_res!C:V,6,FALSE)</f>
        <v>0</v>
      </c>
      <c r="H156" s="179">
        <f>VLOOKUP(B156,Tot_res!C:V,7,FALSE)</f>
        <v>0</v>
      </c>
      <c r="I156" s="179">
        <f>VLOOKUP(B156,Tot_res!C:V,8,FALSE)</f>
        <v>0</v>
      </c>
      <c r="J156" s="179">
        <f>VLOOKUP(B156,Tot_res!C:V,9,FALSE)</f>
        <v>0</v>
      </c>
      <c r="K156" s="179">
        <f>VLOOKUP(B156,Tot_res!C:V,10,FALSE)</f>
        <v>0</v>
      </c>
      <c r="L156" s="179">
        <f>VLOOKUP(B156,Tot_res!C:V,11,FALSE)</f>
        <v>0</v>
      </c>
      <c r="M156" s="179">
        <f>VLOOKUP(B156,Tot_res!C:V,12,FALSE)</f>
        <v>0</v>
      </c>
      <c r="N156" s="179">
        <f>VLOOKUP(B156,Tot_res!C:V,13,FALSE)</f>
        <v>0</v>
      </c>
      <c r="O156" s="179">
        <f>VLOOKUP(B156,Tot_res!C:V,14,FALSE)</f>
        <v>0</v>
      </c>
      <c r="P156" s="179">
        <f>VLOOKUP(B156,Tot_res!C:V,15,FALSE)</f>
        <v>0</v>
      </c>
      <c r="Q156" s="179">
        <f>VLOOKUP(B156,Tot_res!C:V,16,FALSE)</f>
        <v>0</v>
      </c>
      <c r="R156" s="179">
        <f>VLOOKUP(B156,Tot_res!C:V,17,FALSE)</f>
        <v>10705.772301125959</v>
      </c>
      <c r="S156" s="179">
        <f>VLOOKUP(B156,Tot_res!C:V,18,FALSE)</f>
        <v>30163.403423294181</v>
      </c>
      <c r="T156" s="179">
        <f>VLOOKUP(B156,Tot_res!C:V,19,FALSE)</f>
        <v>0</v>
      </c>
      <c r="U156" s="179">
        <f>VLOOKUP(B156,Tot_res!C:V,20,FALSE)</f>
        <v>0</v>
      </c>
      <c r="V156" s="122">
        <f t="shared" si="26"/>
        <v>40869.175724420144</v>
      </c>
      <c r="W156" s="102"/>
      <c r="X156" s="102"/>
      <c r="Y156" s="102"/>
      <c r="Z156" s="102"/>
      <c r="AA156" s="102"/>
      <c r="AB156" s="102"/>
    </row>
    <row r="157" spans="1:28" ht="13.15">
      <c r="A157" s="356"/>
      <c r="B157" s="115"/>
      <c r="C157" s="140"/>
      <c r="D157" s="105"/>
      <c r="E157" s="105"/>
      <c r="F157" s="105"/>
      <c r="G157" s="105"/>
      <c r="H157" s="105"/>
      <c r="I157" s="105"/>
      <c r="J157" s="105"/>
      <c r="K157" s="105"/>
      <c r="L157" s="105"/>
      <c r="M157" s="105"/>
      <c r="N157" s="105"/>
      <c r="O157" s="105"/>
      <c r="P157" s="105"/>
      <c r="Q157" s="105"/>
      <c r="R157" s="105"/>
      <c r="S157" s="105"/>
      <c r="T157" s="105"/>
      <c r="U157" s="105"/>
      <c r="V157" s="122"/>
      <c r="W157" s="103"/>
      <c r="X157" s="103"/>
      <c r="Y157" s="103"/>
      <c r="Z157" s="103"/>
      <c r="AA157" s="103"/>
      <c r="AB157" s="103"/>
    </row>
    <row r="158" spans="1:28" ht="13.15">
      <c r="A158" s="356"/>
      <c r="B158" s="137"/>
      <c r="C158" s="117" t="s">
        <v>5</v>
      </c>
      <c r="D158" s="114">
        <f t="shared" ref="D158:U158" si="27">SUM(D159:D161)</f>
        <v>0</v>
      </c>
      <c r="E158" s="114">
        <f t="shared" si="27"/>
        <v>0</v>
      </c>
      <c r="F158" s="114">
        <f t="shared" si="27"/>
        <v>0</v>
      </c>
      <c r="G158" s="114">
        <f t="shared" si="27"/>
        <v>0</v>
      </c>
      <c r="H158" s="114">
        <f t="shared" si="27"/>
        <v>0</v>
      </c>
      <c r="I158" s="114">
        <f t="shared" si="27"/>
        <v>0</v>
      </c>
      <c r="J158" s="114">
        <f t="shared" si="27"/>
        <v>0</v>
      </c>
      <c r="K158" s="114">
        <f t="shared" si="27"/>
        <v>0</v>
      </c>
      <c r="L158" s="114">
        <f t="shared" si="27"/>
        <v>0</v>
      </c>
      <c r="M158" s="114">
        <f t="shared" si="27"/>
        <v>0</v>
      </c>
      <c r="N158" s="114">
        <f t="shared" si="27"/>
        <v>0</v>
      </c>
      <c r="O158" s="114">
        <f t="shared" si="27"/>
        <v>0</v>
      </c>
      <c r="P158" s="114">
        <f t="shared" si="27"/>
        <v>0</v>
      </c>
      <c r="Q158" s="114">
        <f t="shared" si="27"/>
        <v>0</v>
      </c>
      <c r="R158" s="114">
        <f>SUM(R159:R161)</f>
        <v>-574126</v>
      </c>
      <c r="S158" s="114">
        <f>SUM(S159:S161)</f>
        <v>-1111705.32</v>
      </c>
      <c r="T158" s="114">
        <f t="shared" si="27"/>
        <v>0</v>
      </c>
      <c r="U158" s="114">
        <f t="shared" si="27"/>
        <v>0</v>
      </c>
      <c r="V158" s="126">
        <f>SUM(V159:V161)</f>
        <v>-1685831.32</v>
      </c>
    </row>
    <row r="159" spans="1:28" ht="13.15">
      <c r="A159" s="355"/>
      <c r="B159" s="115" t="s">
        <v>1009</v>
      </c>
      <c r="C159" s="333" t="str">
        <f>VLOOKUP(B159,Tot_res!C:D,2,FALSE)</f>
        <v xml:space="preserve"> Cupo y aportación, antes descuento por Y vasca</v>
      </c>
      <c r="D159" s="179">
        <f>VLOOKUP(B159,Tot_res!C:V,3,FALSE)</f>
        <v>0</v>
      </c>
      <c r="E159" s="179">
        <f>VLOOKUP(B159,Tot_res!C:V,4,FALSE)</f>
        <v>0</v>
      </c>
      <c r="F159" s="179">
        <f>VLOOKUP(B159,Tot_res!C:V,5,FALSE)</f>
        <v>0</v>
      </c>
      <c r="G159" s="179">
        <f>VLOOKUP(B159,Tot_res!C:V,6,FALSE)</f>
        <v>0</v>
      </c>
      <c r="H159" s="179">
        <f>VLOOKUP(B159,Tot_res!C:V,7,FALSE)</f>
        <v>0</v>
      </c>
      <c r="I159" s="179">
        <f>VLOOKUP(B159,Tot_res!C:V,8,FALSE)</f>
        <v>0</v>
      </c>
      <c r="J159" s="179">
        <f>VLOOKUP(B159,Tot_res!C:V,9,FALSE)</f>
        <v>0</v>
      </c>
      <c r="K159" s="179">
        <f>VLOOKUP(B159,Tot_res!C:V,10,FALSE)</f>
        <v>0</v>
      </c>
      <c r="L159" s="179">
        <f>VLOOKUP(B159,Tot_res!C:V,11,FALSE)</f>
        <v>0</v>
      </c>
      <c r="M159" s="179">
        <f>VLOOKUP(B159,Tot_res!C:V,12,FALSE)</f>
        <v>0</v>
      </c>
      <c r="N159" s="179">
        <f>VLOOKUP(B159,Tot_res!C:V,13,FALSE)</f>
        <v>0</v>
      </c>
      <c r="O159" s="179">
        <f>VLOOKUP(B159,Tot_res!C:V,14,FALSE)</f>
        <v>0</v>
      </c>
      <c r="P159" s="179">
        <f>VLOOKUP(B159,Tot_res!C:V,15,FALSE)</f>
        <v>0</v>
      </c>
      <c r="Q159" s="179">
        <f>VLOOKUP(B159,Tot_res!C:V,16,FALSE)</f>
        <v>0</v>
      </c>
      <c r="R159" s="179">
        <f>VLOOKUP(B159,Tot_res!C:V,17,FALSE)</f>
        <v>-574126</v>
      </c>
      <c r="S159" s="179">
        <f>VLOOKUP(B159,Tot_res!C:V,18,FALSE)</f>
        <v>-1209246.32</v>
      </c>
      <c r="T159" s="179">
        <f>VLOOKUP(B159,Tot_res!C:V,19,FALSE)</f>
        <v>0</v>
      </c>
      <c r="U159" s="179">
        <f>VLOOKUP(B159,Tot_res!C:V,20,FALSE)</f>
        <v>0</v>
      </c>
      <c r="V159" s="122">
        <f>SUM(D159:U159)</f>
        <v>-1783372.32</v>
      </c>
    </row>
    <row r="160" spans="1:28" ht="13.15">
      <c r="A160" s="355"/>
      <c r="B160" s="115" t="s">
        <v>987</v>
      </c>
      <c r="C160" s="333" t="str">
        <f>VLOOKUP(B160,Tot_res!C:D,2,FALSE)</f>
        <v>Otras transferencias a CCAA: Compensaciones financieras al País Vasco por IE sobre las labores de tabaco</v>
      </c>
      <c r="D160" s="179">
        <f>VLOOKUP(B160,Tot_res!C:V,3,FALSE)</f>
        <v>0</v>
      </c>
      <c r="E160" s="179">
        <f>VLOOKUP(B160,Tot_res!C:V,4,FALSE)</f>
        <v>0</v>
      </c>
      <c r="F160" s="179">
        <f>VLOOKUP(B160,Tot_res!C:V,5,FALSE)</f>
        <v>0</v>
      </c>
      <c r="G160" s="179">
        <f>VLOOKUP(B160,Tot_res!C:V,6,FALSE)</f>
        <v>0</v>
      </c>
      <c r="H160" s="179">
        <f>VLOOKUP(B160,Tot_res!C:V,7,FALSE)</f>
        <v>0</v>
      </c>
      <c r="I160" s="179">
        <f>VLOOKUP(B160,Tot_res!C:V,8,FALSE)</f>
        <v>0</v>
      </c>
      <c r="J160" s="179">
        <f>VLOOKUP(B160,Tot_res!C:V,9,FALSE)</f>
        <v>0</v>
      </c>
      <c r="K160" s="179">
        <f>VLOOKUP(B160,Tot_res!C:V,10,FALSE)</f>
        <v>0</v>
      </c>
      <c r="L160" s="179">
        <f>VLOOKUP(B160,Tot_res!C:V,11,FALSE)</f>
        <v>0</v>
      </c>
      <c r="M160" s="179">
        <f>VLOOKUP(B160,Tot_res!C:V,12,FALSE)</f>
        <v>0</v>
      </c>
      <c r="N160" s="179">
        <f>VLOOKUP(B160,Tot_res!C:V,13,FALSE)</f>
        <v>0</v>
      </c>
      <c r="O160" s="179">
        <f>VLOOKUP(B160,Tot_res!C:V,14,FALSE)</f>
        <v>0</v>
      </c>
      <c r="P160" s="179">
        <f>VLOOKUP(B160,Tot_res!C:V,15,FALSE)</f>
        <v>0</v>
      </c>
      <c r="Q160" s="179">
        <f>VLOOKUP(B160,Tot_res!C:V,16,FALSE)</f>
        <v>0</v>
      </c>
      <c r="R160" s="179">
        <f>VLOOKUP(B160,Tot_res!C:V,17,FALSE)</f>
        <v>0</v>
      </c>
      <c r="S160" s="179">
        <f>VLOOKUP(B160,Tot_res!C:V,18,FALSE)</f>
        <v>144827</v>
      </c>
      <c r="T160" s="179">
        <f>VLOOKUP(B160,Tot_res!C:V,19,FALSE)</f>
        <v>0</v>
      </c>
      <c r="U160" s="179">
        <f>VLOOKUP(B160,Tot_res!C:V,20,FALSE)</f>
        <v>0</v>
      </c>
      <c r="V160" s="122">
        <f>SUM(D160:U160)</f>
        <v>144827</v>
      </c>
    </row>
    <row r="161" spans="1:28" s="103" customFormat="1" ht="13.15">
      <c r="A161" s="355"/>
      <c r="B161" s="115" t="s">
        <v>225</v>
      </c>
      <c r="C161" s="333" t="str">
        <f>VLOOKUP(B161,Tot_res!C:D,2,FALSE)</f>
        <v>compensaciones financieras IE bebidas alcohólicas e hidrocarburos</v>
      </c>
      <c r="D161" s="179">
        <f>VLOOKUP(B161,Tot_res!C:V,3,FALSE)</f>
        <v>0</v>
      </c>
      <c r="E161" s="179">
        <f>VLOOKUP(B161,Tot_res!C:V,4,FALSE)</f>
        <v>0</v>
      </c>
      <c r="F161" s="179">
        <f>VLOOKUP(B161,Tot_res!C:V,5,FALSE)</f>
        <v>0</v>
      </c>
      <c r="G161" s="179">
        <f>VLOOKUP(B161,Tot_res!C:V,6,FALSE)</f>
        <v>0</v>
      </c>
      <c r="H161" s="179">
        <f>VLOOKUP(B161,Tot_res!C:V,7,FALSE)</f>
        <v>0</v>
      </c>
      <c r="I161" s="179">
        <f>VLOOKUP(B161,Tot_res!C:V,8,FALSE)</f>
        <v>0</v>
      </c>
      <c r="J161" s="179">
        <f>VLOOKUP(B161,Tot_res!C:V,9,FALSE)</f>
        <v>0</v>
      </c>
      <c r="K161" s="179">
        <f>VLOOKUP(B161,Tot_res!C:V,10,FALSE)</f>
        <v>0</v>
      </c>
      <c r="L161" s="179">
        <f>VLOOKUP(B161,Tot_res!C:V,11,FALSE)</f>
        <v>0</v>
      </c>
      <c r="M161" s="179">
        <f>VLOOKUP(B161,Tot_res!C:V,12,FALSE)</f>
        <v>0</v>
      </c>
      <c r="N161" s="179">
        <f>VLOOKUP(B161,Tot_res!C:V,13,FALSE)</f>
        <v>0</v>
      </c>
      <c r="O161" s="179">
        <f>VLOOKUP(B161,Tot_res!C:V,14,FALSE)</f>
        <v>0</v>
      </c>
      <c r="P161" s="179">
        <f>VLOOKUP(B161,Tot_res!C:V,15,FALSE)</f>
        <v>0</v>
      </c>
      <c r="Q161" s="179">
        <f>VLOOKUP(B161,Tot_res!C:V,16,FALSE)</f>
        <v>0</v>
      </c>
      <c r="R161" s="179">
        <f>VLOOKUP(B161,Tot_res!C:V,17,FALSE)</f>
        <v>0</v>
      </c>
      <c r="S161" s="179">
        <f>VLOOKUP(B161,Tot_res!C:V,18,FALSE)</f>
        <v>-47286</v>
      </c>
      <c r="T161" s="179">
        <f>VLOOKUP(B161,Tot_res!C:V,19,FALSE)</f>
        <v>0</v>
      </c>
      <c r="U161" s="179">
        <f>VLOOKUP(B161,Tot_res!C:V,20,FALSE)</f>
        <v>0</v>
      </c>
      <c r="V161" s="122">
        <f>SUM(D161:U161)</f>
        <v>-47286</v>
      </c>
      <c r="W161" s="102"/>
      <c r="X161" s="102"/>
      <c r="Y161" s="102"/>
      <c r="Z161" s="102"/>
      <c r="AA161" s="102"/>
      <c r="AB161" s="102"/>
    </row>
    <row r="162" spans="1:28" ht="13.15">
      <c r="A162" s="356"/>
      <c r="B162" s="115"/>
      <c r="C162" s="140"/>
      <c r="D162" s="105"/>
      <c r="E162" s="105"/>
      <c r="F162" s="105"/>
      <c r="G162" s="105"/>
      <c r="H162" s="105"/>
      <c r="I162" s="105"/>
      <c r="J162" s="105"/>
      <c r="K162" s="105"/>
      <c r="L162" s="105"/>
      <c r="M162" s="105"/>
      <c r="N162" s="105"/>
      <c r="O162" s="105"/>
      <c r="P162" s="105"/>
      <c r="Q162" s="105"/>
      <c r="R162" s="105"/>
      <c r="S162" s="105"/>
      <c r="T162" s="105"/>
      <c r="U162" s="105"/>
      <c r="V162" s="122"/>
      <c r="W162" s="103"/>
      <c r="X162" s="103"/>
      <c r="Y162" s="103"/>
      <c r="Z162" s="103"/>
      <c r="AA162" s="103"/>
      <c r="AB162" s="103"/>
    </row>
    <row r="163" spans="1:28" ht="13.15">
      <c r="A163" s="356"/>
      <c r="B163" s="137"/>
      <c r="C163" s="117" t="s">
        <v>52</v>
      </c>
      <c r="D163" s="114">
        <f t="shared" ref="D163:U163" si="28">SUM(D164:D187)</f>
        <v>0</v>
      </c>
      <c r="E163" s="114">
        <f t="shared" si="28"/>
        <v>0</v>
      </c>
      <c r="F163" s="114">
        <f t="shared" si="28"/>
        <v>0</v>
      </c>
      <c r="G163" s="114">
        <f t="shared" si="28"/>
        <v>0</v>
      </c>
      <c r="H163" s="114">
        <f t="shared" si="28"/>
        <v>0</v>
      </c>
      <c r="I163" s="114">
        <f t="shared" si="28"/>
        <v>0</v>
      </c>
      <c r="J163" s="114">
        <f t="shared" si="28"/>
        <v>0</v>
      </c>
      <c r="K163" s="114">
        <f t="shared" si="28"/>
        <v>0</v>
      </c>
      <c r="L163" s="114">
        <f t="shared" si="28"/>
        <v>0</v>
      </c>
      <c r="M163" s="114">
        <f t="shared" si="28"/>
        <v>0</v>
      </c>
      <c r="N163" s="114">
        <f t="shared" si="28"/>
        <v>0</v>
      </c>
      <c r="O163" s="114">
        <f t="shared" si="28"/>
        <v>0</v>
      </c>
      <c r="P163" s="114">
        <f t="shared" si="28"/>
        <v>0</v>
      </c>
      <c r="Q163" s="114">
        <f t="shared" si="28"/>
        <v>0</v>
      </c>
      <c r="R163" s="114">
        <f t="shared" si="28"/>
        <v>-535468.76581986819</v>
      </c>
      <c r="S163" s="114">
        <f t="shared" si="28"/>
        <v>-2251688.5009490619</v>
      </c>
      <c r="T163" s="114">
        <f t="shared" si="28"/>
        <v>0</v>
      </c>
      <c r="U163" s="114">
        <f t="shared" si="28"/>
        <v>0</v>
      </c>
      <c r="V163" s="127">
        <f>SUM(V164:V187)</f>
        <v>-2787157.2667689295</v>
      </c>
    </row>
    <row r="164" spans="1:28" ht="13.15">
      <c r="A164" s="356"/>
      <c r="B164" s="115" t="s">
        <v>1127</v>
      </c>
      <c r="C164" s="335" t="str">
        <f>VLOOKUP(B164,Tot_res!C:D,2,FALSE)</f>
        <v>gestión tributaria (prog. 932A)</v>
      </c>
      <c r="D164" s="186">
        <f>IF(ISERROR(VLOOKUP(B164,Tot_res!C:V,3,FALSE)),"",VLOOKUP(B164,Tot_res!C:V,3,FALSE))</f>
        <v>0</v>
      </c>
      <c r="E164" s="186">
        <f>IF(ISERROR(VLOOKUP(B164,Tot_res!C:V,4,FALSE)),"",VLOOKUP(B164,Tot_res!C:V,4,FALSE))</f>
        <v>0</v>
      </c>
      <c r="F164" s="186">
        <f>IF(ISERROR(VLOOKUP(B164,Tot_res!C:V,5,FALSE)),"",VLOOKUP(B164,Tot_res!C:V,5,FALSE))</f>
        <v>0</v>
      </c>
      <c r="G164" s="186">
        <f>IF(ISERROR(VLOOKUP(B164,Tot_res!C:V,6,FALSE)),"",VLOOKUP(B164,Tot_res!C:V,6,FALSE))</f>
        <v>0</v>
      </c>
      <c r="H164" s="186">
        <f>IF(ISERROR(VLOOKUP(B164,Tot_res!C:V,7,FALSE)),"",VLOOKUP(B164,Tot_res!C:V,7,FALSE))</f>
        <v>0</v>
      </c>
      <c r="I164" s="186">
        <f>IF(ISERROR(VLOOKUP(B164,Tot_res!C:V,8,FALSE)),"",VLOOKUP(B164,Tot_res!C:V,8,FALSE))</f>
        <v>0</v>
      </c>
      <c r="J164" s="186">
        <f>IF(ISERROR(VLOOKUP(B164,Tot_res!C:V,9,FALSE)),"",(VLOOKUP(B164,Tot_res!C:V,9,FALSE)))</f>
        <v>0</v>
      </c>
      <c r="K164" s="186">
        <f>IF(ISERROR(VLOOKUP(B164,Tot_res!C:V,10,FALSE)),"",VLOOKUP(B164,Tot_res!C:V,10,FALSE))</f>
        <v>0</v>
      </c>
      <c r="L164" s="186">
        <f>IF(ISERROR(VLOOKUP(B164,Tot_res!C:V,11,FALSE)),"",VLOOKUP(B164,Tot_res!C:V,11,FALSE))</f>
        <v>0</v>
      </c>
      <c r="M164" s="186">
        <f>IF(ISERROR(VLOOKUP(B164,Tot_res!C:V,12,FALSE)),"",VLOOKUP(B164,Tot_res!C:V,12,FALSE))</f>
        <v>0</v>
      </c>
      <c r="N164" s="186">
        <f>IF(ISERROR(VLOOKUP(B164,Tot_res!C:V,13,FALSE)),"",VLOOKUP(B164,Tot_res!C:V,13,FALSE))</f>
        <v>0</v>
      </c>
      <c r="O164" s="186">
        <f>IF(ISERROR(VLOOKUP(B164,Tot_res!C:V,14,FALSE)),"",VLOOKUP(B164,Tot_res!C:V,14,FALSE))</f>
        <v>0</v>
      </c>
      <c r="P164" s="186">
        <f>IF(ISERROR(VLOOKUP(B164,Tot_res!C:V,15,FALSE)),"",VLOOKUP(B164,Tot_res!C:V,15,FALSE))</f>
        <v>0</v>
      </c>
      <c r="Q164" s="186">
        <f>IF(ISERROR(VLOOKUP(B164,Tot_res!C:V,16,FALSE)),"",VLOOKUP(B164,Tot_res!C:V,16,FALSE))</f>
        <v>0</v>
      </c>
      <c r="R164" s="186">
        <f>IF(ISERROR(VLOOKUP(B164,Tot_res!C:V,17,FALSE)),"",VLOOKUP(B164,Tot_res!C:V,17,FALSE))</f>
        <v>-18189.134959347328</v>
      </c>
      <c r="S164" s="186">
        <f>IF(ISERROR(VLOOKUP(B164,Tot_res!C:V,18,FALSE)),"",VLOOKUP(B164,Tot_res!C:V,18,FALSE))</f>
        <v>-61995.323364685457</v>
      </c>
      <c r="T164" s="186">
        <f>IF(ISERROR(VLOOKUP(B164,Tot_res!C:V,19,FALSE)),"",VLOOKUP(B164,Tot_res!C:V,19,FALSE))</f>
        <v>0</v>
      </c>
      <c r="U164" s="186">
        <f>IF(ISERROR(VLOOKUP(B164,Tot_res!C:V,20,FALSE)),"",VLOOKUP(B164,Tot_res!C:V,20,FALSE))</f>
        <v>0</v>
      </c>
      <c r="V164" s="122">
        <f t="shared" ref="V164:V187" si="29">SUM(D164:U164)</f>
        <v>-80184.458324032777</v>
      </c>
    </row>
    <row r="165" spans="1:28" ht="13.15">
      <c r="A165" s="356"/>
      <c r="B165" s="115" t="s">
        <v>1128</v>
      </c>
      <c r="C165" s="335" t="str">
        <f>VLOOKUP(B165,Tot_res!C:D,2,FALSE)</f>
        <v>Gestión del catastro inmobiliario (programa 932M)</v>
      </c>
      <c r="D165" s="186">
        <f>IF(ISERROR(VLOOKUP(B165,Tot_res!C:V,3,FALSE)),"",VLOOKUP(B165,Tot_res!C:V,3,FALSE))</f>
        <v>0</v>
      </c>
      <c r="E165" s="186">
        <f>IF(ISERROR(VLOOKUP(B165,Tot_res!C:V,4,FALSE)),"",VLOOKUP(B165,Tot_res!C:V,4,FALSE))</f>
        <v>0</v>
      </c>
      <c r="F165" s="186">
        <f>IF(ISERROR(VLOOKUP(B165,Tot_res!C:V,5,FALSE)),"",VLOOKUP(B165,Tot_res!C:V,5,FALSE))</f>
        <v>0</v>
      </c>
      <c r="G165" s="186">
        <f>IF(ISERROR(VLOOKUP(B165,Tot_res!C:V,6,FALSE)),"",VLOOKUP(B165,Tot_res!C:V,6,FALSE))</f>
        <v>0</v>
      </c>
      <c r="H165" s="186">
        <f>IF(ISERROR(VLOOKUP(B165,Tot_res!C:V,7,FALSE)),"",VLOOKUP(B165,Tot_res!C:V,7,FALSE))</f>
        <v>0</v>
      </c>
      <c r="I165" s="186">
        <f>IF(ISERROR(VLOOKUP(B165,Tot_res!C:V,8,FALSE)),"",VLOOKUP(B165,Tot_res!C:V,8,FALSE))</f>
        <v>0</v>
      </c>
      <c r="J165" s="186">
        <f>IF(ISERROR(VLOOKUP(B165,Tot_res!C:V,9,FALSE)),"",(VLOOKUP(B165,Tot_res!C:V,9,FALSE)))</f>
        <v>0</v>
      </c>
      <c r="K165" s="186">
        <f>IF(ISERROR(VLOOKUP(B165,Tot_res!C:V,10,FALSE)),"",VLOOKUP(B165,Tot_res!C:V,10,FALSE))</f>
        <v>0</v>
      </c>
      <c r="L165" s="186">
        <f>IF(ISERROR(VLOOKUP(B165,Tot_res!C:V,11,FALSE)),"",VLOOKUP(B165,Tot_res!C:V,11,FALSE))</f>
        <v>0</v>
      </c>
      <c r="M165" s="186">
        <f>IF(ISERROR(VLOOKUP(B165,Tot_res!C:V,12,FALSE)),"",VLOOKUP(B165,Tot_res!C:V,12,FALSE))</f>
        <v>0</v>
      </c>
      <c r="N165" s="186">
        <f>IF(ISERROR(VLOOKUP(B165,Tot_res!C:V,13,FALSE)),"",VLOOKUP(B165,Tot_res!C:V,13,FALSE))</f>
        <v>0</v>
      </c>
      <c r="O165" s="186">
        <f>IF(ISERROR(VLOOKUP(B165,Tot_res!C:V,14,FALSE)),"",VLOOKUP(B165,Tot_res!C:V,14,FALSE))</f>
        <v>0</v>
      </c>
      <c r="P165" s="186">
        <f>IF(ISERROR(VLOOKUP(B165,Tot_res!C:V,15,FALSE)),"",VLOOKUP(B165,Tot_res!C:V,15,FALSE))</f>
        <v>0</v>
      </c>
      <c r="Q165" s="186">
        <f>IF(ISERROR(VLOOKUP(B165,Tot_res!C:V,16,FALSE)),"",VLOOKUP(B165,Tot_res!C:V,16,FALSE))</f>
        <v>0</v>
      </c>
      <c r="R165" s="186">
        <f>IF(ISERROR(VLOOKUP(B165,Tot_res!C:V,17,FALSE)),"",VLOOKUP(B165,Tot_res!C:V,17,FALSE))</f>
        <v>-1396.8551128796412</v>
      </c>
      <c r="S165" s="186">
        <f>IF(ISERROR(VLOOKUP(B165,Tot_res!C:V,18,FALSE)),"",VLOOKUP(B165,Tot_res!C:V,18,FALSE))</f>
        <v>-4761.0007078475674</v>
      </c>
      <c r="T165" s="186">
        <f>IF(ISERROR(VLOOKUP(B165,Tot_res!C:V,19,FALSE)),"",VLOOKUP(B165,Tot_res!C:V,19,FALSE))</f>
        <v>0</v>
      </c>
      <c r="U165" s="186">
        <f>IF(ISERROR(VLOOKUP(B165,Tot_res!C:V,20,FALSE)),"",VLOOKUP(B165,Tot_res!C:V,20,FALSE))</f>
        <v>0</v>
      </c>
      <c r="V165" s="122">
        <f t="shared" si="29"/>
        <v>-6157.855820727209</v>
      </c>
    </row>
    <row r="166" spans="1:28" ht="13.15">
      <c r="A166" s="356"/>
      <c r="B166" s="115" t="s">
        <v>1129</v>
      </c>
      <c r="C166" s="335" t="str">
        <f>VLOOKUP(B166,Tot_res!C:D,2,FALSE)</f>
        <v>Pensiones no contributivas y otras prestaciones económicas (sección 3.1)</v>
      </c>
      <c r="D166" s="186">
        <f>IF(ISERROR(VLOOKUP(B166,Tot_res!C:V,3,FALSE)),"",VLOOKUP(B166,Tot_res!C:V,3,FALSE))</f>
        <v>0</v>
      </c>
      <c r="E166" s="186">
        <f>IF(ISERROR(VLOOKUP(B166,Tot_res!C:V,4,FALSE)),"",VLOOKUP(B166,Tot_res!C:V,4,FALSE))</f>
        <v>0</v>
      </c>
      <c r="F166" s="186">
        <f>IF(ISERROR(VLOOKUP(B166,Tot_res!C:V,5,FALSE)),"",VLOOKUP(B166,Tot_res!C:V,5,FALSE))</f>
        <v>0</v>
      </c>
      <c r="G166" s="186">
        <f>IF(ISERROR(VLOOKUP(B166,Tot_res!C:V,6,FALSE)),"",VLOOKUP(B166,Tot_res!C:V,6,FALSE))</f>
        <v>0</v>
      </c>
      <c r="H166" s="186">
        <f>IF(ISERROR(VLOOKUP(B166,Tot_res!C:V,7,FALSE)),"",VLOOKUP(B166,Tot_res!C:V,7,FALSE))</f>
        <v>0</v>
      </c>
      <c r="I166" s="186">
        <f>IF(ISERROR(VLOOKUP(B166,Tot_res!C:V,8,FALSE)),"",VLOOKUP(B166,Tot_res!C:V,8,FALSE))</f>
        <v>0</v>
      </c>
      <c r="J166" s="186">
        <f>IF(ISERROR(VLOOKUP(B166,Tot_res!C:V,9,FALSE)),"",(VLOOKUP(B166,Tot_res!C:V,9,FALSE)))</f>
        <v>0</v>
      </c>
      <c r="K166" s="186">
        <f>IF(ISERROR(VLOOKUP(B166,Tot_res!C:V,10,FALSE)),"",VLOOKUP(B166,Tot_res!C:V,10,FALSE))</f>
        <v>0</v>
      </c>
      <c r="L166" s="186">
        <f>IF(ISERROR(VLOOKUP(B166,Tot_res!C:V,11,FALSE)),"",VLOOKUP(B166,Tot_res!C:V,11,FALSE))</f>
        <v>0</v>
      </c>
      <c r="M166" s="186">
        <f>IF(ISERROR(VLOOKUP(B166,Tot_res!C:V,12,FALSE)),"",VLOOKUP(B166,Tot_res!C:V,12,FALSE))</f>
        <v>0</v>
      </c>
      <c r="N166" s="186">
        <f>IF(ISERROR(VLOOKUP(B166,Tot_res!C:V,13,FALSE)),"",VLOOKUP(B166,Tot_res!C:V,13,FALSE))</f>
        <v>0</v>
      </c>
      <c r="O166" s="186">
        <f>IF(ISERROR(VLOOKUP(B166,Tot_res!C:V,14,FALSE)),"",VLOOKUP(B166,Tot_res!C:V,14,FALSE))</f>
        <v>0</v>
      </c>
      <c r="P166" s="186">
        <f>IF(ISERROR(VLOOKUP(B166,Tot_res!C:V,15,FALSE)),"",VLOOKUP(B166,Tot_res!C:V,15,FALSE))</f>
        <v>0</v>
      </c>
      <c r="Q166" s="186">
        <f>IF(ISERROR(VLOOKUP(B166,Tot_res!C:V,16,FALSE)),"",VLOOKUP(B166,Tot_res!C:V,16,FALSE))</f>
        <v>0</v>
      </c>
      <c r="R166" s="186">
        <f>IF(ISERROR(VLOOKUP(B166,Tot_res!C:V,17,FALSE)),"",VLOOKUP(B166,Tot_res!C:V,17,FALSE))</f>
        <v>-24820.416362025106</v>
      </c>
      <c r="S166" s="186">
        <f>IF(ISERROR(VLOOKUP(B166,Tot_res!C:V,18,FALSE)),"",VLOOKUP(B166,Tot_res!C:V,18,FALSE))</f>
        <v>-121625.41811002477</v>
      </c>
      <c r="T166" s="186">
        <f>IF(ISERROR(VLOOKUP(B166,Tot_res!C:V,19,FALSE)),"",VLOOKUP(B166,Tot_res!C:V,19,FALSE))</f>
        <v>0</v>
      </c>
      <c r="U166" s="186">
        <f>IF(ISERROR(VLOOKUP(B166,Tot_res!C:V,20,FALSE)),"",VLOOKUP(B166,Tot_res!C:V,20,FALSE))</f>
        <v>0</v>
      </c>
      <c r="V166" s="122">
        <f t="shared" si="29"/>
        <v>-146445.83447204987</v>
      </c>
    </row>
    <row r="167" spans="1:28" ht="13.15">
      <c r="A167" s="356"/>
      <c r="B167" s="115" t="s">
        <v>1130</v>
      </c>
      <c r="C167" s="335" t="str">
        <f>VLOOKUP(B167,Tot_res!C:D,2,FALSE)</f>
        <v>Financiación provincias</v>
      </c>
      <c r="D167" s="186">
        <f>IF(ISERROR(VLOOKUP(B167,Tot_res!C:V,3,FALSE)),"",VLOOKUP(B167,Tot_res!C:V,3,FALSE))</f>
        <v>0</v>
      </c>
      <c r="E167" s="186">
        <f>IF(ISERROR(VLOOKUP(B167,Tot_res!C:V,4,FALSE)),"",VLOOKUP(B167,Tot_res!C:V,4,FALSE))</f>
        <v>0</v>
      </c>
      <c r="F167" s="186">
        <f>IF(ISERROR(VLOOKUP(B167,Tot_res!C:V,5,FALSE)),"",VLOOKUP(B167,Tot_res!C:V,5,FALSE))</f>
        <v>0</v>
      </c>
      <c r="G167" s="186">
        <f>IF(ISERROR(VLOOKUP(B167,Tot_res!C:V,6,FALSE)),"",VLOOKUP(B167,Tot_res!C:V,6,FALSE))</f>
        <v>0</v>
      </c>
      <c r="H167" s="186">
        <f>IF(ISERROR(VLOOKUP(B167,Tot_res!C:V,7,FALSE)),"",VLOOKUP(B167,Tot_res!C:V,7,FALSE))</f>
        <v>0</v>
      </c>
      <c r="I167" s="186">
        <f>IF(ISERROR(VLOOKUP(B167,Tot_res!C:V,8,FALSE)),"",VLOOKUP(B167,Tot_res!C:V,8,FALSE))</f>
        <v>0</v>
      </c>
      <c r="J167" s="186">
        <f>IF(ISERROR(VLOOKUP(B167,Tot_res!C:V,9,FALSE)),"",(VLOOKUP(B167,Tot_res!C:V,9,FALSE)))</f>
        <v>0</v>
      </c>
      <c r="K167" s="186">
        <f>IF(ISERROR(VLOOKUP(B167,Tot_res!C:V,10,FALSE)),"",VLOOKUP(B167,Tot_res!C:V,10,FALSE))</f>
        <v>0</v>
      </c>
      <c r="L167" s="186">
        <f>IF(ISERROR(VLOOKUP(B167,Tot_res!C:V,11,FALSE)),"",VLOOKUP(B167,Tot_res!C:V,11,FALSE))</f>
        <v>0</v>
      </c>
      <c r="M167" s="186">
        <f>IF(ISERROR(VLOOKUP(B167,Tot_res!C:V,12,FALSE)),"",VLOOKUP(B167,Tot_res!C:V,12,FALSE))</f>
        <v>0</v>
      </c>
      <c r="N167" s="186">
        <f>IF(ISERROR(VLOOKUP(B167,Tot_res!C:V,13,FALSE)),"",VLOOKUP(B167,Tot_res!C:V,13,FALSE))</f>
        <v>0</v>
      </c>
      <c r="O167" s="186">
        <f>IF(ISERROR(VLOOKUP(B167,Tot_res!C:V,14,FALSE)),"",VLOOKUP(B167,Tot_res!C:V,14,FALSE))</f>
        <v>0</v>
      </c>
      <c r="P167" s="186">
        <f>IF(ISERROR(VLOOKUP(B167,Tot_res!C:V,15,FALSE)),"",VLOOKUP(B167,Tot_res!C:V,15,FALSE))</f>
        <v>0</v>
      </c>
      <c r="Q167" s="186">
        <f>IF(ISERROR(VLOOKUP(B167,Tot_res!C:V,16,FALSE)),"",VLOOKUP(B167,Tot_res!C:V,16,FALSE))</f>
        <v>0</v>
      </c>
      <c r="R167" s="186">
        <f>IF(ISERROR(VLOOKUP(B167,Tot_res!C:V,17,FALSE)),"",VLOOKUP(B167,Tot_res!C:V,17,FALSE))</f>
        <v>-99603.173914556741</v>
      </c>
      <c r="S167" s="186">
        <f>IF(ISERROR(VLOOKUP(B167,Tot_res!C:V,18,FALSE)),"",VLOOKUP(B167,Tot_res!C:V,18,FALSE))</f>
        <v>-339527.20374634577</v>
      </c>
      <c r="T167" s="186">
        <f>IF(ISERROR(VLOOKUP(B167,Tot_res!C:V,19,FALSE)),"",VLOOKUP(B167,Tot_res!C:V,19,FALSE))</f>
        <v>0</v>
      </c>
      <c r="U167" s="186">
        <f>IF(ISERROR(VLOOKUP(B167,Tot_res!C:V,20,FALSE)),"",VLOOKUP(B167,Tot_res!C:V,20,FALSE))</f>
        <v>0</v>
      </c>
      <c r="V167" s="122">
        <f t="shared" si="29"/>
        <v>-439130.37766090251</v>
      </c>
    </row>
    <row r="168" spans="1:28" ht="13.15">
      <c r="A168" s="356"/>
      <c r="B168" s="115" t="s">
        <v>1131</v>
      </c>
      <c r="C168" s="335" t="str">
        <f>VLOOKUP(B168,Tot_res!C:D,2,FALSE)</f>
        <v>Financiación municipios</v>
      </c>
      <c r="D168" s="186">
        <f>IF(ISERROR(VLOOKUP(B168,Tot_res!C:V,3,FALSE)),"",VLOOKUP(B168,Tot_res!C:V,3,FALSE))</f>
        <v>0</v>
      </c>
      <c r="E168" s="186">
        <f>IF(ISERROR(VLOOKUP(B168,Tot_res!C:V,4,FALSE)),"",VLOOKUP(B168,Tot_res!C:V,4,FALSE))</f>
        <v>0</v>
      </c>
      <c r="F168" s="186">
        <f>IF(ISERROR(VLOOKUP(B168,Tot_res!C:V,5,FALSE)),"",VLOOKUP(B168,Tot_res!C:V,5,FALSE))</f>
        <v>0</v>
      </c>
      <c r="G168" s="186">
        <f>IF(ISERROR(VLOOKUP(B168,Tot_res!C:V,6,FALSE)),"",VLOOKUP(B168,Tot_res!C:V,6,FALSE))</f>
        <v>0</v>
      </c>
      <c r="H168" s="186">
        <f>IF(ISERROR(VLOOKUP(B168,Tot_res!C:V,7,FALSE)),"",VLOOKUP(B168,Tot_res!C:V,7,FALSE))</f>
        <v>0</v>
      </c>
      <c r="I168" s="186">
        <f>IF(ISERROR(VLOOKUP(B168,Tot_res!C:V,8,FALSE)),"",VLOOKUP(B168,Tot_res!C:V,8,FALSE))</f>
        <v>0</v>
      </c>
      <c r="J168" s="186">
        <f>IF(ISERROR(VLOOKUP(B168,Tot_res!C:V,9,FALSE)),"",(VLOOKUP(B168,Tot_res!C:V,9,FALSE)))</f>
        <v>0</v>
      </c>
      <c r="K168" s="186">
        <f>IF(ISERROR(VLOOKUP(B168,Tot_res!C:V,10,FALSE)),"",VLOOKUP(B168,Tot_res!C:V,10,FALSE))</f>
        <v>0</v>
      </c>
      <c r="L168" s="186">
        <f>IF(ISERROR(VLOOKUP(B168,Tot_res!C:V,11,FALSE)),"",VLOOKUP(B168,Tot_res!C:V,11,FALSE))</f>
        <v>0</v>
      </c>
      <c r="M168" s="186">
        <f>IF(ISERROR(VLOOKUP(B168,Tot_res!C:V,12,FALSE)),"",VLOOKUP(B168,Tot_res!C:V,12,FALSE))</f>
        <v>0</v>
      </c>
      <c r="N168" s="186">
        <f>IF(ISERROR(VLOOKUP(B168,Tot_res!C:V,13,FALSE)),"",VLOOKUP(B168,Tot_res!C:V,13,FALSE))</f>
        <v>0</v>
      </c>
      <c r="O168" s="186">
        <f>IF(ISERROR(VLOOKUP(B168,Tot_res!C:V,14,FALSE)),"",VLOOKUP(B168,Tot_res!C:V,14,FALSE))</f>
        <v>0</v>
      </c>
      <c r="P168" s="186">
        <f>IF(ISERROR(VLOOKUP(B168,Tot_res!C:V,15,FALSE)),"",VLOOKUP(B168,Tot_res!C:V,15,FALSE))</f>
        <v>0</v>
      </c>
      <c r="Q168" s="186">
        <f>IF(ISERROR(VLOOKUP(B168,Tot_res!C:V,16,FALSE)),"",VLOOKUP(B168,Tot_res!C:V,16,FALSE))</f>
        <v>0</v>
      </c>
      <c r="R168" s="186">
        <f>IF(ISERROR(VLOOKUP(B168,Tot_res!C:V,17,FALSE)),"",VLOOKUP(B168,Tot_res!C:V,17,FALSE))</f>
        <v>-227066.88813847746</v>
      </c>
      <c r="S168" s="186">
        <f>IF(ISERROR(VLOOKUP(B168,Tot_res!C:V,18,FALSE)),"",VLOOKUP(B168,Tot_res!C:V,18,FALSE))</f>
        <v>-773654.22980653774</v>
      </c>
      <c r="T168" s="186">
        <f>IF(ISERROR(VLOOKUP(B168,Tot_res!C:V,19,FALSE)),"",VLOOKUP(B168,Tot_res!C:V,19,FALSE))</f>
        <v>0</v>
      </c>
      <c r="U168" s="186">
        <f>IF(ISERROR(VLOOKUP(B168,Tot_res!C:V,20,FALSE)),"",VLOOKUP(B168,Tot_res!C:V,20,FALSE))</f>
        <v>0</v>
      </c>
      <c r="V168" s="122">
        <f t="shared" si="29"/>
        <v>-1000721.1179450152</v>
      </c>
    </row>
    <row r="169" spans="1:28" ht="13.15">
      <c r="A169" s="356"/>
      <c r="B169" s="115" t="s">
        <v>1132</v>
      </c>
      <c r="C169" s="335" t="str">
        <f>VLOOKUP(B169,Tot_res!C:D,2,FALSE)</f>
        <v xml:space="preserve">construcción de carreteras </v>
      </c>
      <c r="D169" s="186">
        <f>IF(ISERROR(VLOOKUP(B169,Tot_res!C:V,3,FALSE)),"",VLOOKUP(B169,Tot_res!C:V,3,FALSE))</f>
        <v>0</v>
      </c>
      <c r="E169" s="186">
        <f>IF(ISERROR(VLOOKUP(B169,Tot_res!C:V,4,FALSE)),"",VLOOKUP(B169,Tot_res!C:V,4,FALSE))</f>
        <v>0</v>
      </c>
      <c r="F169" s="186">
        <f>IF(ISERROR(VLOOKUP(B169,Tot_res!C:V,5,FALSE)),"",VLOOKUP(B169,Tot_res!C:V,5,FALSE))</f>
        <v>0</v>
      </c>
      <c r="G169" s="186">
        <f>IF(ISERROR(VLOOKUP(B169,Tot_res!C:V,6,FALSE)),"",VLOOKUP(B169,Tot_res!C:V,6,FALSE))</f>
        <v>0</v>
      </c>
      <c r="H169" s="186">
        <f>IF(ISERROR(VLOOKUP(B169,Tot_res!C:V,7,FALSE)),"",VLOOKUP(B169,Tot_res!C:V,7,FALSE))</f>
        <v>0</v>
      </c>
      <c r="I169" s="186">
        <f>IF(ISERROR(VLOOKUP(B169,Tot_res!C:V,8,FALSE)),"",VLOOKUP(B169,Tot_res!C:V,8,FALSE))</f>
        <v>0</v>
      </c>
      <c r="J169" s="186">
        <f>IF(ISERROR(VLOOKUP(B169,Tot_res!C:V,9,FALSE)),"",(VLOOKUP(B169,Tot_res!C:V,9,FALSE)))</f>
        <v>0</v>
      </c>
      <c r="K169" s="186">
        <f>IF(ISERROR(VLOOKUP(B169,Tot_res!C:V,10,FALSE)),"",VLOOKUP(B169,Tot_res!C:V,10,FALSE))</f>
        <v>0</v>
      </c>
      <c r="L169" s="186">
        <f>IF(ISERROR(VLOOKUP(B169,Tot_res!C:V,11,FALSE)),"",VLOOKUP(B169,Tot_res!C:V,11,FALSE))</f>
        <v>0</v>
      </c>
      <c r="M169" s="186">
        <f>IF(ISERROR(VLOOKUP(B169,Tot_res!C:V,12,FALSE)),"",VLOOKUP(B169,Tot_res!C:V,12,FALSE))</f>
        <v>0</v>
      </c>
      <c r="N169" s="186">
        <f>IF(ISERROR(VLOOKUP(B169,Tot_res!C:V,13,FALSE)),"",VLOOKUP(B169,Tot_res!C:V,13,FALSE))</f>
        <v>0</v>
      </c>
      <c r="O169" s="186">
        <f>IF(ISERROR(VLOOKUP(B169,Tot_res!C:V,14,FALSE)),"",VLOOKUP(B169,Tot_res!C:V,14,FALSE))</f>
        <v>0</v>
      </c>
      <c r="P169" s="186">
        <f>IF(ISERROR(VLOOKUP(B169,Tot_res!C:V,15,FALSE)),"",VLOOKUP(B169,Tot_res!C:V,15,FALSE))</f>
        <v>0</v>
      </c>
      <c r="Q169" s="186">
        <f>IF(ISERROR(VLOOKUP(B169,Tot_res!C:V,16,FALSE)),"",VLOOKUP(B169,Tot_res!C:V,16,FALSE))</f>
        <v>0</v>
      </c>
      <c r="R169" s="186">
        <f>IF(ISERROR(VLOOKUP(B169,Tot_res!C:V,17,FALSE)),"",VLOOKUP(B169,Tot_res!C:V,17,FALSE))</f>
        <v>-27349.636348902488</v>
      </c>
      <c r="S169" s="186">
        <f>IF(ISERROR(VLOOKUP(B169,Tot_res!C:V,18,FALSE)),"",VLOOKUP(B169,Tot_res!C:V,18,FALSE))</f>
        <v>-93217.712285180896</v>
      </c>
      <c r="T169" s="186">
        <f>IF(ISERROR(VLOOKUP(B169,Tot_res!C:V,19,FALSE)),"",VLOOKUP(B169,Tot_res!C:V,19,FALSE))</f>
        <v>0</v>
      </c>
      <c r="U169" s="186">
        <f>IF(ISERROR(VLOOKUP(B169,Tot_res!C:V,20,FALSE)),"",VLOOKUP(B169,Tot_res!C:V,20,FALSE))</f>
        <v>0</v>
      </c>
      <c r="V169" s="122">
        <f t="shared" si="29"/>
        <v>-120567.34863408338</v>
      </c>
    </row>
    <row r="170" spans="1:28" ht="13.15">
      <c r="A170" s="356"/>
      <c r="B170" s="115" t="s">
        <v>1133</v>
      </c>
      <c r="C170" s="335" t="str">
        <f>VLOOKUP(B170,Tot_res!C:D,2,FALSE)</f>
        <v>conservación de carreteras (programa 453C)</v>
      </c>
      <c r="D170" s="186">
        <f>IF(ISERROR(VLOOKUP(B170,Tot_res!C:V,3,FALSE)),"",VLOOKUP(B170,Tot_res!C:V,3,FALSE))</f>
        <v>0</v>
      </c>
      <c r="E170" s="186">
        <f>IF(ISERROR(VLOOKUP(B170,Tot_res!C:V,4,FALSE)),"",VLOOKUP(B170,Tot_res!C:V,4,FALSE))</f>
        <v>0</v>
      </c>
      <c r="F170" s="186">
        <f>IF(ISERROR(VLOOKUP(B170,Tot_res!C:V,5,FALSE)),"",VLOOKUP(B170,Tot_res!C:V,5,FALSE))</f>
        <v>0</v>
      </c>
      <c r="G170" s="186">
        <f>IF(ISERROR(VLOOKUP(B170,Tot_res!C:V,6,FALSE)),"",VLOOKUP(B170,Tot_res!C:V,6,FALSE))</f>
        <v>0</v>
      </c>
      <c r="H170" s="186">
        <f>IF(ISERROR(VLOOKUP(B170,Tot_res!C:V,7,FALSE)),"",VLOOKUP(B170,Tot_res!C:V,7,FALSE))</f>
        <v>0</v>
      </c>
      <c r="I170" s="186">
        <f>IF(ISERROR(VLOOKUP(B170,Tot_res!C:V,8,FALSE)),"",VLOOKUP(B170,Tot_res!C:V,8,FALSE))</f>
        <v>0</v>
      </c>
      <c r="J170" s="186">
        <f>IF(ISERROR(VLOOKUP(B170,Tot_res!C:V,9,FALSE)),"",(VLOOKUP(B170,Tot_res!C:V,9,FALSE)))</f>
        <v>0</v>
      </c>
      <c r="K170" s="186">
        <f>IF(ISERROR(VLOOKUP(B170,Tot_res!C:V,10,FALSE)),"",VLOOKUP(B170,Tot_res!C:V,10,FALSE))</f>
        <v>0</v>
      </c>
      <c r="L170" s="186">
        <f>IF(ISERROR(VLOOKUP(B170,Tot_res!C:V,11,FALSE)),"",VLOOKUP(B170,Tot_res!C:V,11,FALSE))</f>
        <v>0</v>
      </c>
      <c r="M170" s="186">
        <f>IF(ISERROR(VLOOKUP(B170,Tot_res!C:V,12,FALSE)),"",VLOOKUP(B170,Tot_res!C:V,12,FALSE))</f>
        <v>0</v>
      </c>
      <c r="N170" s="186">
        <f>IF(ISERROR(VLOOKUP(B170,Tot_res!C:V,13,FALSE)),"",VLOOKUP(B170,Tot_res!C:V,13,FALSE))</f>
        <v>0</v>
      </c>
      <c r="O170" s="186">
        <f>IF(ISERROR(VLOOKUP(B170,Tot_res!C:V,14,FALSE)),"",VLOOKUP(B170,Tot_res!C:V,14,FALSE))</f>
        <v>0</v>
      </c>
      <c r="P170" s="186">
        <f>IF(ISERROR(VLOOKUP(B170,Tot_res!C:V,15,FALSE)),"",VLOOKUP(B170,Tot_res!C:V,15,FALSE))</f>
        <v>0</v>
      </c>
      <c r="Q170" s="186">
        <f>IF(ISERROR(VLOOKUP(B170,Tot_res!C:V,16,FALSE)),"",VLOOKUP(B170,Tot_res!C:V,16,FALSE))</f>
        <v>0</v>
      </c>
      <c r="R170" s="186">
        <f>IF(ISERROR(VLOOKUP(B170,Tot_res!C:V,17,FALSE)),"",VLOOKUP(B170,Tot_res!C:V,17,FALSE))</f>
        <v>-15528.850636780684</v>
      </c>
      <c r="S170" s="186">
        <f>IF(ISERROR(VLOOKUP(B170,Tot_res!C:V,18,FALSE)),"",VLOOKUP(B170,Tot_res!C:V,18,FALSE))</f>
        <v>-52928.086951951722</v>
      </c>
      <c r="T170" s="186">
        <f>IF(ISERROR(VLOOKUP(B170,Tot_res!C:V,19,FALSE)),"",VLOOKUP(B170,Tot_res!C:V,19,FALSE))</f>
        <v>0</v>
      </c>
      <c r="U170" s="186">
        <f>IF(ISERROR(VLOOKUP(B170,Tot_res!C:V,20,FALSE)),"",VLOOKUP(B170,Tot_res!C:V,20,FALSE))</f>
        <v>0</v>
      </c>
      <c r="V170" s="122">
        <f t="shared" si="29"/>
        <v>-68456.937588732399</v>
      </c>
    </row>
    <row r="171" spans="1:28" ht="13.15">
      <c r="A171" s="356"/>
      <c r="B171" s="115" t="s">
        <v>1134</v>
      </c>
      <c r="C171" s="335" t="str">
        <f>VLOOKUP(B171,Tot_res!C:D,2,FALSE)</f>
        <v>"Normalización" lingüística (programa CS06)</v>
      </c>
      <c r="D171" s="186">
        <f>IF(ISERROR(VLOOKUP(B171,Tot_res!C:V,3,FALSE)),"",VLOOKUP(B171,Tot_res!C:V,3,FALSE))</f>
        <v>0</v>
      </c>
      <c r="E171" s="186">
        <f>IF(ISERROR(VLOOKUP(B171,Tot_res!C:V,4,FALSE)),"",VLOOKUP(B171,Tot_res!C:V,4,FALSE))</f>
        <v>0</v>
      </c>
      <c r="F171" s="186">
        <f>IF(ISERROR(VLOOKUP(B171,Tot_res!C:V,5,FALSE)),"",VLOOKUP(B171,Tot_res!C:V,5,FALSE))</f>
        <v>0</v>
      </c>
      <c r="G171" s="186">
        <f>IF(ISERROR(VLOOKUP(B171,Tot_res!C:V,6,FALSE)),"",VLOOKUP(B171,Tot_res!C:V,6,FALSE))</f>
        <v>0</v>
      </c>
      <c r="H171" s="186">
        <f>IF(ISERROR(VLOOKUP(B171,Tot_res!C:V,7,FALSE)),"",VLOOKUP(B171,Tot_res!C:V,7,FALSE))</f>
        <v>0</v>
      </c>
      <c r="I171" s="186">
        <f>IF(ISERROR(VLOOKUP(B171,Tot_res!C:V,8,FALSE)),"",VLOOKUP(B171,Tot_res!C:V,8,FALSE))</f>
        <v>0</v>
      </c>
      <c r="J171" s="186">
        <f>IF(ISERROR(VLOOKUP(B171,Tot_res!C:V,9,FALSE)),"",(VLOOKUP(B171,Tot_res!C:V,9,FALSE)))</f>
        <v>0</v>
      </c>
      <c r="K171" s="186">
        <f>IF(ISERROR(VLOOKUP(B171,Tot_res!C:V,10,FALSE)),"",VLOOKUP(B171,Tot_res!C:V,10,FALSE))</f>
        <v>0</v>
      </c>
      <c r="L171" s="186">
        <f>IF(ISERROR(VLOOKUP(B171,Tot_res!C:V,11,FALSE)),"",VLOOKUP(B171,Tot_res!C:V,11,FALSE))</f>
        <v>0</v>
      </c>
      <c r="M171" s="186">
        <f>IF(ISERROR(VLOOKUP(B171,Tot_res!C:V,12,FALSE)),"",VLOOKUP(B171,Tot_res!C:V,12,FALSE))</f>
        <v>0</v>
      </c>
      <c r="N171" s="186">
        <f>IF(ISERROR(VLOOKUP(B171,Tot_res!C:V,13,FALSE)),"",VLOOKUP(B171,Tot_res!C:V,13,FALSE))</f>
        <v>0</v>
      </c>
      <c r="O171" s="186">
        <f>IF(ISERROR(VLOOKUP(B171,Tot_res!C:V,14,FALSE)),"",VLOOKUP(B171,Tot_res!C:V,14,FALSE))</f>
        <v>0</v>
      </c>
      <c r="P171" s="186">
        <f>IF(ISERROR(VLOOKUP(B171,Tot_res!C:V,15,FALSE)),"",VLOOKUP(B171,Tot_res!C:V,15,FALSE))</f>
        <v>0</v>
      </c>
      <c r="Q171" s="186">
        <f>IF(ISERROR(VLOOKUP(B171,Tot_res!C:V,16,FALSE)),"",VLOOKUP(B171,Tot_res!C:V,16,FALSE))</f>
        <v>0</v>
      </c>
      <c r="R171" s="186">
        <f>IF(ISERROR(VLOOKUP(B171,Tot_res!C:V,17,FALSE)),"",VLOOKUP(B171,Tot_res!C:V,17,FALSE))</f>
        <v>-6190.2365059007197</v>
      </c>
      <c r="S171" s="186">
        <f>IF(ISERROR(VLOOKUP(B171,Tot_res!C:V,18,FALSE)),"",VLOOKUP(B171,Tot_res!C:V,18,FALSE))</f>
        <v>-21098.62369732872</v>
      </c>
      <c r="T171" s="186">
        <f>IF(ISERROR(VLOOKUP(B171,Tot_res!C:V,19,FALSE)),"",VLOOKUP(B171,Tot_res!C:V,19,FALSE))</f>
        <v>0</v>
      </c>
      <c r="U171" s="186">
        <f>IF(ISERROR(VLOOKUP(B171,Tot_res!C:V,20,FALSE)),"",VLOOKUP(B171,Tot_res!C:V,20,FALSE))</f>
        <v>0</v>
      </c>
      <c r="V171" s="122">
        <f t="shared" si="29"/>
        <v>-27288.86020322944</v>
      </c>
    </row>
    <row r="172" spans="1:28" ht="13.15">
      <c r="A172" s="356"/>
      <c r="B172" s="115" t="s">
        <v>1135</v>
      </c>
      <c r="C172" s="335" t="str">
        <f>VLOOKUP(B172,Tot_res!C:D,2,FALSE)</f>
        <v>medio ambiente</v>
      </c>
      <c r="D172" s="186">
        <f>IF(ISERROR(VLOOKUP(B172,Tot_res!C:V,3,FALSE)),"",VLOOKUP(B172,Tot_res!C:V,3,FALSE))</f>
        <v>0</v>
      </c>
      <c r="E172" s="186">
        <f>IF(ISERROR(VLOOKUP(B172,Tot_res!C:V,4,FALSE)),"",VLOOKUP(B172,Tot_res!C:V,4,FALSE))</f>
        <v>0</v>
      </c>
      <c r="F172" s="186">
        <f>IF(ISERROR(VLOOKUP(B172,Tot_res!C:V,5,FALSE)),"",VLOOKUP(B172,Tot_res!C:V,5,FALSE))</f>
        <v>0</v>
      </c>
      <c r="G172" s="186">
        <f>IF(ISERROR(VLOOKUP(B172,Tot_res!C:V,6,FALSE)),"",VLOOKUP(B172,Tot_res!C:V,6,FALSE))</f>
        <v>0</v>
      </c>
      <c r="H172" s="186">
        <f>IF(ISERROR(VLOOKUP(B172,Tot_res!C:V,7,FALSE)),"",VLOOKUP(B172,Tot_res!C:V,7,FALSE))</f>
        <v>0</v>
      </c>
      <c r="I172" s="186">
        <f>IF(ISERROR(VLOOKUP(B172,Tot_res!C:V,8,FALSE)),"",VLOOKUP(B172,Tot_res!C:V,8,FALSE))</f>
        <v>0</v>
      </c>
      <c r="J172" s="186">
        <f>IF(ISERROR(VLOOKUP(B172,Tot_res!C:V,9,FALSE)),"",(VLOOKUP(B172,Tot_res!C:V,9,FALSE)))</f>
        <v>0</v>
      </c>
      <c r="K172" s="186">
        <f>IF(ISERROR(VLOOKUP(B172,Tot_res!C:V,10,FALSE)),"",VLOOKUP(B172,Tot_res!C:V,10,FALSE))</f>
        <v>0</v>
      </c>
      <c r="L172" s="186">
        <f>IF(ISERROR(VLOOKUP(B172,Tot_res!C:V,11,FALSE)),"",VLOOKUP(B172,Tot_res!C:V,11,FALSE))</f>
        <v>0</v>
      </c>
      <c r="M172" s="186">
        <f>IF(ISERROR(VLOOKUP(B172,Tot_res!C:V,12,FALSE)),"",VLOOKUP(B172,Tot_res!C:V,12,FALSE))</f>
        <v>0</v>
      </c>
      <c r="N172" s="186">
        <f>IF(ISERROR(VLOOKUP(B172,Tot_res!C:V,13,FALSE)),"",VLOOKUP(B172,Tot_res!C:V,13,FALSE))</f>
        <v>0</v>
      </c>
      <c r="O172" s="186">
        <f>IF(ISERROR(VLOOKUP(B172,Tot_res!C:V,14,FALSE)),"",VLOOKUP(B172,Tot_res!C:V,14,FALSE))</f>
        <v>0</v>
      </c>
      <c r="P172" s="186">
        <f>IF(ISERROR(VLOOKUP(B172,Tot_res!C:V,15,FALSE)),"",VLOOKUP(B172,Tot_res!C:V,15,FALSE))</f>
        <v>0</v>
      </c>
      <c r="Q172" s="186">
        <f>IF(ISERROR(VLOOKUP(B172,Tot_res!C:V,16,FALSE)),"",VLOOKUP(B172,Tot_res!C:V,16,FALSE))</f>
        <v>0</v>
      </c>
      <c r="R172" s="186">
        <f>IF(ISERROR(VLOOKUP(B172,Tot_res!C:V,17,FALSE)),"",VLOOKUP(B172,Tot_res!C:V,17,FALSE))</f>
        <v>-622.49047089702617</v>
      </c>
      <c r="S172" s="186">
        <f>IF(ISERROR(VLOOKUP(B172,Tot_res!C:V,18,FALSE)),"",VLOOKUP(B172,Tot_res!C:V,18,FALSE))</f>
        <v>-4250.3841294483973</v>
      </c>
      <c r="T172" s="186">
        <f>IF(ISERROR(VLOOKUP(B172,Tot_res!C:V,19,FALSE)),"",VLOOKUP(B172,Tot_res!C:V,19,FALSE))</f>
        <v>0</v>
      </c>
      <c r="U172" s="186">
        <f>IF(ISERROR(VLOOKUP(B172,Tot_res!C:V,20,FALSE)),"",VLOOKUP(B172,Tot_res!C:V,20,FALSE))</f>
        <v>0</v>
      </c>
      <c r="V172" s="122">
        <f t="shared" si="29"/>
        <v>-4872.8746003454235</v>
      </c>
    </row>
    <row r="173" spans="1:28" ht="13.15">
      <c r="A173" s="356"/>
      <c r="B173" s="115" t="s">
        <v>1147</v>
      </c>
      <c r="C173" s="335" t="e">
        <f>VLOOKUP(B173,Tot_res!C:D,2,FALSE)</f>
        <v>#N/A</v>
      </c>
      <c r="D173" s="186" t="str">
        <f>IF(ISERROR(VLOOKUP(B173,Tot_res!C:V,3,FALSE)),"",VLOOKUP(B173,Tot_res!C:V,3,FALSE))</f>
        <v/>
      </c>
      <c r="E173" s="186" t="str">
        <f>IF(ISERROR(VLOOKUP(B173,Tot_res!C:V,4,FALSE)),"",VLOOKUP(B173,Tot_res!C:V,4,FALSE))</f>
        <v/>
      </c>
      <c r="F173" s="186" t="str">
        <f>IF(ISERROR(VLOOKUP(B173,Tot_res!C:V,5,FALSE)),"",VLOOKUP(B173,Tot_res!C:V,5,FALSE))</f>
        <v/>
      </c>
      <c r="G173" s="186" t="str">
        <f>IF(ISERROR(VLOOKUP(B173,Tot_res!C:V,6,FALSE)),"",VLOOKUP(B173,Tot_res!C:V,6,FALSE))</f>
        <v/>
      </c>
      <c r="H173" s="186" t="str">
        <f>IF(ISERROR(VLOOKUP(B173,Tot_res!C:V,7,FALSE)),"",VLOOKUP(B173,Tot_res!C:V,7,FALSE))</f>
        <v/>
      </c>
      <c r="I173" s="186" t="str">
        <f>IF(ISERROR(VLOOKUP(B173,Tot_res!C:V,8,FALSE)),"",VLOOKUP(B173,Tot_res!C:V,8,FALSE))</f>
        <v/>
      </c>
      <c r="J173" s="186" t="str">
        <f>IF(ISERROR(VLOOKUP(B173,Tot_res!C:V,9,FALSE)),"",(VLOOKUP(B173,Tot_res!C:V,9,FALSE)))</f>
        <v/>
      </c>
      <c r="K173" s="186" t="str">
        <f>IF(ISERROR(VLOOKUP(B173,Tot_res!C:V,10,FALSE)),"",VLOOKUP(B173,Tot_res!C:V,10,FALSE))</f>
        <v/>
      </c>
      <c r="L173" s="186" t="str">
        <f>IF(ISERROR(VLOOKUP(B173,Tot_res!C:V,11,FALSE)),"",VLOOKUP(B173,Tot_res!C:V,11,FALSE))</f>
        <v/>
      </c>
      <c r="M173" s="186" t="str">
        <f>IF(ISERROR(VLOOKUP(B173,Tot_res!C:V,12,FALSE)),"",VLOOKUP(B173,Tot_res!C:V,12,FALSE))</f>
        <v/>
      </c>
      <c r="N173" s="186" t="str">
        <f>IF(ISERROR(VLOOKUP(B173,Tot_res!C:V,13,FALSE)),"",VLOOKUP(B173,Tot_res!C:V,13,FALSE))</f>
        <v/>
      </c>
      <c r="O173" s="186" t="str">
        <f>IF(ISERROR(VLOOKUP(B173,Tot_res!C:V,14,FALSE)),"",VLOOKUP(B173,Tot_res!C:V,14,FALSE))</f>
        <v/>
      </c>
      <c r="P173" s="186" t="str">
        <f>IF(ISERROR(VLOOKUP(B173,Tot_res!C:V,15,FALSE)),"",VLOOKUP(B173,Tot_res!C:V,15,FALSE))</f>
        <v/>
      </c>
      <c r="Q173" s="186" t="str">
        <f>IF(ISERROR(VLOOKUP(B173,Tot_res!C:V,16,FALSE)),"",VLOOKUP(B173,Tot_res!C:V,16,FALSE))</f>
        <v/>
      </c>
      <c r="R173" s="186" t="str">
        <f>IF(ISERROR(VLOOKUP(B173,Tot_res!C:V,17,FALSE)),"",VLOOKUP(B173,Tot_res!C:V,17,FALSE))</f>
        <v/>
      </c>
      <c r="S173" s="186" t="str">
        <f>IF(ISERROR(VLOOKUP(B173,Tot_res!C:V,18,FALSE)),"",VLOOKUP(B173,Tot_res!C:V,18,FALSE))</f>
        <v/>
      </c>
      <c r="T173" s="186" t="str">
        <f>IF(ISERROR(VLOOKUP(B173,Tot_res!C:V,19,FALSE)),"",VLOOKUP(B173,Tot_res!C:V,19,FALSE))</f>
        <v/>
      </c>
      <c r="U173" s="186" t="str">
        <f>IF(ISERROR(VLOOKUP(B173,Tot_res!C:V,20,FALSE)),"",VLOOKUP(B173,Tot_res!C:V,20,FALSE))</f>
        <v/>
      </c>
      <c r="V173" s="122">
        <f t="shared" si="29"/>
        <v>0</v>
      </c>
    </row>
    <row r="174" spans="1:28" ht="13.15">
      <c r="A174" s="356"/>
      <c r="B174" s="115" t="s">
        <v>1136</v>
      </c>
      <c r="C174" s="335" t="str">
        <f>VLOOKUP(B174,Tot_res!C:D,2,FALSE)</f>
        <v>sanidad y consumo</v>
      </c>
      <c r="D174" s="186">
        <f>IF(ISERROR(VLOOKUP(B174,Tot_res!C:V,3,FALSE)),"",VLOOKUP(B174,Tot_res!C:V,3,FALSE))</f>
        <v>0</v>
      </c>
      <c r="E174" s="186">
        <f>IF(ISERROR(VLOOKUP(B174,Tot_res!C:V,4,FALSE)),"",VLOOKUP(B174,Tot_res!C:V,4,FALSE))</f>
        <v>0</v>
      </c>
      <c r="F174" s="186">
        <f>IF(ISERROR(VLOOKUP(B174,Tot_res!C:V,5,FALSE)),"",VLOOKUP(B174,Tot_res!C:V,5,FALSE))</f>
        <v>0</v>
      </c>
      <c r="G174" s="186">
        <f>IF(ISERROR(VLOOKUP(B174,Tot_res!C:V,6,FALSE)),"",VLOOKUP(B174,Tot_res!C:V,6,FALSE))</f>
        <v>0</v>
      </c>
      <c r="H174" s="186">
        <f>IF(ISERROR(VLOOKUP(B174,Tot_res!C:V,7,FALSE)),"",VLOOKUP(B174,Tot_res!C:V,7,FALSE))</f>
        <v>0</v>
      </c>
      <c r="I174" s="186">
        <f>IF(ISERROR(VLOOKUP(B174,Tot_res!C:V,8,FALSE)),"",VLOOKUP(B174,Tot_res!C:V,8,FALSE))</f>
        <v>0</v>
      </c>
      <c r="J174" s="186">
        <f>IF(ISERROR(VLOOKUP(B174,Tot_res!C:V,9,FALSE)),"",(VLOOKUP(B174,Tot_res!C:V,9,FALSE)))</f>
        <v>0</v>
      </c>
      <c r="K174" s="186">
        <f>IF(ISERROR(VLOOKUP(B174,Tot_res!C:V,10,FALSE)),"",VLOOKUP(B174,Tot_res!C:V,10,FALSE))</f>
        <v>0</v>
      </c>
      <c r="L174" s="186">
        <f>IF(ISERROR(VLOOKUP(B174,Tot_res!C:V,11,FALSE)),"",VLOOKUP(B174,Tot_res!C:V,11,FALSE))</f>
        <v>0</v>
      </c>
      <c r="M174" s="186">
        <f>IF(ISERROR(VLOOKUP(B174,Tot_res!C:V,12,FALSE)),"",VLOOKUP(B174,Tot_res!C:V,12,FALSE))</f>
        <v>0</v>
      </c>
      <c r="N174" s="186">
        <f>IF(ISERROR(VLOOKUP(B174,Tot_res!C:V,13,FALSE)),"",VLOOKUP(B174,Tot_res!C:V,13,FALSE))</f>
        <v>0</v>
      </c>
      <c r="O174" s="186">
        <f>IF(ISERROR(VLOOKUP(B174,Tot_res!C:V,14,FALSE)),"",VLOOKUP(B174,Tot_res!C:V,14,FALSE))</f>
        <v>0</v>
      </c>
      <c r="P174" s="186">
        <f>IF(ISERROR(VLOOKUP(B174,Tot_res!C:V,15,FALSE)),"",VLOOKUP(B174,Tot_res!C:V,15,FALSE))</f>
        <v>0</v>
      </c>
      <c r="Q174" s="186">
        <f>IF(ISERROR(VLOOKUP(B174,Tot_res!C:V,16,FALSE)),"",VLOOKUP(B174,Tot_res!C:V,16,FALSE))</f>
        <v>0</v>
      </c>
      <c r="R174" s="186">
        <f>IF(ISERROR(VLOOKUP(B174,Tot_res!C:V,17,FALSE)),"",VLOOKUP(B174,Tot_res!C:V,17,FALSE))</f>
        <v>-546.11663857858764</v>
      </c>
      <c r="S174" s="186">
        <f>IF(ISERROR(VLOOKUP(B174,Tot_res!C:V,18,FALSE)),"",VLOOKUP(B174,Tot_res!C:V,18,FALSE))</f>
        <v>-1749.3864804450327</v>
      </c>
      <c r="T174" s="186">
        <f>IF(ISERROR(VLOOKUP(B174,Tot_res!C:V,19,FALSE)),"",VLOOKUP(B174,Tot_res!C:V,19,FALSE))</f>
        <v>0</v>
      </c>
      <c r="U174" s="186">
        <f>IF(ISERROR(VLOOKUP(B174,Tot_res!C:V,20,FALSE)),"",VLOOKUP(B174,Tot_res!C:V,20,FALSE))</f>
        <v>0</v>
      </c>
      <c r="V174" s="122">
        <f t="shared" si="29"/>
        <v>-2295.5031190236205</v>
      </c>
    </row>
    <row r="175" spans="1:28" ht="13.15">
      <c r="A175" s="356"/>
      <c r="B175" s="115" t="s">
        <v>1137</v>
      </c>
      <c r="C175" s="335" t="str">
        <f>VLOOKUP(B175,Tot_res!C:D,2,FALSE)</f>
        <v>Educación y formación</v>
      </c>
      <c r="D175" s="186">
        <f>IF(ISERROR(VLOOKUP(B175,Tot_res!C:V,3,FALSE)),"",VLOOKUP(B175,Tot_res!C:V,3,FALSE))</f>
        <v>0</v>
      </c>
      <c r="E175" s="186">
        <f>IF(ISERROR(VLOOKUP(B175,Tot_res!C:V,4,FALSE)),"",VLOOKUP(B175,Tot_res!C:V,4,FALSE))</f>
        <v>0</v>
      </c>
      <c r="F175" s="186">
        <f>IF(ISERROR(VLOOKUP(B175,Tot_res!C:V,5,FALSE)),"",VLOOKUP(B175,Tot_res!C:V,5,FALSE))</f>
        <v>0</v>
      </c>
      <c r="G175" s="186">
        <f>IF(ISERROR(VLOOKUP(B175,Tot_res!C:V,6,FALSE)),"",VLOOKUP(B175,Tot_res!C:V,6,FALSE))</f>
        <v>0</v>
      </c>
      <c r="H175" s="186">
        <f>IF(ISERROR(VLOOKUP(B175,Tot_res!C:V,7,FALSE)),"",VLOOKUP(B175,Tot_res!C:V,7,FALSE))</f>
        <v>0</v>
      </c>
      <c r="I175" s="186">
        <f>IF(ISERROR(VLOOKUP(B175,Tot_res!C:V,8,FALSE)),"",VLOOKUP(B175,Tot_res!C:V,8,FALSE))</f>
        <v>0</v>
      </c>
      <c r="J175" s="186">
        <f>IF(ISERROR(VLOOKUP(B175,Tot_res!C:V,9,FALSE)),"",(VLOOKUP(B175,Tot_res!C:V,9,FALSE)))</f>
        <v>0</v>
      </c>
      <c r="K175" s="186">
        <f>IF(ISERROR(VLOOKUP(B175,Tot_res!C:V,10,FALSE)),"",VLOOKUP(B175,Tot_res!C:V,10,FALSE))</f>
        <v>0</v>
      </c>
      <c r="L175" s="186">
        <f>IF(ISERROR(VLOOKUP(B175,Tot_res!C:V,11,FALSE)),"",VLOOKUP(B175,Tot_res!C:V,11,FALSE))</f>
        <v>0</v>
      </c>
      <c r="M175" s="186">
        <f>IF(ISERROR(VLOOKUP(B175,Tot_res!C:V,12,FALSE)),"",VLOOKUP(B175,Tot_res!C:V,12,FALSE))</f>
        <v>0</v>
      </c>
      <c r="N175" s="186">
        <f>IF(ISERROR(VLOOKUP(B175,Tot_res!C:V,13,FALSE)),"",VLOOKUP(B175,Tot_res!C:V,13,FALSE))</f>
        <v>0</v>
      </c>
      <c r="O175" s="186">
        <f>IF(ISERROR(VLOOKUP(B175,Tot_res!C:V,14,FALSE)),"",VLOOKUP(B175,Tot_res!C:V,14,FALSE))</f>
        <v>0</v>
      </c>
      <c r="P175" s="186">
        <f>IF(ISERROR(VLOOKUP(B175,Tot_res!C:V,15,FALSE)),"",VLOOKUP(B175,Tot_res!C:V,15,FALSE))</f>
        <v>0</v>
      </c>
      <c r="Q175" s="186">
        <f>IF(ISERROR(VLOOKUP(B175,Tot_res!C:V,16,FALSE)),"",VLOOKUP(B175,Tot_res!C:V,16,FALSE))</f>
        <v>0</v>
      </c>
      <c r="R175" s="186">
        <f>IF(ISERROR(VLOOKUP(B175,Tot_res!C:V,17,FALSE)),"",VLOOKUP(B175,Tot_res!C:V,17,FALSE))</f>
        <v>-3115.5972690971475</v>
      </c>
      <c r="S175" s="186">
        <f>IF(ISERROR(VLOOKUP(B175,Tot_res!C:V,18,FALSE)),"",VLOOKUP(B175,Tot_res!C:V,18,FALSE))</f>
        <v>-12065.877712385129</v>
      </c>
      <c r="T175" s="186">
        <f>IF(ISERROR(VLOOKUP(B175,Tot_res!C:V,19,FALSE)),"",VLOOKUP(B175,Tot_res!C:V,19,FALSE))</f>
        <v>0</v>
      </c>
      <c r="U175" s="186">
        <f>IF(ISERROR(VLOOKUP(B175,Tot_res!C:V,20,FALSE)),"",VLOOKUP(B175,Tot_res!C:V,20,FALSE))</f>
        <v>0</v>
      </c>
      <c r="V175" s="122">
        <f t="shared" si="29"/>
        <v>-15181.474981482275</v>
      </c>
    </row>
    <row r="176" spans="1:28" ht="13.15">
      <c r="A176" s="356"/>
      <c r="B176" s="115" t="s">
        <v>1138</v>
      </c>
      <c r="C176" s="335" t="str">
        <f>VLOOKUP(B176,Tot_res!C:D,2,FALSE)</f>
        <v>Administración de Justicia</v>
      </c>
      <c r="D176" s="186">
        <f>IF(ISERROR(VLOOKUP(B176,Tot_res!C:V,3,FALSE)),"",VLOOKUP(B176,Tot_res!C:V,3,FALSE))</f>
        <v>0</v>
      </c>
      <c r="E176" s="186">
        <f>IF(ISERROR(VLOOKUP(B176,Tot_res!C:V,4,FALSE)),"",VLOOKUP(B176,Tot_res!C:V,4,FALSE))</f>
        <v>0</v>
      </c>
      <c r="F176" s="186">
        <f>IF(ISERROR(VLOOKUP(B176,Tot_res!C:V,5,FALSE)),"",VLOOKUP(B176,Tot_res!C:V,5,FALSE))</f>
        <v>0</v>
      </c>
      <c r="G176" s="186">
        <f>IF(ISERROR(VLOOKUP(B176,Tot_res!C:V,6,FALSE)),"",VLOOKUP(B176,Tot_res!C:V,6,FALSE))</f>
        <v>0</v>
      </c>
      <c r="H176" s="186">
        <f>IF(ISERROR(VLOOKUP(B176,Tot_res!C:V,7,FALSE)),"",VLOOKUP(B176,Tot_res!C:V,7,FALSE))</f>
        <v>0</v>
      </c>
      <c r="I176" s="186">
        <f>IF(ISERROR(VLOOKUP(B176,Tot_res!C:V,8,FALSE)),"",VLOOKUP(B176,Tot_res!C:V,8,FALSE))</f>
        <v>0</v>
      </c>
      <c r="J176" s="186">
        <f>IF(ISERROR(VLOOKUP(B176,Tot_res!C:V,9,FALSE)),"",(VLOOKUP(B176,Tot_res!C:V,9,FALSE)))</f>
        <v>0</v>
      </c>
      <c r="K176" s="186">
        <f>IF(ISERROR(VLOOKUP(B176,Tot_res!C:V,10,FALSE)),"",VLOOKUP(B176,Tot_res!C:V,10,FALSE))</f>
        <v>0</v>
      </c>
      <c r="L176" s="186">
        <f>IF(ISERROR(VLOOKUP(B176,Tot_res!C:V,11,FALSE)),"",VLOOKUP(B176,Tot_res!C:V,11,FALSE))</f>
        <v>0</v>
      </c>
      <c r="M176" s="186">
        <f>IF(ISERROR(VLOOKUP(B176,Tot_res!C:V,12,FALSE)),"",VLOOKUP(B176,Tot_res!C:V,12,FALSE))</f>
        <v>0</v>
      </c>
      <c r="N176" s="186">
        <f>IF(ISERROR(VLOOKUP(B176,Tot_res!C:V,13,FALSE)),"",VLOOKUP(B176,Tot_res!C:V,13,FALSE))</f>
        <v>0</v>
      </c>
      <c r="O176" s="186">
        <f>IF(ISERROR(VLOOKUP(B176,Tot_res!C:V,14,FALSE)),"",VLOOKUP(B176,Tot_res!C:V,14,FALSE))</f>
        <v>0</v>
      </c>
      <c r="P176" s="186">
        <f>IF(ISERROR(VLOOKUP(B176,Tot_res!C:V,15,FALSE)),"",VLOOKUP(B176,Tot_res!C:V,15,FALSE))</f>
        <v>0</v>
      </c>
      <c r="Q176" s="186">
        <f>IF(ISERROR(VLOOKUP(B176,Tot_res!C:V,16,FALSE)),"",VLOOKUP(B176,Tot_res!C:V,16,FALSE))</f>
        <v>0</v>
      </c>
      <c r="R176" s="186">
        <f>IF(ISERROR(VLOOKUP(B176,Tot_res!C:V,17,FALSE)),"",VLOOKUP(B176,Tot_res!C:V,17,FALSE))</f>
        <v>-21689.155191317535</v>
      </c>
      <c r="S176" s="186">
        <f>IF(ISERROR(VLOOKUP(B176,Tot_res!C:V,18,FALSE)),"",VLOOKUP(B176,Tot_res!C:V,18,FALSE))</f>
        <v>-73777.263794931088</v>
      </c>
      <c r="T176" s="186">
        <f>IF(ISERROR(VLOOKUP(B176,Tot_res!C:V,19,FALSE)),"",VLOOKUP(B176,Tot_res!C:V,19,FALSE))</f>
        <v>0</v>
      </c>
      <c r="U176" s="186">
        <f>IF(ISERROR(VLOOKUP(B176,Tot_res!C:V,20,FALSE)),"",VLOOKUP(B176,Tot_res!C:V,20,FALSE))</f>
        <v>0</v>
      </c>
      <c r="V176" s="122">
        <f t="shared" si="29"/>
        <v>-95466.418986248624</v>
      </c>
    </row>
    <row r="177" spans="1:28" ht="13.15">
      <c r="A177" s="356"/>
      <c r="B177" s="115" t="s">
        <v>1139</v>
      </c>
      <c r="C177" s="335" t="str">
        <f>VLOOKUP(B177,Tot_res!C:D,2,FALSE)</f>
        <v>Seguridad Ciudadana y Vial</v>
      </c>
      <c r="D177" s="186">
        <f>IF(ISERROR(VLOOKUP(B177,Tot_res!C:V,3,FALSE)),"",VLOOKUP(B177,Tot_res!C:V,3,FALSE))</f>
        <v>0</v>
      </c>
      <c r="E177" s="186">
        <f>IF(ISERROR(VLOOKUP(B177,Tot_res!C:V,4,FALSE)),"",VLOOKUP(B177,Tot_res!C:V,4,FALSE))</f>
        <v>0</v>
      </c>
      <c r="F177" s="186">
        <f>IF(ISERROR(VLOOKUP(B177,Tot_res!C:V,5,FALSE)),"",VLOOKUP(B177,Tot_res!C:V,5,FALSE))</f>
        <v>0</v>
      </c>
      <c r="G177" s="186">
        <f>IF(ISERROR(VLOOKUP(B177,Tot_res!C:V,6,FALSE)),"",VLOOKUP(B177,Tot_res!C:V,6,FALSE))</f>
        <v>0</v>
      </c>
      <c r="H177" s="186">
        <f>IF(ISERROR(VLOOKUP(B177,Tot_res!C:V,7,FALSE)),"",VLOOKUP(B177,Tot_res!C:V,7,FALSE))</f>
        <v>0</v>
      </c>
      <c r="I177" s="186">
        <f>IF(ISERROR(VLOOKUP(B177,Tot_res!C:V,8,FALSE)),"",VLOOKUP(B177,Tot_res!C:V,8,FALSE))</f>
        <v>0</v>
      </c>
      <c r="J177" s="186">
        <f>IF(ISERROR(VLOOKUP(B177,Tot_res!C:V,9,FALSE)),"",(VLOOKUP(B177,Tot_res!C:V,9,FALSE)))</f>
        <v>0</v>
      </c>
      <c r="K177" s="186">
        <f>IF(ISERROR(VLOOKUP(B177,Tot_res!C:V,10,FALSE)),"",VLOOKUP(B177,Tot_res!C:V,10,FALSE))</f>
        <v>0</v>
      </c>
      <c r="L177" s="186">
        <f>IF(ISERROR(VLOOKUP(B177,Tot_res!C:V,11,FALSE)),"",VLOOKUP(B177,Tot_res!C:V,11,FALSE))</f>
        <v>0</v>
      </c>
      <c r="M177" s="186">
        <f>IF(ISERROR(VLOOKUP(B177,Tot_res!C:V,12,FALSE)),"",VLOOKUP(B177,Tot_res!C:V,12,FALSE))</f>
        <v>0</v>
      </c>
      <c r="N177" s="186">
        <f>IF(ISERROR(VLOOKUP(B177,Tot_res!C:V,13,FALSE)),"",VLOOKUP(B177,Tot_res!C:V,13,FALSE))</f>
        <v>0</v>
      </c>
      <c r="O177" s="186">
        <f>IF(ISERROR(VLOOKUP(B177,Tot_res!C:V,14,FALSE)),"",VLOOKUP(B177,Tot_res!C:V,14,FALSE))</f>
        <v>0</v>
      </c>
      <c r="P177" s="186">
        <f>IF(ISERROR(VLOOKUP(B177,Tot_res!C:V,15,FALSE)),"",VLOOKUP(B177,Tot_res!C:V,15,FALSE))</f>
        <v>0</v>
      </c>
      <c r="Q177" s="186">
        <f>IF(ISERROR(VLOOKUP(B177,Tot_res!C:V,16,FALSE)),"",VLOOKUP(B177,Tot_res!C:V,16,FALSE))</f>
        <v>0</v>
      </c>
      <c r="R177" s="186">
        <f>IF(ISERROR(VLOOKUP(B177,Tot_res!C:V,17,FALSE)),"",VLOOKUP(B177,Tot_res!C:V,17,FALSE))</f>
        <v>-73197.073585851584</v>
      </c>
      <c r="S177" s="186">
        <f>IF(ISERROR(VLOOKUP(B177,Tot_res!C:V,18,FALSE)),"",VLOOKUP(B177,Tot_res!C:V,18,FALSE))</f>
        <v>-537243.39093332982</v>
      </c>
      <c r="T177" s="186">
        <f>IF(ISERROR(VLOOKUP(B177,Tot_res!C:V,19,FALSE)),"",VLOOKUP(B177,Tot_res!C:V,19,FALSE))</f>
        <v>0</v>
      </c>
      <c r="U177" s="186">
        <f>IF(ISERROR(VLOOKUP(B177,Tot_res!C:V,20,FALSE)),"",VLOOKUP(B177,Tot_res!C:V,20,FALSE))</f>
        <v>0</v>
      </c>
      <c r="V177" s="122">
        <f t="shared" si="29"/>
        <v>-610440.46451918141</v>
      </c>
    </row>
    <row r="178" spans="1:28" ht="13.15">
      <c r="A178" s="356"/>
      <c r="B178" s="115" t="s">
        <v>1140</v>
      </c>
      <c r="C178" s="335" t="str">
        <f>VLOOKUP(B178,Tot_res!C:D,2,FALSE)</f>
        <v>Ayudas a la vivienda</v>
      </c>
      <c r="D178" s="186">
        <f>IF(ISERROR(VLOOKUP(B178,Tot_res!C:V,3,FALSE)),"",VLOOKUP(B178,Tot_res!C:V,3,FALSE))</f>
        <v>0</v>
      </c>
      <c r="E178" s="186">
        <f>IF(ISERROR(VLOOKUP(B178,Tot_res!C:V,4,FALSE)),"",VLOOKUP(B178,Tot_res!C:V,4,FALSE))</f>
        <v>0</v>
      </c>
      <c r="F178" s="186">
        <f>IF(ISERROR(VLOOKUP(B178,Tot_res!C:V,5,FALSE)),"",VLOOKUP(B178,Tot_res!C:V,5,FALSE))</f>
        <v>0</v>
      </c>
      <c r="G178" s="186">
        <f>IF(ISERROR(VLOOKUP(B178,Tot_res!C:V,6,FALSE)),"",VLOOKUP(B178,Tot_res!C:V,6,FALSE))</f>
        <v>0</v>
      </c>
      <c r="H178" s="186">
        <f>IF(ISERROR(VLOOKUP(B178,Tot_res!C:V,7,FALSE)),"",VLOOKUP(B178,Tot_res!C:V,7,FALSE))</f>
        <v>0</v>
      </c>
      <c r="I178" s="186">
        <f>IF(ISERROR(VLOOKUP(B178,Tot_res!C:V,8,FALSE)),"",VLOOKUP(B178,Tot_res!C:V,8,FALSE))</f>
        <v>0</v>
      </c>
      <c r="J178" s="186">
        <f>IF(ISERROR(VLOOKUP(B178,Tot_res!C:V,9,FALSE)),"",(VLOOKUP(B178,Tot_res!C:V,9,FALSE)))</f>
        <v>0</v>
      </c>
      <c r="K178" s="186">
        <f>IF(ISERROR(VLOOKUP(B178,Tot_res!C:V,10,FALSE)),"",VLOOKUP(B178,Tot_res!C:V,10,FALSE))</f>
        <v>0</v>
      </c>
      <c r="L178" s="186">
        <f>IF(ISERROR(VLOOKUP(B178,Tot_res!C:V,11,FALSE)),"",VLOOKUP(B178,Tot_res!C:V,11,FALSE))</f>
        <v>0</v>
      </c>
      <c r="M178" s="186">
        <f>IF(ISERROR(VLOOKUP(B178,Tot_res!C:V,12,FALSE)),"",VLOOKUP(B178,Tot_res!C:V,12,FALSE))</f>
        <v>0</v>
      </c>
      <c r="N178" s="186">
        <f>IF(ISERROR(VLOOKUP(B178,Tot_res!C:V,13,FALSE)),"",VLOOKUP(B178,Tot_res!C:V,13,FALSE))</f>
        <v>0</v>
      </c>
      <c r="O178" s="186">
        <f>IF(ISERROR(VLOOKUP(B178,Tot_res!C:V,14,FALSE)),"",VLOOKUP(B178,Tot_res!C:V,14,FALSE))</f>
        <v>0</v>
      </c>
      <c r="P178" s="186">
        <f>IF(ISERROR(VLOOKUP(B178,Tot_res!C:V,15,FALSE)),"",VLOOKUP(B178,Tot_res!C:V,15,FALSE))</f>
        <v>0</v>
      </c>
      <c r="Q178" s="186">
        <f>IF(ISERROR(VLOOKUP(B178,Tot_res!C:V,16,FALSE)),"",VLOOKUP(B178,Tot_res!C:V,16,FALSE))</f>
        <v>0</v>
      </c>
      <c r="R178" s="186">
        <f>IF(ISERROR(VLOOKUP(B178,Tot_res!C:V,17,FALSE)),"",VLOOKUP(B178,Tot_res!C:V,17,FALSE))</f>
        <v>-8128.959913851887</v>
      </c>
      <c r="S178" s="186">
        <f>IF(ISERROR(VLOOKUP(B178,Tot_res!C:V,18,FALSE)),"",VLOOKUP(B178,Tot_res!C:V,18,FALSE))</f>
        <v>-33333.42246011956</v>
      </c>
      <c r="T178" s="186">
        <f>IF(ISERROR(VLOOKUP(B178,Tot_res!C:V,19,FALSE)),"",VLOOKUP(B178,Tot_res!C:V,19,FALSE))</f>
        <v>0</v>
      </c>
      <c r="U178" s="186">
        <f>IF(ISERROR(VLOOKUP(B178,Tot_res!C:V,20,FALSE)),"",VLOOKUP(B178,Tot_res!C:V,20,FALSE))</f>
        <v>0</v>
      </c>
      <c r="V178" s="122">
        <f t="shared" si="29"/>
        <v>-41462.38237397145</v>
      </c>
    </row>
    <row r="179" spans="1:28" ht="13.15">
      <c r="A179" s="356"/>
      <c r="B179" s="115" t="s">
        <v>1141</v>
      </c>
      <c r="C179" s="335" t="str">
        <f>VLOOKUP(B179,Tot_res!C:D,2,FALSE)</f>
        <v>ajuste forales, ayudas al transporte colectivo urbano</v>
      </c>
      <c r="D179" s="186">
        <f>IF(ISERROR(VLOOKUP(B179,Tot_res!C:V,3,FALSE)),"",VLOOKUP(B179,Tot_res!C:V,3,FALSE))</f>
        <v>0</v>
      </c>
      <c r="E179" s="186">
        <f>IF(ISERROR(VLOOKUP(B179,Tot_res!C:V,4,FALSE)),"",VLOOKUP(B179,Tot_res!C:V,4,FALSE))</f>
        <v>0</v>
      </c>
      <c r="F179" s="186">
        <f>IF(ISERROR(VLOOKUP(B179,Tot_res!C:V,5,FALSE)),"",VLOOKUP(B179,Tot_res!C:V,5,FALSE))</f>
        <v>0</v>
      </c>
      <c r="G179" s="186">
        <f>IF(ISERROR(VLOOKUP(B179,Tot_res!C:V,6,FALSE)),"",VLOOKUP(B179,Tot_res!C:V,6,FALSE))</f>
        <v>0</v>
      </c>
      <c r="H179" s="186">
        <f>IF(ISERROR(VLOOKUP(B179,Tot_res!C:V,7,FALSE)),"",VLOOKUP(B179,Tot_res!C:V,7,FALSE))</f>
        <v>0</v>
      </c>
      <c r="I179" s="186">
        <f>IF(ISERROR(VLOOKUP(B179,Tot_res!C:V,8,FALSE)),"",VLOOKUP(B179,Tot_res!C:V,8,FALSE))</f>
        <v>0</v>
      </c>
      <c r="J179" s="186">
        <f>IF(ISERROR(VLOOKUP(B179,Tot_res!C:V,9,FALSE)),"",(VLOOKUP(B179,Tot_res!C:V,9,FALSE)))</f>
        <v>0</v>
      </c>
      <c r="K179" s="186">
        <f>IF(ISERROR(VLOOKUP(B179,Tot_res!C:V,10,FALSE)),"",VLOOKUP(B179,Tot_res!C:V,10,FALSE))</f>
        <v>0</v>
      </c>
      <c r="L179" s="186">
        <f>IF(ISERROR(VLOOKUP(B179,Tot_res!C:V,11,FALSE)),"",VLOOKUP(B179,Tot_res!C:V,11,FALSE))</f>
        <v>0</v>
      </c>
      <c r="M179" s="186">
        <f>IF(ISERROR(VLOOKUP(B179,Tot_res!C:V,12,FALSE)),"",VLOOKUP(B179,Tot_res!C:V,12,FALSE))</f>
        <v>0</v>
      </c>
      <c r="N179" s="186">
        <f>IF(ISERROR(VLOOKUP(B179,Tot_res!C:V,13,FALSE)),"",VLOOKUP(B179,Tot_res!C:V,13,FALSE))</f>
        <v>0</v>
      </c>
      <c r="O179" s="186">
        <f>IF(ISERROR(VLOOKUP(B179,Tot_res!C:V,14,FALSE)),"",VLOOKUP(B179,Tot_res!C:V,14,FALSE))</f>
        <v>0</v>
      </c>
      <c r="P179" s="186">
        <f>IF(ISERROR(VLOOKUP(B179,Tot_res!C:V,15,FALSE)),"",VLOOKUP(B179,Tot_res!C:V,15,FALSE))</f>
        <v>0</v>
      </c>
      <c r="Q179" s="186">
        <f>IF(ISERROR(VLOOKUP(B179,Tot_res!C:V,16,FALSE)),"",VLOOKUP(B179,Tot_res!C:V,16,FALSE))</f>
        <v>0</v>
      </c>
      <c r="R179" s="186">
        <f>IF(ISERROR(VLOOKUP(B179,Tot_res!C:V,17,FALSE)),"",VLOOKUP(B179,Tot_res!C:V,17,FALSE))</f>
        <v>-4345.973324465418</v>
      </c>
      <c r="S179" s="186">
        <f>IF(ISERROR(VLOOKUP(B179,Tot_res!C:V,18,FALSE)),"",VLOOKUP(B179,Tot_res!C:V,18,FALSE))</f>
        <v>-14786.873730217885</v>
      </c>
      <c r="T179" s="186">
        <f>IF(ISERROR(VLOOKUP(B179,Tot_res!C:V,19,FALSE)),"",VLOOKUP(B179,Tot_res!C:V,19,FALSE))</f>
        <v>0</v>
      </c>
      <c r="U179" s="186">
        <f>IF(ISERROR(VLOOKUP(B179,Tot_res!C:V,20,FALSE)),"",VLOOKUP(B179,Tot_res!C:V,20,FALSE))</f>
        <v>0</v>
      </c>
      <c r="V179" s="122">
        <f t="shared" si="29"/>
        <v>-19132.847054683305</v>
      </c>
    </row>
    <row r="180" spans="1:28" ht="13.15">
      <c r="A180" s="356"/>
      <c r="B180" s="115" t="s">
        <v>1142</v>
      </c>
      <c r="C180" s="335" t="str">
        <f>VLOOKUP(B180,Tot_res!C:D,2,FALSE)</f>
        <v>Conservación patrimonio artístico y cultural</v>
      </c>
      <c r="D180" s="186">
        <f>IF(ISERROR(VLOOKUP(B180,Tot_res!C:V,3,FALSE)),"",VLOOKUP(B180,Tot_res!C:V,3,FALSE))</f>
        <v>0</v>
      </c>
      <c r="E180" s="186">
        <f>IF(ISERROR(VLOOKUP(B180,Tot_res!C:V,4,FALSE)),"",VLOOKUP(B180,Tot_res!C:V,4,FALSE))</f>
        <v>0</v>
      </c>
      <c r="F180" s="186">
        <f>IF(ISERROR(VLOOKUP(B180,Tot_res!C:V,5,FALSE)),"",VLOOKUP(B180,Tot_res!C:V,5,FALSE))</f>
        <v>0</v>
      </c>
      <c r="G180" s="186">
        <f>IF(ISERROR(VLOOKUP(B180,Tot_res!C:V,6,FALSE)),"",VLOOKUP(B180,Tot_res!C:V,6,FALSE))</f>
        <v>0</v>
      </c>
      <c r="H180" s="186">
        <f>IF(ISERROR(VLOOKUP(B180,Tot_res!C:V,7,FALSE)),"",VLOOKUP(B180,Tot_res!C:V,7,FALSE))</f>
        <v>0</v>
      </c>
      <c r="I180" s="186">
        <f>IF(ISERROR(VLOOKUP(B180,Tot_res!C:V,8,FALSE)),"",VLOOKUP(B180,Tot_res!C:V,8,FALSE))</f>
        <v>0</v>
      </c>
      <c r="J180" s="186">
        <f>IF(ISERROR(VLOOKUP(B180,Tot_res!C:V,9,FALSE)),"",(VLOOKUP(B180,Tot_res!C:V,9,FALSE)))</f>
        <v>0</v>
      </c>
      <c r="K180" s="186">
        <f>IF(ISERROR(VLOOKUP(B180,Tot_res!C:V,10,FALSE)),"",VLOOKUP(B180,Tot_res!C:V,10,FALSE))</f>
        <v>0</v>
      </c>
      <c r="L180" s="186">
        <f>IF(ISERROR(VLOOKUP(B180,Tot_res!C:V,11,FALSE)),"",VLOOKUP(B180,Tot_res!C:V,11,FALSE))</f>
        <v>0</v>
      </c>
      <c r="M180" s="186">
        <f>IF(ISERROR(VLOOKUP(B180,Tot_res!C:V,12,FALSE)),"",VLOOKUP(B180,Tot_res!C:V,12,FALSE))</f>
        <v>0</v>
      </c>
      <c r="N180" s="186">
        <f>IF(ISERROR(VLOOKUP(B180,Tot_res!C:V,13,FALSE)),"",VLOOKUP(B180,Tot_res!C:V,13,FALSE))</f>
        <v>0</v>
      </c>
      <c r="O180" s="186">
        <f>IF(ISERROR(VLOOKUP(B180,Tot_res!C:V,14,FALSE)),"",VLOOKUP(B180,Tot_res!C:V,14,FALSE))</f>
        <v>0</v>
      </c>
      <c r="P180" s="186">
        <f>IF(ISERROR(VLOOKUP(B180,Tot_res!C:V,15,FALSE)),"",VLOOKUP(B180,Tot_res!C:V,15,FALSE))</f>
        <v>0</v>
      </c>
      <c r="Q180" s="186">
        <f>IF(ISERROR(VLOOKUP(B180,Tot_res!C:V,16,FALSE)),"",VLOOKUP(B180,Tot_res!C:V,16,FALSE))</f>
        <v>0</v>
      </c>
      <c r="R180" s="186">
        <f>IF(ISERROR(VLOOKUP(B180,Tot_res!C:V,17,FALSE)),"",VLOOKUP(B180,Tot_res!C:V,17,FALSE))</f>
        <v>-439.39053093594049</v>
      </c>
      <c r="S180" s="186">
        <f>IF(ISERROR(VLOOKUP(B180,Tot_res!C:V,18,FALSE)),"",VLOOKUP(B180,Tot_res!C:V,18,FALSE))</f>
        <v>-296.19980060010357</v>
      </c>
      <c r="T180" s="186">
        <f>IF(ISERROR(VLOOKUP(B180,Tot_res!C:V,19,FALSE)),"",VLOOKUP(B180,Tot_res!C:V,19,FALSE))</f>
        <v>0</v>
      </c>
      <c r="U180" s="186">
        <f>IF(ISERROR(VLOOKUP(B180,Tot_res!C:V,20,FALSE)),"",VLOOKUP(B180,Tot_res!C:V,20,FALSE))</f>
        <v>0</v>
      </c>
      <c r="V180" s="122">
        <f t="shared" si="29"/>
        <v>-735.590331536044</v>
      </c>
    </row>
    <row r="181" spans="1:28" ht="13.15">
      <c r="A181" s="356"/>
      <c r="B181" s="115" t="s">
        <v>1148</v>
      </c>
      <c r="C181" s="335" t="e">
        <f>VLOOKUP(B181,Tot_res!C:D,2,FALSE)</f>
        <v>#N/A</v>
      </c>
      <c r="D181" s="186" t="str">
        <f>IF(ISERROR(VLOOKUP(B181,Tot_res!C:V,3,FALSE)),"",VLOOKUP(B181,Tot_res!C:V,3,FALSE))</f>
        <v/>
      </c>
      <c r="E181" s="186" t="str">
        <f>IF(ISERROR(VLOOKUP(B181,Tot_res!C:V,4,FALSE)),"",VLOOKUP(B181,Tot_res!C:V,4,FALSE))</f>
        <v/>
      </c>
      <c r="F181" s="186" t="str">
        <f>IF(ISERROR(VLOOKUP(B181,Tot_res!C:V,5,FALSE)),"",VLOOKUP(B181,Tot_res!C:V,5,FALSE))</f>
        <v/>
      </c>
      <c r="G181" s="186" t="str">
        <f>IF(ISERROR(VLOOKUP(B181,Tot_res!C:V,6,FALSE)),"",VLOOKUP(B181,Tot_res!C:V,6,FALSE))</f>
        <v/>
      </c>
      <c r="H181" s="186" t="str">
        <f>IF(ISERROR(VLOOKUP(B181,Tot_res!C:V,7,FALSE)),"",VLOOKUP(B181,Tot_res!C:V,7,FALSE))</f>
        <v/>
      </c>
      <c r="I181" s="186" t="str">
        <f>IF(ISERROR(VLOOKUP(B181,Tot_res!C:V,8,FALSE)),"",VLOOKUP(B181,Tot_res!C:V,8,FALSE))</f>
        <v/>
      </c>
      <c r="J181" s="186" t="str">
        <f>IF(ISERROR(VLOOKUP(B181,Tot_res!C:V,9,FALSE)),"",(VLOOKUP(B181,Tot_res!C:V,9,FALSE)))</f>
        <v/>
      </c>
      <c r="K181" s="186" t="str">
        <f>IF(ISERROR(VLOOKUP(B181,Tot_res!C:V,10,FALSE)),"",VLOOKUP(B181,Tot_res!C:V,10,FALSE))</f>
        <v/>
      </c>
      <c r="L181" s="186" t="str">
        <f>IF(ISERROR(VLOOKUP(B181,Tot_res!C:V,11,FALSE)),"",VLOOKUP(B181,Tot_res!C:V,11,FALSE))</f>
        <v/>
      </c>
      <c r="M181" s="186" t="str">
        <f>IF(ISERROR(VLOOKUP(B181,Tot_res!C:V,12,FALSE)),"",VLOOKUP(B181,Tot_res!C:V,12,FALSE))</f>
        <v/>
      </c>
      <c r="N181" s="186" t="str">
        <f>IF(ISERROR(VLOOKUP(B181,Tot_res!C:V,13,FALSE)),"",VLOOKUP(B181,Tot_res!C:V,13,FALSE))</f>
        <v/>
      </c>
      <c r="O181" s="186" t="str">
        <f>IF(ISERROR(VLOOKUP(B181,Tot_res!C:V,14,FALSE)),"",VLOOKUP(B181,Tot_res!C:V,14,FALSE))</f>
        <v/>
      </c>
      <c r="P181" s="186" t="str">
        <f>IF(ISERROR(VLOOKUP(B181,Tot_res!C:V,15,FALSE)),"",VLOOKUP(B181,Tot_res!C:V,15,FALSE))</f>
        <v/>
      </c>
      <c r="Q181" s="186" t="str">
        <f>IF(ISERROR(VLOOKUP(B181,Tot_res!C:V,16,FALSE)),"",VLOOKUP(B181,Tot_res!C:V,16,FALSE))</f>
        <v/>
      </c>
      <c r="R181" s="186" t="str">
        <f>IF(ISERROR(VLOOKUP(B181,Tot_res!C:V,17,FALSE)),"",VLOOKUP(B181,Tot_res!C:V,17,FALSE))</f>
        <v/>
      </c>
      <c r="S181" s="186" t="str">
        <f>IF(ISERROR(VLOOKUP(B181,Tot_res!C:V,18,FALSE)),"",VLOOKUP(B181,Tot_res!C:V,18,FALSE))</f>
        <v/>
      </c>
      <c r="T181" s="186" t="str">
        <f>IF(ISERROR(VLOOKUP(B181,Tot_res!C:V,19,FALSE)),"",VLOOKUP(B181,Tot_res!C:V,19,FALSE))</f>
        <v/>
      </c>
      <c r="U181" s="186" t="str">
        <f>IF(ISERROR(VLOOKUP(B181,Tot_res!C:V,20,FALSE)),"",VLOOKUP(B181,Tot_res!C:V,20,FALSE))</f>
        <v/>
      </c>
      <c r="V181" s="122">
        <f t="shared" si="29"/>
        <v>0</v>
      </c>
    </row>
    <row r="182" spans="1:28" ht="13.15">
      <c r="A182" s="356"/>
      <c r="B182" s="115" t="s">
        <v>1143</v>
      </c>
      <c r="C182" s="335" t="str">
        <f>VLOOKUP(B182,Tot_res!C:D,2,FALSE)</f>
        <v>Servicios Sociales</v>
      </c>
      <c r="D182" s="186">
        <f>IF(ISERROR(VLOOKUP(B182,Tot_res!C:V,3,FALSE)),"",VLOOKUP(B182,Tot_res!C:V,3,FALSE))</f>
        <v>0</v>
      </c>
      <c r="E182" s="186">
        <f>IF(ISERROR(VLOOKUP(B182,Tot_res!C:V,4,FALSE)),"",VLOOKUP(B182,Tot_res!C:V,4,FALSE))</f>
        <v>0</v>
      </c>
      <c r="F182" s="186">
        <f>IF(ISERROR(VLOOKUP(B182,Tot_res!C:V,5,FALSE)),"",VLOOKUP(B182,Tot_res!C:V,5,FALSE))</f>
        <v>0</v>
      </c>
      <c r="G182" s="186">
        <f>IF(ISERROR(VLOOKUP(B182,Tot_res!C:V,6,FALSE)),"",VLOOKUP(B182,Tot_res!C:V,6,FALSE))</f>
        <v>0</v>
      </c>
      <c r="H182" s="186">
        <f>IF(ISERROR(VLOOKUP(B182,Tot_res!C:V,7,FALSE)),"",VLOOKUP(B182,Tot_res!C:V,7,FALSE))</f>
        <v>0</v>
      </c>
      <c r="I182" s="186">
        <f>IF(ISERROR(VLOOKUP(B182,Tot_res!C:V,8,FALSE)),"",VLOOKUP(B182,Tot_res!C:V,8,FALSE))</f>
        <v>0</v>
      </c>
      <c r="J182" s="186">
        <f>IF(ISERROR(VLOOKUP(B182,Tot_res!C:V,9,FALSE)),"",(VLOOKUP(B182,Tot_res!C:V,9,FALSE)))</f>
        <v>0</v>
      </c>
      <c r="K182" s="186">
        <f>IF(ISERROR(VLOOKUP(B182,Tot_res!C:V,10,FALSE)),"",VLOOKUP(B182,Tot_res!C:V,10,FALSE))</f>
        <v>0</v>
      </c>
      <c r="L182" s="186">
        <f>IF(ISERROR(VLOOKUP(B182,Tot_res!C:V,11,FALSE)),"",VLOOKUP(B182,Tot_res!C:V,11,FALSE))</f>
        <v>0</v>
      </c>
      <c r="M182" s="186">
        <f>IF(ISERROR(VLOOKUP(B182,Tot_res!C:V,12,FALSE)),"",VLOOKUP(B182,Tot_res!C:V,12,FALSE))</f>
        <v>0</v>
      </c>
      <c r="N182" s="186">
        <f>IF(ISERROR(VLOOKUP(B182,Tot_res!C:V,13,FALSE)),"",VLOOKUP(B182,Tot_res!C:V,13,FALSE))</f>
        <v>0</v>
      </c>
      <c r="O182" s="186">
        <f>IF(ISERROR(VLOOKUP(B182,Tot_res!C:V,14,FALSE)),"",VLOOKUP(B182,Tot_res!C:V,14,FALSE))</f>
        <v>0</v>
      </c>
      <c r="P182" s="186">
        <f>IF(ISERROR(VLOOKUP(B182,Tot_res!C:V,15,FALSE)),"",VLOOKUP(B182,Tot_res!C:V,15,FALSE))</f>
        <v>0</v>
      </c>
      <c r="Q182" s="186">
        <f>IF(ISERROR(VLOOKUP(B182,Tot_res!C:V,16,FALSE)),"",VLOOKUP(B182,Tot_res!C:V,16,FALSE))</f>
        <v>0</v>
      </c>
      <c r="R182" s="186">
        <f>IF(ISERROR(VLOOKUP(B182,Tot_res!C:V,17,FALSE)),"",VLOOKUP(B182,Tot_res!C:V,17,FALSE))</f>
        <v>-2166.8841234929928</v>
      </c>
      <c r="S182" s="186">
        <f>IF(ISERROR(VLOOKUP(B182,Tot_res!C:V,18,FALSE)),"",VLOOKUP(B182,Tot_res!C:V,18,FALSE))</f>
        <v>-5604.2441227210056</v>
      </c>
      <c r="T182" s="186">
        <f>IF(ISERROR(VLOOKUP(B182,Tot_res!C:V,19,FALSE)),"",VLOOKUP(B182,Tot_res!C:V,19,FALSE))</f>
        <v>0</v>
      </c>
      <c r="U182" s="186">
        <f>IF(ISERROR(VLOOKUP(B182,Tot_res!C:V,20,FALSE)),"",VLOOKUP(B182,Tot_res!C:V,20,FALSE))</f>
        <v>0</v>
      </c>
      <c r="V182" s="122">
        <f t="shared" si="29"/>
        <v>-7771.1282462139989</v>
      </c>
    </row>
    <row r="183" spans="1:28" ht="13.15">
      <c r="A183" s="356"/>
      <c r="B183" s="115" t="s">
        <v>1144</v>
      </c>
      <c r="C183" s="335" t="str">
        <f>VLOOKUP(B183,Tot_res!C:D,2,FALSE)</f>
        <v>Fomento y gestiòn del empleo, incluyendo ISM</v>
      </c>
      <c r="D183" s="186">
        <f>IF(ISERROR(VLOOKUP(B183,Tot_res!C:V,3,FALSE)),"",VLOOKUP(B183,Tot_res!C:V,3,FALSE))</f>
        <v>0</v>
      </c>
      <c r="E183" s="186">
        <f>IF(ISERROR(VLOOKUP(B183,Tot_res!C:V,4,FALSE)),"",VLOOKUP(B183,Tot_res!C:V,4,FALSE))</f>
        <v>0</v>
      </c>
      <c r="F183" s="186">
        <f>IF(ISERROR(VLOOKUP(B183,Tot_res!C:V,5,FALSE)),"",VLOOKUP(B183,Tot_res!C:V,5,FALSE))</f>
        <v>0</v>
      </c>
      <c r="G183" s="186">
        <f>IF(ISERROR(VLOOKUP(B183,Tot_res!C:V,6,FALSE)),"",VLOOKUP(B183,Tot_res!C:V,6,FALSE))</f>
        <v>0</v>
      </c>
      <c r="H183" s="186">
        <f>IF(ISERROR(VLOOKUP(B183,Tot_res!C:V,7,FALSE)),"",VLOOKUP(B183,Tot_res!C:V,7,FALSE))</f>
        <v>0</v>
      </c>
      <c r="I183" s="186">
        <f>IF(ISERROR(VLOOKUP(B183,Tot_res!C:V,8,FALSE)),"",VLOOKUP(B183,Tot_res!C:V,8,FALSE))</f>
        <v>0</v>
      </c>
      <c r="J183" s="186">
        <f>IF(ISERROR(VLOOKUP(B183,Tot_res!C:V,9,FALSE)),"",(VLOOKUP(B183,Tot_res!C:V,9,FALSE)))</f>
        <v>0</v>
      </c>
      <c r="K183" s="186">
        <f>IF(ISERROR(VLOOKUP(B183,Tot_res!C:V,10,FALSE)),"",VLOOKUP(B183,Tot_res!C:V,10,FALSE))</f>
        <v>0</v>
      </c>
      <c r="L183" s="186">
        <f>IF(ISERROR(VLOOKUP(B183,Tot_res!C:V,11,FALSE)),"",VLOOKUP(B183,Tot_res!C:V,11,FALSE))</f>
        <v>0</v>
      </c>
      <c r="M183" s="186">
        <f>IF(ISERROR(VLOOKUP(B183,Tot_res!C:V,12,FALSE)),"",VLOOKUP(B183,Tot_res!C:V,12,FALSE))</f>
        <v>0</v>
      </c>
      <c r="N183" s="186">
        <f>IF(ISERROR(VLOOKUP(B183,Tot_res!C:V,13,FALSE)),"",VLOOKUP(B183,Tot_res!C:V,13,FALSE))</f>
        <v>0</v>
      </c>
      <c r="O183" s="186">
        <f>IF(ISERROR(VLOOKUP(B183,Tot_res!C:V,14,FALSE)),"",VLOOKUP(B183,Tot_res!C:V,14,FALSE))</f>
        <v>0</v>
      </c>
      <c r="P183" s="186">
        <f>IF(ISERROR(VLOOKUP(B183,Tot_res!C:V,15,FALSE)),"",VLOOKUP(B183,Tot_res!C:V,15,FALSE))</f>
        <v>0</v>
      </c>
      <c r="Q183" s="186">
        <f>IF(ISERROR(VLOOKUP(B183,Tot_res!C:V,16,FALSE)),"",VLOOKUP(B183,Tot_res!C:V,16,FALSE))</f>
        <v>0</v>
      </c>
      <c r="R183" s="186">
        <f>IF(ISERROR(VLOOKUP(B183,Tot_res!C:V,17,FALSE)),"",VLOOKUP(B183,Tot_res!C:V,17,FALSE))</f>
        <v>0</v>
      </c>
      <c r="S183" s="186">
        <f>IF(ISERROR(VLOOKUP(B183,Tot_res!C:V,18,FALSE)),"",VLOOKUP(B183,Tot_res!C:V,18,FALSE))</f>
        <v>-93097</v>
      </c>
      <c r="T183" s="186">
        <f>IF(ISERROR(VLOOKUP(B183,Tot_res!C:V,19,FALSE)),"",VLOOKUP(B183,Tot_res!C:V,19,FALSE))</f>
        <v>0</v>
      </c>
      <c r="U183" s="186">
        <f>IF(ISERROR(VLOOKUP(B183,Tot_res!C:V,20,FALSE)),"",VLOOKUP(B183,Tot_res!C:V,20,FALSE))</f>
        <v>0</v>
      </c>
      <c r="V183" s="122">
        <f t="shared" si="29"/>
        <v>-93097</v>
      </c>
    </row>
    <row r="184" spans="1:28" ht="13.15">
      <c r="A184" s="356"/>
      <c r="B184" s="115" t="s">
        <v>1149</v>
      </c>
      <c r="C184" s="335" t="e">
        <f>VLOOKUP(B184,Tot_res!C:D,2,FALSE)</f>
        <v>#N/A</v>
      </c>
      <c r="D184" s="186" t="str">
        <f>IF(ISERROR(VLOOKUP(B184,Tot_res!C:V,3,FALSE)),"",VLOOKUP(B184,Tot_res!C:V,3,FALSE))</f>
        <v/>
      </c>
      <c r="E184" s="186" t="str">
        <f>IF(ISERROR(VLOOKUP(B184,Tot_res!C:V,4,FALSE)),"",VLOOKUP(B184,Tot_res!C:V,4,FALSE))</f>
        <v/>
      </c>
      <c r="F184" s="186" t="str">
        <f>IF(ISERROR(VLOOKUP(B184,Tot_res!C:V,5,FALSE)),"",VLOOKUP(B184,Tot_res!C:V,5,FALSE))</f>
        <v/>
      </c>
      <c r="G184" s="186" t="str">
        <f>IF(ISERROR(VLOOKUP(B184,Tot_res!C:V,6,FALSE)),"",VLOOKUP(B184,Tot_res!C:V,6,FALSE))</f>
        <v/>
      </c>
      <c r="H184" s="186" t="str">
        <f>IF(ISERROR(VLOOKUP(B184,Tot_res!C:V,7,FALSE)),"",VLOOKUP(B184,Tot_res!C:V,7,FALSE))</f>
        <v/>
      </c>
      <c r="I184" s="186" t="str">
        <f>IF(ISERROR(VLOOKUP(B184,Tot_res!C:V,8,FALSE)),"",VLOOKUP(B184,Tot_res!C:V,8,FALSE))</f>
        <v/>
      </c>
      <c r="J184" s="186" t="str">
        <f>IF(ISERROR(VLOOKUP(B184,Tot_res!C:V,9,FALSE)),"",(VLOOKUP(B184,Tot_res!C:V,9,FALSE)))</f>
        <v/>
      </c>
      <c r="K184" s="186" t="str">
        <f>IF(ISERROR(VLOOKUP(B184,Tot_res!C:V,10,FALSE)),"",VLOOKUP(B184,Tot_res!C:V,10,FALSE))</f>
        <v/>
      </c>
      <c r="L184" s="186" t="str">
        <f>IF(ISERROR(VLOOKUP(B184,Tot_res!C:V,11,FALSE)),"",VLOOKUP(B184,Tot_res!C:V,11,FALSE))</f>
        <v/>
      </c>
      <c r="M184" s="186" t="str">
        <f>IF(ISERROR(VLOOKUP(B184,Tot_res!C:V,12,FALSE)),"",VLOOKUP(B184,Tot_res!C:V,12,FALSE))</f>
        <v/>
      </c>
      <c r="N184" s="186" t="str">
        <f>IF(ISERROR(VLOOKUP(B184,Tot_res!C:V,13,FALSE)),"",VLOOKUP(B184,Tot_res!C:V,13,FALSE))</f>
        <v/>
      </c>
      <c r="O184" s="186" t="str">
        <f>IF(ISERROR(VLOOKUP(B184,Tot_res!C:V,14,FALSE)),"",VLOOKUP(B184,Tot_res!C:V,14,FALSE))</f>
        <v/>
      </c>
      <c r="P184" s="186" t="str">
        <f>IF(ISERROR(VLOOKUP(B184,Tot_res!C:V,15,FALSE)),"",VLOOKUP(B184,Tot_res!C:V,15,FALSE))</f>
        <v/>
      </c>
      <c r="Q184" s="186" t="str">
        <f>IF(ISERROR(VLOOKUP(B184,Tot_res!C:V,16,FALSE)),"",VLOOKUP(B184,Tot_res!C:V,16,FALSE))</f>
        <v/>
      </c>
      <c r="R184" s="186" t="str">
        <f>IF(ISERROR(VLOOKUP(B184,Tot_res!C:V,17,FALSE)),"",VLOOKUP(B184,Tot_res!C:V,17,FALSE))</f>
        <v/>
      </c>
      <c r="S184" s="186" t="str">
        <f>IF(ISERROR(VLOOKUP(B184,Tot_res!C:V,18,FALSE)),"",VLOOKUP(B184,Tot_res!C:V,18,FALSE))</f>
        <v/>
      </c>
      <c r="T184" s="186" t="str">
        <f>IF(ISERROR(VLOOKUP(B184,Tot_res!C:V,19,FALSE)),"",VLOOKUP(B184,Tot_res!C:V,19,FALSE))</f>
        <v/>
      </c>
      <c r="U184" s="186" t="str">
        <f>IF(ISERROR(VLOOKUP(B184,Tot_res!C:V,20,FALSE)),"",VLOOKUP(B184,Tot_res!C:V,20,FALSE))</f>
        <v/>
      </c>
      <c r="V184" s="122">
        <f t="shared" si="29"/>
        <v>0</v>
      </c>
    </row>
    <row r="185" spans="1:28" ht="13.15">
      <c r="A185" s="356"/>
      <c r="B185" s="115" t="s">
        <v>1145</v>
      </c>
      <c r="C185" s="335" t="str">
        <f>VLOOKUP(B185,Tot_res!C:D,2,FALSE)</f>
        <v>Agricultura</v>
      </c>
      <c r="D185" s="186">
        <f>IF(ISERROR(VLOOKUP(B185,Tot_res!C:V,3,FALSE)),"",VLOOKUP(B185,Tot_res!C:V,3,FALSE))</f>
        <v>0</v>
      </c>
      <c r="E185" s="186">
        <f>IF(ISERROR(VLOOKUP(B185,Tot_res!C:V,4,FALSE)),"",VLOOKUP(B185,Tot_res!C:V,4,FALSE))</f>
        <v>0</v>
      </c>
      <c r="F185" s="186">
        <f>IF(ISERROR(VLOOKUP(B185,Tot_res!C:V,5,FALSE)),"",VLOOKUP(B185,Tot_res!C:V,5,FALSE))</f>
        <v>0</v>
      </c>
      <c r="G185" s="186">
        <f>IF(ISERROR(VLOOKUP(B185,Tot_res!C:V,6,FALSE)),"",VLOOKUP(B185,Tot_res!C:V,6,FALSE))</f>
        <v>0</v>
      </c>
      <c r="H185" s="186">
        <f>IF(ISERROR(VLOOKUP(B185,Tot_res!C:V,7,FALSE)),"",VLOOKUP(B185,Tot_res!C:V,7,FALSE))</f>
        <v>0</v>
      </c>
      <c r="I185" s="186">
        <f>IF(ISERROR(VLOOKUP(B185,Tot_res!C:V,8,FALSE)),"",VLOOKUP(B185,Tot_res!C:V,8,FALSE))</f>
        <v>0</v>
      </c>
      <c r="J185" s="186">
        <f>IF(ISERROR(VLOOKUP(B185,Tot_res!C:V,9,FALSE)),"",(VLOOKUP(B185,Tot_res!C:V,9,FALSE)))</f>
        <v>0</v>
      </c>
      <c r="K185" s="186">
        <f>IF(ISERROR(VLOOKUP(B185,Tot_res!C:V,10,FALSE)),"",VLOOKUP(B185,Tot_res!C:V,10,FALSE))</f>
        <v>0</v>
      </c>
      <c r="L185" s="186">
        <f>IF(ISERROR(VLOOKUP(B185,Tot_res!C:V,11,FALSE)),"",VLOOKUP(B185,Tot_res!C:V,11,FALSE))</f>
        <v>0</v>
      </c>
      <c r="M185" s="186">
        <f>IF(ISERROR(VLOOKUP(B185,Tot_res!C:V,12,FALSE)),"",VLOOKUP(B185,Tot_res!C:V,12,FALSE))</f>
        <v>0</v>
      </c>
      <c r="N185" s="186">
        <f>IF(ISERROR(VLOOKUP(B185,Tot_res!C:V,13,FALSE)),"",VLOOKUP(B185,Tot_res!C:V,13,FALSE))</f>
        <v>0</v>
      </c>
      <c r="O185" s="186">
        <f>IF(ISERROR(VLOOKUP(B185,Tot_res!C:V,14,FALSE)),"",VLOOKUP(B185,Tot_res!C:V,14,FALSE))</f>
        <v>0</v>
      </c>
      <c r="P185" s="186">
        <f>IF(ISERROR(VLOOKUP(B185,Tot_res!C:V,15,FALSE)),"",VLOOKUP(B185,Tot_res!C:V,15,FALSE))</f>
        <v>0</v>
      </c>
      <c r="Q185" s="186">
        <f>IF(ISERROR(VLOOKUP(B185,Tot_res!C:V,16,FALSE)),"",VLOOKUP(B185,Tot_res!C:V,16,FALSE))</f>
        <v>0</v>
      </c>
      <c r="R185" s="186">
        <f>IF(ISERROR(VLOOKUP(B185,Tot_res!C:V,17,FALSE)),"",VLOOKUP(B185,Tot_res!C:V,17,FALSE))</f>
        <v>-898.04818331598688</v>
      </c>
      <c r="S185" s="186">
        <f>IF(ISERROR(VLOOKUP(B185,Tot_res!C:V,18,FALSE)),"",VLOOKUP(B185,Tot_res!C:V,18,FALSE))</f>
        <v>-6052.2707064751994</v>
      </c>
      <c r="T185" s="186">
        <f>IF(ISERROR(VLOOKUP(B185,Tot_res!C:V,19,FALSE)),"",VLOOKUP(B185,Tot_res!C:V,19,FALSE))</f>
        <v>0</v>
      </c>
      <c r="U185" s="186">
        <f>IF(ISERROR(VLOOKUP(B185,Tot_res!C:V,20,FALSE)),"",VLOOKUP(B185,Tot_res!C:V,20,FALSE))</f>
        <v>0</v>
      </c>
      <c r="V185" s="122">
        <f t="shared" si="29"/>
        <v>-6950.3188897911859</v>
      </c>
    </row>
    <row r="186" spans="1:28" ht="13.15">
      <c r="A186" s="356"/>
      <c r="B186" s="115" t="s">
        <v>1150</v>
      </c>
      <c r="C186" s="335" t="e">
        <f>VLOOKUP(B186,Tot_res!C:D,2,FALSE)</f>
        <v>#N/A</v>
      </c>
      <c r="D186" s="186" t="str">
        <f>IF(ISERROR(VLOOKUP(B186,Tot_res!C:V,3,FALSE)),"",VLOOKUP(B186,Tot_res!C:V,3,FALSE))</f>
        <v/>
      </c>
      <c r="E186" s="186" t="str">
        <f>IF(ISERROR(VLOOKUP(B186,Tot_res!C:V,4,FALSE)),"",VLOOKUP(B186,Tot_res!C:V,4,FALSE))</f>
        <v/>
      </c>
      <c r="F186" s="186" t="str">
        <f>IF(ISERROR(VLOOKUP(B186,Tot_res!C:V,5,FALSE)),"",VLOOKUP(B186,Tot_res!C:V,5,FALSE))</f>
        <v/>
      </c>
      <c r="G186" s="186" t="str">
        <f>IF(ISERROR(VLOOKUP(B186,Tot_res!C:V,6,FALSE)),"",VLOOKUP(B186,Tot_res!C:V,6,FALSE))</f>
        <v/>
      </c>
      <c r="H186" s="186" t="str">
        <f>IF(ISERROR(VLOOKUP(B186,Tot_res!C:V,7,FALSE)),"",VLOOKUP(B186,Tot_res!C:V,7,FALSE))</f>
        <v/>
      </c>
      <c r="I186" s="186" t="str">
        <f>IF(ISERROR(VLOOKUP(B186,Tot_res!C:V,8,FALSE)),"",VLOOKUP(B186,Tot_res!C:V,8,FALSE))</f>
        <v/>
      </c>
      <c r="J186" s="186" t="str">
        <f>IF(ISERROR(VLOOKUP(B186,Tot_res!C:V,9,FALSE)),"",(VLOOKUP(B186,Tot_res!C:V,9,FALSE)))</f>
        <v/>
      </c>
      <c r="K186" s="186" t="str">
        <f>IF(ISERROR(VLOOKUP(B186,Tot_res!C:V,10,FALSE)),"",VLOOKUP(B186,Tot_res!C:V,10,FALSE))</f>
        <v/>
      </c>
      <c r="L186" s="186" t="str">
        <f>IF(ISERROR(VLOOKUP(B186,Tot_res!C:V,11,FALSE)),"",VLOOKUP(B186,Tot_res!C:V,11,FALSE))</f>
        <v/>
      </c>
      <c r="M186" s="186" t="str">
        <f>IF(ISERROR(VLOOKUP(B186,Tot_res!C:V,12,FALSE)),"",VLOOKUP(B186,Tot_res!C:V,12,FALSE))</f>
        <v/>
      </c>
      <c r="N186" s="186" t="str">
        <f>IF(ISERROR(VLOOKUP(B186,Tot_res!C:V,13,FALSE)),"",VLOOKUP(B186,Tot_res!C:V,13,FALSE))</f>
        <v/>
      </c>
      <c r="O186" s="186" t="str">
        <f>IF(ISERROR(VLOOKUP(B186,Tot_res!C:V,14,FALSE)),"",VLOOKUP(B186,Tot_res!C:V,14,FALSE))</f>
        <v/>
      </c>
      <c r="P186" s="186" t="str">
        <f>IF(ISERROR(VLOOKUP(B186,Tot_res!C:V,15,FALSE)),"",VLOOKUP(B186,Tot_res!C:V,15,FALSE))</f>
        <v/>
      </c>
      <c r="Q186" s="186" t="str">
        <f>IF(ISERROR(VLOOKUP(B186,Tot_res!C:V,16,FALSE)),"",VLOOKUP(B186,Tot_res!C:V,16,FALSE))</f>
        <v/>
      </c>
      <c r="R186" s="186" t="str">
        <f>IF(ISERROR(VLOOKUP(B186,Tot_res!C:V,17,FALSE)),"",VLOOKUP(B186,Tot_res!C:V,17,FALSE))</f>
        <v/>
      </c>
      <c r="S186" s="186" t="str">
        <f>IF(ISERROR(VLOOKUP(B186,Tot_res!C:V,18,FALSE)),"",VLOOKUP(B186,Tot_res!C:V,18,FALSE))</f>
        <v/>
      </c>
      <c r="T186" s="186" t="str">
        <f>IF(ISERROR(VLOOKUP(B186,Tot_res!C:V,19,FALSE)),"",VLOOKUP(B186,Tot_res!C:V,19,FALSE))</f>
        <v/>
      </c>
      <c r="U186" s="186" t="str">
        <f>IF(ISERROR(VLOOKUP(B186,Tot_res!C:V,20,FALSE)),"",VLOOKUP(B186,Tot_res!C:V,20,FALSE))</f>
        <v/>
      </c>
      <c r="V186" s="122">
        <f t="shared" si="29"/>
        <v>0</v>
      </c>
    </row>
    <row r="187" spans="1:28" ht="13.15">
      <c r="A187" s="356"/>
      <c r="B187" s="115" t="s">
        <v>1146</v>
      </c>
      <c r="C187" s="335" t="str">
        <f>VLOOKUP(B187,Tot_res!C:D,2,FALSE)</f>
        <v>Turismo</v>
      </c>
      <c r="D187" s="186">
        <f>IF(ISERROR(VLOOKUP(B187,Tot_res!C:V,3,FALSE)),"",VLOOKUP(B187,Tot_res!C:V,3,FALSE))</f>
        <v>0</v>
      </c>
      <c r="E187" s="186">
        <f>IF(ISERROR(VLOOKUP(B187,Tot_res!C:V,4,FALSE)),"",VLOOKUP(B187,Tot_res!C:V,4,FALSE))</f>
        <v>0</v>
      </c>
      <c r="F187" s="186">
        <f>IF(ISERROR(VLOOKUP(B187,Tot_res!C:V,5,FALSE)),"",VLOOKUP(B187,Tot_res!C:V,5,FALSE))</f>
        <v>0</v>
      </c>
      <c r="G187" s="186">
        <f>IF(ISERROR(VLOOKUP(B187,Tot_res!C:V,6,FALSE)),"",VLOOKUP(B187,Tot_res!C:V,6,FALSE))</f>
        <v>0</v>
      </c>
      <c r="H187" s="186">
        <f>IF(ISERROR(VLOOKUP(B187,Tot_res!C:V,7,FALSE)),"",VLOOKUP(B187,Tot_res!C:V,7,FALSE))</f>
        <v>0</v>
      </c>
      <c r="I187" s="186">
        <f>IF(ISERROR(VLOOKUP(B187,Tot_res!C:V,8,FALSE)),"",VLOOKUP(B187,Tot_res!C:V,8,FALSE))</f>
        <v>0</v>
      </c>
      <c r="J187" s="186">
        <f>IF(ISERROR(VLOOKUP(B187,Tot_res!C:V,9,FALSE)),"",(VLOOKUP(B187,Tot_res!C:V,9,FALSE)))</f>
        <v>0</v>
      </c>
      <c r="K187" s="186">
        <f>IF(ISERROR(VLOOKUP(B187,Tot_res!C:V,10,FALSE)),"",VLOOKUP(B187,Tot_res!C:V,10,FALSE))</f>
        <v>0</v>
      </c>
      <c r="L187" s="186">
        <f>IF(ISERROR(VLOOKUP(B187,Tot_res!C:V,11,FALSE)),"",VLOOKUP(B187,Tot_res!C:V,11,FALSE))</f>
        <v>0</v>
      </c>
      <c r="M187" s="186">
        <f>IF(ISERROR(VLOOKUP(B187,Tot_res!C:V,12,FALSE)),"",VLOOKUP(B187,Tot_res!C:V,12,FALSE))</f>
        <v>0</v>
      </c>
      <c r="N187" s="186">
        <f>IF(ISERROR(VLOOKUP(B187,Tot_res!C:V,13,FALSE)),"",VLOOKUP(B187,Tot_res!C:V,13,FALSE))</f>
        <v>0</v>
      </c>
      <c r="O187" s="186">
        <f>IF(ISERROR(VLOOKUP(B187,Tot_res!C:V,14,FALSE)),"",VLOOKUP(B187,Tot_res!C:V,14,FALSE))</f>
        <v>0</v>
      </c>
      <c r="P187" s="186">
        <f>IF(ISERROR(VLOOKUP(B187,Tot_res!C:V,15,FALSE)),"",VLOOKUP(B187,Tot_res!C:V,15,FALSE))</f>
        <v>0</v>
      </c>
      <c r="Q187" s="186">
        <f>IF(ISERROR(VLOOKUP(B187,Tot_res!C:V,16,FALSE)),"",VLOOKUP(B187,Tot_res!C:V,16,FALSE))</f>
        <v>0</v>
      </c>
      <c r="R187" s="186">
        <f>IF(ISERROR(VLOOKUP(B187,Tot_res!C:V,17,FALSE)),"",VLOOKUP(B187,Tot_res!C:V,17,FALSE))</f>
        <v>-173.88460919387899</v>
      </c>
      <c r="S187" s="186">
        <f>IF(ISERROR(VLOOKUP(B187,Tot_res!C:V,18,FALSE)),"",VLOOKUP(B187,Tot_res!C:V,18,FALSE))</f>
        <v>-624.58840848612181</v>
      </c>
      <c r="T187" s="186">
        <f>IF(ISERROR(VLOOKUP(B187,Tot_res!C:V,19,FALSE)),"",VLOOKUP(B187,Tot_res!C:V,19,FALSE))</f>
        <v>0</v>
      </c>
      <c r="U187" s="186">
        <f>IF(ISERROR(VLOOKUP(B187,Tot_res!C:V,20,FALSE)),"",VLOOKUP(B187,Tot_res!C:V,20,FALSE))</f>
        <v>0</v>
      </c>
      <c r="V187" s="122">
        <f t="shared" si="29"/>
        <v>-798.47301768000079</v>
      </c>
    </row>
    <row r="188" spans="1:28" ht="13.15">
      <c r="A188" s="356"/>
      <c r="B188" s="115"/>
      <c r="C188" s="141"/>
      <c r="D188" s="105"/>
      <c r="E188" s="105"/>
      <c r="F188" s="105"/>
      <c r="G188" s="105"/>
      <c r="H188" s="105"/>
      <c r="I188" s="105"/>
      <c r="J188" s="105"/>
      <c r="K188" s="105"/>
      <c r="L188" s="105"/>
      <c r="M188" s="105"/>
      <c r="N188" s="105"/>
      <c r="O188" s="105"/>
      <c r="P188" s="105"/>
      <c r="Q188" s="105"/>
      <c r="R188" s="105"/>
      <c r="S188" s="105"/>
      <c r="T188" s="105"/>
      <c r="U188" s="105"/>
      <c r="V188" s="122"/>
    </row>
    <row r="189" spans="1:28" s="103" customFormat="1" ht="13.15">
      <c r="A189" s="356"/>
      <c r="B189" s="115"/>
      <c r="C189" s="117" t="s">
        <v>57</v>
      </c>
      <c r="D189" s="114">
        <f t="shared" ref="D189:V189" si="30">D108+D123+D126+D146+D158+D163</f>
        <v>15984875.313663907</v>
      </c>
      <c r="E189" s="114">
        <f t="shared" si="30"/>
        <v>3080307.9357594559</v>
      </c>
      <c r="F189" s="114">
        <f t="shared" si="30"/>
        <v>2430810.8327326332</v>
      </c>
      <c r="G189" s="114">
        <f t="shared" si="30"/>
        <v>2273899.6333513218</v>
      </c>
      <c r="H189" s="114">
        <f t="shared" si="30"/>
        <v>4496585.4334288286</v>
      </c>
      <c r="I189" s="114">
        <f t="shared" si="30"/>
        <v>1503295.5595691847</v>
      </c>
      <c r="J189" s="114">
        <f t="shared" si="30"/>
        <v>6069466.5638021613</v>
      </c>
      <c r="K189" s="114">
        <f t="shared" si="30"/>
        <v>4532528.8483379604</v>
      </c>
      <c r="L189" s="114">
        <f t="shared" si="30"/>
        <v>14872337.078100508</v>
      </c>
      <c r="M189" s="114">
        <f t="shared" si="30"/>
        <v>9228649.8909422774</v>
      </c>
      <c r="N189" s="114">
        <f t="shared" si="30"/>
        <v>2637148.0046409867</v>
      </c>
      <c r="O189" s="114">
        <f t="shared" si="30"/>
        <v>6428080.3615677506</v>
      </c>
      <c r="P189" s="114">
        <f t="shared" si="30"/>
        <v>12139849.629658489</v>
      </c>
      <c r="Q189" s="114">
        <f t="shared" si="30"/>
        <v>2762596.5545135508</v>
      </c>
      <c r="R189" s="114">
        <f t="shared" si="30"/>
        <v>2098644.3915665075</v>
      </c>
      <c r="S189" s="114">
        <f t="shared" si="30"/>
        <v>9133066.4686482977</v>
      </c>
      <c r="T189" s="114">
        <f t="shared" si="30"/>
        <v>795282.97850434971</v>
      </c>
      <c r="U189" s="114">
        <f t="shared" si="30"/>
        <v>695194.32151790499</v>
      </c>
      <c r="V189" s="126">
        <f t="shared" si="30"/>
        <v>101162619.80030607</v>
      </c>
      <c r="W189" s="102"/>
      <c r="X189" s="102"/>
      <c r="Y189" s="102"/>
      <c r="Z189" s="102"/>
      <c r="AA189" s="102"/>
      <c r="AB189" s="102"/>
    </row>
    <row r="190" spans="1:28" ht="13.15">
      <c r="A190" s="356"/>
      <c r="B190" s="115"/>
      <c r="C190" s="140"/>
      <c r="D190" s="105"/>
      <c r="E190" s="105"/>
      <c r="F190" s="105"/>
      <c r="G190" s="105"/>
      <c r="H190" s="105"/>
      <c r="I190" s="105"/>
      <c r="J190" s="105"/>
      <c r="K190" s="105"/>
      <c r="L190" s="105"/>
      <c r="M190" s="105"/>
      <c r="N190" s="105"/>
      <c r="O190" s="105"/>
      <c r="P190" s="105"/>
      <c r="Q190" s="105"/>
      <c r="R190" s="105"/>
      <c r="S190" s="105"/>
      <c r="T190" s="105"/>
      <c r="U190" s="105"/>
      <c r="V190" s="143"/>
      <c r="W190" s="103"/>
      <c r="X190" s="103"/>
      <c r="Y190" s="103"/>
      <c r="Z190" s="103"/>
      <c r="AA190" s="103"/>
      <c r="AB190" s="103"/>
    </row>
    <row r="191" spans="1:28" ht="13.15">
      <c r="A191" s="356"/>
      <c r="B191" s="137"/>
      <c r="C191" s="117" t="s">
        <v>29</v>
      </c>
      <c r="D191" s="114">
        <f t="shared" ref="D191:V191" si="31">SUM(D192:D206)</f>
        <v>774569.78915827163</v>
      </c>
      <c r="E191" s="114">
        <f t="shared" si="31"/>
        <v>112891.55993250519</v>
      </c>
      <c r="F191" s="114">
        <f t="shared" si="31"/>
        <v>188499.71037277189</v>
      </c>
      <c r="G191" s="114">
        <f t="shared" si="31"/>
        <v>179095.18611985486</v>
      </c>
      <c r="H191" s="114">
        <f t="shared" si="31"/>
        <v>60887.19945192802</v>
      </c>
      <c r="I191" s="114">
        <f t="shared" si="31"/>
        <v>80948.690376879036</v>
      </c>
      <c r="J191" s="114">
        <f t="shared" si="31"/>
        <v>163214.47727093415</v>
      </c>
      <c r="K191" s="114">
        <f t="shared" si="31"/>
        <v>-89969.274875283707</v>
      </c>
      <c r="L191" s="114">
        <f t="shared" si="31"/>
        <v>1382077.9379045523</v>
      </c>
      <c r="M191" s="114">
        <f t="shared" si="31"/>
        <v>438649.84948618442</v>
      </c>
      <c r="N191" s="114">
        <f t="shared" si="31"/>
        <v>235945.20012043102</v>
      </c>
      <c r="O191" s="114">
        <f t="shared" si="31"/>
        <v>147199.96378920804</v>
      </c>
      <c r="P191" s="114">
        <f t="shared" si="31"/>
        <v>-199782.52361902475</v>
      </c>
      <c r="Q191" s="114">
        <f t="shared" si="31"/>
        <v>136710.10130054556</v>
      </c>
      <c r="R191" s="114">
        <f t="shared" si="31"/>
        <v>-348178.15738637571</v>
      </c>
      <c r="S191" s="114">
        <f t="shared" si="31"/>
        <v>-824831.67959736066</v>
      </c>
      <c r="T191" s="114">
        <f t="shared" si="31"/>
        <v>19142.444109106196</v>
      </c>
      <c r="U191" s="114">
        <f t="shared" si="31"/>
        <v>0</v>
      </c>
      <c r="V191" s="126">
        <f t="shared" si="31"/>
        <v>2457070.473915128</v>
      </c>
    </row>
    <row r="192" spans="1:28" ht="13.15">
      <c r="A192" s="355"/>
      <c r="B192" s="115" t="s">
        <v>988</v>
      </c>
      <c r="C192" s="333" t="str">
        <f>VLOOKUP(B192,Tot_res!C:D,2,FALSE)</f>
        <v>Participación CCAARC en IRPF, sobreesfuerzo fiscal regional</v>
      </c>
      <c r="D192" s="179">
        <f>VLOOKUP(B192,Tot_res!C:V,3,FALSE)</f>
        <v>12923.201392272022</v>
      </c>
      <c r="E192" s="179">
        <f>VLOOKUP(B192,Tot_res!C:V,4,FALSE)</f>
        <v>-718.93612416088581</v>
      </c>
      <c r="F192" s="179">
        <f>VLOOKUP(B192,Tot_res!C:V,5,FALSE)</f>
        <v>-631.70638206286822</v>
      </c>
      <c r="G192" s="179">
        <f>VLOOKUP(B192,Tot_res!C:V,6,FALSE)</f>
        <v>-4813.2682226956822</v>
      </c>
      <c r="H192" s="179">
        <f>VLOOKUP(B192,Tot_res!C:V,7,FALSE)</f>
        <v>-30414.979802998714</v>
      </c>
      <c r="I192" s="179">
        <f>VLOOKUP(B192,Tot_res!C:V,8,FALSE)</f>
        <v>-716.89158700156258</v>
      </c>
      <c r="J192" s="179">
        <f>VLOOKUP(B192,Tot_res!C:V,9,FALSE)</f>
        <v>-33642.923618578818</v>
      </c>
      <c r="K192" s="179">
        <f>VLOOKUP(B192,Tot_res!C:V,10,FALSE)</f>
        <v>-8176.3877927660942</v>
      </c>
      <c r="L192" s="179">
        <f>VLOOKUP(B192,Tot_res!C:V,11,FALSE)</f>
        <v>-10394.974975187331</v>
      </c>
      <c r="M192" s="179">
        <f>VLOOKUP(B192,Tot_res!C:V,12,FALSE)</f>
        <v>-29895.629209687002</v>
      </c>
      <c r="N192" s="179">
        <f>VLOOKUP(B192,Tot_res!C:V,13,FALSE)</f>
        <v>-2646.0069587424514</v>
      </c>
      <c r="O192" s="179">
        <f>VLOOKUP(B192,Tot_res!C:V,14,FALSE)</f>
        <v>-14426.64090476511</v>
      </c>
      <c r="P192" s="179">
        <f>VLOOKUP(B192,Tot_res!C:V,15,FALSE)</f>
        <v>-236729.65713034663</v>
      </c>
      <c r="Q192" s="179">
        <f>VLOOKUP(B192,Tot_res!C:V,16,FALSE)</f>
        <v>-1043.6239823062206</v>
      </c>
      <c r="R192" s="179">
        <f>VLOOKUP(B192,Tot_res!C:V,17,FALSE)</f>
        <v>0</v>
      </c>
      <c r="S192" s="179">
        <f>VLOOKUP(B192,Tot_res!C:V,18,FALSE)</f>
        <v>0</v>
      </c>
      <c r="T192" s="179">
        <f>VLOOKUP(B192,Tot_res!C:V,19,FALSE)</f>
        <v>-5894.6107643105206</v>
      </c>
      <c r="U192" s="179">
        <f>VLOOKUP(B192,Tot_res!C:V,20,FALSE)</f>
        <v>0</v>
      </c>
      <c r="V192" s="122">
        <f t="shared" ref="V192:V206" si="32">SUM(D192:U192)</f>
        <v>-367223.03606333787</v>
      </c>
    </row>
    <row r="193" spans="1:22" ht="13.15">
      <c r="A193" s="355"/>
      <c r="B193" s="115" t="s">
        <v>1120</v>
      </c>
      <c r="C193" s="333" t="str">
        <f>VLOOKUP(B193,Tot_res!C:D,2,FALSE)</f>
        <v>Participación CCAARC en IH, sobreesfuerzo fiscal regional</v>
      </c>
      <c r="D193" s="179">
        <f>VLOOKUP(B193,Tot_res!C:V,3,FALSE)</f>
        <v>206984</v>
      </c>
      <c r="E193" s="179">
        <f>VLOOKUP(B193,Tot_res!C:V,4,FALSE)</f>
        <v>0</v>
      </c>
      <c r="F193" s="179">
        <f>VLOOKUP(B193,Tot_res!C:V,5,FALSE)</f>
        <v>24254.99</v>
      </c>
      <c r="G193" s="179">
        <f>VLOOKUP(B193,Tot_res!C:V,6,FALSE)</f>
        <v>31859.47</v>
      </c>
      <c r="H193" s="179">
        <f>VLOOKUP(B193,Tot_res!C:V,7,FALSE)</f>
        <v>0</v>
      </c>
      <c r="I193" s="179">
        <f>VLOOKUP(B193,Tot_res!C:V,8,FALSE)</f>
        <v>272.68</v>
      </c>
      <c r="J193" s="179">
        <f>VLOOKUP(B193,Tot_res!C:V,9,FALSE)</f>
        <v>77969.98</v>
      </c>
      <c r="K193" s="179">
        <f>VLOOKUP(B193,Tot_res!C:V,10,FALSE)</f>
        <v>75917.89</v>
      </c>
      <c r="L193" s="179">
        <f>VLOOKUP(B193,Tot_res!C:V,11,FALSE)</f>
        <v>214168.06</v>
      </c>
      <c r="M193" s="179">
        <f>VLOOKUP(B193,Tot_res!C:V,12,FALSE)</f>
        <v>129804.69</v>
      </c>
      <c r="N193" s="179">
        <f>VLOOKUP(B193,Tot_res!C:V,13,FALSE)</f>
        <v>41044.17</v>
      </c>
      <c r="O193" s="179">
        <f>VLOOKUP(B193,Tot_res!C:V,14,FALSE)</f>
        <v>25537.599999999999</v>
      </c>
      <c r="P193" s="179">
        <f>VLOOKUP(B193,Tot_res!C:V,15,FALSE)</f>
        <v>52456.52</v>
      </c>
      <c r="Q193" s="179">
        <f>VLOOKUP(B193,Tot_res!C:V,16,FALSE)</f>
        <v>49432.29</v>
      </c>
      <c r="R193" s="179">
        <f>VLOOKUP(B193,Tot_res!C:V,17,FALSE)</f>
        <v>0</v>
      </c>
      <c r="S193" s="179">
        <f>VLOOKUP(B193,Tot_res!C:V,18,FALSE)</f>
        <v>0</v>
      </c>
      <c r="T193" s="179">
        <f>VLOOKUP(B193,Tot_res!C:V,19,FALSE)</f>
        <v>0</v>
      </c>
      <c r="U193" s="179">
        <f>VLOOKUP(B193,Tot_res!C:V,20,FALSE)</f>
        <v>0</v>
      </c>
      <c r="V193" s="122">
        <f t="shared" si="32"/>
        <v>929702.34000000008</v>
      </c>
    </row>
    <row r="194" spans="1:22" ht="13.15">
      <c r="A194" s="355"/>
      <c r="B194" s="115" t="s">
        <v>989</v>
      </c>
      <c r="C194" s="333" t="str">
        <f>VLOOKUP(B194,Tot_res!C:D,2,FALSE)</f>
        <v>Impuesto sucesiones y donac, sobreesfuerzo fiscal de las CCAARC</v>
      </c>
      <c r="D194" s="179">
        <f>VLOOKUP(B194,Tot_res!C:V,3,FALSE)</f>
        <v>102232.22360286076</v>
      </c>
      <c r="E194" s="179">
        <f>VLOOKUP(B194,Tot_res!C:V,4,FALSE)</f>
        <v>29581.385178693847</v>
      </c>
      <c r="F194" s="179">
        <f>VLOOKUP(B194,Tot_res!C:V,5,FALSE)</f>
        <v>46974.135801304699</v>
      </c>
      <c r="G194" s="179">
        <f>VLOOKUP(B194,Tot_res!C:V,6,FALSE)</f>
        <v>21800.824491308776</v>
      </c>
      <c r="H194" s="179">
        <f>VLOOKUP(B194,Tot_res!C:V,7,FALSE)</f>
        <v>-416.70775552136911</v>
      </c>
      <c r="I194" s="179">
        <f>VLOOKUP(B194,Tot_res!C:V,8,FALSE)</f>
        <v>32950.422862816624</v>
      </c>
      <c r="J194" s="179">
        <f>VLOOKUP(B194,Tot_res!C:V,9,FALSE)</f>
        <v>-24583.851079553569</v>
      </c>
      <c r="K194" s="179">
        <f>VLOOKUP(B194,Tot_res!C:V,10,FALSE)</f>
        <v>-4820.2879328667623</v>
      </c>
      <c r="L194" s="179">
        <f>VLOOKUP(B194,Tot_res!C:V,11,FALSE)</f>
        <v>-131520.95880526456</v>
      </c>
      <c r="M194" s="179">
        <f>VLOOKUP(B194,Tot_res!C:V,12,FALSE)</f>
        <v>-81444.688316916901</v>
      </c>
      <c r="N194" s="179">
        <f>VLOOKUP(B194,Tot_res!C:V,13,FALSE)</f>
        <v>16484.937160661822</v>
      </c>
      <c r="O194" s="179">
        <f>VLOOKUP(B194,Tot_res!C:V,14,FALSE)</f>
        <v>-20298.569847526116</v>
      </c>
      <c r="P194" s="179">
        <f>VLOOKUP(B194,Tot_res!C:V,15,FALSE)</f>
        <v>14682.867966489051</v>
      </c>
      <c r="Q194" s="179">
        <f>VLOOKUP(B194,Tot_res!C:V,16,FALSE)</f>
        <v>1092.9353547756982</v>
      </c>
      <c r="R194" s="179">
        <f>VLOOKUP(B194,Tot_res!C:V,17,FALSE)</f>
        <v>0</v>
      </c>
      <c r="S194" s="179">
        <f>VLOOKUP(B194,Tot_res!C:V,18,FALSE)</f>
        <v>0</v>
      </c>
      <c r="T194" s="179">
        <f>VLOOKUP(B194,Tot_res!C:V,19,FALSE)</f>
        <v>-2714.6686812621956</v>
      </c>
      <c r="U194" s="179">
        <f>VLOOKUP(B194,Tot_res!C:V,20,FALSE)</f>
        <v>0</v>
      </c>
      <c r="V194" s="122">
        <f t="shared" si="32"/>
        <v>-1.5643308870494366E-10</v>
      </c>
    </row>
    <row r="195" spans="1:22" ht="13.15">
      <c r="A195" s="355"/>
      <c r="B195" s="115" t="s">
        <v>990</v>
      </c>
      <c r="C195" s="333" t="str">
        <f>VLOOKUP(B195,Tot_res!C:D,2,FALSE)</f>
        <v>ITP y AJD, sobreesfuerzo fiscal de las CCAARC</v>
      </c>
      <c r="D195" s="179">
        <f>VLOOKUP(B195,Tot_res!C:V,3,FALSE)</f>
        <v>53417.496579457758</v>
      </c>
      <c r="E195" s="179">
        <f>VLOOKUP(B195,Tot_res!C:V,4,FALSE)</f>
        <v>0</v>
      </c>
      <c r="F195" s="179">
        <f>VLOOKUP(B195,Tot_res!C:V,5,FALSE)</f>
        <v>3669.5787181933915</v>
      </c>
      <c r="G195" s="179">
        <f>VLOOKUP(B195,Tot_res!C:V,6,FALSE)</f>
        <v>12001.511870120814</v>
      </c>
      <c r="H195" s="179">
        <f>VLOOKUP(B195,Tot_res!C:V,7,FALSE)</f>
        <v>-7162.9914671627084</v>
      </c>
      <c r="I195" s="179">
        <f>VLOOKUP(B195,Tot_res!C:V,8,FALSE)</f>
        <v>3385.4887989183007</v>
      </c>
      <c r="J195" s="179">
        <f>VLOOKUP(B195,Tot_res!C:V,9,FALSE)</f>
        <v>11409.886752198357</v>
      </c>
      <c r="K195" s="179">
        <f>VLOOKUP(B195,Tot_res!C:V,10,FALSE)</f>
        <v>7397.2881444515215</v>
      </c>
      <c r="L195" s="179">
        <f>VLOOKUP(B195,Tot_res!C:V,11,FALSE)</f>
        <v>89110.697408658394</v>
      </c>
      <c r="M195" s="179">
        <f>VLOOKUP(B195,Tot_res!C:V,12,FALSE)</f>
        <v>45181.668877210737</v>
      </c>
      <c r="N195" s="179">
        <f>VLOOKUP(B195,Tot_res!C:V,13,FALSE)</f>
        <v>3106.3820060093753</v>
      </c>
      <c r="O195" s="179">
        <f>VLOOKUP(B195,Tot_res!C:V,14,FALSE)</f>
        <v>19788.706458897945</v>
      </c>
      <c r="P195" s="179">
        <f>VLOOKUP(B195,Tot_res!C:V,15,FALSE)</f>
        <v>0</v>
      </c>
      <c r="Q195" s="179">
        <f>VLOOKUP(B195,Tot_res!C:V,16,FALSE)</f>
        <v>3380.49341524805</v>
      </c>
      <c r="R195" s="179">
        <f>VLOOKUP(B195,Tot_res!C:V,17,FALSE)</f>
        <v>0</v>
      </c>
      <c r="S195" s="179">
        <f>VLOOKUP(B195,Tot_res!C:V,18,FALSE)</f>
        <v>0</v>
      </c>
      <c r="T195" s="179">
        <f>VLOOKUP(B195,Tot_res!C:V,19,FALSE)</f>
        <v>0</v>
      </c>
      <c r="U195" s="179">
        <f>VLOOKUP(B195,Tot_res!C:V,20,FALSE)</f>
        <v>0</v>
      </c>
      <c r="V195" s="122">
        <f t="shared" si="32"/>
        <v>244686.20756220195</v>
      </c>
    </row>
    <row r="196" spans="1:22" ht="13.15">
      <c r="A196" s="355"/>
      <c r="B196" s="115" t="s">
        <v>991</v>
      </c>
      <c r="C196" s="333" t="str">
        <f>VLOOKUP(B196,Tot_res!C:D,2,FALSE)</f>
        <v>Tasas sobre el juego, sobreesfuerzo fiscal de las CCAARC</v>
      </c>
      <c r="D196" s="179">
        <f>VLOOKUP(B196,Tot_res!C:V,3,FALSE)</f>
        <v>13244.097583681112</v>
      </c>
      <c r="E196" s="179">
        <f>VLOOKUP(B196,Tot_res!C:V,4,FALSE)</f>
        <v>9126.5308779722181</v>
      </c>
      <c r="F196" s="179">
        <f>VLOOKUP(B196,Tot_res!C:V,5,FALSE)</f>
        <v>4225.722235336696</v>
      </c>
      <c r="G196" s="179">
        <f>VLOOKUP(B196,Tot_res!C:V,6,FALSE)</f>
        <v>-8441.3720188790467</v>
      </c>
      <c r="H196" s="179">
        <f>VLOOKUP(B196,Tot_res!C:V,7,FALSE)</f>
        <v>21305.389077610795</v>
      </c>
      <c r="I196" s="179">
        <f>VLOOKUP(B196,Tot_res!C:V,8,FALSE)</f>
        <v>1737.2403021456648</v>
      </c>
      <c r="J196" s="179">
        <f>VLOOKUP(B196,Tot_res!C:V,9,FALSE)</f>
        <v>3605.8652168681947</v>
      </c>
      <c r="K196" s="179">
        <f>VLOOKUP(B196,Tot_res!C:V,10,FALSE)</f>
        <v>-5666.75729410239</v>
      </c>
      <c r="L196" s="179">
        <f>VLOOKUP(B196,Tot_res!C:V,11,FALSE)</f>
        <v>49342.724276345834</v>
      </c>
      <c r="M196" s="179">
        <f>VLOOKUP(B196,Tot_res!C:V,12,FALSE)</f>
        <v>-15779.981864422371</v>
      </c>
      <c r="N196" s="179">
        <f>VLOOKUP(B196,Tot_res!C:V,13,FALSE)</f>
        <v>5950.8479125022859</v>
      </c>
      <c r="O196" s="179">
        <f>VLOOKUP(B196,Tot_res!C:V,14,FALSE)</f>
        <v>562.83808260131627</v>
      </c>
      <c r="P196" s="179">
        <f>VLOOKUP(B196,Tot_res!C:V,15,FALSE)</f>
        <v>-82051.834455167147</v>
      </c>
      <c r="Q196" s="179">
        <f>VLOOKUP(B196,Tot_res!C:V,16,FALSE)</f>
        <v>1289.9665128280503</v>
      </c>
      <c r="R196" s="179">
        <f>VLOOKUP(B196,Tot_res!C:V,17,FALSE)</f>
        <v>0</v>
      </c>
      <c r="S196" s="179">
        <f>VLOOKUP(B196,Tot_res!C:V,18,FALSE)</f>
        <v>0</v>
      </c>
      <c r="T196" s="179">
        <f>VLOOKUP(B196,Tot_res!C:V,19,FALSE)</f>
        <v>1548.7235546789143</v>
      </c>
      <c r="U196" s="179">
        <f>VLOOKUP(B196,Tot_res!C:V,20,FALSE)</f>
        <v>0</v>
      </c>
      <c r="V196" s="122">
        <f t="shared" si="32"/>
        <v>1.3278622645884752E-10</v>
      </c>
    </row>
    <row r="197" spans="1:22" ht="13.15">
      <c r="A197" s="355"/>
      <c r="B197" s="115" t="s">
        <v>992</v>
      </c>
      <c r="C197" s="333" t="str">
        <f>VLOOKUP(B197,Tot_res!C:D,2,FALSE)</f>
        <v>IVMH, sobreesfuerzo fiscal de las CCAARC</v>
      </c>
      <c r="D197" s="179">
        <f>VLOOKUP(B197,Tot_res!C:V,3,FALSE)</f>
        <v>57070.039999999994</v>
      </c>
      <c r="E197" s="179">
        <f>VLOOKUP(B197,Tot_res!C:V,4,FALSE)</f>
        <v>0</v>
      </c>
      <c r="F197" s="179">
        <f>VLOOKUP(B197,Tot_res!C:V,5,FALSE)</f>
        <v>3913.6500000000005</v>
      </c>
      <c r="G197" s="179">
        <f>VLOOKUP(B197,Tot_res!C:V,6,FALSE)</f>
        <v>7050.8599999999988</v>
      </c>
      <c r="H197" s="179">
        <f>VLOOKUP(B197,Tot_res!C:V,7,FALSE)</f>
        <v>0</v>
      </c>
      <c r="I197" s="179">
        <f>VLOOKUP(B197,Tot_res!C:V,8,FALSE)</f>
        <v>4434.6099999999997</v>
      </c>
      <c r="J197" s="179">
        <f>VLOOKUP(B197,Tot_res!C:V,9,FALSE)</f>
        <v>23361.199999999997</v>
      </c>
      <c r="K197" s="179">
        <f>VLOOKUP(B197,Tot_res!C:V,10,FALSE)</f>
        <v>19410</v>
      </c>
      <c r="L197" s="179">
        <f>VLOOKUP(B197,Tot_res!C:V,11,FALSE)</f>
        <v>60312.119999999995</v>
      </c>
      <c r="M197" s="179">
        <f>VLOOKUP(B197,Tot_res!C:V,12,FALSE)</f>
        <v>33087.300000000003</v>
      </c>
      <c r="N197" s="179">
        <f>VLOOKUP(B197,Tot_res!C:V,13,FALSE)</f>
        <v>9217.130000000001</v>
      </c>
      <c r="O197" s="179">
        <f>VLOOKUP(B197,Tot_res!C:V,14,FALSE)</f>
        <v>7457.5800000000017</v>
      </c>
      <c r="P197" s="179">
        <f>VLOOKUP(B197,Tot_res!C:V,15,FALSE)</f>
        <v>16410.579999999998</v>
      </c>
      <c r="Q197" s="179">
        <f>VLOOKUP(B197,Tot_res!C:V,16,FALSE)</f>
        <v>9829.6400000000031</v>
      </c>
      <c r="R197" s="179">
        <f>VLOOKUP(B197,Tot_res!C:V,17,FALSE)</f>
        <v>0</v>
      </c>
      <c r="S197" s="179">
        <f>VLOOKUP(B197,Tot_res!C:V,18,FALSE)</f>
        <v>0</v>
      </c>
      <c r="T197" s="179">
        <f>VLOOKUP(B197,Tot_res!C:V,19,FALSE)</f>
        <v>0</v>
      </c>
      <c r="U197" s="179">
        <f>VLOOKUP(B197,Tot_res!C:V,20,FALSE)</f>
        <v>0</v>
      </c>
      <c r="V197" s="122">
        <f t="shared" si="32"/>
        <v>251554.71</v>
      </c>
    </row>
    <row r="198" spans="1:22" ht="13.15">
      <c r="A198" s="355"/>
      <c r="B198" s="115" t="s">
        <v>993</v>
      </c>
      <c r="C198" s="333" t="str">
        <f>VLOOKUP(B198,Tot_res!C:D,2,FALSE)</f>
        <v>Impuesto de matriculación, sobreesfuerzo fiscal de las CCAARC</v>
      </c>
      <c r="D198" s="179">
        <f>VLOOKUP(B198,Tot_res!C:V,3,FALSE)</f>
        <v>851.78000000000247</v>
      </c>
      <c r="E198" s="179">
        <f>VLOOKUP(B198,Tot_res!C:V,4,FALSE)</f>
        <v>0</v>
      </c>
      <c r="F198" s="179">
        <f>VLOOKUP(B198,Tot_res!C:V,5,FALSE)</f>
        <v>42.850000000000364</v>
      </c>
      <c r="G198" s="179">
        <f>VLOOKUP(B198,Tot_res!C:V,6,FALSE)</f>
        <v>143.84000000000015</v>
      </c>
      <c r="H198" s="179">
        <f>VLOOKUP(B198,Tot_res!C:V,7,FALSE)</f>
        <v>0</v>
      </c>
      <c r="I198" s="179">
        <f>VLOOKUP(B198,Tot_res!C:V,8,FALSE)</f>
        <v>89.319999999999709</v>
      </c>
      <c r="J198" s="179">
        <f>VLOOKUP(B198,Tot_res!C:V,9,FALSE)</f>
        <v>0</v>
      </c>
      <c r="K198" s="179">
        <f>VLOOKUP(B198,Tot_res!C:V,10,FALSE)</f>
        <v>0</v>
      </c>
      <c r="L198" s="179">
        <f>VLOOKUP(B198,Tot_res!C:V,11,FALSE)</f>
        <v>656.25</v>
      </c>
      <c r="M198" s="179">
        <f>VLOOKUP(B198,Tot_res!C:V,12,FALSE)</f>
        <v>0</v>
      </c>
      <c r="N198" s="179">
        <f>VLOOKUP(B198,Tot_res!C:V,13,FALSE)</f>
        <v>283.02999999999975</v>
      </c>
      <c r="O198" s="179">
        <f>VLOOKUP(B198,Tot_res!C:V,14,FALSE)</f>
        <v>0</v>
      </c>
      <c r="P198" s="179">
        <f>VLOOKUP(B198,Tot_res!C:V,15,FALSE)</f>
        <v>0</v>
      </c>
      <c r="Q198" s="179">
        <f>VLOOKUP(B198,Tot_res!C:V,16,FALSE)</f>
        <v>0</v>
      </c>
      <c r="R198" s="179">
        <f>VLOOKUP(B198,Tot_res!C:V,17,FALSE)</f>
        <v>0</v>
      </c>
      <c r="S198" s="179">
        <f>VLOOKUP(B198,Tot_res!C:V,18,FALSE)</f>
        <v>0</v>
      </c>
      <c r="T198" s="179">
        <f>VLOOKUP(B198,Tot_res!C:V,19,FALSE)</f>
        <v>0</v>
      </c>
      <c r="U198" s="179">
        <f>VLOOKUP(B198,Tot_res!C:V,20,FALSE)</f>
        <v>0</v>
      </c>
      <c r="V198" s="122">
        <f t="shared" si="32"/>
        <v>2067.0700000000024</v>
      </c>
    </row>
    <row r="199" spans="1:22" ht="13.15">
      <c r="A199" s="355"/>
      <c r="B199" s="115" t="s">
        <v>994</v>
      </c>
      <c r="C199" s="333" t="str">
        <f>VLOOKUP(B199,Tot_res!C:D,2,FALSE)</f>
        <v>IRPF, sobreesfuerzo fiscal de las comunidades forales</v>
      </c>
      <c r="D199" s="179">
        <f>VLOOKUP(B199,Tot_res!C:V,3,FALSE)</f>
        <v>0</v>
      </c>
      <c r="E199" s="179">
        <f>VLOOKUP(B199,Tot_res!C:V,4,FALSE)</f>
        <v>0</v>
      </c>
      <c r="F199" s="179">
        <f>VLOOKUP(B199,Tot_res!C:V,5,FALSE)</f>
        <v>0</v>
      </c>
      <c r="G199" s="179">
        <f>VLOOKUP(B199,Tot_res!C:V,6,FALSE)</f>
        <v>0</v>
      </c>
      <c r="H199" s="179">
        <f>VLOOKUP(B199,Tot_res!C:V,7,FALSE)</f>
        <v>0</v>
      </c>
      <c r="I199" s="179">
        <f>VLOOKUP(B199,Tot_res!C:V,8,FALSE)</f>
        <v>0</v>
      </c>
      <c r="J199" s="179">
        <f>VLOOKUP(B199,Tot_res!C:V,9,FALSE)</f>
        <v>0</v>
      </c>
      <c r="K199" s="179">
        <f>VLOOKUP(B199,Tot_res!C:V,10,FALSE)</f>
        <v>0</v>
      </c>
      <c r="L199" s="179">
        <f>VLOOKUP(B199,Tot_res!C:V,11,FALSE)</f>
        <v>0</v>
      </c>
      <c r="M199" s="179">
        <f>VLOOKUP(B199,Tot_res!C:V,12,FALSE)</f>
        <v>0</v>
      </c>
      <c r="N199" s="179">
        <f>VLOOKUP(B199,Tot_res!C:V,13,FALSE)</f>
        <v>0</v>
      </c>
      <c r="O199" s="179">
        <f>VLOOKUP(B199,Tot_res!C:V,14,FALSE)</f>
        <v>0</v>
      </c>
      <c r="P199" s="179">
        <f>VLOOKUP(B199,Tot_res!C:V,15,FALSE)</f>
        <v>0</v>
      </c>
      <c r="Q199" s="179">
        <f>VLOOKUP(B199,Tot_res!C:V,16,FALSE)</f>
        <v>0</v>
      </c>
      <c r="R199" s="179">
        <f>VLOOKUP(B199,Tot_res!C:V,17,FALSE)</f>
        <v>-291321.88895588898</v>
      </c>
      <c r="S199" s="179">
        <f>VLOOKUP(B199,Tot_res!C:V,18,FALSE)</f>
        <v>-819522.46406282345</v>
      </c>
      <c r="T199" s="179">
        <f>VLOOKUP(B199,Tot_res!C:V,19,FALSE)</f>
        <v>0</v>
      </c>
      <c r="U199" s="179">
        <f>VLOOKUP(B199,Tot_res!C:V,20,FALSE)</f>
        <v>0</v>
      </c>
      <c r="V199" s="122">
        <f t="shared" si="32"/>
        <v>-1110844.3530187125</v>
      </c>
    </row>
    <row r="200" spans="1:22" ht="13.15">
      <c r="A200" s="355"/>
      <c r="B200" s="115" t="s">
        <v>995</v>
      </c>
      <c r="C200" s="333" t="str">
        <f>VLOOKUP(B200,Tot_res!C:D,2,FALSE)</f>
        <v>Sociedades, sobreesfuerzo fiscal de las comunidades forales</v>
      </c>
      <c r="D200" s="179">
        <f>VLOOKUP(B200,Tot_res!C:V,3,FALSE)</f>
        <v>0</v>
      </c>
      <c r="E200" s="179">
        <f>VLOOKUP(B200,Tot_res!C:V,4,FALSE)</f>
        <v>0</v>
      </c>
      <c r="F200" s="179">
        <f>VLOOKUP(B200,Tot_res!C:V,5,FALSE)</f>
        <v>0</v>
      </c>
      <c r="G200" s="179">
        <f>VLOOKUP(B200,Tot_res!C:V,6,FALSE)</f>
        <v>0</v>
      </c>
      <c r="H200" s="179">
        <f>VLOOKUP(B200,Tot_res!C:V,7,FALSE)</f>
        <v>0</v>
      </c>
      <c r="I200" s="179">
        <f>VLOOKUP(B200,Tot_res!C:V,8,FALSE)</f>
        <v>0</v>
      </c>
      <c r="J200" s="179">
        <f>VLOOKUP(B200,Tot_res!C:V,9,FALSE)</f>
        <v>0</v>
      </c>
      <c r="K200" s="179">
        <f>VLOOKUP(B200,Tot_res!C:V,10,FALSE)</f>
        <v>0</v>
      </c>
      <c r="L200" s="179">
        <f>VLOOKUP(B200,Tot_res!C:V,11,FALSE)</f>
        <v>0</v>
      </c>
      <c r="M200" s="179">
        <f>VLOOKUP(B200,Tot_res!C:V,12,FALSE)</f>
        <v>0</v>
      </c>
      <c r="N200" s="179">
        <f>VLOOKUP(B200,Tot_res!C:V,13,FALSE)</f>
        <v>0</v>
      </c>
      <c r="O200" s="179">
        <f>VLOOKUP(B200,Tot_res!C:V,14,FALSE)</f>
        <v>0</v>
      </c>
      <c r="P200" s="179">
        <f>VLOOKUP(B200,Tot_res!C:V,15,FALSE)</f>
        <v>0</v>
      </c>
      <c r="Q200" s="179">
        <f>VLOOKUP(B200,Tot_res!C:V,16,FALSE)</f>
        <v>0</v>
      </c>
      <c r="R200" s="179">
        <f>VLOOKUP(B200,Tot_res!C:V,17,FALSE)</f>
        <v>-159055.03808028146</v>
      </c>
      <c r="S200" s="179">
        <f>VLOOKUP(B200,Tot_res!C:V,18,FALSE)</f>
        <v>-21381.937773898244</v>
      </c>
      <c r="T200" s="179">
        <f>VLOOKUP(B200,Tot_res!C:V,19,FALSE)</f>
        <v>0</v>
      </c>
      <c r="U200" s="179">
        <f>VLOOKUP(B200,Tot_res!C:V,20,FALSE)</f>
        <v>0</v>
      </c>
      <c r="V200" s="122">
        <f t="shared" si="32"/>
        <v>-180436.97585417971</v>
      </c>
    </row>
    <row r="201" spans="1:22" ht="13.15">
      <c r="A201" s="355"/>
      <c r="B201" s="115" t="s">
        <v>1122</v>
      </c>
      <c r="C201" s="333" t="str">
        <f>VLOOKUP(B201,Tot_res!C:D,2,FALSE)</f>
        <v>IH, sobreesfuerso fiscal de las comunidades forales</v>
      </c>
      <c r="D201" s="179">
        <f>VLOOKUP(B201,Tot_res!C:V,3,FALSE)</f>
        <v>0</v>
      </c>
      <c r="E201" s="179">
        <f>VLOOKUP(B201,Tot_res!C:V,4,FALSE)</f>
        <v>0</v>
      </c>
      <c r="F201" s="179">
        <f>VLOOKUP(B201,Tot_res!C:V,5,FALSE)</f>
        <v>0</v>
      </c>
      <c r="G201" s="179">
        <f>VLOOKUP(B201,Tot_res!C:V,6,FALSE)</f>
        <v>0</v>
      </c>
      <c r="H201" s="179">
        <f>VLOOKUP(B201,Tot_res!C:V,7,FALSE)</f>
        <v>0</v>
      </c>
      <c r="I201" s="179">
        <f>VLOOKUP(B201,Tot_res!C:V,8,FALSE)</f>
        <v>0</v>
      </c>
      <c r="J201" s="179">
        <f>VLOOKUP(B201,Tot_res!C:V,9,FALSE)</f>
        <v>0</v>
      </c>
      <c r="K201" s="179">
        <f>VLOOKUP(B201,Tot_res!C:V,10,FALSE)</f>
        <v>0</v>
      </c>
      <c r="L201" s="179">
        <f>VLOOKUP(B201,Tot_res!C:V,11,FALSE)</f>
        <v>0</v>
      </c>
      <c r="M201" s="179">
        <f>VLOOKUP(B201,Tot_res!C:V,12,FALSE)</f>
        <v>0</v>
      </c>
      <c r="N201" s="179">
        <f>VLOOKUP(B201,Tot_res!C:V,13,FALSE)</f>
        <v>0</v>
      </c>
      <c r="O201" s="179">
        <f>VLOOKUP(B201,Tot_res!C:V,14,FALSE)</f>
        <v>0</v>
      </c>
      <c r="P201" s="179">
        <f>VLOOKUP(B201,Tot_res!C:V,15,FALSE)</f>
        <v>0</v>
      </c>
      <c r="Q201" s="179">
        <f>VLOOKUP(B201,Tot_res!C:V,16,FALSE)</f>
        <v>0</v>
      </c>
      <c r="R201" s="179">
        <f>VLOOKUP(B201,Tot_res!C:V,17,FALSE)</f>
        <v>11600.86406</v>
      </c>
      <c r="S201" s="179">
        <f>VLOOKUP(B201,Tot_res!C:V,18,FALSE)</f>
        <v>0</v>
      </c>
      <c r="T201" s="179">
        <f>VLOOKUP(B201,Tot_res!C:V,19,FALSE)</f>
        <v>0</v>
      </c>
      <c r="U201" s="179">
        <f>VLOOKUP(B201,Tot_res!C:V,20,FALSE)</f>
        <v>0</v>
      </c>
      <c r="V201" s="122">
        <f t="shared" ref="V201" si="33">SUM(D201:U201)</f>
        <v>11600.86406</v>
      </c>
    </row>
    <row r="202" spans="1:22" ht="13.15">
      <c r="A202" s="355"/>
      <c r="B202" s="115" t="s">
        <v>996</v>
      </c>
      <c r="C202" s="333" t="str">
        <f>VLOOKUP(B202,Tot_res!C:D,2,FALSE)</f>
        <v>Sucesiones y donaciones, sobreesfuerzo fiscal de las comunidades forales</v>
      </c>
      <c r="D202" s="179">
        <f>VLOOKUP(B202,Tot_res!C:V,3,FALSE)</f>
        <v>0</v>
      </c>
      <c r="E202" s="179">
        <f>VLOOKUP(B202,Tot_res!C:V,4,FALSE)</f>
        <v>0</v>
      </c>
      <c r="F202" s="179">
        <f>VLOOKUP(B202,Tot_res!C:V,5,FALSE)</f>
        <v>0</v>
      </c>
      <c r="G202" s="179">
        <f>VLOOKUP(B202,Tot_res!C:V,6,FALSE)</f>
        <v>0</v>
      </c>
      <c r="H202" s="179">
        <f>VLOOKUP(B202,Tot_res!C:V,7,FALSE)</f>
        <v>0</v>
      </c>
      <c r="I202" s="179">
        <f>VLOOKUP(B202,Tot_res!C:V,8,FALSE)</f>
        <v>0</v>
      </c>
      <c r="J202" s="179">
        <f>VLOOKUP(B202,Tot_res!C:V,9,FALSE)</f>
        <v>0</v>
      </c>
      <c r="K202" s="179">
        <f>VLOOKUP(B202,Tot_res!C:V,10,FALSE)</f>
        <v>0</v>
      </c>
      <c r="L202" s="179">
        <f>VLOOKUP(B202,Tot_res!C:V,11,FALSE)</f>
        <v>0</v>
      </c>
      <c r="M202" s="179">
        <f>VLOOKUP(B202,Tot_res!C:V,12,FALSE)</f>
        <v>0</v>
      </c>
      <c r="N202" s="179">
        <f>VLOOKUP(B202,Tot_res!C:V,13,FALSE)</f>
        <v>0</v>
      </c>
      <c r="O202" s="179">
        <f>VLOOKUP(B202,Tot_res!C:V,14,FALSE)</f>
        <v>0</v>
      </c>
      <c r="P202" s="179">
        <f>VLOOKUP(B202,Tot_res!C:V,15,FALSE)</f>
        <v>0</v>
      </c>
      <c r="Q202" s="179">
        <f>VLOOKUP(B202,Tot_res!C:V,16,FALSE)</f>
        <v>0</v>
      </c>
      <c r="R202" s="179">
        <f>VLOOKUP(B202,Tot_res!C:V,17,FALSE)</f>
        <v>48247.146223665717</v>
      </c>
      <c r="S202" s="179">
        <f>VLOOKUP(B202,Tot_res!C:V,18,FALSE)</f>
        <v>-77879.913420222147</v>
      </c>
      <c r="T202" s="179">
        <f>VLOOKUP(B202,Tot_res!C:V,19,FALSE)</f>
        <v>0</v>
      </c>
      <c r="U202" s="179">
        <f>VLOOKUP(B202,Tot_res!C:V,20,FALSE)</f>
        <v>0</v>
      </c>
      <c r="V202" s="122">
        <f t="shared" si="32"/>
        <v>-29632.76719655643</v>
      </c>
    </row>
    <row r="203" spans="1:22" ht="13.15">
      <c r="A203" s="355"/>
      <c r="B203" s="115" t="s">
        <v>1107</v>
      </c>
      <c r="C203" s="333" t="s">
        <v>1108</v>
      </c>
      <c r="D203" s="179">
        <f>VLOOKUP(B203,Tot_res!C:V,3,FALSE)</f>
        <v>0</v>
      </c>
      <c r="E203" s="179">
        <f>VLOOKUP(B203,Tot_res!C:V,4,FALSE)</f>
        <v>0</v>
      </c>
      <c r="F203" s="179">
        <f>VLOOKUP(B203,Tot_res!C:V,5,FALSE)</f>
        <v>0</v>
      </c>
      <c r="G203" s="179">
        <f>VLOOKUP(B203,Tot_res!C:V,6,FALSE)</f>
        <v>0</v>
      </c>
      <c r="H203" s="179">
        <f>VLOOKUP(B203,Tot_res!C:V,7,FALSE)</f>
        <v>0</v>
      </c>
      <c r="I203" s="179">
        <f>VLOOKUP(B203,Tot_res!C:V,8,FALSE)</f>
        <v>0</v>
      </c>
      <c r="J203" s="179">
        <f>VLOOKUP(B203,Tot_res!C:V,9,FALSE)</f>
        <v>0</v>
      </c>
      <c r="K203" s="179">
        <f>VLOOKUP(B203,Tot_res!C:V,10,FALSE)</f>
        <v>0</v>
      </c>
      <c r="L203" s="179">
        <f>VLOOKUP(B203,Tot_res!C:V,11,FALSE)</f>
        <v>0</v>
      </c>
      <c r="M203" s="179">
        <f>VLOOKUP(B203,Tot_res!C:V,12,FALSE)</f>
        <v>0</v>
      </c>
      <c r="N203" s="179">
        <f>VLOOKUP(B203,Tot_res!C:V,13,FALSE)</f>
        <v>0</v>
      </c>
      <c r="O203" s="179">
        <f>VLOOKUP(B203,Tot_res!C:V,14,FALSE)</f>
        <v>0</v>
      </c>
      <c r="P203" s="179">
        <f>VLOOKUP(B203,Tot_res!C:V,15,FALSE)</f>
        <v>0</v>
      </c>
      <c r="Q203" s="179">
        <f>VLOOKUP(B203,Tot_res!C:V,16,FALSE)</f>
        <v>0</v>
      </c>
      <c r="R203" s="179">
        <f>VLOOKUP(B203,Tot_res!C:V,17,FALSE)</f>
        <v>4031.9319100000002</v>
      </c>
      <c r="S203" s="179">
        <f>VLOOKUP(B203,Tot_res!C:V,18,FALSE)</f>
        <v>0</v>
      </c>
      <c r="T203" s="179">
        <f>VLOOKUP(B203,Tot_res!C:V,19,FALSE)</f>
        <v>0</v>
      </c>
      <c r="U203" s="179">
        <f>VLOOKUP(B203,Tot_res!C:V,20,FALSE)</f>
        <v>0</v>
      </c>
      <c r="V203" s="122">
        <f t="shared" ref="V203" si="34">SUM(D203:U203)</f>
        <v>4031.9319100000002</v>
      </c>
    </row>
    <row r="204" spans="1:22" ht="13.15">
      <c r="A204" s="355"/>
      <c r="B204" s="115" t="s">
        <v>997</v>
      </c>
      <c r="C204" s="333" t="str">
        <f>VLOOKUP(B204,Tot_res!C:D,2,FALSE)</f>
        <v>ITP y AJD, sobreesfuerzo fiscal de las comunidades forales</v>
      </c>
      <c r="D204" s="179">
        <f>VLOOKUP(B204,Tot_res!C:V,3,FALSE)</f>
        <v>0</v>
      </c>
      <c r="E204" s="179">
        <f>VLOOKUP(B204,Tot_res!C:V,4,FALSE)</f>
        <v>0</v>
      </c>
      <c r="F204" s="179">
        <f>VLOOKUP(B204,Tot_res!C:V,5,FALSE)</f>
        <v>0</v>
      </c>
      <c r="G204" s="179">
        <f>VLOOKUP(B204,Tot_res!C:V,6,FALSE)</f>
        <v>0</v>
      </c>
      <c r="H204" s="179">
        <f>VLOOKUP(B204,Tot_res!C:V,7,FALSE)</f>
        <v>0</v>
      </c>
      <c r="I204" s="179">
        <f>VLOOKUP(B204,Tot_res!C:V,8,FALSE)</f>
        <v>0</v>
      </c>
      <c r="J204" s="179">
        <f>VLOOKUP(B204,Tot_res!C:V,9,FALSE)</f>
        <v>0</v>
      </c>
      <c r="K204" s="179">
        <f>VLOOKUP(B204,Tot_res!C:V,10,FALSE)</f>
        <v>0</v>
      </c>
      <c r="L204" s="179">
        <f>VLOOKUP(B204,Tot_res!C:V,11,FALSE)</f>
        <v>0</v>
      </c>
      <c r="M204" s="179">
        <f>VLOOKUP(B204,Tot_res!C:V,12,FALSE)</f>
        <v>0</v>
      </c>
      <c r="N204" s="179">
        <f>VLOOKUP(B204,Tot_res!C:V,13,FALSE)</f>
        <v>0</v>
      </c>
      <c r="O204" s="179">
        <f>VLOOKUP(B204,Tot_res!C:V,14,FALSE)</f>
        <v>0</v>
      </c>
      <c r="P204" s="179">
        <f>VLOOKUP(B204,Tot_res!C:V,15,FALSE)</f>
        <v>0</v>
      </c>
      <c r="Q204" s="179">
        <f>VLOOKUP(B204,Tot_res!C:V,16,FALSE)</f>
        <v>0</v>
      </c>
      <c r="R204" s="179">
        <f>VLOOKUP(B204,Tot_res!C:V,17,FALSE)</f>
        <v>-11326.400242745025</v>
      </c>
      <c r="S204" s="179">
        <f>VLOOKUP(B204,Tot_res!C:V,18,FALSE)</f>
        <v>-71583.57091712259</v>
      </c>
      <c r="T204" s="179">
        <f>VLOOKUP(B204,Tot_res!C:V,19,FALSE)</f>
        <v>0</v>
      </c>
      <c r="U204" s="179">
        <f>VLOOKUP(B204,Tot_res!C:V,20,FALSE)</f>
        <v>0</v>
      </c>
      <c r="V204" s="122">
        <f t="shared" si="32"/>
        <v>-82909.971159867622</v>
      </c>
    </row>
    <row r="205" spans="1:22" ht="13.15">
      <c r="A205" s="355"/>
      <c r="B205" s="115" t="s">
        <v>998</v>
      </c>
      <c r="C205" s="333" t="str">
        <f>VLOOKUP(B205,Tot_res!C:D,2,FALSE)</f>
        <v>Tasas juego, sobreesfuerzo fiscal de las comunidades forales</v>
      </c>
      <c r="D205" s="179">
        <f>VLOOKUP(B205,Tot_res!C:V,3,FALSE)</f>
        <v>0</v>
      </c>
      <c r="E205" s="179">
        <f>VLOOKUP(B205,Tot_res!C:V,4,FALSE)</f>
        <v>0</v>
      </c>
      <c r="F205" s="179">
        <f>VLOOKUP(B205,Tot_res!C:V,5,FALSE)</f>
        <v>0</v>
      </c>
      <c r="G205" s="179">
        <f>VLOOKUP(B205,Tot_res!C:V,6,FALSE)</f>
        <v>0</v>
      </c>
      <c r="H205" s="179">
        <f>VLOOKUP(B205,Tot_res!C:V,7,FALSE)</f>
        <v>0</v>
      </c>
      <c r="I205" s="179">
        <f>VLOOKUP(B205,Tot_res!C:V,8,FALSE)</f>
        <v>0</v>
      </c>
      <c r="J205" s="179">
        <f>VLOOKUP(B205,Tot_res!C:V,9,FALSE)</f>
        <v>0</v>
      </c>
      <c r="K205" s="179">
        <f>VLOOKUP(B205,Tot_res!C:V,10,FALSE)</f>
        <v>0</v>
      </c>
      <c r="L205" s="179">
        <f>VLOOKUP(B205,Tot_res!C:V,11,FALSE)</f>
        <v>0</v>
      </c>
      <c r="M205" s="179">
        <f>VLOOKUP(B205,Tot_res!C:V,12,FALSE)</f>
        <v>0</v>
      </c>
      <c r="N205" s="179">
        <f>VLOOKUP(B205,Tot_res!C:V,13,FALSE)</f>
        <v>0</v>
      </c>
      <c r="O205" s="179">
        <f>VLOOKUP(B205,Tot_res!C:V,14,FALSE)</f>
        <v>0</v>
      </c>
      <c r="P205" s="179">
        <f>VLOOKUP(B205,Tot_res!C:V,15,FALSE)</f>
        <v>0</v>
      </c>
      <c r="Q205" s="179">
        <f>VLOOKUP(B205,Tot_res!C:V,16,FALSE)</f>
        <v>0</v>
      </c>
      <c r="R205" s="179">
        <f>VLOOKUP(B205,Tot_res!C:V,17,FALSE)</f>
        <v>-1543.7723011259586</v>
      </c>
      <c r="S205" s="179">
        <f>VLOOKUP(B205,Tot_res!C:V,18,FALSE)</f>
        <v>18571.596576705819</v>
      </c>
      <c r="T205" s="179">
        <f>VLOOKUP(B205,Tot_res!C:V,19,FALSE)</f>
        <v>0</v>
      </c>
      <c r="U205" s="179">
        <f>VLOOKUP(B205,Tot_res!C:V,20,FALSE)</f>
        <v>0</v>
      </c>
      <c r="V205" s="122">
        <f t="shared" si="32"/>
        <v>17027.82427557986</v>
      </c>
    </row>
    <row r="206" spans="1:22" ht="13.15">
      <c r="A206" s="355"/>
      <c r="B206" s="115" t="s">
        <v>237</v>
      </c>
      <c r="C206" s="333" t="str">
        <f>VLOOKUP(B206,Tot_res!C:D,2,FALSE)</f>
        <v xml:space="preserve"> Ingresos por tributos propios de las comunidades autónomas y patrimonio</v>
      </c>
      <c r="D206" s="179">
        <f>VLOOKUP(B206,Tot_res!C:V,3,FALSE)</f>
        <v>327846.95</v>
      </c>
      <c r="E206" s="179">
        <f>VLOOKUP(B206,Tot_res!C:V,4,FALSE)</f>
        <v>74902.58</v>
      </c>
      <c r="F206" s="179">
        <f>VLOOKUP(B206,Tot_res!C:V,5,FALSE)</f>
        <v>106050.48999999999</v>
      </c>
      <c r="G206" s="179">
        <f>VLOOKUP(B206,Tot_res!C:V,6,FALSE)</f>
        <v>119493.32</v>
      </c>
      <c r="H206" s="179">
        <f>VLOOKUP(B206,Tot_res!C:V,7,FALSE)</f>
        <v>77576.48940000002</v>
      </c>
      <c r="I206" s="179">
        <f>VLOOKUP(B206,Tot_res!C:V,8,FALSE)</f>
        <v>38795.82</v>
      </c>
      <c r="J206" s="179">
        <f>VLOOKUP(B206,Tot_res!C:V,9,FALSE)</f>
        <v>105094.32</v>
      </c>
      <c r="K206" s="179">
        <f>VLOOKUP(B206,Tot_res!C:V,10,FALSE)</f>
        <v>-174031.02</v>
      </c>
      <c r="L206" s="179">
        <f>VLOOKUP(B206,Tot_res!C:V,11,FALSE)</f>
        <v>1110404.02</v>
      </c>
      <c r="M206" s="179">
        <f>VLOOKUP(B206,Tot_res!C:V,12,FALSE)</f>
        <v>357696.49</v>
      </c>
      <c r="N206" s="179">
        <f>VLOOKUP(B206,Tot_res!C:V,13,FALSE)</f>
        <v>162504.71</v>
      </c>
      <c r="O206" s="179">
        <f>VLOOKUP(B206,Tot_res!C:V,14,FALSE)</f>
        <v>128578.45</v>
      </c>
      <c r="P206" s="179">
        <f>VLOOKUP(B206,Tot_res!C:V,15,FALSE)</f>
        <v>35449</v>
      </c>
      <c r="Q206" s="179">
        <f>VLOOKUP(B206,Tot_res!C:V,16,FALSE)</f>
        <v>72728.399999999994</v>
      </c>
      <c r="R206" s="179">
        <f>VLOOKUP(B206,Tot_res!C:V,17,FALSE)</f>
        <v>51189</v>
      </c>
      <c r="S206" s="179">
        <f>VLOOKUP(B206,Tot_res!C:V,18,FALSE)</f>
        <v>146964.60999999999</v>
      </c>
      <c r="T206" s="179">
        <f>VLOOKUP(B206,Tot_res!C:V,19,FALSE)</f>
        <v>26203</v>
      </c>
      <c r="U206" s="179">
        <f>VLOOKUP(B206,Tot_res!C:V,20,FALSE)</f>
        <v>0</v>
      </c>
      <c r="V206" s="122">
        <f t="shared" si="32"/>
        <v>2767446.6294</v>
      </c>
    </row>
    <row r="207" spans="1:22" ht="13.15">
      <c r="A207" s="356"/>
      <c r="B207" s="115"/>
      <c r="C207" s="140"/>
      <c r="D207" s="105"/>
      <c r="E207" s="105"/>
      <c r="F207" s="105"/>
      <c r="G207" s="105"/>
      <c r="H207" s="105"/>
      <c r="I207" s="105"/>
      <c r="J207" s="105"/>
      <c r="K207" s="105"/>
      <c r="L207" s="105"/>
      <c r="M207" s="105"/>
      <c r="N207" s="105"/>
      <c r="O207" s="105"/>
      <c r="P207" s="105"/>
      <c r="Q207" s="105"/>
      <c r="R207" s="105"/>
      <c r="S207" s="105"/>
      <c r="T207" s="105"/>
      <c r="U207" s="105"/>
      <c r="V207" s="122"/>
    </row>
    <row r="208" spans="1:22" ht="13.15">
      <c r="A208" s="356"/>
      <c r="B208" s="115"/>
      <c r="C208" s="128" t="s">
        <v>59</v>
      </c>
      <c r="D208" s="114">
        <f t="shared" ref="D208:U208" si="35">D210+D221</f>
        <v>6798418.8777364762</v>
      </c>
      <c r="E208" s="114">
        <f t="shared" si="35"/>
        <v>1327407.1116747311</v>
      </c>
      <c r="F208" s="114">
        <f t="shared" si="35"/>
        <v>926508.14575528505</v>
      </c>
      <c r="G208" s="114">
        <f t="shared" si="35"/>
        <v>1083671.0710880002</v>
      </c>
      <c r="H208" s="114">
        <f t="shared" si="35"/>
        <v>2249868.5377205843</v>
      </c>
      <c r="I208" s="114">
        <f t="shared" si="35"/>
        <v>536894.09756824246</v>
      </c>
      <c r="J208" s="114">
        <f t="shared" si="35"/>
        <v>2288862.2878821483</v>
      </c>
      <c r="K208" s="114">
        <f t="shared" si="35"/>
        <v>1742493.4045516616</v>
      </c>
      <c r="L208" s="114">
        <f t="shared" si="35"/>
        <v>7993958.681860921</v>
      </c>
      <c r="M208" s="114">
        <f t="shared" si="35"/>
        <v>4315045.1307199458</v>
      </c>
      <c r="N208" s="114">
        <f t="shared" si="35"/>
        <v>852356.54392746754</v>
      </c>
      <c r="O208" s="114">
        <f t="shared" si="35"/>
        <v>2084179.4412398075</v>
      </c>
      <c r="P208" s="114">
        <f t="shared" si="35"/>
        <v>6920773.408564344</v>
      </c>
      <c r="Q208" s="114">
        <f t="shared" si="35"/>
        <v>1160330.6813199511</v>
      </c>
      <c r="R208" s="114">
        <f t="shared" si="35"/>
        <v>562878.36328094336</v>
      </c>
      <c r="S208" s="114">
        <f t="shared" si="35"/>
        <v>1981983.120418147</v>
      </c>
      <c r="T208" s="114">
        <f t="shared" si="35"/>
        <v>287159.03002231743</v>
      </c>
      <c r="U208" s="114">
        <f t="shared" si="35"/>
        <v>67734.713254825023</v>
      </c>
      <c r="V208" s="126">
        <f>V210+V221</f>
        <v>43180522.648585804</v>
      </c>
    </row>
    <row r="209" spans="1:22" ht="13.15">
      <c r="A209" s="356"/>
      <c r="B209" s="115"/>
      <c r="C209" s="102"/>
      <c r="D209" s="105"/>
      <c r="E209" s="105"/>
      <c r="F209" s="105"/>
      <c r="G209" s="105"/>
      <c r="H209" s="105"/>
      <c r="I209" s="105"/>
      <c r="J209" s="105"/>
      <c r="K209" s="105"/>
      <c r="L209" s="105"/>
      <c r="M209" s="105"/>
      <c r="N209" s="105"/>
      <c r="O209" s="105"/>
      <c r="P209" s="105"/>
      <c r="Q209" s="105"/>
      <c r="R209" s="105"/>
      <c r="S209" s="105"/>
      <c r="T209" s="105"/>
      <c r="U209" s="105"/>
      <c r="V209" s="122"/>
    </row>
    <row r="210" spans="1:22" ht="13.15">
      <c r="A210" s="356"/>
      <c r="B210" s="115"/>
      <c r="C210" s="117" t="s">
        <v>54</v>
      </c>
      <c r="D210" s="144">
        <f>SUM(D211:D219)</f>
        <v>1383388.5410726957</v>
      </c>
      <c r="E210" s="144">
        <f t="shared" ref="E210:U210" si="36">SUM(E211:E219)</f>
        <v>258950.95576112461</v>
      </c>
      <c r="F210" s="144">
        <f t="shared" si="36"/>
        <v>199865.13498099998</v>
      </c>
      <c r="G210" s="144">
        <f t="shared" si="36"/>
        <v>142894.89525495211</v>
      </c>
      <c r="H210" s="144">
        <f t="shared" si="36"/>
        <v>773048.93919462047</v>
      </c>
      <c r="I210" s="144">
        <f t="shared" si="36"/>
        <v>97952.671349625278</v>
      </c>
      <c r="J210" s="144">
        <f t="shared" si="36"/>
        <v>594371.47974900017</v>
      </c>
      <c r="K210" s="144">
        <f t="shared" si="36"/>
        <v>429506.26439499995</v>
      </c>
      <c r="L210" s="144">
        <f t="shared" si="36"/>
        <v>1005751.2551909926</v>
      </c>
      <c r="M210" s="144">
        <f t="shared" si="36"/>
        <v>715314.85627300001</v>
      </c>
      <c r="N210" s="144">
        <f t="shared" si="36"/>
        <v>271392.918832</v>
      </c>
      <c r="O210" s="144">
        <f t="shared" si="36"/>
        <v>518584.42903400003</v>
      </c>
      <c r="P210" s="144">
        <f t="shared" si="36"/>
        <v>787897.72572154808</v>
      </c>
      <c r="Q210" s="144">
        <f t="shared" si="36"/>
        <v>195008.35068100001</v>
      </c>
      <c r="R210" s="144">
        <f t="shared" si="36"/>
        <v>100145.39600555674</v>
      </c>
      <c r="S210" s="144">
        <f t="shared" si="36"/>
        <v>342779.52370934578</v>
      </c>
      <c r="T210" s="144">
        <f t="shared" si="36"/>
        <v>52552.41052591952</v>
      </c>
      <c r="U210" s="144">
        <f t="shared" si="36"/>
        <v>10834.749551999999</v>
      </c>
      <c r="V210" s="139">
        <f>SUM(V211:V219)</f>
        <v>7880240.4972833814</v>
      </c>
    </row>
    <row r="211" spans="1:22" ht="13.15">
      <c r="A211" s="355"/>
      <c r="B211" s="145" t="s">
        <v>734</v>
      </c>
      <c r="C211" s="333" t="str">
        <f>VLOOKUP(B211,Tot_res!C:D,2,FALSE)</f>
        <v>Ajuste por competencias atípicas forales: financiación provincias</v>
      </c>
      <c r="D211" s="179">
        <f>VLOOKUP(B211,Tot_res!C:V,3,FALSE)</f>
        <v>5665.4122900000002</v>
      </c>
      <c r="E211" s="179">
        <f>VLOOKUP(B211,Tot_res!C:V,4,FALSE)</f>
        <v>999.34096999999997</v>
      </c>
      <c r="F211" s="179">
        <f>VLOOKUP(B211,Tot_res!C:V,5,FALSE)</f>
        <v>819.66794999999991</v>
      </c>
      <c r="G211" s="179">
        <f>VLOOKUP(B211,Tot_res!C:V,6,FALSE)</f>
        <v>1021.05396</v>
      </c>
      <c r="H211" s="179">
        <f>VLOOKUP(B211,Tot_res!C:V,7,FALSE)</f>
        <v>1910.9311599999999</v>
      </c>
      <c r="I211" s="179">
        <f>VLOOKUP(B211,Tot_res!C:V,8,FALSE)</f>
        <v>429.20229999999998</v>
      </c>
      <c r="J211" s="179">
        <f>VLOOKUP(B211,Tot_res!C:V,9,FALSE)</f>
        <v>2481.7807699999998</v>
      </c>
      <c r="K211" s="179">
        <f>VLOOKUP(B211,Tot_res!C:V,10,FALSE)</f>
        <v>1631.2245899999998</v>
      </c>
      <c r="L211" s="179">
        <f>VLOOKUP(B211,Tot_res!C:V,11,FALSE)</f>
        <v>8372.1169000000009</v>
      </c>
      <c r="M211" s="179">
        <f>VLOOKUP(B211,Tot_res!C:V,12,FALSE)</f>
        <v>3347.7844</v>
      </c>
      <c r="N211" s="179">
        <f>VLOOKUP(B211,Tot_res!C:V,13,FALSE)</f>
        <v>823.77715999999998</v>
      </c>
      <c r="O211" s="179">
        <f>VLOOKUP(B211,Tot_res!C:V,14,FALSE)</f>
        <v>2164.1706399999998</v>
      </c>
      <c r="P211" s="179">
        <f>VLOOKUP(B211,Tot_res!C:V,15,FALSE)</f>
        <v>6475.0739100000001</v>
      </c>
      <c r="Q211" s="179">
        <f>VLOOKUP(B211,Tot_res!C:V,16,FALSE)</f>
        <v>1072.84889</v>
      </c>
      <c r="R211" s="179">
        <f>VLOOKUP(B211,Tot_res!C:V,17,FALSE)</f>
        <v>460.09435999999999</v>
      </c>
      <c r="S211" s="179">
        <f>VLOOKUP(B211,Tot_res!C:V,18,FALSE)</f>
        <v>1701.4366200000002</v>
      </c>
      <c r="T211" s="179">
        <f>VLOOKUP(B211,Tot_res!C:V,19,FALSE)</f>
        <v>242.91853</v>
      </c>
      <c r="U211" s="179">
        <f>VLOOKUP(B211,Tot_res!C:V,20,FALSE)</f>
        <v>362.49224000000004</v>
      </c>
      <c r="V211" s="122">
        <f t="shared" ref="V211:V219" si="37">SUM(D211:U211)</f>
        <v>39981.32764000001</v>
      </c>
    </row>
    <row r="212" spans="1:22" ht="13.15">
      <c r="A212" s="355"/>
      <c r="B212" s="115" t="s">
        <v>735</v>
      </c>
      <c r="C212" s="333" t="str">
        <f>VLOOKUP(B212,Tot_res!C:D,2,FALSE)</f>
        <v xml:space="preserve">Transferencias a CC.LL. por participación en ingresos Estado, participación de las provincias y entes asimilados  </v>
      </c>
      <c r="D212" s="179">
        <f>VLOOKUP(B212,Tot_res!C:V,3,FALSE)</f>
        <v>958158.06702999992</v>
      </c>
      <c r="E212" s="179">
        <f>VLOOKUP(B212,Tot_res!C:V,4,FALSE)</f>
        <v>206959.80833999999</v>
      </c>
      <c r="F212" s="179">
        <f>VLOOKUP(B212,Tot_res!C:V,5,FALSE)</f>
        <v>183972.64245999997</v>
      </c>
      <c r="G212" s="179">
        <f>VLOOKUP(B212,Tot_res!C:V,6,FALSE)</f>
        <v>98583.072249999983</v>
      </c>
      <c r="H212" s="179">
        <f>VLOOKUP(B212,Tot_res!C:V,7,FALSE)</f>
        <v>358307.60936</v>
      </c>
      <c r="I212" s="179">
        <f>VLOOKUP(B212,Tot_res!C:V,8,FALSE)</f>
        <v>91.716499999999996</v>
      </c>
      <c r="J212" s="179">
        <f>VLOOKUP(B212,Tot_res!C:V,9,FALSE)</f>
        <v>547889.95568000013</v>
      </c>
      <c r="K212" s="179">
        <f>VLOOKUP(B212,Tot_res!C:V,10,FALSE)</f>
        <v>395294.40961999993</v>
      </c>
      <c r="L212" s="179">
        <f>VLOOKUP(B212,Tot_res!C:V,11,FALSE)</f>
        <v>732874.68010999996</v>
      </c>
      <c r="M212" s="179">
        <f>VLOOKUP(B212,Tot_res!C:V,12,FALSE)</f>
        <v>638352.31568999996</v>
      </c>
      <c r="N212" s="179">
        <f>VLOOKUP(B212,Tot_res!C:V,13,FALSE)</f>
        <v>253066.21112999998</v>
      </c>
      <c r="O212" s="179">
        <f>VLOOKUP(B212,Tot_res!C:V,14,FALSE)</f>
        <v>466708.10477999999</v>
      </c>
      <c r="P212" s="179">
        <f>VLOOKUP(B212,Tot_res!C:V,15,FALSE)</f>
        <v>15268.842640000001</v>
      </c>
      <c r="Q212" s="179">
        <f>VLOOKUP(B212,Tot_res!C:V,16,FALSE)</f>
        <v>181518.87825000001</v>
      </c>
      <c r="R212" s="179">
        <f>VLOOKUP(B212,Tot_res!C:V,17,FALSE)</f>
        <v>88.694730000000007</v>
      </c>
      <c r="S212" s="179">
        <f>VLOOKUP(B212,Tot_res!C:V,18,FALSE)</f>
        <v>256.28046000000001</v>
      </c>
      <c r="T212" s="179">
        <f>VLOOKUP(B212,Tot_res!C:V,19,FALSE)</f>
        <v>607.17192999999997</v>
      </c>
      <c r="U212" s="179">
        <f>VLOOKUP(B212,Tot_res!C:V,20,FALSE)</f>
        <v>11157.02831</v>
      </c>
      <c r="V212" s="122">
        <f t="shared" si="37"/>
        <v>5049155.4892700007</v>
      </c>
    </row>
    <row r="213" spans="1:22" ht="13.15">
      <c r="A213" s="355"/>
      <c r="B213" s="102" t="s">
        <v>486</v>
      </c>
      <c r="C213" s="333" t="str">
        <f>VLOOKUP(B213,Tot_res!C:D,2,FALSE)</f>
        <v>Otros flujos de financiación local, reintegros parciales de saldos pendientes</v>
      </c>
      <c r="D213" s="179">
        <f>VLOOKUP(B213,Tot_res!C:V,3,FALSE)</f>
        <v>-39314.169571983992</v>
      </c>
      <c r="E213" s="179">
        <f>VLOOKUP(B213,Tot_res!C:V,4,FALSE)</f>
        <v>-19120.620836994</v>
      </c>
      <c r="F213" s="179">
        <f>VLOOKUP(B213,Tot_res!C:V,5,FALSE)</f>
        <v>-15854.994469000001</v>
      </c>
      <c r="G213" s="179">
        <f>VLOOKUP(B213,Tot_res!C:V,6,FALSE)</f>
        <v>-10573.418145992</v>
      </c>
      <c r="H213" s="179">
        <f>VLOOKUP(B213,Tot_res!C:V,7,FALSE)</f>
        <v>-9726.4633529999992</v>
      </c>
      <c r="I213" s="179">
        <f>VLOOKUP(B213,Tot_res!C:V,8,FALSE)</f>
        <v>0</v>
      </c>
      <c r="J213" s="179">
        <f>VLOOKUP(B213,Tot_res!C:V,9,FALSE)</f>
        <v>-22907.918260999999</v>
      </c>
      <c r="K213" s="179">
        <f>VLOOKUP(B213,Tot_res!C:V,10,FALSE)</f>
        <v>-13640.685814999999</v>
      </c>
      <c r="L213" s="179">
        <f>VLOOKUP(B213,Tot_res!C:V,11,FALSE)</f>
        <v>-24595.017446000002</v>
      </c>
      <c r="M213" s="179">
        <f>VLOOKUP(B213,Tot_res!C:V,12,FALSE)</f>
        <v>-38780.878866999999</v>
      </c>
      <c r="N213" s="179">
        <f>VLOOKUP(B213,Tot_res!C:V,13,FALSE)</f>
        <v>-6010.8221780000003</v>
      </c>
      <c r="O213" s="179">
        <f>VLOOKUP(B213,Tot_res!C:V,14,FALSE)</f>
        <v>-19296.588176000001</v>
      </c>
      <c r="P213" s="179">
        <f>VLOOKUP(B213,Tot_res!C:V,15,FALSE)</f>
        <v>0</v>
      </c>
      <c r="Q213" s="179">
        <f>VLOOKUP(B213,Tot_res!C:V,16,FALSE)</f>
        <v>-16075.525638999998</v>
      </c>
      <c r="R213" s="179">
        <f>VLOOKUP(B213,Tot_res!C:V,17,FALSE)</f>
        <v>-6.566999</v>
      </c>
      <c r="S213" s="179">
        <f>VLOOKUP(B213,Tot_res!C:V,18,FALSE)</f>
        <v>-18.975116999999997</v>
      </c>
      <c r="T213" s="179">
        <f>VLOOKUP(B213,Tot_res!C:V,19,FALSE)</f>
        <v>0</v>
      </c>
      <c r="U213" s="179">
        <f>VLOOKUP(B213,Tot_res!C:V,20,FALSE)</f>
        <v>-684.77099800000008</v>
      </c>
      <c r="V213" s="122">
        <f t="shared" si="37"/>
        <v>-236607.41587296996</v>
      </c>
    </row>
    <row r="214" spans="1:22" ht="13.15">
      <c r="A214" s="355"/>
      <c r="B214" s="115" t="s">
        <v>238</v>
      </c>
      <c r="C214" s="333" t="str">
        <f>VLOOKUP(B214,Tot_res!C:D,2,FALSE)</f>
        <v>Hospitales provinciales asumidos por CCAA</v>
      </c>
      <c r="D214" s="179">
        <f>VLOOKUP(B214,Tot_res!C:V,3,FALSE)</f>
        <v>292278.56578467984</v>
      </c>
      <c r="E214" s="179">
        <f>VLOOKUP(B214,Tot_res!C:V,4,FALSE)</f>
        <v>31070.403278118622</v>
      </c>
      <c r="F214" s="179">
        <f>VLOOKUP(B214,Tot_res!C:V,5,FALSE)</f>
        <v>0</v>
      </c>
      <c r="G214" s="179">
        <f>VLOOKUP(B214,Tot_res!C:V,6,FALSE)</f>
        <v>21607.38025094413</v>
      </c>
      <c r="H214" s="179">
        <f>VLOOKUP(B214,Tot_res!C:V,7,FALSE)</f>
        <v>0</v>
      </c>
      <c r="I214" s="179">
        <f>VLOOKUP(B214,Tot_res!C:V,8,FALSE)</f>
        <v>0</v>
      </c>
      <c r="J214" s="179">
        <f>VLOOKUP(B214,Tot_res!C:V,9,FALSE)</f>
        <v>0</v>
      </c>
      <c r="K214" s="179">
        <f>VLOOKUP(B214,Tot_res!C:V,10,FALSE)</f>
        <v>0</v>
      </c>
      <c r="L214" s="179">
        <f>VLOOKUP(B214,Tot_res!C:V,11,FALSE)</f>
        <v>74249.626726992545</v>
      </c>
      <c r="M214" s="179">
        <f>VLOOKUP(B214,Tot_res!C:V,12,FALSE)</f>
        <v>0</v>
      </c>
      <c r="N214" s="179">
        <f>VLOOKUP(B214,Tot_res!C:V,13,FALSE)</f>
        <v>0</v>
      </c>
      <c r="O214" s="179">
        <f>VLOOKUP(B214,Tot_res!C:V,14,FALSE)</f>
        <v>0</v>
      </c>
      <c r="P214" s="179">
        <f>VLOOKUP(B214,Tot_res!C:V,15,FALSE)</f>
        <v>0</v>
      </c>
      <c r="Q214" s="179">
        <f>VLOOKUP(B214,Tot_res!C:V,16,FALSE)</f>
        <v>0</v>
      </c>
      <c r="R214" s="179">
        <f>VLOOKUP(B214,Tot_res!C:V,17,FALSE)</f>
        <v>0</v>
      </c>
      <c r="S214" s="179">
        <f>VLOOKUP(B214,Tot_res!C:V,18,FALSE)</f>
        <v>0</v>
      </c>
      <c r="T214" s="179">
        <f>VLOOKUP(B214,Tot_res!C:V,19,FALSE)</f>
        <v>0</v>
      </c>
      <c r="U214" s="179">
        <f>VLOOKUP(B214,Tot_res!C:V,20,FALSE)</f>
        <v>0</v>
      </c>
      <c r="V214" s="122">
        <f t="shared" si="37"/>
        <v>419205.97604073514</v>
      </c>
    </row>
    <row r="215" spans="1:22" ht="13.15">
      <c r="A215" s="355"/>
      <c r="B215" s="115" t="s">
        <v>239</v>
      </c>
      <c r="C215" s="333" t="str">
        <f>VLOOKUP(B215,Tot_res!C:D,2,FALSE)</f>
        <v>Participación provincial en ingresos del Estado integrada en Fondo de Suficiencia</v>
      </c>
      <c r="D215" s="179">
        <f>VLOOKUP(B215,Tot_res!C:V,3,FALSE)</f>
        <v>0</v>
      </c>
      <c r="E215" s="179">
        <f>VLOOKUP(B215,Tot_res!C:V,4,FALSE)</f>
        <v>0</v>
      </c>
      <c r="F215" s="179">
        <f>VLOOKUP(B215,Tot_res!C:V,5,FALSE)</f>
        <v>0</v>
      </c>
      <c r="G215" s="179">
        <f>VLOOKUP(B215,Tot_res!C:V,6,FALSE)</f>
        <v>0</v>
      </c>
      <c r="H215" s="179">
        <f>VLOOKUP(B215,Tot_res!C:V,7,FALSE)</f>
        <v>0</v>
      </c>
      <c r="I215" s="179">
        <f>VLOOKUP(B215,Tot_res!C:V,8,FALSE)</f>
        <v>96831.556039625284</v>
      </c>
      <c r="J215" s="179">
        <f>VLOOKUP(B215,Tot_res!C:V,9,FALSE)</f>
        <v>0</v>
      </c>
      <c r="K215" s="179">
        <f>VLOOKUP(B215,Tot_res!C:V,10,FALSE)</f>
        <v>0</v>
      </c>
      <c r="L215" s="179">
        <f>VLOOKUP(B215,Tot_res!C:V,11,FALSE)</f>
        <v>0</v>
      </c>
      <c r="M215" s="179">
        <f>VLOOKUP(B215,Tot_res!C:V,12,FALSE)</f>
        <v>0</v>
      </c>
      <c r="N215" s="179">
        <f>VLOOKUP(B215,Tot_res!C:V,13,FALSE)</f>
        <v>0</v>
      </c>
      <c r="O215" s="179">
        <f>VLOOKUP(B215,Tot_res!C:V,14,FALSE)</f>
        <v>0</v>
      </c>
      <c r="P215" s="179">
        <f>VLOOKUP(B215,Tot_res!C:V,15,FALSE)</f>
        <v>741830.71130154806</v>
      </c>
      <c r="Q215" s="179">
        <f>VLOOKUP(B215,Tot_res!C:V,16,FALSE)</f>
        <v>0</v>
      </c>
      <c r="R215" s="179">
        <f>VLOOKUP(B215,Tot_res!C:V,17,FALSE)</f>
        <v>0</v>
      </c>
      <c r="S215" s="179">
        <f>VLOOKUP(B215,Tot_res!C:V,18,FALSE)</f>
        <v>0</v>
      </c>
      <c r="T215" s="179">
        <f>VLOOKUP(B215,Tot_res!C:V,19,FALSE)</f>
        <v>51011.606355919517</v>
      </c>
      <c r="U215" s="179">
        <f>VLOOKUP(B215,Tot_res!C:V,20,FALSE)</f>
        <v>0</v>
      </c>
      <c r="V215" s="122">
        <f t="shared" si="37"/>
        <v>889673.87369709287</v>
      </c>
    </row>
    <row r="216" spans="1:22" ht="13.15">
      <c r="A216" s="355"/>
      <c r="B216" s="115" t="s">
        <v>240</v>
      </c>
      <c r="C216" s="333" t="str">
        <f>VLOOKUP(B216,Tot_res!C:D,2,FALSE)</f>
        <v>Participación de las provincias en el IRPF, IVA e Impuestos Especiales</v>
      </c>
      <c r="D216" s="179">
        <f>VLOOKUP(B216,Tot_res!C:V,3,FALSE)</f>
        <v>140911.37154000002</v>
      </c>
      <c r="E216" s="179">
        <f>VLOOKUP(B216,Tot_res!C:V,4,FALSE)</f>
        <v>31465.017010000007</v>
      </c>
      <c r="F216" s="179">
        <f>VLOOKUP(B216,Tot_res!C:V,5,FALSE)</f>
        <v>24522.217159999997</v>
      </c>
      <c r="G216" s="179">
        <f>VLOOKUP(B216,Tot_res!C:V,6,FALSE)</f>
        <v>28505.602940000004</v>
      </c>
      <c r="H216" s="179">
        <f>VLOOKUP(B216,Tot_res!C:V,7,FALSE)</f>
        <v>14251.930640000002</v>
      </c>
      <c r="I216" s="179">
        <f>VLOOKUP(B216,Tot_res!C:V,8,FALSE)</f>
        <v>0</v>
      </c>
      <c r="J216" s="179">
        <f>VLOOKUP(B216,Tot_res!C:V,9,FALSE)</f>
        <v>56325.148559999987</v>
      </c>
      <c r="K216" s="179">
        <f>VLOOKUP(B216,Tot_res!C:V,10,FALSE)</f>
        <v>39044.429000000004</v>
      </c>
      <c r="L216" s="179">
        <f>VLOOKUP(B216,Tot_res!C:V,11,FALSE)</f>
        <v>190225.34290000005</v>
      </c>
      <c r="M216" s="179">
        <f>VLOOKUP(B216,Tot_res!C:V,12,FALSE)</f>
        <v>95728.429050000006</v>
      </c>
      <c r="N216" s="179">
        <f>VLOOKUP(B216,Tot_res!C:V,13,FALSE)</f>
        <v>18803.83872</v>
      </c>
      <c r="O216" s="179">
        <f>VLOOKUP(B216,Tot_res!C:V,14,FALSE)</f>
        <v>56629.027790000007</v>
      </c>
      <c r="P216" s="179">
        <f>VLOOKUP(B216,Tot_res!C:V,15,FALSE)</f>
        <v>0</v>
      </c>
      <c r="Q216" s="179">
        <f>VLOOKUP(B216,Tot_res!C:V,16,FALSE)</f>
        <v>26000.019090000005</v>
      </c>
      <c r="R216" s="179">
        <f>VLOOKUP(B216,Tot_res!C:V,17,FALSE)</f>
        <v>0</v>
      </c>
      <c r="S216" s="179">
        <f>VLOOKUP(B216,Tot_res!C:V,18,FALSE)</f>
        <v>0</v>
      </c>
      <c r="T216" s="179">
        <f>VLOOKUP(B216,Tot_res!C:V,19,FALSE)</f>
        <v>0</v>
      </c>
      <c r="U216" s="179">
        <f>VLOOKUP(B216,Tot_res!C:V,20,FALSE)</f>
        <v>0</v>
      </c>
      <c r="V216" s="122">
        <f t="shared" si="37"/>
        <v>722412.37439999997</v>
      </c>
    </row>
    <row r="217" spans="1:22" ht="13.15">
      <c r="A217" s="355"/>
      <c r="B217" s="115" t="s">
        <v>740</v>
      </c>
      <c r="C217" s="333" t="str">
        <f>VLOOKUP(B217,Tot_res!C:D,2,FALSE)</f>
        <v>Recursos REF de los cabildos canarios</v>
      </c>
      <c r="D217" s="179">
        <f>VLOOKUP(B217,Tot_res!C:V,3,FALSE)</f>
        <v>0</v>
      </c>
      <c r="E217" s="179">
        <f>VLOOKUP(B217,Tot_res!C:V,4,FALSE)</f>
        <v>0</v>
      </c>
      <c r="F217" s="179">
        <f>VLOOKUP(B217,Tot_res!C:V,5,FALSE)</f>
        <v>0</v>
      </c>
      <c r="G217" s="179">
        <f>VLOOKUP(B217,Tot_res!C:V,6,FALSE)</f>
        <v>0</v>
      </c>
      <c r="H217" s="179">
        <f>VLOOKUP(B217,Tot_res!C:V,7,FALSE)</f>
        <v>404221.2203876205</v>
      </c>
      <c r="I217" s="179">
        <f>VLOOKUP(B217,Tot_res!C:V,8,FALSE)</f>
        <v>0</v>
      </c>
      <c r="J217" s="179">
        <f>VLOOKUP(B217,Tot_res!C:V,9,FALSE)</f>
        <v>0</v>
      </c>
      <c r="K217" s="179">
        <f>VLOOKUP(B217,Tot_res!C:V,10,FALSE)</f>
        <v>0</v>
      </c>
      <c r="L217" s="179">
        <f>VLOOKUP(B217,Tot_res!C:V,11,FALSE)</f>
        <v>0</v>
      </c>
      <c r="M217" s="179">
        <f>VLOOKUP(B217,Tot_res!C:V,12,FALSE)</f>
        <v>0</v>
      </c>
      <c r="N217" s="179">
        <f>VLOOKUP(B217,Tot_res!C:V,13,FALSE)</f>
        <v>0</v>
      </c>
      <c r="O217" s="179">
        <f>VLOOKUP(B217,Tot_res!C:V,14,FALSE)</f>
        <v>0</v>
      </c>
      <c r="P217" s="179">
        <f>VLOOKUP(B217,Tot_res!C:V,15,FALSE)</f>
        <v>0</v>
      </c>
      <c r="Q217" s="179">
        <f>VLOOKUP(B217,Tot_res!C:V,16,FALSE)</f>
        <v>0</v>
      </c>
      <c r="R217" s="179">
        <f>VLOOKUP(B217,Tot_res!C:V,17,FALSE)</f>
        <v>0</v>
      </c>
      <c r="S217" s="179">
        <f>VLOOKUP(B217,Tot_res!C:V,18,FALSE)</f>
        <v>0</v>
      </c>
      <c r="T217" s="179">
        <f>VLOOKUP(B217,Tot_res!C:V,19,FALSE)</f>
        <v>0</v>
      </c>
      <c r="U217" s="179">
        <f>VLOOKUP(B217,Tot_res!C:V,20,FALSE)</f>
        <v>0</v>
      </c>
      <c r="V217" s="122">
        <f t="shared" si="37"/>
        <v>404221.2203876205</v>
      </c>
    </row>
    <row r="218" spans="1:22" ht="13.15">
      <c r="A218" s="355"/>
      <c r="B218" s="115" t="s">
        <v>243</v>
      </c>
      <c r="C218" s="333" t="str">
        <f>VLOOKUP(B218,Tot_res!C:D,2,FALSE)</f>
        <v>Recargo provincial sobre el IAE</v>
      </c>
      <c r="D218" s="179">
        <f>VLOOKUP(B218,Tot_res!C:V,3,FALSE)</f>
        <v>25689.294000000002</v>
      </c>
      <c r="E218" s="179">
        <f>VLOOKUP(B218,Tot_res!C:V,4,FALSE)</f>
        <v>7577.0069999999996</v>
      </c>
      <c r="F218" s="179">
        <f>VLOOKUP(B218,Tot_res!C:V,5,FALSE)</f>
        <v>6405.6018800000002</v>
      </c>
      <c r="G218" s="179">
        <f>VLOOKUP(B218,Tot_res!C:V,6,FALSE)</f>
        <v>3751.2040000000002</v>
      </c>
      <c r="H218" s="179">
        <f>VLOOKUP(B218,Tot_res!C:V,7,FALSE)</f>
        <v>4083.7109999999998</v>
      </c>
      <c r="I218" s="179">
        <f>VLOOKUP(B218,Tot_res!C:V,8,FALSE)</f>
        <v>600.19650999999999</v>
      </c>
      <c r="J218" s="179">
        <f>VLOOKUP(B218,Tot_res!C:V,9,FALSE)</f>
        <v>10582.513000000001</v>
      </c>
      <c r="K218" s="179">
        <f>VLOOKUP(B218,Tot_res!C:V,10,FALSE)</f>
        <v>7176.8869999999997</v>
      </c>
      <c r="L218" s="179">
        <f>VLOOKUP(B218,Tot_res!C:V,11,FALSE)</f>
        <v>24624.506000000001</v>
      </c>
      <c r="M218" s="179">
        <f>VLOOKUP(B218,Tot_res!C:V,12,FALSE)</f>
        <v>16667.205999999998</v>
      </c>
      <c r="N218" s="179">
        <f>VLOOKUP(B218,Tot_res!C:V,13,FALSE)</f>
        <v>4709.9139999999998</v>
      </c>
      <c r="O218" s="179">
        <f>VLOOKUP(B218,Tot_res!C:V,14,FALSE)</f>
        <v>12379.714</v>
      </c>
      <c r="P218" s="179">
        <f>VLOOKUP(B218,Tot_res!C:V,15,FALSE)</f>
        <v>24323.097870000001</v>
      </c>
      <c r="Q218" s="179">
        <f>VLOOKUP(B218,Tot_res!C:V,16,FALSE)</f>
        <v>2492.1300899999997</v>
      </c>
      <c r="R218" s="179">
        <f>VLOOKUP(B218,Tot_res!C:V,17,FALSE)</f>
        <v>0</v>
      </c>
      <c r="S218" s="179">
        <f>VLOOKUP(B218,Tot_res!C:V,18,FALSE)</f>
        <v>1313.578</v>
      </c>
      <c r="T218" s="179">
        <f>VLOOKUP(B218,Tot_res!C:V,19,FALSE)</f>
        <v>690.71370999999999</v>
      </c>
      <c r="U218" s="179">
        <f>VLOOKUP(B218,Tot_res!C:V,20,FALSE)</f>
        <v>0</v>
      </c>
      <c r="V218" s="122">
        <f t="shared" si="37"/>
        <v>153067.27406000003</v>
      </c>
    </row>
    <row r="219" spans="1:22" ht="13.15">
      <c r="A219" s="355"/>
      <c r="B219" s="115" t="s">
        <v>229</v>
      </c>
      <c r="C219" s="333" t="str">
        <f>VLOOKUP(B219,Tot_res!C:D,2,FALSE)</f>
        <v>Ajuste por competencias atípicas forales: financiación provincias</v>
      </c>
      <c r="D219" s="179">
        <f>VLOOKUP(B219,Tot_res!C:V,3,FALSE)</f>
        <v>0</v>
      </c>
      <c r="E219" s="179">
        <f>VLOOKUP(B219,Tot_res!C:V,4,FALSE)</f>
        <v>0</v>
      </c>
      <c r="F219" s="179">
        <f>VLOOKUP(B219,Tot_res!C:V,5,FALSE)</f>
        <v>0</v>
      </c>
      <c r="G219" s="179">
        <f>VLOOKUP(B219,Tot_res!C:V,6,FALSE)</f>
        <v>0</v>
      </c>
      <c r="H219" s="179">
        <f>VLOOKUP(B219,Tot_res!C:V,7,FALSE)</f>
        <v>0</v>
      </c>
      <c r="I219" s="179">
        <f>VLOOKUP(B219,Tot_res!C:V,8,FALSE)</f>
        <v>0</v>
      </c>
      <c r="J219" s="179">
        <f>VLOOKUP(B219,Tot_res!C:V,9,FALSE)</f>
        <v>0</v>
      </c>
      <c r="K219" s="179">
        <f>VLOOKUP(B219,Tot_res!C:V,10,FALSE)</f>
        <v>0</v>
      </c>
      <c r="L219" s="179">
        <f>VLOOKUP(B219,Tot_res!C:V,11,FALSE)</f>
        <v>0</v>
      </c>
      <c r="M219" s="179">
        <f>VLOOKUP(B219,Tot_res!C:V,12,FALSE)</f>
        <v>0</v>
      </c>
      <c r="N219" s="179">
        <f>VLOOKUP(B219,Tot_res!C:V,13,FALSE)</f>
        <v>0</v>
      </c>
      <c r="O219" s="179">
        <f>VLOOKUP(B219,Tot_res!C:V,14,FALSE)</f>
        <v>0</v>
      </c>
      <c r="P219" s="179">
        <f>VLOOKUP(B219,Tot_res!C:V,15,FALSE)</f>
        <v>0</v>
      </c>
      <c r="Q219" s="179">
        <f>VLOOKUP(B219,Tot_res!C:V,16,FALSE)</f>
        <v>0</v>
      </c>
      <c r="R219" s="179">
        <f>VLOOKUP(B219,Tot_res!C:V,17,FALSE)</f>
        <v>99603.173914556741</v>
      </c>
      <c r="S219" s="179">
        <f>VLOOKUP(B219,Tot_res!C:V,18,FALSE)</f>
        <v>339527.20374634577</v>
      </c>
      <c r="T219" s="179">
        <f>VLOOKUP(B219,Tot_res!C:V,19,FALSE)</f>
        <v>0</v>
      </c>
      <c r="U219" s="179">
        <f>VLOOKUP(B219,Tot_res!C:V,20,FALSE)</f>
        <v>0</v>
      </c>
      <c r="V219" s="122">
        <f t="shared" si="37"/>
        <v>439130.37766090251</v>
      </c>
    </row>
    <row r="220" spans="1:22" ht="13.15">
      <c r="A220" s="356"/>
      <c r="B220" s="115"/>
      <c r="C220" s="102"/>
      <c r="D220" s="105"/>
      <c r="E220" s="105"/>
      <c r="F220" s="105"/>
      <c r="G220" s="105"/>
      <c r="H220" s="105"/>
      <c r="I220" s="105"/>
      <c r="J220" s="105"/>
      <c r="K220" s="105"/>
      <c r="L220" s="105"/>
      <c r="M220" s="105"/>
      <c r="N220" s="105"/>
      <c r="O220" s="105"/>
      <c r="P220" s="105"/>
      <c r="Q220" s="105"/>
      <c r="R220" s="105"/>
      <c r="S220" s="105"/>
      <c r="T220" s="105"/>
      <c r="U220" s="105"/>
      <c r="V220" s="122"/>
    </row>
    <row r="221" spans="1:22" ht="13.15">
      <c r="A221" s="356"/>
      <c r="B221" s="115"/>
      <c r="C221" s="128" t="s">
        <v>110</v>
      </c>
      <c r="D221" s="144">
        <f t="shared" ref="D221:U221" si="38">SUM(D222:D230)</f>
        <v>5415030.3366637807</v>
      </c>
      <c r="E221" s="144">
        <f t="shared" si="38"/>
        <v>1068456.1559136065</v>
      </c>
      <c r="F221" s="144">
        <f t="shared" si="38"/>
        <v>726643.01077428507</v>
      </c>
      <c r="G221" s="144">
        <f t="shared" si="38"/>
        <v>940776.17583304818</v>
      </c>
      <c r="H221" s="144">
        <f t="shared" si="38"/>
        <v>1476819.598525964</v>
      </c>
      <c r="I221" s="144">
        <f t="shared" si="38"/>
        <v>438941.42621861718</v>
      </c>
      <c r="J221" s="144">
        <f t="shared" si="38"/>
        <v>1694490.8081331479</v>
      </c>
      <c r="K221" s="144">
        <f t="shared" si="38"/>
        <v>1312987.1401566616</v>
      </c>
      <c r="L221" s="144">
        <f t="shared" si="38"/>
        <v>6988207.4266699282</v>
      </c>
      <c r="M221" s="144">
        <f t="shared" si="38"/>
        <v>3599730.2744469456</v>
      </c>
      <c r="N221" s="144">
        <f t="shared" si="38"/>
        <v>580963.62509546755</v>
      </c>
      <c r="O221" s="144">
        <f t="shared" si="38"/>
        <v>1565595.0122058075</v>
      </c>
      <c r="P221" s="144">
        <f t="shared" si="38"/>
        <v>6132875.6828427957</v>
      </c>
      <c r="Q221" s="144">
        <f t="shared" si="38"/>
        <v>965322.33063895104</v>
      </c>
      <c r="R221" s="144">
        <f t="shared" si="38"/>
        <v>462732.96727538668</v>
      </c>
      <c r="S221" s="144">
        <f t="shared" si="38"/>
        <v>1639203.5967088011</v>
      </c>
      <c r="T221" s="144">
        <f t="shared" si="38"/>
        <v>234606.61949639794</v>
      </c>
      <c r="U221" s="144">
        <f t="shared" si="38"/>
        <v>56899.963702825022</v>
      </c>
      <c r="V221" s="139">
        <f>SUM(V222:V230)</f>
        <v>35300282.15130242</v>
      </c>
    </row>
    <row r="222" spans="1:22" ht="13.15">
      <c r="A222" s="355"/>
      <c r="B222" s="115" t="s">
        <v>742</v>
      </c>
      <c r="C222" s="333" t="str">
        <f>VLOOKUP(B222,Tot_res!C:D,2,FALSE)</f>
        <v xml:space="preserve">Transferencias a CC.LL. por participación en ingresos Estado, parte correspondiente a los municipios (excluyendo provincias y entes asimilados) </v>
      </c>
      <c r="D222" s="179">
        <f>VLOOKUP(B222,Tot_res!C:V,3,FALSE)</f>
        <v>1889742.6511200001</v>
      </c>
      <c r="E222" s="179">
        <f>VLOOKUP(B222,Tot_res!C:V,4,FALSE)</f>
        <v>347968.77979999996</v>
      </c>
      <c r="F222" s="179">
        <f>VLOOKUP(B222,Tot_res!C:V,5,FALSE)</f>
        <v>215026.51983999996</v>
      </c>
      <c r="G222" s="179">
        <f>VLOOKUP(B222,Tot_res!C:V,6,FALSE)</f>
        <v>212590.00144000005</v>
      </c>
      <c r="H222" s="179">
        <f>VLOOKUP(B222,Tot_res!C:V,7,FALSE)</f>
        <v>441900.42335</v>
      </c>
      <c r="I222" s="179">
        <f>VLOOKUP(B222,Tot_res!C:V,8,FALSE)</f>
        <v>116505.58245999999</v>
      </c>
      <c r="J222" s="179">
        <f>VLOOKUP(B222,Tot_res!C:V,9,FALSE)</f>
        <v>476645.71179000003</v>
      </c>
      <c r="K222" s="179">
        <f>VLOOKUP(B222,Tot_res!C:V,10,FALSE)</f>
        <v>369750.05372000003</v>
      </c>
      <c r="L222" s="179">
        <f>VLOOKUP(B222,Tot_res!C:V,11,FALSE)</f>
        <v>2180345.4898799998</v>
      </c>
      <c r="M222" s="179">
        <f>VLOOKUP(B222,Tot_res!C:V,12,FALSE)</f>
        <v>1126366.9932100002</v>
      </c>
      <c r="N222" s="179">
        <f>VLOOKUP(B222,Tot_res!C:V,13,FALSE)</f>
        <v>198850.50499000004</v>
      </c>
      <c r="O222" s="179">
        <f>VLOOKUP(B222,Tot_res!C:V,14,FALSE)</f>
        <v>533138.79564000003</v>
      </c>
      <c r="P222" s="179">
        <f>VLOOKUP(B222,Tot_res!C:V,15,FALSE)</f>
        <v>1971253.8069199999</v>
      </c>
      <c r="Q222" s="179">
        <f>VLOOKUP(B222,Tot_res!C:V,16,FALSE)</f>
        <v>279097.37361000001</v>
      </c>
      <c r="R222" s="179">
        <f>VLOOKUP(B222,Tot_res!C:V,17,FALSE)</f>
        <v>832.59508999999991</v>
      </c>
      <c r="S222" s="179">
        <f>VLOOKUP(B222,Tot_res!C:V,18,FALSE)</f>
        <v>3106.0569500000001</v>
      </c>
      <c r="T222" s="179">
        <f>VLOOKUP(B222,Tot_res!C:V,19,FALSE)</f>
        <v>59480.497880000003</v>
      </c>
      <c r="U222" s="179">
        <f>VLOOKUP(B222,Tot_res!C:V,20,FALSE)</f>
        <v>35434.421040000001</v>
      </c>
      <c r="V222" s="122">
        <f t="shared" ref="V222:V230" si="39">SUM(D222:U222)</f>
        <v>10458036.25873</v>
      </c>
    </row>
    <row r="223" spans="1:22" ht="13.15">
      <c r="A223" s="355"/>
      <c r="B223" s="102" t="s">
        <v>487</v>
      </c>
      <c r="C223" s="333" t="str">
        <f>VLOOKUP(B223,Tot_res!C:D,2,FALSE)</f>
        <v>Otros flujos de financiación local, para reintegros parciales saldos pendientes</v>
      </c>
      <c r="D223" s="179">
        <f>VLOOKUP(B223,Tot_res!C:V,3,FALSE)</f>
        <v>-60710.4427999861</v>
      </c>
      <c r="E223" s="179">
        <f>VLOOKUP(B223,Tot_res!C:V,4,FALSE)</f>
        <v>-10943.571739996099</v>
      </c>
      <c r="F223" s="179">
        <f>VLOOKUP(B223,Tot_res!C:V,5,FALSE)</f>
        <v>-13234.830839996901</v>
      </c>
      <c r="G223" s="179">
        <f>VLOOKUP(B223,Tot_res!C:V,6,FALSE)</f>
        <v>-6205.9988199983</v>
      </c>
      <c r="H223" s="179">
        <f>VLOOKUP(B223,Tot_res!C:V,7,FALSE)</f>
        <v>-17465.9324599969</v>
      </c>
      <c r="I223" s="179">
        <f>VLOOKUP(B223,Tot_res!C:V,8,FALSE)</f>
        <v>-3234.8304499991</v>
      </c>
      <c r="J223" s="179">
        <f>VLOOKUP(B223,Tot_res!C:V,9,FALSE)</f>
        <v>-13761.190579991498</v>
      </c>
      <c r="K223" s="179">
        <f>VLOOKUP(B223,Tot_res!C:V,10,FALSE)</f>
        <v>-10824.283369992601</v>
      </c>
      <c r="L223" s="179">
        <f>VLOOKUP(B223,Tot_res!C:V,11,FALSE)</f>
        <v>-64338.633729985304</v>
      </c>
      <c r="M223" s="179">
        <f>VLOOKUP(B223,Tot_res!C:V,12,FALSE)</f>
        <v>-35344.225189987599</v>
      </c>
      <c r="N223" s="179">
        <f>VLOOKUP(B223,Tot_res!C:V,13,FALSE)</f>
        <v>-6817.2708299989008</v>
      </c>
      <c r="O223" s="179">
        <f>VLOOKUP(B223,Tot_res!C:V,14,FALSE)</f>
        <v>-20421.132199995398</v>
      </c>
      <c r="P223" s="179">
        <f>VLOOKUP(B223,Tot_res!C:V,15,FALSE)</f>
        <v>-63118.997189986403</v>
      </c>
      <c r="Q223" s="179">
        <f>VLOOKUP(B223,Tot_res!C:V,16,FALSE)</f>
        <v>-10388.073749994899</v>
      </c>
      <c r="R223" s="179">
        <f>VLOOKUP(B223,Tot_res!C:V,17,FALSE)</f>
        <v>-1.6952400000000001</v>
      </c>
      <c r="S223" s="179">
        <f>VLOOKUP(B223,Tot_res!C:V,18,FALSE)</f>
        <v>-3.4439999999999998E-2</v>
      </c>
      <c r="T223" s="179">
        <f>VLOOKUP(B223,Tot_res!C:V,19,FALSE)</f>
        <v>-2255.7006699995</v>
      </c>
      <c r="U223" s="179">
        <f>VLOOKUP(B223,Tot_res!C:V,20,FALSE)</f>
        <v>-1521.58284</v>
      </c>
      <c r="V223" s="122">
        <f t="shared" si="39"/>
        <v>-340588.42713990551</v>
      </c>
    </row>
    <row r="224" spans="1:22" ht="13.15">
      <c r="A224" s="355"/>
      <c r="B224" s="115" t="s">
        <v>246</v>
      </c>
      <c r="C224" s="333" t="str">
        <f>VLOOKUP(B224,Tot_res!C:D,2,FALSE)</f>
        <v>Participacón de los municipios en el IRPF, IVA e Impuestos Especiales</v>
      </c>
      <c r="D224" s="179">
        <f>VLOOKUP(B224,Tot_res!C:V,3,FALSE)</f>
        <v>111574.73375</v>
      </c>
      <c r="E224" s="179">
        <f>VLOOKUP(B224,Tot_res!C:V,4,FALSE)</f>
        <v>32014.096999999994</v>
      </c>
      <c r="F224" s="179">
        <f>VLOOKUP(B224,Tot_res!C:V,5,FALSE)</f>
        <v>23869.755690000002</v>
      </c>
      <c r="G224" s="179">
        <f>VLOOKUP(B224,Tot_res!C:V,6,FALSE)</f>
        <v>17461.345170000001</v>
      </c>
      <c r="H224" s="179">
        <f>VLOOKUP(B224,Tot_res!C:V,7,FALSE)</f>
        <v>12940.418029999999</v>
      </c>
      <c r="I224" s="179">
        <f>VLOOKUP(B224,Tot_res!C:V,8,FALSE)</f>
        <v>7536.1973000000007</v>
      </c>
      <c r="J224" s="179">
        <f>VLOOKUP(B224,Tot_res!C:V,9,FALSE)</f>
        <v>45071.433940000003</v>
      </c>
      <c r="K224" s="179">
        <f>VLOOKUP(B224,Tot_res!C:V,10,FALSE)</f>
        <v>20741.26179</v>
      </c>
      <c r="L224" s="179">
        <f>VLOOKUP(B224,Tot_res!C:V,11,FALSE)</f>
        <v>161416.92004</v>
      </c>
      <c r="M224" s="179">
        <f>VLOOKUP(B224,Tot_res!C:V,12,FALSE)</f>
        <v>62541.14847</v>
      </c>
      <c r="N224" s="179">
        <f>VLOOKUP(B224,Tot_res!C:V,13,FALSE)</f>
        <v>10635.670569999998</v>
      </c>
      <c r="O224" s="179">
        <f>VLOOKUP(B224,Tot_res!C:V,14,FALSE)</f>
        <v>36876.198029999992</v>
      </c>
      <c r="P224" s="179">
        <f>VLOOKUP(B224,Tot_res!C:V,15,FALSE)</f>
        <v>247325.60589000001</v>
      </c>
      <c r="Q224" s="179">
        <f>VLOOKUP(B224,Tot_res!C:V,16,FALSE)</f>
        <v>23466.599009999998</v>
      </c>
      <c r="R224" s="179">
        <f>VLOOKUP(B224,Tot_res!C:V,17,FALSE)</f>
        <v>0</v>
      </c>
      <c r="S224" s="179">
        <f>VLOOKUP(B224,Tot_res!C:V,18,FALSE)</f>
        <v>0</v>
      </c>
      <c r="T224" s="179">
        <f>VLOOKUP(B224,Tot_res!C:V,19,FALSE)</f>
        <v>5482.0203700000002</v>
      </c>
      <c r="U224" s="179">
        <f>VLOOKUP(B224,Tot_res!C:V,20,FALSE)</f>
        <v>0</v>
      </c>
      <c r="V224" s="122">
        <f t="shared" si="39"/>
        <v>818953.40505000006</v>
      </c>
    </row>
    <row r="225" spans="1:23" ht="13.15">
      <c r="A225" s="355"/>
      <c r="B225" s="115" t="s">
        <v>247</v>
      </c>
      <c r="C225" s="333" t="str">
        <f>VLOOKUP(B225,Tot_res!C:D,2,FALSE)</f>
        <v>Impuestos municipales</v>
      </c>
      <c r="D225" s="179">
        <f>VLOOKUP(B225,Tot_res!C:V,3,FALSE)</f>
        <v>2493104.8773800004</v>
      </c>
      <c r="E225" s="179">
        <f>VLOOKUP(B225,Tot_res!C:V,4,FALSE)</f>
        <v>463936.22031999996</v>
      </c>
      <c r="F225" s="179">
        <f>VLOOKUP(B225,Tot_res!C:V,5,FALSE)</f>
        <v>364698.17540000007</v>
      </c>
      <c r="G225" s="179">
        <f>VLOOKUP(B225,Tot_res!C:V,6,FALSE)</f>
        <v>468902.59234999993</v>
      </c>
      <c r="H225" s="179">
        <f>VLOOKUP(B225,Tot_res!C:V,7,FALSE)</f>
        <v>547488.28979000007</v>
      </c>
      <c r="I225" s="179">
        <f>VLOOKUP(B225,Tot_res!C:V,8,FALSE)</f>
        <v>219490.13496999998</v>
      </c>
      <c r="J225" s="179">
        <f>VLOOKUP(B225,Tot_res!C:V,9,FALSE)</f>
        <v>819654.68804999988</v>
      </c>
      <c r="K225" s="179">
        <f>VLOOKUP(B225,Tot_res!C:V,10,FALSE)</f>
        <v>628533.11400000006</v>
      </c>
      <c r="L225" s="179">
        <f>VLOOKUP(B225,Tot_res!C:V,11,FALSE)</f>
        <v>3396552.35</v>
      </c>
      <c r="M225" s="179">
        <f>VLOOKUP(B225,Tot_res!C:V,12,FALSE)</f>
        <v>1847347.33</v>
      </c>
      <c r="N225" s="179">
        <f>VLOOKUP(B225,Tot_res!C:V,13,FALSE)</f>
        <v>251279.84000000003</v>
      </c>
      <c r="O225" s="179">
        <f>VLOOKUP(B225,Tot_res!C:V,14,FALSE)</f>
        <v>686900.43</v>
      </c>
      <c r="P225" s="179">
        <f>VLOOKUP(B225,Tot_res!C:V,15,FALSE)</f>
        <v>3057022.4200000004</v>
      </c>
      <c r="Q225" s="179">
        <f>VLOOKUP(B225,Tot_res!C:V,16,FALSE)</f>
        <v>457570.25</v>
      </c>
      <c r="R225" s="179">
        <f>VLOOKUP(B225,Tot_res!C:V,17,FALSE)</f>
        <v>182848.08439989548</v>
      </c>
      <c r="S225" s="179">
        <f>VLOOKUP(B225,Tot_res!C:V,18,FALSE)</f>
        <v>629592.0236632938</v>
      </c>
      <c r="T225" s="179">
        <f>VLOOKUP(B225,Tot_res!C:V,19,FALSE)</f>
        <v>107257.25195000002</v>
      </c>
      <c r="U225" s="179">
        <f>VLOOKUP(B225,Tot_res!C:V,20,FALSE)</f>
        <v>10440.480729999999</v>
      </c>
      <c r="V225" s="122">
        <f t="shared" si="39"/>
        <v>16632618.55300319</v>
      </c>
    </row>
    <row r="226" spans="1:23" ht="13.15">
      <c r="A226" s="355"/>
      <c r="B226" s="115" t="s">
        <v>248</v>
      </c>
      <c r="C226" s="333" t="str">
        <f>VLOOKUP(B226,Tot_res!C:D,2,FALSE)</f>
        <v>Tasas municipales</v>
      </c>
      <c r="D226" s="179">
        <f>VLOOKUP(B226,Tot_res!C:V,3,FALSE)</f>
        <v>962897.64</v>
      </c>
      <c r="E226" s="179">
        <f>VLOOKUP(B226,Tot_res!C:V,4,FALSE)</f>
        <v>231220.2</v>
      </c>
      <c r="F226" s="179">
        <f>VLOOKUP(B226,Tot_res!C:V,5,FALSE)</f>
        <v>135370.53</v>
      </c>
      <c r="G226" s="179">
        <f>VLOOKUP(B226,Tot_res!C:V,6,FALSE)</f>
        <v>246343.86</v>
      </c>
      <c r="H226" s="179">
        <f>VLOOKUP(B226,Tot_res!C:V,7,FALSE)</f>
        <v>257045.81</v>
      </c>
      <c r="I226" s="179">
        <f>VLOOKUP(B226,Tot_res!C:V,8,FALSE)</f>
        <v>97915.22</v>
      </c>
      <c r="J226" s="179">
        <f>VLOOKUP(B226,Tot_res!C:V,9,FALSE)</f>
        <v>362438.92</v>
      </c>
      <c r="K226" s="179">
        <f>VLOOKUP(B226,Tot_res!C:V,10,FALSE)</f>
        <v>302755.46999999997</v>
      </c>
      <c r="L226" s="179">
        <f>VLOOKUP(B226,Tot_res!C:V,11,FALSE)</f>
        <v>1304410.5</v>
      </c>
      <c r="M226" s="179">
        <f>VLOOKUP(B226,Tot_res!C:V,12,FALSE)</f>
        <v>592144.18000000005</v>
      </c>
      <c r="N226" s="179">
        <f>VLOOKUP(B226,Tot_res!C:V,13,FALSE)</f>
        <v>124778.69</v>
      </c>
      <c r="O226" s="179">
        <f>VLOOKUP(B226,Tot_res!C:V,14,FALSE)</f>
        <v>327836.90000000002</v>
      </c>
      <c r="P226" s="179">
        <f>VLOOKUP(B226,Tot_res!C:V,15,FALSE)</f>
        <v>912170.11</v>
      </c>
      <c r="Q226" s="179">
        <f>VLOOKUP(B226,Tot_res!C:V,16,FALSE)</f>
        <v>199481.55</v>
      </c>
      <c r="R226" s="179">
        <f>VLOOKUP(B226,Tot_res!C:V,17,FALSE)</f>
        <v>119396.3301409985</v>
      </c>
      <c r="S226" s="179">
        <f>VLOOKUP(B226,Tot_res!C:V,18,FALSE)</f>
        <v>462607.01536079886</v>
      </c>
      <c r="T226" s="179">
        <f>VLOOKUP(B226,Tot_res!C:V,19,FALSE)</f>
        <v>63654.080000000002</v>
      </c>
      <c r="U226" s="179">
        <f>VLOOKUP(B226,Tot_res!C:V,20,FALSE)</f>
        <v>12539.45996</v>
      </c>
      <c r="V226" s="122">
        <f t="shared" si="39"/>
        <v>6715006.465461798</v>
      </c>
    </row>
    <row r="227" spans="1:23" ht="13.15">
      <c r="A227" s="355"/>
      <c r="B227" s="115" t="s">
        <v>748</v>
      </c>
      <c r="C227" s="333" t="str">
        <f>VLOOKUP(B227,Tot_res!C:D,2,FALSE)</f>
        <v>Recursos REF de los municipios canarios</v>
      </c>
      <c r="D227" s="179">
        <f>VLOOKUP(B227,Tot_res!C:V,3,FALSE)</f>
        <v>0</v>
      </c>
      <c r="E227" s="179">
        <f>VLOOKUP(B227,Tot_res!C:V,4,FALSE)</f>
        <v>0</v>
      </c>
      <c r="F227" s="179">
        <f>VLOOKUP(B227,Tot_res!C:V,5,FALSE)</f>
        <v>0</v>
      </c>
      <c r="G227" s="179">
        <f>VLOOKUP(B227,Tot_res!C:V,6,FALSE)</f>
        <v>0</v>
      </c>
      <c r="H227" s="179">
        <f>VLOOKUP(B227,Tot_res!C:V,7,FALSE)</f>
        <v>227423.78373398352</v>
      </c>
      <c r="I227" s="179">
        <f>VLOOKUP(B227,Tot_res!C:V,8,FALSE)</f>
        <v>0</v>
      </c>
      <c r="J227" s="179">
        <f>VLOOKUP(B227,Tot_res!C:V,9,FALSE)</f>
        <v>0</v>
      </c>
      <c r="K227" s="179">
        <f>VLOOKUP(B227,Tot_res!C:V,10,FALSE)</f>
        <v>0</v>
      </c>
      <c r="L227" s="179">
        <f>VLOOKUP(B227,Tot_res!C:V,11,FALSE)</f>
        <v>0</v>
      </c>
      <c r="M227" s="179">
        <f>VLOOKUP(B227,Tot_res!C:V,12,FALSE)</f>
        <v>0</v>
      </c>
      <c r="N227" s="179">
        <f>VLOOKUP(B227,Tot_res!C:V,13,FALSE)</f>
        <v>0</v>
      </c>
      <c r="O227" s="179">
        <f>VLOOKUP(B227,Tot_res!C:V,14,FALSE)</f>
        <v>0</v>
      </c>
      <c r="P227" s="179">
        <f>VLOOKUP(B227,Tot_res!C:V,15,FALSE)</f>
        <v>0</v>
      </c>
      <c r="Q227" s="179">
        <f>VLOOKUP(B227,Tot_res!C:V,16,FALSE)</f>
        <v>0</v>
      </c>
      <c r="R227" s="179">
        <f>VLOOKUP(B227,Tot_res!C:V,17,FALSE)</f>
        <v>0</v>
      </c>
      <c r="S227" s="179">
        <f>VLOOKUP(B227,Tot_res!C:V,18,FALSE)</f>
        <v>0</v>
      </c>
      <c r="T227" s="179">
        <f>VLOOKUP(B227,Tot_res!C:V,19,FALSE)</f>
        <v>0</v>
      </c>
      <c r="U227" s="179">
        <f>VLOOKUP(B227,Tot_res!C:V,20,FALSE)</f>
        <v>0</v>
      </c>
      <c r="V227" s="122">
        <f t="shared" si="39"/>
        <v>227423.78373398352</v>
      </c>
    </row>
    <row r="228" spans="1:23" ht="13.15">
      <c r="A228" s="355"/>
      <c r="B228" s="115" t="s">
        <v>749</v>
      </c>
      <c r="C228" s="333" t="str">
        <f>VLOOKUP(B228,Tot_res!C:D,2,FALSE)</f>
        <v>Otras aportaciones a Corporaciones Locales, compensaciones por beneficios fiscales</v>
      </c>
      <c r="D228" s="179">
        <f>VLOOKUP(B228,Tot_res!C:V,3,FALSE)</f>
        <v>15780.324630000001</v>
      </c>
      <c r="E228" s="179">
        <f>VLOOKUP(B228,Tot_res!C:V,4,FALSE)</f>
        <v>4136.6216100000001</v>
      </c>
      <c r="F228" s="179">
        <f>VLOOKUP(B228,Tot_res!C:V,5,FALSE)</f>
        <v>704.96646999999996</v>
      </c>
      <c r="G228" s="179">
        <f>VLOOKUP(B228,Tot_res!C:V,6,FALSE)</f>
        <v>658.73029000000008</v>
      </c>
      <c r="H228" s="179">
        <f>VLOOKUP(B228,Tot_res!C:V,7,FALSE)</f>
        <v>744.10514000000001</v>
      </c>
      <c r="I228" s="179">
        <f>VLOOKUP(B228,Tot_res!C:V,8,FALSE)</f>
        <v>545.24027999999998</v>
      </c>
      <c r="J228" s="179">
        <f>VLOOKUP(B228,Tot_res!C:V,9,FALSE)</f>
        <v>3829.8667799999998</v>
      </c>
      <c r="K228" s="179">
        <f>VLOOKUP(B228,Tot_res!C:V,10,FALSE)</f>
        <v>1697.0510099999999</v>
      </c>
      <c r="L228" s="179">
        <f>VLOOKUP(B228,Tot_res!C:V,11,FALSE)</f>
        <v>9499.7701799999995</v>
      </c>
      <c r="M228" s="179">
        <f>VLOOKUP(B228,Tot_res!C:V,12,FALSE)</f>
        <v>6207.3622100000002</v>
      </c>
      <c r="N228" s="179">
        <f>VLOOKUP(B228,Tot_res!C:V,13,FALSE)</f>
        <v>2180.82636</v>
      </c>
      <c r="O228" s="179">
        <f>VLOOKUP(B228,Tot_res!C:V,14,FALSE)</f>
        <v>926.64008999999999</v>
      </c>
      <c r="P228" s="179">
        <f>VLOOKUP(B228,Tot_res!C:V,15,FALSE)</f>
        <v>7946.9153699999997</v>
      </c>
      <c r="Q228" s="179">
        <f>VLOOKUP(B228,Tot_res!C:V,16,FALSE)</f>
        <v>15951.30219</v>
      </c>
      <c r="R228" s="179">
        <f>VLOOKUP(B228,Tot_res!C:V,17,FALSE)</f>
        <v>0</v>
      </c>
      <c r="S228" s="179">
        <f>VLOOKUP(B228,Tot_res!C:V,18,FALSE)</f>
        <v>0</v>
      </c>
      <c r="T228" s="179">
        <f>VLOOKUP(B228,Tot_res!C:V,19,FALSE)</f>
        <v>974.81668999999999</v>
      </c>
      <c r="U228" s="179">
        <f>VLOOKUP(B228,Tot_res!C:V,20,FALSE)</f>
        <v>0</v>
      </c>
      <c r="V228" s="122">
        <f t="shared" si="39"/>
        <v>71784.539300000004</v>
      </c>
    </row>
    <row r="229" spans="1:23" ht="13.15">
      <c r="A229" s="355"/>
      <c r="B229" s="115" t="s">
        <v>251</v>
      </c>
      <c r="C229" s="333" t="str">
        <f>VLOOKUP(B229,Tot_res!C:D,2,FALSE)</f>
        <v xml:space="preserve">Cooperación económica local del Estado </v>
      </c>
      <c r="D229" s="179">
        <f>VLOOKUP(B229,Tot_res!C:V,3,FALSE)</f>
        <v>2640.5525837674172</v>
      </c>
      <c r="E229" s="179">
        <f>VLOOKUP(B229,Tot_res!C:V,4,FALSE)</f>
        <v>123.80892360265517</v>
      </c>
      <c r="F229" s="179">
        <f>VLOOKUP(B229,Tot_res!C:V,5,FALSE)</f>
        <v>207.8942142819497</v>
      </c>
      <c r="G229" s="179">
        <f>VLOOKUP(B229,Tot_res!C:V,6,FALSE)</f>
        <v>1025.6454030465284</v>
      </c>
      <c r="H229" s="179">
        <f>VLOOKUP(B229,Tot_res!C:V,7,FALSE)</f>
        <v>6742.7009419770993</v>
      </c>
      <c r="I229" s="179">
        <f>VLOOKUP(B229,Tot_res!C:V,8,FALSE)</f>
        <v>183.88165861631884</v>
      </c>
      <c r="J229" s="179">
        <f>VLOOKUP(B229,Tot_res!C:V,9,FALSE)</f>
        <v>611.37815313942019</v>
      </c>
      <c r="K229" s="179">
        <f>VLOOKUP(B229,Tot_res!C:V,10,FALSE)</f>
        <v>334.47300665417845</v>
      </c>
      <c r="L229" s="179">
        <f>VLOOKUP(B229,Tot_res!C:V,11,FALSE)</f>
        <v>321.03029991419487</v>
      </c>
      <c r="M229" s="179">
        <f>VLOOKUP(B229,Tot_res!C:V,12,FALSE)</f>
        <v>467.48574693252993</v>
      </c>
      <c r="N229" s="179">
        <f>VLOOKUP(B229,Tot_res!C:V,13,FALSE)</f>
        <v>55.364005466342455</v>
      </c>
      <c r="O229" s="179">
        <f>VLOOKUP(B229,Tot_res!C:V,14,FALSE)</f>
        <v>337.18064580300751</v>
      </c>
      <c r="P229" s="179">
        <f>VLOOKUP(B229,Tot_res!C:V,15,FALSE)</f>
        <v>275.82185278208169</v>
      </c>
      <c r="Q229" s="179">
        <f>VLOOKUP(B229,Tot_res!C:V,16,FALSE)</f>
        <v>143.32957894598889</v>
      </c>
      <c r="R229" s="179">
        <f>VLOOKUP(B229,Tot_res!C:V,17,FALSE)</f>
        <v>27.374901284461728</v>
      </c>
      <c r="S229" s="179">
        <f>VLOOKUP(B229,Tot_res!C:V,18,FALSE)</f>
        <v>93.303824563377958</v>
      </c>
      <c r="T229" s="179">
        <f>VLOOKUP(B229,Tot_res!C:V,19,FALSE)</f>
        <v>13.653276397415649</v>
      </c>
      <c r="U229" s="179">
        <f>VLOOKUP(B229,Tot_res!C:V,20,FALSE)</f>
        <v>7.1848128250307202</v>
      </c>
      <c r="V229" s="122">
        <f t="shared" si="39"/>
        <v>13612.063829999999</v>
      </c>
    </row>
    <row r="230" spans="1:23" ht="13.15">
      <c r="A230" s="355"/>
      <c r="B230" s="115" t="s">
        <v>230</v>
      </c>
      <c r="C230" s="333" t="str">
        <f>VLOOKUP(B230,Tot_res!C:D,2,FALSE)</f>
        <v>Ajuste por competencias atípicas forales: financiación municipios</v>
      </c>
      <c r="D230" s="179">
        <f>VLOOKUP(B230,Tot_res!C:V,3,FALSE)</f>
        <v>0</v>
      </c>
      <c r="E230" s="179">
        <f>VLOOKUP(B230,Tot_res!C:V,4,FALSE)</f>
        <v>0</v>
      </c>
      <c r="F230" s="179">
        <f>VLOOKUP(B230,Tot_res!C:V,5,FALSE)</f>
        <v>0</v>
      </c>
      <c r="G230" s="179">
        <f>VLOOKUP(B230,Tot_res!C:V,6,FALSE)</f>
        <v>0</v>
      </c>
      <c r="H230" s="179">
        <f>VLOOKUP(B230,Tot_res!C:V,7,FALSE)</f>
        <v>0</v>
      </c>
      <c r="I230" s="179">
        <f>VLOOKUP(B230,Tot_res!C:V,8,FALSE)</f>
        <v>0</v>
      </c>
      <c r="J230" s="179">
        <f>VLOOKUP(B230,Tot_res!C:V,9,FALSE)</f>
        <v>0</v>
      </c>
      <c r="K230" s="179">
        <f>VLOOKUP(B230,Tot_res!C:V,10,FALSE)</f>
        <v>0</v>
      </c>
      <c r="L230" s="179">
        <f>VLOOKUP(B230,Tot_res!C:V,11,FALSE)</f>
        <v>0</v>
      </c>
      <c r="M230" s="179">
        <f>VLOOKUP(B230,Tot_res!C:V,12,FALSE)</f>
        <v>0</v>
      </c>
      <c r="N230" s="179">
        <f>VLOOKUP(B230,Tot_res!C:V,13,FALSE)</f>
        <v>0</v>
      </c>
      <c r="O230" s="179">
        <f>VLOOKUP(B230,Tot_res!C:V,14,FALSE)</f>
        <v>0</v>
      </c>
      <c r="P230" s="179">
        <f>VLOOKUP(B230,Tot_res!C:V,15,FALSE)</f>
        <v>0</v>
      </c>
      <c r="Q230" s="179">
        <f>VLOOKUP(B230,Tot_res!C:V,16,FALSE)</f>
        <v>0</v>
      </c>
      <c r="R230" s="179">
        <f>VLOOKUP(B230,Tot_res!C:V,17,FALSE)</f>
        <v>159630.27798320827</v>
      </c>
      <c r="S230" s="179">
        <f>VLOOKUP(B230,Tot_res!C:V,18,FALSE)</f>
        <v>543805.23135014495</v>
      </c>
      <c r="T230" s="179">
        <f>VLOOKUP(B230,Tot_res!C:V,19,FALSE)</f>
        <v>0</v>
      </c>
      <c r="U230" s="179">
        <f>VLOOKUP(B230,Tot_res!C:V,20,FALSE)</f>
        <v>0</v>
      </c>
      <c r="V230" s="122">
        <f t="shared" si="39"/>
        <v>703435.50933335326</v>
      </c>
    </row>
    <row r="231" spans="1:23" ht="13.15">
      <c r="A231" s="356"/>
      <c r="B231" s="115"/>
      <c r="C231" s="102"/>
      <c r="D231" s="105"/>
      <c r="E231" s="105"/>
      <c r="F231" s="105"/>
      <c r="G231" s="105"/>
      <c r="H231" s="105"/>
      <c r="I231" s="105"/>
      <c r="J231" s="105"/>
      <c r="K231" s="105"/>
      <c r="L231" s="105"/>
      <c r="M231" s="105"/>
      <c r="N231" s="105"/>
      <c r="O231" s="105"/>
      <c r="P231" s="105"/>
      <c r="Q231" s="105"/>
      <c r="R231" s="105"/>
      <c r="S231" s="105"/>
      <c r="T231" s="105"/>
      <c r="U231" s="105"/>
      <c r="V231" s="122"/>
    </row>
    <row r="232" spans="1:23" ht="13.15">
      <c r="A232" s="356"/>
      <c r="B232" s="115"/>
      <c r="C232" s="102"/>
      <c r="D232" s="105"/>
      <c r="E232" s="105"/>
      <c r="F232" s="105"/>
      <c r="G232" s="105"/>
      <c r="H232" s="105"/>
      <c r="I232" s="105"/>
      <c r="J232" s="105"/>
      <c r="K232" s="105"/>
      <c r="L232" s="105"/>
      <c r="M232" s="105"/>
      <c r="N232" s="105"/>
      <c r="O232" s="105"/>
      <c r="P232" s="105"/>
      <c r="Q232" s="105"/>
      <c r="R232" s="105"/>
      <c r="S232" s="105"/>
      <c r="T232" s="105"/>
      <c r="U232" s="105"/>
      <c r="V232" s="122"/>
    </row>
    <row r="233" spans="1:23" ht="13.15">
      <c r="A233" s="364"/>
      <c r="B233" s="115"/>
      <c r="C233" s="128" t="s">
        <v>23</v>
      </c>
      <c r="D233" s="114">
        <f t="shared" ref="D233:U233" si="40">SUM(D234:D269)</f>
        <v>979730.85423569486</v>
      </c>
      <c r="E233" s="114">
        <f t="shared" si="40"/>
        <v>327441.91173691483</v>
      </c>
      <c r="F233" s="114">
        <f t="shared" si="40"/>
        <v>260610.02874208181</v>
      </c>
      <c r="G233" s="114">
        <f t="shared" si="40"/>
        <v>37716.673546787912</v>
      </c>
      <c r="H233" s="114">
        <f t="shared" si="40"/>
        <v>306387.4215266793</v>
      </c>
      <c r="I233" s="114">
        <f t="shared" si="40"/>
        <v>147113.02307640406</v>
      </c>
      <c r="J233" s="114">
        <f t="shared" si="40"/>
        <v>810125.11003330362</v>
      </c>
      <c r="K233" s="114">
        <f t="shared" si="40"/>
        <v>415452.11553798045</v>
      </c>
      <c r="L233" s="114">
        <f t="shared" si="40"/>
        <v>884785.15348595625</v>
      </c>
      <c r="M233" s="114">
        <f t="shared" si="40"/>
        <v>348284.65197314776</v>
      </c>
      <c r="N233" s="114">
        <f t="shared" si="40"/>
        <v>265072.28738944442</v>
      </c>
      <c r="O233" s="114">
        <f t="shared" si="40"/>
        <v>511425.7825777008</v>
      </c>
      <c r="P233" s="114">
        <f t="shared" si="40"/>
        <v>825357.23749497312</v>
      </c>
      <c r="Q233" s="114">
        <f t="shared" si="40"/>
        <v>116224.56780717101</v>
      </c>
      <c r="R233" s="114">
        <f t="shared" si="40"/>
        <v>54170.415472844572</v>
      </c>
      <c r="S233" s="114">
        <f t="shared" si="40"/>
        <v>514198.67313519277</v>
      </c>
      <c r="T233" s="114">
        <f t="shared" si="40"/>
        <v>39649.597969946153</v>
      </c>
      <c r="U233" s="114">
        <f t="shared" si="40"/>
        <v>21775.222276060704</v>
      </c>
      <c r="V233" s="126">
        <f>SUM(V234:V269)</f>
        <v>6865520.728018282</v>
      </c>
    </row>
    <row r="234" spans="1:23" ht="13.15">
      <c r="A234" s="355"/>
      <c r="B234" s="115" t="s">
        <v>253</v>
      </c>
      <c r="C234" s="333" t="str">
        <f>VLOOKUP(B234,Tot_res!C:D,2,FALSE)</f>
        <v>Gestión de recursos hídricos para el regadío</v>
      </c>
      <c r="D234" s="179">
        <f>VLOOKUP(B234,Tot_res!C:V,3,FALSE)</f>
        <v>6499.7417622826806</v>
      </c>
      <c r="E234" s="179">
        <f>VLOOKUP(B234,Tot_res!C:V,4,FALSE)</f>
        <v>11262.645052324951</v>
      </c>
      <c r="F234" s="179">
        <f>VLOOKUP(B234,Tot_res!C:V,5,FALSE)</f>
        <v>0</v>
      </c>
      <c r="G234" s="179">
        <f>VLOOKUP(B234,Tot_res!C:V,6,FALSE)</f>
        <v>643.11881288089103</v>
      </c>
      <c r="H234" s="179">
        <f>VLOOKUP(B234,Tot_res!C:V,7,FALSE)</f>
        <v>0</v>
      </c>
      <c r="I234" s="179">
        <f>VLOOKUP(B234,Tot_res!C:V,8,FALSE)</f>
        <v>0</v>
      </c>
      <c r="J234" s="179">
        <f>VLOOKUP(B234,Tot_res!C:V,9,FALSE)</f>
        <v>5896.7797732378776</v>
      </c>
      <c r="K234" s="179">
        <f>VLOOKUP(B234,Tot_res!C:V,10,FALSE)</f>
        <v>0</v>
      </c>
      <c r="L234" s="179">
        <f>VLOOKUP(B234,Tot_res!C:V,11,FALSE)</f>
        <v>6161.0344614713022</v>
      </c>
      <c r="M234" s="179">
        <f>VLOOKUP(B234,Tot_res!C:V,12,FALSE)</f>
        <v>0</v>
      </c>
      <c r="N234" s="179">
        <f>VLOOKUP(B234,Tot_res!C:V,13,FALSE)</f>
        <v>0</v>
      </c>
      <c r="O234" s="179">
        <f>VLOOKUP(B234,Tot_res!C:V,14,FALSE)</f>
        <v>0</v>
      </c>
      <c r="P234" s="179">
        <f>VLOOKUP(B234,Tot_res!C:V,15,FALSE)</f>
        <v>0</v>
      </c>
      <c r="Q234" s="179">
        <f>VLOOKUP(B234,Tot_res!C:V,16,FALSE)</f>
        <v>0</v>
      </c>
      <c r="R234" s="179">
        <f>VLOOKUP(B234,Tot_res!C:V,17,FALSE)</f>
        <v>0</v>
      </c>
      <c r="S234" s="179">
        <f>VLOOKUP(B234,Tot_res!C:V,18,FALSE)</f>
        <v>1326.7051549639962</v>
      </c>
      <c r="T234" s="179">
        <f>VLOOKUP(B234,Tot_res!C:V,19,FALSE)</f>
        <v>614.04263283829891</v>
      </c>
      <c r="U234" s="179">
        <f>VLOOKUP(B234,Tot_res!C:V,20,FALSE)</f>
        <v>0</v>
      </c>
      <c r="V234" s="122">
        <f t="shared" ref="V234:V269" si="41">SUM(D234:U234)</f>
        <v>32404.067649999997</v>
      </c>
      <c r="W234" s="105"/>
    </row>
    <row r="235" spans="1:23" ht="13.15">
      <c r="A235" s="355"/>
      <c r="B235" s="115" t="s">
        <v>254</v>
      </c>
      <c r="C235" s="333" t="str">
        <f>VLOOKUP(B235,Tot_res!C:D,2,FALSE)</f>
        <v>Subvenciones y apoyo al transporte terrestre</v>
      </c>
      <c r="D235" s="179">
        <f>VLOOKUP(B235,Tot_res!C:V,3,FALSE)</f>
        <v>62934.532443302553</v>
      </c>
      <c r="E235" s="179">
        <f>VLOOKUP(B235,Tot_res!C:V,4,FALSE)</f>
        <v>16546.092635997356</v>
      </c>
      <c r="F235" s="179">
        <f>VLOOKUP(B235,Tot_res!C:V,5,FALSE)</f>
        <v>7638.3472613477661</v>
      </c>
      <c r="G235" s="179">
        <f>VLOOKUP(B235,Tot_res!C:V,6,FALSE)</f>
        <v>1693.094306322098</v>
      </c>
      <c r="H235" s="179">
        <f>VLOOKUP(B235,Tot_res!C:V,7,FALSE)</f>
        <v>27989.7278198805</v>
      </c>
      <c r="I235" s="179">
        <f>VLOOKUP(B235,Tot_res!C:V,8,FALSE)</f>
        <v>4619.8030154146918</v>
      </c>
      <c r="J235" s="179">
        <f>VLOOKUP(B235,Tot_res!C:V,9,FALSE)</f>
        <v>12862.175775257878</v>
      </c>
      <c r="K235" s="179">
        <f>VLOOKUP(B235,Tot_res!C:V,10,FALSE)</f>
        <v>22933.123866705027</v>
      </c>
      <c r="L235" s="179">
        <f>VLOOKUP(B235,Tot_res!C:V,11,FALSE)</f>
        <v>262304.66474329296</v>
      </c>
      <c r="M235" s="179">
        <f>VLOOKUP(B235,Tot_res!C:V,12,FALSE)</f>
        <v>42780.84642014531</v>
      </c>
      <c r="N235" s="179">
        <f>VLOOKUP(B235,Tot_res!C:V,13,FALSE)</f>
        <v>4596.2125249564688</v>
      </c>
      <c r="O235" s="179">
        <f>VLOOKUP(B235,Tot_res!C:V,14,FALSE)</f>
        <v>18723.007881735699</v>
      </c>
      <c r="P235" s="179">
        <f>VLOOKUP(B235,Tot_res!C:V,15,FALSE)</f>
        <v>286372.13908085832</v>
      </c>
      <c r="Q235" s="179">
        <f>VLOOKUP(B235,Tot_res!C:V,16,FALSE)</f>
        <v>7728.5890370311063</v>
      </c>
      <c r="R235" s="179">
        <f>VLOOKUP(B235,Tot_res!C:V,17,FALSE)</f>
        <v>9269.5216794645858</v>
      </c>
      <c r="S235" s="179">
        <f>VLOOKUP(B235,Tot_res!C:V,18,FALSE)</f>
        <v>20761.701759015348</v>
      </c>
      <c r="T235" s="179">
        <f>VLOOKUP(B235,Tot_res!C:V,19,FALSE)</f>
        <v>4687.1281668943366</v>
      </c>
      <c r="U235" s="179">
        <f>VLOOKUP(B235,Tot_res!C:V,20,FALSE)</f>
        <v>543.74973237806569</v>
      </c>
      <c r="V235" s="122">
        <f t="shared" si="41"/>
        <v>814984.45814999996</v>
      </c>
      <c r="W235" s="105"/>
    </row>
    <row r="236" spans="1:23" ht="13.15">
      <c r="A236" s="355"/>
      <c r="B236" s="115" t="s">
        <v>255</v>
      </c>
      <c r="C236" s="333" t="str">
        <f>VLOOKUP(B236,Tot_res!C:D,2,FALSE)</f>
        <v>Estudios y servicios de asistencia técnica en obras públicas y urbanismo</v>
      </c>
      <c r="D236" s="179">
        <f>VLOOKUP(B236,Tot_res!C:V,3,FALSE)</f>
        <v>3589.4421843539503</v>
      </c>
      <c r="E236" s="179">
        <f>VLOOKUP(B236,Tot_res!C:V,4,FALSE)</f>
        <v>1254.6439553637003</v>
      </c>
      <c r="F236" s="179">
        <f>VLOOKUP(B236,Tot_res!C:V,5,FALSE)</f>
        <v>990.21454054060382</v>
      </c>
      <c r="G236" s="179">
        <f>VLOOKUP(B236,Tot_res!C:V,6,FALSE)</f>
        <v>165.94403552646736</v>
      </c>
      <c r="H236" s="179">
        <f>VLOOKUP(B236,Tot_res!C:V,7,FALSE)</f>
        <v>832.01012921773668</v>
      </c>
      <c r="I236" s="179">
        <f>VLOOKUP(B236,Tot_res!C:V,8,FALSE)</f>
        <v>528.29077350012187</v>
      </c>
      <c r="J236" s="179">
        <f>VLOOKUP(B236,Tot_res!C:V,9,FALSE)</f>
        <v>2989.4908628403364</v>
      </c>
      <c r="K236" s="179">
        <f>VLOOKUP(B236,Tot_res!C:V,10,FALSE)</f>
        <v>1720.1297548141092</v>
      </c>
      <c r="L236" s="179">
        <f>VLOOKUP(B236,Tot_res!C:V,11,FALSE)</f>
        <v>3102.0204550529179</v>
      </c>
      <c r="M236" s="179">
        <f>VLOOKUP(B236,Tot_res!C:V,12,FALSE)</f>
        <v>2004.4585796071344</v>
      </c>
      <c r="N236" s="179">
        <f>VLOOKUP(B236,Tot_res!C:V,13,FALSE)</f>
        <v>974.3441861390379</v>
      </c>
      <c r="O236" s="179">
        <f>VLOOKUP(B236,Tot_res!C:V,14,FALSE)</f>
        <v>1973.7842014643379</v>
      </c>
      <c r="P236" s="179">
        <f>VLOOKUP(B236,Tot_res!C:V,15,FALSE)</f>
        <v>2781.9971942256611</v>
      </c>
      <c r="Q236" s="179">
        <f>VLOOKUP(B236,Tot_res!C:V,16,FALSE)</f>
        <v>639.58221630425203</v>
      </c>
      <c r="R236" s="179">
        <f>VLOOKUP(B236,Tot_res!C:V,17,FALSE)</f>
        <v>300.78297974579152</v>
      </c>
      <c r="S236" s="179">
        <f>VLOOKUP(B236,Tot_res!C:V,18,FALSE)</f>
        <v>1339.6220140645287</v>
      </c>
      <c r="T236" s="179">
        <f>VLOOKUP(B236,Tot_res!C:V,19,FALSE)</f>
        <v>221.78530331448007</v>
      </c>
      <c r="U236" s="179">
        <f>VLOOKUP(B236,Tot_res!C:V,20,FALSE)</f>
        <v>50.39919392482966</v>
      </c>
      <c r="V236" s="122">
        <f t="shared" si="41"/>
        <v>25458.942559999996</v>
      </c>
      <c r="W236" s="105"/>
    </row>
    <row r="237" spans="1:23" ht="13.15">
      <c r="A237" s="355"/>
      <c r="B237" s="115" t="s">
        <v>256</v>
      </c>
      <c r="C237" s="333" t="str">
        <f>VLOOKUP(B237,Tot_res!C:D,2,FALSE)</f>
        <v>Dirección y servicios generales de fomento</v>
      </c>
      <c r="D237" s="179">
        <f>VLOOKUP(B237,Tot_res!C:V,3,FALSE)</f>
        <v>15708.093002358253</v>
      </c>
      <c r="E237" s="179">
        <f>VLOOKUP(B237,Tot_res!C:V,4,FALSE)</f>
        <v>3431.6488791100651</v>
      </c>
      <c r="F237" s="179">
        <f>VLOOKUP(B237,Tot_res!C:V,5,FALSE)</f>
        <v>3147.2781112828725</v>
      </c>
      <c r="G237" s="179">
        <f>VLOOKUP(B237,Tot_res!C:V,6,FALSE)</f>
        <v>1505.5228102465726</v>
      </c>
      <c r="H237" s="179">
        <f>VLOOKUP(B237,Tot_res!C:V,7,FALSE)</f>
        <v>3730.5454552235674</v>
      </c>
      <c r="I237" s="179">
        <f>VLOOKUP(B237,Tot_res!C:V,8,FALSE)</f>
        <v>1659.6937617019523</v>
      </c>
      <c r="J237" s="179">
        <f>VLOOKUP(B237,Tot_res!C:V,9,FALSE)</f>
        <v>8684.6196150882697</v>
      </c>
      <c r="K237" s="179">
        <f>VLOOKUP(B237,Tot_res!C:V,10,FALSE)</f>
        <v>5473.6187915949531</v>
      </c>
      <c r="L237" s="179">
        <f>VLOOKUP(B237,Tot_res!C:V,11,FALSE)</f>
        <v>14725.551447946664</v>
      </c>
      <c r="M237" s="179">
        <f>VLOOKUP(B237,Tot_res!C:V,12,FALSE)</f>
        <v>9292.7299665980481</v>
      </c>
      <c r="N237" s="179">
        <f>VLOOKUP(B237,Tot_res!C:V,13,FALSE)</f>
        <v>2435.6831453148802</v>
      </c>
      <c r="O237" s="179">
        <f>VLOOKUP(B237,Tot_res!C:V,14,FALSE)</f>
        <v>7256.0124795209567</v>
      </c>
      <c r="P237" s="179">
        <f>VLOOKUP(B237,Tot_res!C:V,15,FALSE)</f>
        <v>12726.788319793852</v>
      </c>
      <c r="Q237" s="179">
        <f>VLOOKUP(B237,Tot_res!C:V,16,FALSE)</f>
        <v>2490.2036834580522</v>
      </c>
      <c r="R237" s="179">
        <f>VLOOKUP(B237,Tot_res!C:V,17,FALSE)</f>
        <v>1260.5316615904912</v>
      </c>
      <c r="S237" s="179">
        <f>VLOOKUP(B237,Tot_res!C:V,18,FALSE)</f>
        <v>5153.3101260514886</v>
      </c>
      <c r="T237" s="179">
        <f>VLOOKUP(B237,Tot_res!C:V,19,FALSE)</f>
        <v>773.80730018352267</v>
      </c>
      <c r="U237" s="179">
        <f>VLOOKUP(B237,Tot_res!C:V,20,FALSE)</f>
        <v>231.0339329355395</v>
      </c>
      <c r="V237" s="122">
        <f t="shared" si="41"/>
        <v>99686.672490000012</v>
      </c>
      <c r="W237" s="105"/>
    </row>
    <row r="238" spans="1:23" ht="13.15">
      <c r="A238" s="355"/>
      <c r="B238" s="115" t="s">
        <v>756</v>
      </c>
      <c r="C238" s="333" t="str">
        <f>VLOOKUP(B238,Tot_res!C:D,2,FALSE)</f>
        <v>Dirección y Servicios Generales de Agricultura, Alimentación y Medio Ambiente</v>
      </c>
      <c r="D238" s="179">
        <f>VLOOKUP(B238,Tot_res!C:V,3,FALSE)</f>
        <v>10336.54434349256</v>
      </c>
      <c r="E238" s="179">
        <f>VLOOKUP(B238,Tot_res!C:V,4,FALSE)</f>
        <v>3705.3324588611345</v>
      </c>
      <c r="F238" s="179">
        <f>VLOOKUP(B238,Tot_res!C:V,5,FALSE)</f>
        <v>1584.2071137392711</v>
      </c>
      <c r="G238" s="179">
        <f>VLOOKUP(B238,Tot_res!C:V,6,FALSE)</f>
        <v>879.4871005279274</v>
      </c>
      <c r="H238" s="179">
        <f>VLOOKUP(B238,Tot_res!C:V,7,FALSE)</f>
        <v>2749.0616325040814</v>
      </c>
      <c r="I238" s="179">
        <f>VLOOKUP(B238,Tot_res!C:V,8,FALSE)</f>
        <v>994.13195780440412</v>
      </c>
      <c r="J238" s="179">
        <f>VLOOKUP(B238,Tot_res!C:V,9,FALSE)</f>
        <v>4541.4936918144767</v>
      </c>
      <c r="K238" s="179">
        <f>VLOOKUP(B238,Tot_res!C:V,10,FALSE)</f>
        <v>3684.9322061547264</v>
      </c>
      <c r="L238" s="179">
        <f>VLOOKUP(B238,Tot_res!C:V,11,FALSE)</f>
        <v>6339.5149006416987</v>
      </c>
      <c r="M238" s="179">
        <f>VLOOKUP(B238,Tot_res!C:V,12,FALSE)</f>
        <v>5550.2796077402199</v>
      </c>
      <c r="N238" s="179">
        <f>VLOOKUP(B238,Tot_res!C:V,13,FALSE)</f>
        <v>3853.8365949962513</v>
      </c>
      <c r="O238" s="179">
        <f>VLOOKUP(B238,Tot_res!C:V,14,FALSE)</f>
        <v>2587.1546231936004</v>
      </c>
      <c r="P238" s="179">
        <f>VLOOKUP(B238,Tot_res!C:V,15,FALSE)</f>
        <v>6067.0203189293015</v>
      </c>
      <c r="Q238" s="179">
        <f>VLOOKUP(B238,Tot_res!C:V,16,FALSE)</f>
        <v>2689.7914797140011</v>
      </c>
      <c r="R238" s="179">
        <f>VLOOKUP(B238,Tot_res!C:V,17,FALSE)</f>
        <v>791.09770843255694</v>
      </c>
      <c r="S238" s="179">
        <f>VLOOKUP(B238,Tot_res!C:V,18,FALSE)</f>
        <v>2303.8710016849768</v>
      </c>
      <c r="T238" s="179">
        <f>VLOOKUP(B238,Tot_res!C:V,19,FALSE)</f>
        <v>463.83980367345004</v>
      </c>
      <c r="U238" s="179">
        <f>VLOOKUP(B238,Tot_res!C:V,20,FALSE)</f>
        <v>312.53804504383584</v>
      </c>
      <c r="V238" s="122">
        <f t="shared" si="41"/>
        <v>59434.134588948487</v>
      </c>
      <c r="W238" s="105"/>
    </row>
    <row r="239" spans="1:23" ht="13.15">
      <c r="A239" s="355"/>
      <c r="B239" s="115" t="s">
        <v>257</v>
      </c>
      <c r="C239" s="333" t="str">
        <f>VLOOKUP(B239,Tot_res!C:D,2,FALSE)</f>
        <v>Gestión e infraestructuras del agua</v>
      </c>
      <c r="D239" s="179">
        <f>VLOOKUP(B239,Tot_res!C:V,3,FALSE)</f>
        <v>166374.8333805931</v>
      </c>
      <c r="E239" s="179">
        <f>VLOOKUP(B239,Tot_res!C:V,4,FALSE)</f>
        <v>89785.814372115798</v>
      </c>
      <c r="F239" s="179">
        <f>VLOOKUP(B239,Tot_res!C:V,5,FALSE)</f>
        <v>4677.6891132132259</v>
      </c>
      <c r="G239" s="179">
        <f>VLOOKUP(B239,Tot_res!C:V,6,FALSE)</f>
        <v>1956.0265458192473</v>
      </c>
      <c r="H239" s="179">
        <f>VLOOKUP(B239,Tot_res!C:V,7,FALSE)</f>
        <v>20244.834029649268</v>
      </c>
      <c r="I239" s="179">
        <f>VLOOKUP(B239,Tot_res!C:V,8,FALSE)</f>
        <v>2746.0348712257446</v>
      </c>
      <c r="J239" s="179">
        <f>VLOOKUP(B239,Tot_res!C:V,9,FALSE)</f>
        <v>91198.629220271163</v>
      </c>
      <c r="K239" s="179">
        <f>VLOOKUP(B239,Tot_res!C:V,10,FALSE)</f>
        <v>74463.380091658706</v>
      </c>
      <c r="L239" s="179">
        <f>VLOOKUP(B239,Tot_res!C:V,11,FALSE)</f>
        <v>32405.789237004617</v>
      </c>
      <c r="M239" s="179">
        <f>VLOOKUP(B239,Tot_res!C:V,12,FALSE)</f>
        <v>69292.521624814341</v>
      </c>
      <c r="N239" s="179">
        <f>VLOOKUP(B239,Tot_res!C:V,13,FALSE)</f>
        <v>90884.325639847026</v>
      </c>
      <c r="O239" s="179">
        <f>VLOOKUP(B239,Tot_res!C:V,14,FALSE)</f>
        <v>9873.8166169050965</v>
      </c>
      <c r="P239" s="179">
        <f>VLOOKUP(B239,Tot_res!C:V,15,FALSE)</f>
        <v>62653.933770086158</v>
      </c>
      <c r="Q239" s="179">
        <f>VLOOKUP(B239,Tot_res!C:V,16,FALSE)</f>
        <v>68564.024291477719</v>
      </c>
      <c r="R239" s="179">
        <f>VLOOKUP(B239,Tot_res!C:V,17,FALSE)</f>
        <v>13490.440738085978</v>
      </c>
      <c r="S239" s="179">
        <f>VLOOKUP(B239,Tot_res!C:V,18,FALSE)</f>
        <v>12404.627762888107</v>
      </c>
      <c r="T239" s="179">
        <f>VLOOKUP(B239,Tot_res!C:V,19,FALSE)</f>
        <v>8605.4832031526748</v>
      </c>
      <c r="U239" s="179">
        <f>VLOOKUP(B239,Tot_res!C:V,20,FALSE)</f>
        <v>6198.535161192066</v>
      </c>
      <c r="V239" s="122">
        <f t="shared" si="41"/>
        <v>825820.73967000004</v>
      </c>
      <c r="W239" s="105"/>
    </row>
    <row r="240" spans="1:23" ht="13.15">
      <c r="A240" s="355"/>
      <c r="B240" s="115" t="s">
        <v>258</v>
      </c>
      <c r="C240" s="333" t="str">
        <f>VLOOKUP(B240,Tot_res!C:D,2,FALSE)</f>
        <v>Normativa y ordenac. territorial recursos hídricos</v>
      </c>
      <c r="D240" s="179">
        <f>VLOOKUP(B240,Tot_res!C:V,3,FALSE)</f>
        <v>1454.7875320572489</v>
      </c>
      <c r="E240" s="179">
        <f>VLOOKUP(B240,Tot_res!C:V,4,FALSE)</f>
        <v>230.84140469877548</v>
      </c>
      <c r="F240" s="179">
        <f>VLOOKUP(B240,Tot_res!C:V,5,FALSE)</f>
        <v>183.97287801185789</v>
      </c>
      <c r="G240" s="179">
        <f>VLOOKUP(B240,Tot_res!C:V,6,FALSE)</f>
        <v>191.33163420151007</v>
      </c>
      <c r="H240" s="179">
        <f>VLOOKUP(B240,Tot_res!C:V,7,FALSE)</f>
        <v>364.80618128363153</v>
      </c>
      <c r="I240" s="179">
        <f>VLOOKUP(B240,Tot_res!C:V,8,FALSE)</f>
        <v>101.97001546049395</v>
      </c>
      <c r="J240" s="179">
        <f>VLOOKUP(B240,Tot_res!C:V,9,FALSE)</f>
        <v>433.14392989943445</v>
      </c>
      <c r="K240" s="179">
        <f>VLOOKUP(B240,Tot_res!C:V,10,FALSE)</f>
        <v>361.01559480105755</v>
      </c>
      <c r="L240" s="179">
        <f>VLOOKUP(B240,Tot_res!C:V,11,FALSE)</f>
        <v>1301.8984997078589</v>
      </c>
      <c r="M240" s="179">
        <f>VLOOKUP(B240,Tot_res!C:V,12,FALSE)</f>
        <v>874.00369208556936</v>
      </c>
      <c r="N240" s="179">
        <f>VLOOKUP(B240,Tot_res!C:V,13,FALSE)</f>
        <v>190.34004407230992</v>
      </c>
      <c r="O240" s="179">
        <f>VLOOKUP(B240,Tot_res!C:V,14,FALSE)</f>
        <v>476.32906203325001</v>
      </c>
      <c r="P240" s="179">
        <f>VLOOKUP(B240,Tot_res!C:V,15,FALSE)</f>
        <v>1118.5612586089612</v>
      </c>
      <c r="Q240" s="179">
        <f>VLOOKUP(B240,Tot_res!C:V,16,FALSE)</f>
        <v>253.84595019443194</v>
      </c>
      <c r="R240" s="179">
        <f>VLOOKUP(B240,Tot_res!C:V,17,FALSE)</f>
        <v>111.01551137514798</v>
      </c>
      <c r="S240" s="179">
        <f>VLOOKUP(B240,Tot_res!C:V,18,FALSE)</f>
        <v>378.38206938265381</v>
      </c>
      <c r="T240" s="179">
        <f>VLOOKUP(B240,Tot_res!C:V,19,FALSE)</f>
        <v>55.369166283192314</v>
      </c>
      <c r="U240" s="179">
        <f>VLOOKUP(B240,Tot_res!C:V,20,FALSE)</f>
        <v>29.137115842614833</v>
      </c>
      <c r="V240" s="122">
        <f t="shared" si="41"/>
        <v>8110.7515399999993</v>
      </c>
      <c r="W240" s="105"/>
    </row>
    <row r="241" spans="1:23" ht="13.15">
      <c r="A241" s="355"/>
      <c r="B241" s="115" t="s">
        <v>259</v>
      </c>
      <c r="C241" s="333" t="str">
        <f>VLOOKUP(B241,Tot_res!C:D,2,FALSE)</f>
        <v>Infraestructura del transporte ferroviario + AF10 (no se ha hecho)</v>
      </c>
      <c r="D241" s="179">
        <f>VLOOKUP(B241,Tot_res!C:V,3,FALSE)</f>
        <v>51689.011186552772</v>
      </c>
      <c r="E241" s="179">
        <f>VLOOKUP(B241,Tot_res!C:V,4,FALSE)</f>
        <v>2810.0469066473925</v>
      </c>
      <c r="F241" s="179">
        <f>VLOOKUP(B241,Tot_res!C:V,5,FALSE)</f>
        <v>3672.4579381825492</v>
      </c>
      <c r="G241" s="179">
        <f>VLOOKUP(B241,Tot_res!C:V,6,FALSE)</f>
        <v>4050.5955019128505</v>
      </c>
      <c r="H241" s="179">
        <f>VLOOKUP(B241,Tot_res!C:V,7,FALSE)</f>
        <v>14567.764781615519</v>
      </c>
      <c r="I241" s="179">
        <f>VLOOKUP(B241,Tot_res!C:V,8,FALSE)</f>
        <v>1115.2112796616082</v>
      </c>
      <c r="J241" s="179">
        <f>VLOOKUP(B241,Tot_res!C:V,9,FALSE)</f>
        <v>4153.7645264071598</v>
      </c>
      <c r="K241" s="179">
        <f>VLOOKUP(B241,Tot_res!C:V,10,FALSE)</f>
        <v>3340.4968116565992</v>
      </c>
      <c r="L241" s="179">
        <f>VLOOKUP(B241,Tot_res!C:V,11,FALSE)</f>
        <v>14148.427869870789</v>
      </c>
      <c r="M241" s="179">
        <f>VLOOKUP(B241,Tot_res!C:V,12,FALSE)</f>
        <v>6267.5744271164822</v>
      </c>
      <c r="N241" s="179">
        <f>VLOOKUP(B241,Tot_res!C:V,13,FALSE)</f>
        <v>8770.9926498983605</v>
      </c>
      <c r="O241" s="179">
        <f>VLOOKUP(B241,Tot_res!C:V,14,FALSE)</f>
        <v>4404.5209692561402</v>
      </c>
      <c r="P241" s="179">
        <f>VLOOKUP(B241,Tot_res!C:V,15,FALSE)</f>
        <v>34934.407837830928</v>
      </c>
      <c r="Q241" s="179">
        <f>VLOOKUP(B241,Tot_res!C:V,16,FALSE)</f>
        <v>1904.4590333150504</v>
      </c>
      <c r="R241" s="179">
        <f>VLOOKUP(B241,Tot_res!C:V,17,FALSE)</f>
        <v>804.77868461434196</v>
      </c>
      <c r="S241" s="179">
        <f>VLOOKUP(B241,Tot_res!C:V,18,FALSE)</f>
        <v>2080.0845768939948</v>
      </c>
      <c r="T241" s="179">
        <f>VLOOKUP(B241,Tot_res!C:V,19,FALSE)</f>
        <v>176.44737654276801</v>
      </c>
      <c r="U241" s="179">
        <f>VLOOKUP(B241,Tot_res!C:V,20,FALSE)</f>
        <v>39.16377202470084</v>
      </c>
      <c r="V241" s="122">
        <f t="shared" si="41"/>
        <v>158930.20613000001</v>
      </c>
      <c r="W241" s="105"/>
    </row>
    <row r="242" spans="1:23" ht="13.15">
      <c r="A242" s="355"/>
      <c r="B242" s="115" t="s">
        <v>260</v>
      </c>
      <c r="C242" s="333" t="str">
        <f>VLOOKUP(B242,Tot_res!C:D,2,FALSE)</f>
        <v>Creación de infraestructura de carreteras + AF06/1</v>
      </c>
      <c r="D242" s="179">
        <f>VLOOKUP(B242,Tot_res!C:V,3,FALSE)</f>
        <v>339775.81814766413</v>
      </c>
      <c r="E242" s="179">
        <f>VLOOKUP(B242,Tot_res!C:V,4,FALSE)</f>
        <v>121031.7160380516</v>
      </c>
      <c r="F242" s="179">
        <f>VLOOKUP(B242,Tot_res!C:V,5,FALSE)</f>
        <v>119755.76938521487</v>
      </c>
      <c r="G242" s="179">
        <f>VLOOKUP(B242,Tot_res!C:V,6,FALSE)</f>
        <v>2994.2706534000836</v>
      </c>
      <c r="H242" s="179">
        <f>VLOOKUP(B242,Tot_res!C:V,7,FALSE)</f>
        <v>56497.220231967141</v>
      </c>
      <c r="I242" s="179">
        <f>VLOOKUP(B242,Tot_res!C:V,8,FALSE)</f>
        <v>54841.545892478352</v>
      </c>
      <c r="J242" s="179">
        <f>VLOOKUP(B242,Tot_res!C:V,9,FALSE)</f>
        <v>200122.27128273415</v>
      </c>
      <c r="K242" s="179">
        <f>VLOOKUP(B242,Tot_res!C:V,10,FALSE)</f>
        <v>95654.408173128322</v>
      </c>
      <c r="L242" s="179">
        <f>VLOOKUP(B242,Tot_res!C:V,11,FALSE)</f>
        <v>193080.32773488649</v>
      </c>
      <c r="M242" s="179">
        <f>VLOOKUP(B242,Tot_res!C:V,12,FALSE)</f>
        <v>98818.7803984825</v>
      </c>
      <c r="N242" s="179">
        <f>VLOOKUP(B242,Tot_res!C:V,13,FALSE)</f>
        <v>21253.760046868578</v>
      </c>
      <c r="O242" s="179">
        <f>VLOOKUP(B242,Tot_res!C:V,14,FALSE)</f>
        <v>156415.4666444266</v>
      </c>
      <c r="P242" s="179">
        <f>VLOOKUP(B242,Tot_res!C:V,15,FALSE)</f>
        <v>70254.39482876219</v>
      </c>
      <c r="Q242" s="179">
        <f>VLOOKUP(B242,Tot_res!C:V,16,FALSE)</f>
        <v>32827.00847021379</v>
      </c>
      <c r="R242" s="179">
        <f>VLOOKUP(B242,Tot_res!C:V,17,FALSE)</f>
        <v>26683.779152375864</v>
      </c>
      <c r="S242" s="179">
        <f>VLOOKUP(B242,Tot_res!C:V,18,FALSE)</f>
        <v>83380.693026438923</v>
      </c>
      <c r="T242" s="179">
        <f>VLOOKUP(B242,Tot_res!C:V,19,FALSE)</f>
        <v>34678.898307174328</v>
      </c>
      <c r="U242" s="179">
        <f>VLOOKUP(B242,Tot_res!C:V,20,FALSE)</f>
        <v>1219.9981013946494</v>
      </c>
      <c r="V242" s="122">
        <f t="shared" si="41"/>
        <v>1709286.1265156623</v>
      </c>
      <c r="W242" s="105"/>
    </row>
    <row r="243" spans="1:23" ht="13.15">
      <c r="A243" s="355"/>
      <c r="B243" s="115" t="s">
        <v>262</v>
      </c>
      <c r="C243" s="333" t="str">
        <f>VLOOKUP(B243,Tot_res!C:D,2,FALSE)</f>
        <v>Conservación y explotación de carreteras + AF07</v>
      </c>
      <c r="D243" s="179">
        <f>VLOOKUP(B243,Tot_res!C:V,3,FALSE)</f>
        <v>121971.11307766869</v>
      </c>
      <c r="E243" s="179">
        <f>VLOOKUP(B243,Tot_res!C:V,4,FALSE)</f>
        <v>94410.293238697865</v>
      </c>
      <c r="F243" s="179">
        <f>VLOOKUP(B243,Tot_res!C:V,5,FALSE)</f>
        <v>29376.210120433756</v>
      </c>
      <c r="G243" s="179">
        <f>VLOOKUP(B243,Tot_res!C:V,6,FALSE)</f>
        <v>1850.8208651764874</v>
      </c>
      <c r="H243" s="179">
        <f>VLOOKUP(B243,Tot_res!C:V,7,FALSE)</f>
        <v>4168.8505290114945</v>
      </c>
      <c r="I243" s="179">
        <f>VLOOKUP(B243,Tot_res!C:V,8,FALSE)</f>
        <v>30071.498638823537</v>
      </c>
      <c r="J243" s="179">
        <f>VLOOKUP(B243,Tot_res!C:V,9,FALSE)</f>
        <v>162624.29884055193</v>
      </c>
      <c r="K243" s="179">
        <f>VLOOKUP(B243,Tot_res!C:V,10,FALSE)</f>
        <v>142400.4950135416</v>
      </c>
      <c r="L243" s="179">
        <f>VLOOKUP(B243,Tot_res!C:V,11,FALSE)</f>
        <v>77702.121881655985</v>
      </c>
      <c r="M243" s="179">
        <f>VLOOKUP(B243,Tot_res!C:V,12,FALSE)</f>
        <v>74665.911526502867</v>
      </c>
      <c r="N243" s="179">
        <f>VLOOKUP(B243,Tot_res!C:V,13,FALSE)</f>
        <v>26725.943346357824</v>
      </c>
      <c r="O243" s="179">
        <f>VLOOKUP(B243,Tot_res!C:V,14,FALSE)</f>
        <v>64836.573053348278</v>
      </c>
      <c r="P243" s="179">
        <f>VLOOKUP(B243,Tot_res!C:V,15,FALSE)</f>
        <v>110156.39111418308</v>
      </c>
      <c r="Q243" s="179">
        <f>VLOOKUP(B243,Tot_res!C:V,16,FALSE)</f>
        <v>33234.057123954299</v>
      </c>
      <c r="R243" s="179">
        <f>VLOOKUP(B243,Tot_res!C:V,17,FALSE)</f>
        <v>17380.128433420679</v>
      </c>
      <c r="S243" s="179">
        <f>VLOOKUP(B243,Tot_res!C:V,18,FALSE)</f>
        <v>54562.898489345142</v>
      </c>
      <c r="T243" s="179">
        <f>VLOOKUP(B243,Tot_res!C:V,19,FALSE)</f>
        <v>9048.2343796903169</v>
      </c>
      <c r="U243" s="179">
        <f>VLOOKUP(B243,Tot_res!C:V,20,FALSE)</f>
        <v>1556.5940163689286</v>
      </c>
      <c r="V243" s="122">
        <f t="shared" si="41"/>
        <v>1056742.4336887328</v>
      </c>
      <c r="W243" s="105"/>
    </row>
    <row r="244" spans="1:23" ht="13.15">
      <c r="A244" s="355"/>
      <c r="B244" s="115" t="s">
        <v>264</v>
      </c>
      <c r="C244" s="333" t="str">
        <f>VLOOKUP(B244,Tot_res!C:D,2,FALSE)</f>
        <v>Ordenac. e inspección del transporte terrestre</v>
      </c>
      <c r="D244" s="179">
        <f>VLOOKUP(B244,Tot_res!C:V,3,FALSE)</f>
        <v>2712.1984156706244</v>
      </c>
      <c r="E244" s="179">
        <f>VLOOKUP(B244,Tot_res!C:V,4,FALSE)</f>
        <v>683.43113052371905</v>
      </c>
      <c r="F244" s="179">
        <f>VLOOKUP(B244,Tot_res!C:V,5,FALSE)</f>
        <v>619.40820447247052</v>
      </c>
      <c r="G244" s="179">
        <f>VLOOKUP(B244,Tot_res!C:V,6,FALSE)</f>
        <v>275.14079972223851</v>
      </c>
      <c r="H244" s="179">
        <f>VLOOKUP(B244,Tot_res!C:V,7,FALSE)</f>
        <v>377.88401746439428</v>
      </c>
      <c r="I244" s="179">
        <f>VLOOKUP(B244,Tot_res!C:V,8,FALSE)</f>
        <v>352.43644181524542</v>
      </c>
      <c r="J244" s="179">
        <f>VLOOKUP(B244,Tot_res!C:V,9,FALSE)</f>
        <v>1601.6444822630779</v>
      </c>
      <c r="K244" s="179">
        <f>VLOOKUP(B244,Tot_res!C:V,10,FALSE)</f>
        <v>926.2167692631682</v>
      </c>
      <c r="L244" s="179">
        <f>VLOOKUP(B244,Tot_res!C:V,11,FALSE)</f>
        <v>4673.5215063119376</v>
      </c>
      <c r="M244" s="179">
        <f>VLOOKUP(B244,Tot_res!C:V,12,FALSE)</f>
        <v>1592.1487073969579</v>
      </c>
      <c r="N244" s="179">
        <f>VLOOKUP(B244,Tot_res!C:V,13,FALSE)</f>
        <v>671.43956798388922</v>
      </c>
      <c r="O244" s="179">
        <f>VLOOKUP(B244,Tot_res!C:V,14,FALSE)</f>
        <v>1296.8842551871207</v>
      </c>
      <c r="P244" s="179">
        <f>VLOOKUP(B244,Tot_res!C:V,15,FALSE)</f>
        <v>2983.7396419450038</v>
      </c>
      <c r="Q244" s="179">
        <f>VLOOKUP(B244,Tot_res!C:V,16,FALSE)</f>
        <v>724.08371293870641</v>
      </c>
      <c r="R244" s="179">
        <f>VLOOKUP(B244,Tot_res!C:V,17,FALSE)</f>
        <v>571.24007741821958</v>
      </c>
      <c r="S244" s="179">
        <f>VLOOKUP(B244,Tot_res!C:V,18,FALSE)</f>
        <v>1518.8515169977509</v>
      </c>
      <c r="T244" s="179">
        <f>VLOOKUP(B244,Tot_res!C:V,19,FALSE)</f>
        <v>375.9430142497929</v>
      </c>
      <c r="U244" s="179">
        <f>VLOOKUP(B244,Tot_res!C:V,20,FALSE)</f>
        <v>24.467058375687355</v>
      </c>
      <c r="V244" s="122">
        <f t="shared" si="41"/>
        <v>21980.679320000007</v>
      </c>
      <c r="W244" s="105"/>
    </row>
    <row r="245" spans="1:23" ht="13.15">
      <c r="A245" s="355"/>
      <c r="B245" s="115" t="s">
        <v>265</v>
      </c>
      <c r="C245" s="333" t="str">
        <f>VLOOKUP(B245,Tot_res!C:D,2,FALSE)</f>
        <v>Seguridad tráfico marítimo y vigilancia costera</v>
      </c>
      <c r="D245" s="179">
        <f>VLOOKUP(B245,Tot_res!C:V,3,FALSE)</f>
        <v>6266.6633790134829</v>
      </c>
      <c r="E245" s="179">
        <f>VLOOKUP(B245,Tot_res!C:V,4,FALSE)</f>
        <v>2219.5267457032692</v>
      </c>
      <c r="F245" s="179">
        <f>VLOOKUP(B245,Tot_res!C:V,5,FALSE)</f>
        <v>947.13863703712707</v>
      </c>
      <c r="G245" s="179">
        <f>VLOOKUP(B245,Tot_res!C:V,6,FALSE)</f>
        <v>807.0001554430977</v>
      </c>
      <c r="H245" s="179">
        <f>VLOOKUP(B245,Tot_res!C:V,7,FALSE)</f>
        <v>2436.9497796730443</v>
      </c>
      <c r="I245" s="179">
        <f>VLOOKUP(B245,Tot_res!C:V,8,FALSE)</f>
        <v>706.98052460808583</v>
      </c>
      <c r="J245" s="179">
        <f>VLOOKUP(B245,Tot_res!C:V,9,FALSE)</f>
        <v>2862.0362996682647</v>
      </c>
      <c r="K245" s="179">
        <f>VLOOKUP(B245,Tot_res!C:V,10,FALSE)</f>
        <v>1999.8604123660016</v>
      </c>
      <c r="L245" s="179">
        <f>VLOOKUP(B245,Tot_res!C:V,11,FALSE)</f>
        <v>9016.9834329440273</v>
      </c>
      <c r="M245" s="179">
        <f>VLOOKUP(B245,Tot_res!C:V,12,FALSE)</f>
        <v>4230.5383058216621</v>
      </c>
      <c r="N245" s="179">
        <f>VLOOKUP(B245,Tot_res!C:V,13,FALSE)</f>
        <v>652.17822717921285</v>
      </c>
      <c r="O245" s="179">
        <f>VLOOKUP(B245,Tot_res!C:V,14,FALSE)</f>
        <v>2512.1165696411854</v>
      </c>
      <c r="P245" s="179">
        <f>VLOOKUP(B245,Tot_res!C:V,15,FALSE)</f>
        <v>6272.7294051346798</v>
      </c>
      <c r="Q245" s="179">
        <f>VLOOKUP(B245,Tot_res!C:V,16,FALSE)</f>
        <v>1842.5965306864296</v>
      </c>
      <c r="R245" s="179">
        <f>VLOOKUP(B245,Tot_res!C:V,17,FALSE)</f>
        <v>1317.2660200793546</v>
      </c>
      <c r="S245" s="179">
        <f>VLOOKUP(B245,Tot_res!C:V,18,FALSE)</f>
        <v>2871.0242682849753</v>
      </c>
      <c r="T245" s="179">
        <f>VLOOKUP(B245,Tot_res!C:V,19,FALSE)</f>
        <v>552.02623176574707</v>
      </c>
      <c r="U245" s="179">
        <f>VLOOKUP(B245,Tot_res!C:V,20,FALSE)</f>
        <v>283.32153495034544</v>
      </c>
      <c r="V245" s="122">
        <f t="shared" si="41"/>
        <v>47796.936459999997</v>
      </c>
      <c r="W245" s="105"/>
    </row>
    <row r="246" spans="1:23" ht="13.15">
      <c r="A246" s="355"/>
      <c r="B246" s="115" t="s">
        <v>266</v>
      </c>
      <c r="C246" s="333" t="str">
        <f>VLOOKUP(B246,Tot_res!C:D,2,FALSE)</f>
        <v>Regulación y supervisción de la aviación civil</v>
      </c>
      <c r="D246" s="179">
        <f>VLOOKUP(B246,Tot_res!C:V,3,FALSE)</f>
        <v>8259.0951128095367</v>
      </c>
      <c r="E246" s="179">
        <f>VLOOKUP(B246,Tot_res!C:V,4,FALSE)</f>
        <v>1479.2982769790881</v>
      </c>
      <c r="F246" s="179">
        <f>VLOOKUP(B246,Tot_res!C:V,5,FALSE)</f>
        <v>1201.5993592719813</v>
      </c>
      <c r="G246" s="179">
        <f>VLOOKUP(B246,Tot_res!C:V,6,FALSE)</f>
        <v>1950.6085299787835</v>
      </c>
      <c r="H246" s="179">
        <f>VLOOKUP(B246,Tot_res!C:V,7,FALSE)</f>
        <v>3059.4321305215703</v>
      </c>
      <c r="I246" s="179">
        <f>VLOOKUP(B246,Tot_res!C:V,8,FALSE)</f>
        <v>671.35384462658055</v>
      </c>
      <c r="J246" s="179">
        <f>VLOOKUP(B246,Tot_res!C:V,9,FALSE)</f>
        <v>2337.315634744959</v>
      </c>
      <c r="K246" s="179">
        <f>VLOOKUP(B246,Tot_res!C:V,10,FALSE)</f>
        <v>2154.5623739969701</v>
      </c>
      <c r="L246" s="179">
        <f>VLOOKUP(B246,Tot_res!C:V,11,FALSE)</f>
        <v>9502.0179163080356</v>
      </c>
      <c r="M246" s="179">
        <f>VLOOKUP(B246,Tot_res!C:V,12,FALSE)</f>
        <v>5320.3655277993494</v>
      </c>
      <c r="N246" s="179">
        <f>VLOOKUP(B246,Tot_res!C:V,13,FALSE)</f>
        <v>1020.4703112953869</v>
      </c>
      <c r="O246" s="179">
        <f>VLOOKUP(B246,Tot_res!C:V,14,FALSE)</f>
        <v>2783.053131729695</v>
      </c>
      <c r="P246" s="179">
        <f>VLOOKUP(B246,Tot_res!C:V,15,FALSE)</f>
        <v>8061.3795838132201</v>
      </c>
      <c r="Q246" s="179">
        <f>VLOOKUP(B246,Tot_res!C:V,16,FALSE)</f>
        <v>1482.9120189931336</v>
      </c>
      <c r="R246" s="179">
        <f>VLOOKUP(B246,Tot_res!C:V,17,FALSE)</f>
        <v>728.64335944675747</v>
      </c>
      <c r="S246" s="179">
        <f>VLOOKUP(B246,Tot_res!C:V,18,FALSE)</f>
        <v>2563.0150970819604</v>
      </c>
      <c r="T246" s="179">
        <f>VLOOKUP(B246,Tot_res!C:V,19,FALSE)</f>
        <v>335.33705727648965</v>
      </c>
      <c r="U246" s="179">
        <f>VLOOKUP(B246,Tot_res!C:V,20,FALSE)</f>
        <v>201.39139332650683</v>
      </c>
      <c r="V246" s="122">
        <f t="shared" si="41"/>
        <v>53111.850660000004</v>
      </c>
      <c r="W246" s="105"/>
    </row>
    <row r="247" spans="1:23" ht="13.15">
      <c r="A247" s="355"/>
      <c r="B247" s="115" t="s">
        <v>267</v>
      </c>
      <c r="C247" s="333" t="str">
        <f>VLOOKUP(B247,Tot_res!C:D,2,FALSE)</f>
        <v>Calidad del agua</v>
      </c>
      <c r="D247" s="179">
        <f>VLOOKUP(B247,Tot_res!C:V,3,FALSE)</f>
        <v>5931.9094803174412</v>
      </c>
      <c r="E247" s="179">
        <f>VLOOKUP(B247,Tot_res!C:V,4,FALSE)</f>
        <v>13581.875901612433</v>
      </c>
      <c r="F247" s="179">
        <f>VLOOKUP(B247,Tot_res!C:V,5,FALSE)</f>
        <v>24994.735343906257</v>
      </c>
      <c r="G247" s="179">
        <f>VLOOKUP(B247,Tot_res!C:V,6,FALSE)</f>
        <v>0</v>
      </c>
      <c r="H247" s="179">
        <f>VLOOKUP(B247,Tot_res!C:V,7,FALSE)</f>
        <v>7999.5224994761465</v>
      </c>
      <c r="I247" s="179">
        <f>VLOOKUP(B247,Tot_res!C:V,8,FALSE)</f>
        <v>20876.281351610029</v>
      </c>
      <c r="J247" s="179">
        <f>VLOOKUP(B247,Tot_res!C:V,9,FALSE)</f>
        <v>915.47931284397146</v>
      </c>
      <c r="K247" s="179">
        <f>VLOOKUP(B247,Tot_res!C:V,10,FALSE)</f>
        <v>300.36841858759567</v>
      </c>
      <c r="L247" s="179">
        <f>VLOOKUP(B247,Tot_res!C:V,11,FALSE)</f>
        <v>357.01942821797684</v>
      </c>
      <c r="M247" s="179">
        <f>VLOOKUP(B247,Tot_res!C:V,12,FALSE)</f>
        <v>114.97230922090019</v>
      </c>
      <c r="N247" s="179">
        <f>VLOOKUP(B247,Tot_res!C:V,13,FALSE)</f>
        <v>31950.884934270609</v>
      </c>
      <c r="O247" s="179">
        <f>VLOOKUP(B247,Tot_res!C:V,14,FALSE)</f>
        <v>9976.345282222419</v>
      </c>
      <c r="P247" s="179">
        <f>VLOOKUP(B247,Tot_res!C:V,15,FALSE)</f>
        <v>419.02719277583361</v>
      </c>
      <c r="Q247" s="179">
        <f>VLOOKUP(B247,Tot_res!C:V,16,FALSE)</f>
        <v>14.987503872923996</v>
      </c>
      <c r="R247" s="179">
        <f>VLOOKUP(B247,Tot_res!C:V,17,FALSE)</f>
        <v>134.97522970242545</v>
      </c>
      <c r="S247" s="179">
        <f>VLOOKUP(B247,Tot_res!C:V,18,FALSE)</f>
        <v>14140.178875450682</v>
      </c>
      <c r="T247" s="179">
        <f>VLOOKUP(B247,Tot_res!C:V,19,FALSE)</f>
        <v>99.08701423993098</v>
      </c>
      <c r="U247" s="179">
        <f>VLOOKUP(B247,Tot_res!C:V,20,FALSE)</f>
        <v>2092.2923816724388</v>
      </c>
      <c r="V247" s="122">
        <f t="shared" si="41"/>
        <v>133899.94246000002</v>
      </c>
      <c r="W247" s="105"/>
    </row>
    <row r="248" spans="1:23" ht="13.15">
      <c r="A248" s="355"/>
      <c r="B248" s="115" t="s">
        <v>269</v>
      </c>
      <c r="C248" s="333" t="str">
        <f>VLOOKUP(B248,Tot_res!C:D,2,FALSE)</f>
        <v>Protección y mejora del medio ambiente</v>
      </c>
      <c r="D248" s="179">
        <f>VLOOKUP(B248,Tot_res!C:V,3,FALSE)</f>
        <v>2421.6716482446109</v>
      </c>
      <c r="E248" s="179">
        <f>VLOOKUP(B248,Tot_res!C:V,4,FALSE)</f>
        <v>351.38109558876795</v>
      </c>
      <c r="F248" s="179">
        <f>VLOOKUP(B248,Tot_res!C:V,5,FALSE)</f>
        <v>280.03897965696399</v>
      </c>
      <c r="G248" s="179">
        <f>VLOOKUP(B248,Tot_res!C:V,6,FALSE)</f>
        <v>291.24029692266305</v>
      </c>
      <c r="H248" s="179">
        <f>VLOOKUP(B248,Tot_res!C:V,7,FALSE)</f>
        <v>555.29897604057123</v>
      </c>
      <c r="I248" s="179">
        <f>VLOOKUP(B248,Tot_res!C:V,8,FALSE)</f>
        <v>155.2162437950285</v>
      </c>
      <c r="J248" s="179">
        <f>VLOOKUP(B248,Tot_res!C:V,9,FALSE)</f>
        <v>659.3210123387156</v>
      </c>
      <c r="K248" s="179">
        <f>VLOOKUP(B248,Tot_res!C:V,10,FALSE)</f>
        <v>549.52903874137291</v>
      </c>
      <c r="L248" s="179">
        <f>VLOOKUP(B248,Tot_res!C:V,11,FALSE)</f>
        <v>2011.7178021839832</v>
      </c>
      <c r="M248" s="179">
        <f>VLOOKUP(B248,Tot_res!C:V,12,FALSE)</f>
        <v>1330.3868743755077</v>
      </c>
      <c r="N248" s="179">
        <f>VLOOKUP(B248,Tot_res!C:V,13,FALSE)</f>
        <v>289.7309228724227</v>
      </c>
      <c r="O248" s="179">
        <f>VLOOKUP(B248,Tot_res!C:V,14,FALSE)</f>
        <v>725.05635588389498</v>
      </c>
      <c r="P248" s="179">
        <f>VLOOKUP(B248,Tot_res!C:V,15,FALSE)</f>
        <v>1835.2877833663674</v>
      </c>
      <c r="Q248" s="179">
        <f>VLOOKUP(B248,Tot_res!C:V,16,FALSE)</f>
        <v>386.39804764004049</v>
      </c>
      <c r="R248" s="179">
        <f>VLOOKUP(B248,Tot_res!C:V,17,FALSE)</f>
        <v>168.9850746890458</v>
      </c>
      <c r="S248" s="179">
        <f>VLOOKUP(B248,Tot_res!C:V,18,FALSE)</f>
        <v>575.9638582355559</v>
      </c>
      <c r="T248" s="179">
        <f>VLOOKUP(B248,Tot_res!C:V,19,FALSE)</f>
        <v>84.281579969643929</v>
      </c>
      <c r="U248" s="179">
        <f>VLOOKUP(B248,Tot_res!C:V,20,FALSE)</f>
        <v>44.351799454845185</v>
      </c>
      <c r="V248" s="122">
        <f t="shared" si="41"/>
        <v>12715.857390000003</v>
      </c>
      <c r="W248" s="105"/>
    </row>
    <row r="249" spans="1:23" ht="13.15">
      <c r="A249" s="355"/>
      <c r="B249" s="115" t="s">
        <v>271</v>
      </c>
      <c r="C249" s="333" t="str">
        <f>VLOOKUP(B249,Tot_res!C:D,2,FALSE)</f>
        <v>Protección y mejora del medio natural + AF09</v>
      </c>
      <c r="D249" s="179">
        <f>VLOOKUP(B249,Tot_res!C:V,3,FALSE)</f>
        <v>20560.566434493048</v>
      </c>
      <c r="E249" s="179">
        <f>VLOOKUP(B249,Tot_res!C:V,4,FALSE)</f>
        <v>6083.7397230250062</v>
      </c>
      <c r="F249" s="179">
        <f>VLOOKUP(B249,Tot_res!C:V,5,FALSE)</f>
        <v>6981.5447835236482</v>
      </c>
      <c r="G249" s="179">
        <f>VLOOKUP(B249,Tot_res!C:V,6,FALSE)</f>
        <v>2349.5610406339574</v>
      </c>
      <c r="H249" s="179">
        <f>VLOOKUP(B249,Tot_res!C:V,7,FALSE)</f>
        <v>9457.8490513275519</v>
      </c>
      <c r="I249" s="179">
        <f>VLOOKUP(B249,Tot_res!C:V,8,FALSE)</f>
        <v>1351.8748114949399</v>
      </c>
      <c r="J249" s="179">
        <f>VLOOKUP(B249,Tot_res!C:V,9,FALSE)</f>
        <v>25383.474251088635</v>
      </c>
      <c r="K249" s="179">
        <f>VLOOKUP(B249,Tot_res!C:V,10,FALSE)</f>
        <v>23845.603191560527</v>
      </c>
      <c r="L249" s="179">
        <f>VLOOKUP(B249,Tot_res!C:V,11,FALSE)</f>
        <v>15140.77124336194</v>
      </c>
      <c r="M249" s="179">
        <f>VLOOKUP(B249,Tot_res!C:V,12,FALSE)</f>
        <v>11430.144180377943</v>
      </c>
      <c r="N249" s="179">
        <f>VLOOKUP(B249,Tot_res!C:V,13,FALSE)</f>
        <v>10962.350526466229</v>
      </c>
      <c r="O249" s="179">
        <f>VLOOKUP(B249,Tot_res!C:V,14,FALSE)</f>
        <v>9078.2226593191808</v>
      </c>
      <c r="P249" s="179">
        <f>VLOOKUP(B249,Tot_res!C:V,15,FALSE)</f>
        <v>12676.874108689361</v>
      </c>
      <c r="Q249" s="179">
        <f>VLOOKUP(B249,Tot_res!C:V,16,FALSE)</f>
        <v>3834.1211379331698</v>
      </c>
      <c r="R249" s="179">
        <f>VLOOKUP(B249,Tot_res!C:V,17,FALSE)</f>
        <v>2007.5236069231828</v>
      </c>
      <c r="S249" s="179">
        <f>VLOOKUP(B249,Tot_res!C:V,18,FALSE)</f>
        <v>6904.7552212841829</v>
      </c>
      <c r="T249" s="179">
        <f>VLOOKUP(B249,Tot_res!C:V,19,FALSE)</f>
        <v>1452.7449108187714</v>
      </c>
      <c r="U249" s="179">
        <f>VLOOKUP(B249,Tot_res!C:V,20,FALSE)</f>
        <v>250.85222802415956</v>
      </c>
      <c r="V249" s="122">
        <f t="shared" si="41"/>
        <v>169752.5731103454</v>
      </c>
      <c r="W249" s="105"/>
    </row>
    <row r="250" spans="1:23" ht="13.15">
      <c r="A250" s="355"/>
      <c r="B250" s="115" t="s">
        <v>273</v>
      </c>
      <c r="C250" s="333" t="str">
        <f>VLOOKUP(B250,Tot_res!C:D,2,FALSE)</f>
        <v>Actuación en la costa</v>
      </c>
      <c r="D250" s="179">
        <f>VLOOKUP(B250,Tot_res!C:V,3,FALSE)</f>
        <v>7467.4919842086438</v>
      </c>
      <c r="E250" s="179">
        <f>VLOOKUP(B250,Tot_res!C:V,4,FALSE)</f>
        <v>521.354324824174</v>
      </c>
      <c r="F250" s="179">
        <f>VLOOKUP(B250,Tot_res!C:V,5,FALSE)</f>
        <v>1385.2717770210729</v>
      </c>
      <c r="G250" s="179">
        <f>VLOOKUP(B250,Tot_res!C:V,6,FALSE)</f>
        <v>1740.2562967937472</v>
      </c>
      <c r="H250" s="179">
        <f>VLOOKUP(B250,Tot_res!C:V,7,FALSE)</f>
        <v>20937.112222471402</v>
      </c>
      <c r="I250" s="179">
        <f>VLOOKUP(B250,Tot_res!C:V,8,FALSE)</f>
        <v>1076.661898329734</v>
      </c>
      <c r="J250" s="179">
        <f>VLOOKUP(B250,Tot_res!C:V,9,FALSE)</f>
        <v>901.12438847193243</v>
      </c>
      <c r="K250" s="179">
        <f>VLOOKUP(B250,Tot_res!C:V,10,FALSE)</f>
        <v>695.59552303175599</v>
      </c>
      <c r="L250" s="179">
        <f>VLOOKUP(B250,Tot_res!C:V,11,FALSE)</f>
        <v>6618.137275603649</v>
      </c>
      <c r="M250" s="179">
        <f>VLOOKUP(B250,Tot_res!C:V,12,FALSE)</f>
        <v>15315.907799427585</v>
      </c>
      <c r="N250" s="179">
        <f>VLOOKUP(B250,Tot_res!C:V,13,FALSE)</f>
        <v>345.03517027571138</v>
      </c>
      <c r="O250" s="179">
        <f>VLOOKUP(B250,Tot_res!C:V,14,FALSE)</f>
        <v>4741.4848654821535</v>
      </c>
      <c r="P250" s="179">
        <f>VLOOKUP(B250,Tot_res!C:V,15,FALSE)</f>
        <v>2825.5705629364679</v>
      </c>
      <c r="Q250" s="179">
        <f>VLOOKUP(B250,Tot_res!C:V,16,FALSE)</f>
        <v>1638.8984982799834</v>
      </c>
      <c r="R250" s="179">
        <f>VLOOKUP(B250,Tot_res!C:V,17,FALSE)</f>
        <v>265.42722062408501</v>
      </c>
      <c r="S250" s="179">
        <f>VLOOKUP(B250,Tot_res!C:V,18,FALSE)</f>
        <v>2614.1469761517264</v>
      </c>
      <c r="T250" s="179">
        <f>VLOOKUP(B250,Tot_res!C:V,19,FALSE)</f>
        <v>122.89197893250609</v>
      </c>
      <c r="U250" s="179">
        <f>VLOOKUP(B250,Tot_res!C:V,20,FALSE)</f>
        <v>120.69309713366465</v>
      </c>
      <c r="V250" s="122">
        <f t="shared" si="41"/>
        <v>69333.061859999987</v>
      </c>
      <c r="W250" s="105"/>
    </row>
    <row r="251" spans="1:23" ht="13.15">
      <c r="A251" s="355"/>
      <c r="B251" s="115" t="s">
        <v>275</v>
      </c>
      <c r="C251" s="333" t="str">
        <f>VLOOKUP(B251,Tot_res!C:D,2,FALSE)</f>
        <v>Actuac. prevención contaminac. y cambio climático</v>
      </c>
      <c r="D251" s="179">
        <f>VLOOKUP(B251,Tot_res!C:V,3,FALSE)</f>
        <v>3545.0279149733815</v>
      </c>
      <c r="E251" s="179">
        <f>VLOOKUP(B251,Tot_res!C:V,4,FALSE)</f>
        <v>562.51459787505473</v>
      </c>
      <c r="F251" s="179">
        <f>VLOOKUP(B251,Tot_res!C:V,5,FALSE)</f>
        <v>448.30531866584892</v>
      </c>
      <c r="G251" s="179">
        <f>VLOOKUP(B251,Tot_res!C:V,6,FALSE)</f>
        <v>466.2371441296745</v>
      </c>
      <c r="H251" s="179">
        <f>VLOOKUP(B251,Tot_res!C:V,7,FALSE)</f>
        <v>888.96011802940143</v>
      </c>
      <c r="I251" s="179">
        <f>VLOOKUP(B251,Tot_res!C:V,8,FALSE)</f>
        <v>248.48064980769516</v>
      </c>
      <c r="J251" s="179">
        <f>VLOOKUP(B251,Tot_res!C:V,9,FALSE)</f>
        <v>1055.4856216861936</v>
      </c>
      <c r="K251" s="179">
        <f>VLOOKUP(B251,Tot_res!C:V,10,FALSE)</f>
        <v>879.72321257156955</v>
      </c>
      <c r="L251" s="179">
        <f>VLOOKUP(B251,Tot_res!C:V,11,FALSE)</f>
        <v>3172.4677468191994</v>
      </c>
      <c r="M251" s="179">
        <f>VLOOKUP(B251,Tot_res!C:V,12,FALSE)</f>
        <v>2129.7731922761736</v>
      </c>
      <c r="N251" s="179">
        <f>VLOOKUP(B251,Tot_res!C:V,13,FALSE)</f>
        <v>463.82083617351839</v>
      </c>
      <c r="O251" s="179">
        <f>VLOOKUP(B251,Tot_res!C:V,14,FALSE)</f>
        <v>1160.7192008533855</v>
      </c>
      <c r="P251" s="179">
        <f>VLOOKUP(B251,Tot_res!C:V,15,FALSE)</f>
        <v>2725.7113489067788</v>
      </c>
      <c r="Q251" s="179">
        <f>VLOOKUP(B251,Tot_res!C:V,16,FALSE)</f>
        <v>618.57210053872757</v>
      </c>
      <c r="R251" s="179">
        <f>VLOOKUP(B251,Tot_res!C:V,17,FALSE)</f>
        <v>270.52272455443165</v>
      </c>
      <c r="S251" s="179">
        <f>VLOOKUP(B251,Tot_res!C:V,18,FALSE)</f>
        <v>922.0418576106664</v>
      </c>
      <c r="T251" s="179">
        <f>VLOOKUP(B251,Tot_res!C:V,19,FALSE)</f>
        <v>134.92364745877919</v>
      </c>
      <c r="U251" s="179">
        <f>VLOOKUP(B251,Tot_res!C:V,20,FALSE)</f>
        <v>71.001357069520168</v>
      </c>
      <c r="V251" s="122">
        <f t="shared" si="41"/>
        <v>19764.28859</v>
      </c>
      <c r="W251" s="105"/>
    </row>
    <row r="252" spans="1:23" ht="13.15">
      <c r="A252" s="355"/>
      <c r="B252" s="115" t="s">
        <v>276</v>
      </c>
      <c r="C252" s="333" t="str">
        <f>VLOOKUP(B252,Tot_res!C:D,2,FALSE)</f>
        <v>Investigación, desarrollo y experimentación en transporte e infraestructuras</v>
      </c>
      <c r="D252" s="179">
        <f>VLOOKUP(B252,Tot_res!C:V,3,FALSE)</f>
        <v>31.581284638565357</v>
      </c>
      <c r="E252" s="179">
        <f>VLOOKUP(B252,Tot_res!C:V,4,FALSE)</f>
        <v>11.038837189552936</v>
      </c>
      <c r="F252" s="179">
        <f>VLOOKUP(B252,Tot_res!C:V,5,FALSE)</f>
        <v>8.7122861023843452</v>
      </c>
      <c r="G252" s="179">
        <f>VLOOKUP(B252,Tot_res!C:V,6,FALSE)</f>
        <v>1.4600390675959096</v>
      </c>
      <c r="H252" s="179">
        <f>VLOOKUP(B252,Tot_res!C:V,7,FALSE)</f>
        <v>7.3203432075126704</v>
      </c>
      <c r="I252" s="179">
        <f>VLOOKUP(B252,Tot_res!C:V,8,FALSE)</f>
        <v>4.6481041991871823</v>
      </c>
      <c r="J252" s="179">
        <f>VLOOKUP(B252,Tot_res!C:V,9,FALSE)</f>
        <v>26.30268354099255</v>
      </c>
      <c r="K252" s="179">
        <f>VLOOKUP(B252,Tot_res!C:V,10,FALSE)</f>
        <v>15.134359215714062</v>
      </c>
      <c r="L252" s="179">
        <f>VLOOKUP(B252,Tot_res!C:V,11,FALSE)</f>
        <v>27.292761915124903</v>
      </c>
      <c r="M252" s="179">
        <f>VLOOKUP(B252,Tot_res!C:V,12,FALSE)</f>
        <v>17.635992919657809</v>
      </c>
      <c r="N252" s="179">
        <f>VLOOKUP(B252,Tot_res!C:V,13,FALSE)</f>
        <v>8.5726526568714245</v>
      </c>
      <c r="O252" s="179">
        <f>VLOOKUP(B252,Tot_res!C:V,14,FALSE)</f>
        <v>17.366108013456707</v>
      </c>
      <c r="P252" s="179">
        <f>VLOOKUP(B252,Tot_res!C:V,15,FALSE)</f>
        <v>24.477074916403538</v>
      </c>
      <c r="Q252" s="179">
        <f>VLOOKUP(B252,Tot_res!C:V,16,FALSE)</f>
        <v>5.6272888614598395</v>
      </c>
      <c r="R252" s="179">
        <f>VLOOKUP(B252,Tot_res!C:V,17,FALSE)</f>
        <v>2.6464036499023287</v>
      </c>
      <c r="S252" s="179">
        <f>VLOOKUP(B252,Tot_res!C:V,18,FALSE)</f>
        <v>11.786506638461082</v>
      </c>
      <c r="T252" s="179">
        <f>VLOOKUP(B252,Tot_res!C:V,19,FALSE)</f>
        <v>1.9513518905962872</v>
      </c>
      <c r="U252" s="179">
        <f>VLOOKUP(B252,Tot_res!C:V,20,FALSE)</f>
        <v>0.4434313765610291</v>
      </c>
      <c r="V252" s="122">
        <f t="shared" si="41"/>
        <v>223.99750999999995</v>
      </c>
      <c r="W252" s="105"/>
    </row>
    <row r="253" spans="1:23" ht="13.15">
      <c r="A253" s="355"/>
      <c r="B253" s="115" t="s">
        <v>277</v>
      </c>
      <c r="C253" s="333" t="str">
        <f>VLOOKUP(B253,Tot_res!C:D,2,FALSE)</f>
        <v>Servicio postal universal</v>
      </c>
      <c r="D253" s="179">
        <f>VLOOKUP(B253,Tot_res!C:V,3,FALSE)</f>
        <v>31626.064612878712</v>
      </c>
      <c r="E253" s="179">
        <f>VLOOKUP(B253,Tot_res!C:V,4,FALSE)</f>
        <v>12071.977167200215</v>
      </c>
      <c r="F253" s="179">
        <f>VLOOKUP(B253,Tot_res!C:V,5,FALSE)</f>
        <v>6112.7180884932941</v>
      </c>
      <c r="G253" s="179">
        <f>VLOOKUP(B253,Tot_res!C:V,6,FALSE)</f>
        <v>18737.633576416785</v>
      </c>
      <c r="H253" s="179">
        <f>VLOOKUP(B253,Tot_res!C:V,7,FALSE)</f>
        <v>71370.224953909026</v>
      </c>
      <c r="I253" s="179">
        <f>VLOOKUP(B253,Tot_res!C:V,8,FALSE)</f>
        <v>4871.6774976011675</v>
      </c>
      <c r="J253" s="179">
        <f>VLOOKUP(B253,Tot_res!C:V,9,FALSE)</f>
        <v>32385.86613051426</v>
      </c>
      <c r="K253" s="179">
        <f>VLOOKUP(B253,Tot_res!C:V,10,FALSE)</f>
        <v>23614.787189353661</v>
      </c>
      <c r="L253" s="179">
        <f>VLOOKUP(B253,Tot_res!C:V,11,FALSE)</f>
        <v>28287.170160222198</v>
      </c>
      <c r="M253" s="179">
        <f>VLOOKUP(B253,Tot_res!C:V,12,FALSE)</f>
        <v>16288.777336101712</v>
      </c>
      <c r="N253" s="179">
        <f>VLOOKUP(B253,Tot_res!C:V,13,FALSE)</f>
        <v>13635.808865666484</v>
      </c>
      <c r="O253" s="179">
        <f>VLOOKUP(B253,Tot_res!C:V,14,FALSE)</f>
        <v>30782.057454044931</v>
      </c>
      <c r="P253" s="179">
        <f>VLOOKUP(B253,Tot_res!C:V,15,FALSE)</f>
        <v>5439.6756793272889</v>
      </c>
      <c r="Q253" s="179">
        <f>VLOOKUP(B253,Tot_res!C:V,16,FALSE)</f>
        <v>1139.6210058086394</v>
      </c>
      <c r="R253" s="179">
        <f>VLOOKUP(B253,Tot_res!C:V,17,FALSE)</f>
        <v>7399.6058192384553</v>
      </c>
      <c r="S253" s="179">
        <f>VLOOKUP(B253,Tot_res!C:V,18,FALSE)</f>
        <v>8393.2890591498999</v>
      </c>
      <c r="T253" s="179">
        <f>VLOOKUP(B253,Tot_res!C:V,19,FALSE)</f>
        <v>2713.5528443354438</v>
      </c>
      <c r="U253" s="179">
        <f>VLOOKUP(B253,Tot_res!C:V,20,FALSE)</f>
        <v>2830.7174797378443</v>
      </c>
      <c r="V253" s="122">
        <f t="shared" si="41"/>
        <v>317701.22492000007</v>
      </c>
      <c r="W253" s="105"/>
    </row>
    <row r="254" spans="1:23" ht="13.15">
      <c r="A254" s="355"/>
      <c r="B254" s="115" t="s">
        <v>767</v>
      </c>
      <c r="C254" s="333" t="str">
        <f>VLOOKUP(B254,Tot_res!C:D,2,FALSE)</f>
        <v>Salvamento y lucha contra la contaminación en la mar</v>
      </c>
      <c r="D254" s="179">
        <f>VLOOKUP(B254,Tot_res!C:V,3,FALSE)</f>
        <v>13386.346037736759</v>
      </c>
      <c r="E254" s="179">
        <f>VLOOKUP(B254,Tot_res!C:V,4,FALSE)</f>
        <v>4741.1758476602536</v>
      </c>
      <c r="F254" s="179">
        <f>VLOOKUP(B254,Tot_res!C:V,5,FALSE)</f>
        <v>2023.2019456397327</v>
      </c>
      <c r="G254" s="179">
        <f>VLOOKUP(B254,Tot_res!C:V,6,FALSE)</f>
        <v>1723.8493086203182</v>
      </c>
      <c r="H254" s="179">
        <f>VLOOKUP(B254,Tot_res!C:V,7,FALSE)</f>
        <v>5205.6175757800402</v>
      </c>
      <c r="I254" s="179">
        <f>VLOOKUP(B254,Tot_res!C:V,8,FALSE)</f>
        <v>1510.195357873896</v>
      </c>
      <c r="J254" s="179">
        <f>VLOOKUP(B254,Tot_res!C:V,9,FALSE)</f>
        <v>6113.6534648130846</v>
      </c>
      <c r="K254" s="179">
        <f>VLOOKUP(B254,Tot_res!C:V,10,FALSE)</f>
        <v>4271.9421625159275</v>
      </c>
      <c r="L254" s="179">
        <f>VLOOKUP(B254,Tot_res!C:V,11,FALSE)</f>
        <v>19261.360176797934</v>
      </c>
      <c r="M254" s="179">
        <f>VLOOKUP(B254,Tot_res!C:V,12,FALSE)</f>
        <v>9036.9382018002198</v>
      </c>
      <c r="N254" s="179">
        <f>VLOOKUP(B254,Tot_res!C:V,13,FALSE)</f>
        <v>1393.1310650154926</v>
      </c>
      <c r="O254" s="179">
        <f>VLOOKUP(B254,Tot_res!C:V,14,FALSE)</f>
        <v>5366.1828718878742</v>
      </c>
      <c r="P254" s="179">
        <f>VLOOKUP(B254,Tot_res!C:V,15,FALSE)</f>
        <v>13399.303798481373</v>
      </c>
      <c r="Q254" s="179">
        <f>VLOOKUP(B254,Tot_res!C:V,16,FALSE)</f>
        <v>3936.0076129675126</v>
      </c>
      <c r="R254" s="179">
        <f>VLOOKUP(B254,Tot_res!C:V,17,FALSE)</f>
        <v>2813.8385137435671</v>
      </c>
      <c r="S254" s="179">
        <f>VLOOKUP(B254,Tot_res!C:V,18,FALSE)</f>
        <v>6132.8528458557194</v>
      </c>
      <c r="T254" s="179">
        <f>VLOOKUP(B254,Tot_res!C:V,19,FALSE)</f>
        <v>1179.1943676233423</v>
      </c>
      <c r="U254" s="179">
        <f>VLOOKUP(B254,Tot_res!C:V,20,FALSE)</f>
        <v>605.20884518694254</v>
      </c>
      <c r="V254" s="122">
        <f t="shared" si="41"/>
        <v>102100</v>
      </c>
      <c r="W254" s="105"/>
    </row>
    <row r="255" spans="1:23" ht="13.15">
      <c r="A255" s="355"/>
      <c r="B255" s="115" t="s">
        <v>769</v>
      </c>
      <c r="C255" s="333" t="str">
        <f>VLOOKUP(B255,Tot_res!C:D,2,FALSE)</f>
        <v>Otras aportaciones a Corporaciones Locales, transferencias a corporaciones locales para financiar los servicios de transporte colectivo urbano</v>
      </c>
      <c r="D255" s="179">
        <f>VLOOKUP(B255,Tot_res!C:V,3,FALSE)</f>
        <v>20243.519270000001</v>
      </c>
      <c r="E255" s="179">
        <f>VLOOKUP(B255,Tot_res!C:V,4,FALSE)</f>
        <v>5294.59</v>
      </c>
      <c r="F255" s="179">
        <f>VLOOKUP(B255,Tot_res!C:V,5,FALSE)</f>
        <v>1883.08</v>
      </c>
      <c r="G255" s="179">
        <f>VLOOKUP(B255,Tot_res!C:V,6,FALSE)</f>
        <v>2201.2800000000002</v>
      </c>
      <c r="H255" s="179">
        <f>VLOOKUP(B255,Tot_res!C:V,7,FALSE)</f>
        <v>0</v>
      </c>
      <c r="I255" s="179">
        <f>VLOOKUP(B255,Tot_res!C:V,8,FALSE)</f>
        <v>904.09</v>
      </c>
      <c r="J255" s="179">
        <f>VLOOKUP(B255,Tot_res!C:V,9,FALSE)</f>
        <v>3835.67</v>
      </c>
      <c r="K255" s="179">
        <f>VLOOKUP(B255,Tot_res!C:V,10,FALSE)</f>
        <v>1180.22</v>
      </c>
      <c r="L255" s="179">
        <f>VLOOKUP(B255,Tot_res!C:V,11,FALSE)</f>
        <v>3088.16</v>
      </c>
      <c r="M255" s="179">
        <f>VLOOKUP(B255,Tot_res!C:V,12,FALSE)</f>
        <v>7201.92</v>
      </c>
      <c r="N255" s="179">
        <f>VLOOKUP(B255,Tot_res!C:V,13,FALSE)</f>
        <v>754.15</v>
      </c>
      <c r="O255" s="179">
        <f>VLOOKUP(B255,Tot_res!C:V,14,FALSE)</f>
        <v>3065.71</v>
      </c>
      <c r="P255" s="179">
        <f>VLOOKUP(B255,Tot_res!C:V,15,FALSE)</f>
        <v>0</v>
      </c>
      <c r="Q255" s="179">
        <f>VLOOKUP(B255,Tot_res!C:V,16,FALSE)</f>
        <v>601.23</v>
      </c>
      <c r="R255" s="179">
        <f>VLOOKUP(B255,Tot_res!C:V,17,FALSE)</f>
        <v>0.18</v>
      </c>
      <c r="S255" s="179">
        <f>VLOOKUP(B255,Tot_res!C:V,18,FALSE)</f>
        <v>26.43</v>
      </c>
      <c r="T255" s="179">
        <f>VLOOKUP(B255,Tot_res!C:V,19,FALSE)</f>
        <v>623.36</v>
      </c>
      <c r="U255" s="179">
        <f>VLOOKUP(B255,Tot_res!C:V,20,FALSE)</f>
        <v>151.15222</v>
      </c>
      <c r="V255" s="122">
        <f t="shared" si="41"/>
        <v>51054.741490000008</v>
      </c>
      <c r="W255" s="105"/>
    </row>
    <row r="256" spans="1:23" ht="13.15">
      <c r="A256" s="355"/>
      <c r="B256" s="119" t="s">
        <v>770</v>
      </c>
      <c r="C256" s="333" t="str">
        <f>VLOOKUP(B256,Tot_res!C:D,2,FALSE)</f>
        <v>Otras aportaciones a Corporaciones Locales, mejoras suminstro agua CyMel</v>
      </c>
      <c r="D256" s="179">
        <f>VLOOKUP(B256,Tot_res!C:V,3,FALSE)</f>
        <v>4803.8345199999994</v>
      </c>
      <c r="E256" s="179">
        <f>VLOOKUP(B256,Tot_res!C:V,4,FALSE)</f>
        <v>0</v>
      </c>
      <c r="F256" s="179">
        <f>VLOOKUP(B256,Tot_res!C:V,5,FALSE)</f>
        <v>0</v>
      </c>
      <c r="G256" s="179">
        <f>VLOOKUP(B256,Tot_res!C:V,6,FALSE)</f>
        <v>0</v>
      </c>
      <c r="H256" s="179">
        <f>VLOOKUP(B256,Tot_res!C:V,7,FALSE)</f>
        <v>0</v>
      </c>
      <c r="I256" s="179">
        <f>VLOOKUP(B256,Tot_res!C:V,8,FALSE)</f>
        <v>0</v>
      </c>
      <c r="J256" s="179">
        <f>VLOOKUP(B256,Tot_res!C:V,9,FALSE)</f>
        <v>0</v>
      </c>
      <c r="K256" s="179">
        <f>VLOOKUP(B256,Tot_res!C:V,10,FALSE)</f>
        <v>0</v>
      </c>
      <c r="L256" s="179">
        <f>VLOOKUP(B256,Tot_res!C:V,11,FALSE)</f>
        <v>0</v>
      </c>
      <c r="M256" s="179">
        <f>VLOOKUP(B256,Tot_res!C:V,12,FALSE)</f>
        <v>0</v>
      </c>
      <c r="N256" s="179">
        <f>VLOOKUP(B256,Tot_res!C:V,13,FALSE)</f>
        <v>0</v>
      </c>
      <c r="O256" s="179">
        <f>VLOOKUP(B256,Tot_res!C:V,14,FALSE)</f>
        <v>0</v>
      </c>
      <c r="P256" s="179">
        <f>VLOOKUP(B256,Tot_res!C:V,15,FALSE)</f>
        <v>0</v>
      </c>
      <c r="Q256" s="179">
        <f>VLOOKUP(B256,Tot_res!C:V,16,FALSE)</f>
        <v>0</v>
      </c>
      <c r="R256" s="179">
        <f>VLOOKUP(B256,Tot_res!C:V,17,FALSE)</f>
        <v>0</v>
      </c>
      <c r="S256" s="179">
        <f>VLOOKUP(B256,Tot_res!C:V,18,FALSE)</f>
        <v>0</v>
      </c>
      <c r="T256" s="179">
        <f>VLOOKUP(B256,Tot_res!C:V,19,FALSE)</f>
        <v>0</v>
      </c>
      <c r="U256" s="179">
        <f>VLOOKUP(B256,Tot_res!C:V,20,FALSE)</f>
        <v>7083.9706699999997</v>
      </c>
      <c r="V256" s="122">
        <f t="shared" si="41"/>
        <v>11887.805189999999</v>
      </c>
      <c r="W256" s="105"/>
    </row>
    <row r="257" spans="1:23" ht="13.15">
      <c r="A257" s="355"/>
      <c r="B257" s="119" t="s">
        <v>279</v>
      </c>
      <c r="C257" s="333" t="str">
        <f>VLOOKUP(B257,Tot_res!C:D,2,FALSE)</f>
        <v>Obras hidráulicas</v>
      </c>
      <c r="D257" s="179">
        <f>VLOOKUP(B257,Tot_res!C:V,3,FALSE)</f>
        <v>0</v>
      </c>
      <c r="E257" s="179">
        <f>VLOOKUP(B257,Tot_res!C:V,4,FALSE)</f>
        <v>0</v>
      </c>
      <c r="F257" s="179">
        <f>VLOOKUP(B257,Tot_res!C:V,5,FALSE)</f>
        <v>0</v>
      </c>
      <c r="G257" s="179">
        <f>VLOOKUP(B257,Tot_res!C:V,6,FALSE)</f>
        <v>0</v>
      </c>
      <c r="H257" s="179">
        <f>VLOOKUP(B257,Tot_res!C:V,7,FALSE)</f>
        <v>12833.798428366728</v>
      </c>
      <c r="I257" s="179">
        <f>VLOOKUP(B257,Tot_res!C:V,8,FALSE)</f>
        <v>0</v>
      </c>
      <c r="J257" s="179">
        <f>VLOOKUP(B257,Tot_res!C:V,9,FALSE)</f>
        <v>0</v>
      </c>
      <c r="K257" s="179">
        <f>VLOOKUP(B257,Tot_res!C:V,10,FALSE)</f>
        <v>0</v>
      </c>
      <c r="L257" s="179">
        <f>VLOOKUP(B257,Tot_res!C:V,11,FALSE)</f>
        <v>136688.79462014735</v>
      </c>
      <c r="M257" s="179">
        <f>VLOOKUP(B257,Tot_res!C:V,12,FALSE)</f>
        <v>0</v>
      </c>
      <c r="N257" s="179">
        <f>VLOOKUP(B257,Tot_res!C:V,13,FALSE)</f>
        <v>0</v>
      </c>
      <c r="O257" s="179">
        <f>VLOOKUP(B257,Tot_res!C:V,14,FALSE)</f>
        <v>36266.860691465488</v>
      </c>
      <c r="P257" s="179">
        <f>VLOOKUP(B257,Tot_res!C:V,15,FALSE)</f>
        <v>0</v>
      </c>
      <c r="Q257" s="179">
        <f>VLOOKUP(B257,Tot_res!C:V,16,FALSE)</f>
        <v>0</v>
      </c>
      <c r="R257" s="179">
        <f>VLOOKUP(B257,Tot_res!C:V,17,FALSE)</f>
        <v>0</v>
      </c>
      <c r="S257" s="179">
        <f>VLOOKUP(B257,Tot_res!C:V,18,FALSE)</f>
        <v>0</v>
      </c>
      <c r="T257" s="179">
        <f>VLOOKUP(B257,Tot_res!C:V,19,FALSE)</f>
        <v>0</v>
      </c>
      <c r="U257" s="179">
        <f>VLOOKUP(B257,Tot_res!C:V,20,FALSE)</f>
        <v>0</v>
      </c>
      <c r="V257" s="122">
        <f t="shared" si="41"/>
        <v>185789.45373997957</v>
      </c>
      <c r="W257" s="105"/>
    </row>
    <row r="258" spans="1:23" ht="13.15">
      <c r="A258" s="355"/>
      <c r="B258" s="119" t="s">
        <v>280</v>
      </c>
      <c r="C258" s="333" t="str">
        <f>VLOOKUP(B258,Tot_res!C:D,2,FALSE)</f>
        <v>Confederaciones hidrográficas, Andalucía</v>
      </c>
      <c r="D258" s="179">
        <f>VLOOKUP(B258,Tot_res!C:V,3,FALSE)</f>
        <v>187038.73105807352</v>
      </c>
      <c r="E258" s="179">
        <f>VLOOKUP(B258,Tot_res!C:V,4,FALSE)</f>
        <v>0</v>
      </c>
      <c r="F258" s="179">
        <f>VLOOKUP(B258,Tot_res!C:V,5,FALSE)</f>
        <v>0</v>
      </c>
      <c r="G258" s="179">
        <f>VLOOKUP(B258,Tot_res!C:V,6,FALSE)</f>
        <v>0</v>
      </c>
      <c r="H258" s="179">
        <f>VLOOKUP(B258,Tot_res!C:V,7,FALSE)</f>
        <v>0</v>
      </c>
      <c r="I258" s="179">
        <f>VLOOKUP(B258,Tot_res!C:V,8,FALSE)</f>
        <v>0</v>
      </c>
      <c r="J258" s="179">
        <f>VLOOKUP(B258,Tot_res!C:V,9,FALSE)</f>
        <v>0</v>
      </c>
      <c r="K258" s="179">
        <f>VLOOKUP(B258,Tot_res!C:V,10,FALSE)</f>
        <v>0</v>
      </c>
      <c r="L258" s="179">
        <f>VLOOKUP(B258,Tot_res!C:V,11,FALSE)</f>
        <v>0</v>
      </c>
      <c r="M258" s="179">
        <f>VLOOKUP(B258,Tot_res!C:V,12,FALSE)</f>
        <v>0</v>
      </c>
      <c r="N258" s="179">
        <f>VLOOKUP(B258,Tot_res!C:V,13,FALSE)</f>
        <v>0</v>
      </c>
      <c r="O258" s="179">
        <f>VLOOKUP(B258,Tot_res!C:V,14,FALSE)</f>
        <v>0</v>
      </c>
      <c r="P258" s="179">
        <f>VLOOKUP(B258,Tot_res!C:V,15,FALSE)</f>
        <v>0</v>
      </c>
      <c r="Q258" s="179">
        <f>VLOOKUP(B258,Tot_res!C:V,16,FALSE)</f>
        <v>0</v>
      </c>
      <c r="R258" s="179">
        <f>VLOOKUP(B258,Tot_res!C:V,17,FALSE)</f>
        <v>0</v>
      </c>
      <c r="S258" s="179">
        <f>VLOOKUP(B258,Tot_res!C:V,18,FALSE)</f>
        <v>0</v>
      </c>
      <c r="T258" s="179">
        <f>VLOOKUP(B258,Tot_res!C:V,19,FALSE)</f>
        <v>0</v>
      </c>
      <c r="U258" s="179">
        <f>VLOOKUP(B258,Tot_res!C:V,20,FALSE)</f>
        <v>0</v>
      </c>
      <c r="V258" s="122">
        <f t="shared" si="41"/>
        <v>187038.73105807352</v>
      </c>
      <c r="W258" s="105"/>
    </row>
    <row r="259" spans="1:23" ht="13.15">
      <c r="A259" s="355"/>
      <c r="B259" s="119" t="s">
        <v>281</v>
      </c>
      <c r="C259" s="333" t="str">
        <f>VLOOKUP(B259,Tot_res!C:D,2,FALSE)</f>
        <v>Parques Nacionales</v>
      </c>
      <c r="D259" s="179">
        <f>VLOOKUP(B259,Tot_res!C:V,3,FALSE)</f>
        <v>16952.329792344946</v>
      </c>
      <c r="E259" s="179">
        <f>VLOOKUP(B259,Tot_res!C:V,4,FALSE)</f>
        <v>4074.7157074665997</v>
      </c>
      <c r="F259" s="179">
        <f>VLOOKUP(B259,Tot_res!C:V,5,FALSE)</f>
        <v>3356.3672696446311</v>
      </c>
      <c r="G259" s="179">
        <f>VLOOKUP(B259,Tot_res!C:V,6,FALSE)</f>
        <v>6220.907690561754</v>
      </c>
      <c r="H259" s="179">
        <f>VLOOKUP(B259,Tot_res!C:V,7,FALSE)</f>
        <v>21191.240748864162</v>
      </c>
      <c r="I259" s="179">
        <f>VLOOKUP(B259,Tot_res!C:V,8,FALSE)</f>
        <v>1805.1744034995518</v>
      </c>
      <c r="J259" s="179">
        <f>VLOOKUP(B259,Tot_res!C:V,9,FALSE)</f>
        <v>2686.1487150277626</v>
      </c>
      <c r="K259" s="179">
        <f>VLOOKUP(B259,Tot_res!C:V,10,FALSE)</f>
        <v>719.43425061935932</v>
      </c>
      <c r="L259" s="179">
        <f>VLOOKUP(B259,Tot_res!C:V,11,FALSE)</f>
        <v>3128.7990801274073</v>
      </c>
      <c r="M259" s="179">
        <f>VLOOKUP(B259,Tot_res!C:V,12,FALSE)</f>
        <v>1800.0364790009576</v>
      </c>
      <c r="N259" s="179">
        <f>VLOOKUP(B259,Tot_res!C:V,13,FALSE)</f>
        <v>356.85985741069385</v>
      </c>
      <c r="O259" s="179">
        <f>VLOOKUP(B259,Tot_res!C:V,14,FALSE)</f>
        <v>4560.6568530219993</v>
      </c>
      <c r="P259" s="179">
        <f>VLOOKUP(B259,Tot_res!C:V,15,FALSE)</f>
        <v>2922.4055837195424</v>
      </c>
      <c r="Q259" s="179">
        <f>VLOOKUP(B259,Tot_res!C:V,16,FALSE)</f>
        <v>512.40850864095523</v>
      </c>
      <c r="R259" s="179">
        <f>VLOOKUP(B259,Tot_res!C:V,17,FALSE)</f>
        <v>274.52366675877846</v>
      </c>
      <c r="S259" s="179">
        <f>VLOOKUP(B259,Tot_res!C:V,18,FALSE)</f>
        <v>962.02556955870045</v>
      </c>
      <c r="T259" s="179">
        <f>VLOOKUP(B259,Tot_res!C:V,19,FALSE)</f>
        <v>127.10360524617883</v>
      </c>
      <c r="U259" s="179">
        <f>VLOOKUP(B259,Tot_res!C:V,20,FALSE)</f>
        <v>58.034791923630436</v>
      </c>
      <c r="V259" s="122">
        <f t="shared" si="41"/>
        <v>71709.172573437623</v>
      </c>
      <c r="W259" s="105"/>
    </row>
    <row r="260" spans="1:23" ht="13.15">
      <c r="A260" s="355"/>
      <c r="B260" s="119" t="s">
        <v>283</v>
      </c>
      <c r="C260" s="333" t="str">
        <f>VLOOKUP(B260,Tot_res!C:D,2,FALSE)</f>
        <v>Infraestructuras ferroviarias, ADIF y Renfe</v>
      </c>
      <c r="D260" s="179">
        <f>VLOOKUP(B260,Tot_res!C:V,3,FALSE)</f>
        <v>256270.87881857585</v>
      </c>
      <c r="E260" s="179">
        <f>VLOOKUP(B260,Tot_res!C:V,4,FALSE)</f>
        <v>26452.694754874894</v>
      </c>
      <c r="F260" s="179">
        <f>VLOOKUP(B260,Tot_res!C:V,5,FALSE)</f>
        <v>32268.292737786614</v>
      </c>
      <c r="G260" s="179">
        <f>VLOOKUP(B260,Tot_res!C:V,6,FALSE)</f>
        <v>2543.5180331587044</v>
      </c>
      <c r="H260" s="179">
        <f>VLOOKUP(B260,Tot_res!C:V,7,FALSE)</f>
        <v>4190.9448455400743</v>
      </c>
      <c r="I260" s="179">
        <f>VLOOKUP(B260,Tot_res!C:V,8,FALSE)</f>
        <v>17117.356193634969</v>
      </c>
      <c r="J260" s="179">
        <f>VLOOKUP(B260,Tot_res!C:V,9,FALSE)</f>
        <v>406450.37142219185</v>
      </c>
      <c r="K260" s="179">
        <f>VLOOKUP(B260,Tot_res!C:V,10,FALSE)</f>
        <v>108254.84766489126</v>
      </c>
      <c r="L260" s="179">
        <f>VLOOKUP(B260,Tot_res!C:V,11,FALSE)</f>
        <v>376465.38620739337</v>
      </c>
      <c r="M260" s="179">
        <f>VLOOKUP(B260,Tot_res!C:V,12,FALSE)</f>
        <v>241612.36733146571</v>
      </c>
      <c r="N260" s="179">
        <f>VLOOKUP(B260,Tot_res!C:V,13,FALSE)</f>
        <v>114483.38098421319</v>
      </c>
      <c r="O260" s="179">
        <f>VLOOKUP(B260,Tot_res!C:V,14,FALSE)</f>
        <v>260912.90780027764</v>
      </c>
      <c r="P260" s="179">
        <f>VLOOKUP(B260,Tot_res!C:V,15,FALSE)</f>
        <v>346354.21881823865</v>
      </c>
      <c r="Q260" s="179">
        <f>VLOOKUP(B260,Tot_res!C:V,16,FALSE)</f>
        <v>28437.831780941993</v>
      </c>
      <c r="R260" s="179">
        <f>VLOOKUP(B260,Tot_res!C:V,17,FALSE)</f>
        <v>18771.531227513726</v>
      </c>
      <c r="S260" s="179">
        <f>VLOOKUP(B260,Tot_res!C:V,18,FALSE)</f>
        <v>150673.97546234494</v>
      </c>
      <c r="T260" s="179">
        <f>VLOOKUP(B260,Tot_res!C:V,19,FALSE)</f>
        <v>7816.7923741502618</v>
      </c>
      <c r="U260" s="179">
        <f>VLOOKUP(B260,Tot_res!C:V,20,FALSE)</f>
        <v>900.70354280627794</v>
      </c>
      <c r="V260" s="122">
        <f t="shared" si="41"/>
        <v>2399978</v>
      </c>
      <c r="W260" s="105"/>
    </row>
    <row r="261" spans="1:23" ht="13.15">
      <c r="A261" s="355"/>
      <c r="B261" s="119" t="s">
        <v>284</v>
      </c>
      <c r="C261" s="333" t="str">
        <f>VLOOKUP(B261,Tot_res!C:D,2,FALSE)</f>
        <v>Infraestructuras aeroportuarias, AENA</v>
      </c>
      <c r="D261" s="179">
        <f>VLOOKUP(B261,Tot_res!C:V,3,FALSE)</f>
        <v>61160.889896374851</v>
      </c>
      <c r="E261" s="179">
        <f>VLOOKUP(B261,Tot_res!C:V,4,FALSE)</f>
        <v>10253.98032653548</v>
      </c>
      <c r="F261" s="179">
        <f>VLOOKUP(B261,Tot_res!C:V,5,FALSE)</f>
        <v>7955.4881704224672</v>
      </c>
      <c r="G261" s="179">
        <f>VLOOKUP(B261,Tot_res!C:V,6,FALSE)</f>
        <v>27221.249271477765</v>
      </c>
      <c r="H261" s="179">
        <f>VLOOKUP(B261,Tot_res!C:V,7,FALSE)</f>
        <v>92613.365781806351</v>
      </c>
      <c r="I261" s="179">
        <f>VLOOKUP(B261,Tot_res!C:V,8,FALSE)</f>
        <v>3556.1490092929921</v>
      </c>
      <c r="J261" s="179">
        <f>VLOOKUP(B261,Tot_res!C:V,9,FALSE)</f>
        <v>9167.5909970047742</v>
      </c>
      <c r="K261" s="179">
        <f>VLOOKUP(B261,Tot_res!C:V,10,FALSE)</f>
        <v>8009.7100888937766</v>
      </c>
      <c r="L261" s="179">
        <f>VLOOKUP(B261,Tot_res!C:V,11,FALSE)</f>
        <v>83184.944423070294</v>
      </c>
      <c r="M261" s="179">
        <f>VLOOKUP(B261,Tot_res!C:V,12,FALSE)</f>
        <v>40425.983320571911</v>
      </c>
      <c r="N261" s="179">
        <f>VLOOKUP(B261,Tot_res!C:V,13,FALSE)</f>
        <v>4099.5252539837129</v>
      </c>
      <c r="O261" s="179">
        <f>VLOOKUP(B261,Tot_res!C:V,14,FALSE)</f>
        <v>47990.349557061003</v>
      </c>
      <c r="P261" s="179">
        <f>VLOOKUP(B261,Tot_res!C:V,15,FALSE)</f>
        <v>152093.82570871807</v>
      </c>
      <c r="Q261" s="179">
        <f>VLOOKUP(B261,Tot_res!C:V,16,FALSE)</f>
        <v>5718.4807125612951</v>
      </c>
      <c r="R261" s="179">
        <f>VLOOKUP(B261,Tot_res!C:V,17,FALSE)</f>
        <v>3967.5561055288076</v>
      </c>
      <c r="S261" s="179">
        <f>VLOOKUP(B261,Tot_res!C:V,18,FALSE)</f>
        <v>19983.284283457466</v>
      </c>
      <c r="T261" s="179">
        <f>VLOOKUP(B261,Tot_res!C:V,19,FALSE)</f>
        <v>1409.8361703020705</v>
      </c>
      <c r="U261" s="179">
        <f>VLOOKUP(B261,Tot_res!C:V,20,FALSE)</f>
        <v>1743.7909229368929</v>
      </c>
      <c r="V261" s="122">
        <f t="shared" si="41"/>
        <v>580556</v>
      </c>
      <c r="W261" s="105"/>
    </row>
    <row r="262" spans="1:23" ht="13.15">
      <c r="A262" s="355"/>
      <c r="B262" s="119" t="s">
        <v>285</v>
      </c>
      <c r="C262" s="333" t="str">
        <f>VLOOKUP(B262,Tot_res!C:D,2,FALSE)</f>
        <v xml:space="preserve">Infraestructuras portuarias, Puertos del Estado </v>
      </c>
      <c r="D262" s="179">
        <f>VLOOKUP(B262,Tot_res!C:V,3,FALSE)</f>
        <v>45545.663885382979</v>
      </c>
      <c r="E262" s="179">
        <f>VLOOKUP(B262,Tot_res!C:V,4,FALSE)</f>
        <v>6022.5935510508971</v>
      </c>
      <c r="F262" s="179">
        <f>VLOOKUP(B262,Tot_res!C:V,5,FALSE)</f>
        <v>4088.6879824330249</v>
      </c>
      <c r="G262" s="179">
        <f>VLOOKUP(B262,Tot_res!C:V,6,FALSE)</f>
        <v>8883.0947053363907</v>
      </c>
      <c r="H262" s="179">
        <f>VLOOKUP(B262,Tot_res!C:V,7,FALSE)</f>
        <v>41039.228581365904</v>
      </c>
      <c r="I262" s="179">
        <f>VLOOKUP(B262,Tot_res!C:V,8,FALSE)</f>
        <v>23551.695595228095</v>
      </c>
      <c r="J262" s="179">
        <f>VLOOKUP(B262,Tot_res!C:V,9,FALSE)</f>
        <v>7766.0165143871991</v>
      </c>
      <c r="K262" s="179">
        <f>VLOOKUP(B262,Tot_res!C:V,10,FALSE)</f>
        <v>5426.5380878305896</v>
      </c>
      <c r="L262" s="179">
        <f>VLOOKUP(B262,Tot_res!C:V,11,FALSE)</f>
        <v>93397.209678058847</v>
      </c>
      <c r="M262" s="179">
        <f>VLOOKUP(B262,Tot_res!C:V,12,FALSE)</f>
        <v>34708.723148049088</v>
      </c>
      <c r="N262" s="179">
        <f>VLOOKUP(B262,Tot_res!C:V,13,FALSE)</f>
        <v>1769.6585061428434</v>
      </c>
      <c r="O262" s="179">
        <f>VLOOKUP(B262,Tot_res!C:V,14,FALSE)</f>
        <v>27323.857207667301</v>
      </c>
      <c r="P262" s="179">
        <f>VLOOKUP(B262,Tot_res!C:V,15,FALSE)</f>
        <v>17020.790461743796</v>
      </c>
      <c r="Q262" s="179">
        <f>VLOOKUP(B262,Tot_res!C:V,16,FALSE)</f>
        <v>19666.475749564037</v>
      </c>
      <c r="R262" s="179">
        <f>VLOOKUP(B262,Tot_res!C:V,17,FALSE)</f>
        <v>3574.3465821740642</v>
      </c>
      <c r="S262" s="179">
        <f>VLOOKUP(B262,Tot_res!C:V,18,FALSE)</f>
        <v>46434.404993567659</v>
      </c>
      <c r="T262" s="179">
        <f>VLOOKUP(B262,Tot_res!C:V,19,FALSE)</f>
        <v>1497.9002302537647</v>
      </c>
      <c r="U262" s="179">
        <f>VLOOKUP(B262,Tot_res!C:V,20,FALSE)</f>
        <v>1368.1145397635048</v>
      </c>
      <c r="V262" s="122">
        <f t="shared" si="41"/>
        <v>389084.99999999994</v>
      </c>
      <c r="W262" s="105"/>
    </row>
    <row r="263" spans="1:23" ht="13.15">
      <c r="A263" s="355"/>
      <c r="B263" s="119" t="s">
        <v>286</v>
      </c>
      <c r="C263" s="333" t="str">
        <f>VLOOKUP(B263,Tot_res!C:D,2,FALSE)</f>
        <v>Autopistas de peaje</v>
      </c>
      <c r="D263" s="179">
        <f>VLOOKUP(B263,Tot_res!C:V,3,FALSE)</f>
        <v>7647.8329892432266</v>
      </c>
      <c r="E263" s="179">
        <f>VLOOKUP(B263,Tot_res!C:V,4,FALSE)</f>
        <v>4595.9473340318991</v>
      </c>
      <c r="F263" s="179">
        <f>VLOOKUP(B263,Tot_res!C:V,5,FALSE)</f>
        <v>1289.7748597125078</v>
      </c>
      <c r="G263" s="179">
        <f>VLOOKUP(B263,Tot_res!C:V,6,FALSE)</f>
        <v>300.03409054572495</v>
      </c>
      <c r="H263" s="179">
        <f>VLOOKUP(B263,Tot_res!C:V,7,FALSE)</f>
        <v>675.51472343339117</v>
      </c>
      <c r="I263" s="179">
        <f>VLOOKUP(B263,Tot_res!C:V,8,FALSE)</f>
        <v>345.33918932593002</v>
      </c>
      <c r="J263" s="179">
        <f>VLOOKUP(B263,Tot_res!C:V,9,FALSE)</f>
        <v>13240.024866335381</v>
      </c>
      <c r="K263" s="179">
        <f>VLOOKUP(B263,Tot_res!C:V,10,FALSE)</f>
        <v>24702.078382013086</v>
      </c>
      <c r="L263" s="179">
        <f>VLOOKUP(B263,Tot_res!C:V,11,FALSE)</f>
        <v>52604.930698149641</v>
      </c>
      <c r="M263" s="179">
        <f>VLOOKUP(B263,Tot_res!C:V,12,FALSE)</f>
        <v>9597.4036372062947</v>
      </c>
      <c r="N263" s="179">
        <f>VLOOKUP(B263,Tot_res!C:V,13,FALSE)</f>
        <v>658.63379939898539</v>
      </c>
      <c r="O263" s="179">
        <f>VLOOKUP(B263,Tot_res!C:V,14,FALSE)</f>
        <v>3254.4052026799377</v>
      </c>
      <c r="P263" s="179">
        <f>VLOOKUP(B263,Tot_res!C:V,15,FALSE)</f>
        <v>35070.222178096716</v>
      </c>
      <c r="Q263" s="179">
        <f>VLOOKUP(B263,Tot_res!C:V,16,FALSE)</f>
        <v>2072.9332894474896</v>
      </c>
      <c r="R263" s="179">
        <f>VLOOKUP(B263,Tot_res!C:V,17,FALSE)</f>
        <v>2198.8350247061926</v>
      </c>
      <c r="S263" s="179">
        <f>VLOOKUP(B263,Tot_res!C:V,18,FALSE)</f>
        <v>9692.4201848549637</v>
      </c>
      <c r="T263" s="179">
        <f>VLOOKUP(B263,Tot_res!C:V,19,FALSE)</f>
        <v>3296.6792735909385</v>
      </c>
      <c r="U263" s="179">
        <f>VLOOKUP(B263,Tot_res!C:V,20,FALSE)</f>
        <v>64.090277227680701</v>
      </c>
      <c r="V263" s="122">
        <f t="shared" si="41"/>
        <v>171307.1</v>
      </c>
      <c r="W263" s="105"/>
    </row>
    <row r="264" spans="1:23" ht="13.15">
      <c r="A264" s="355"/>
      <c r="B264" s="119" t="s">
        <v>288</v>
      </c>
      <c r="C264" s="333" t="str">
        <f>VLOOKUP(B264,Tot_res!C:D,2,FALSE)</f>
        <v>Excedente bruto de AENA</v>
      </c>
      <c r="D264" s="179">
        <f>VLOOKUP(B264,Tot_res!C:V,3,FALSE)</f>
        <v>-312884.63542152743</v>
      </c>
      <c r="E264" s="179">
        <f>VLOOKUP(B264,Tot_res!C:V,4,FALSE)</f>
        <v>-60347.729064613966</v>
      </c>
      <c r="F264" s="179">
        <f>VLOOKUP(B264,Tot_res!C:V,5,FALSE)</f>
        <v>-50606.769734527319</v>
      </c>
      <c r="G264" s="179">
        <f>VLOOKUP(B264,Tot_res!C:V,6,FALSE)</f>
        <v>-27814.014743148495</v>
      </c>
      <c r="H264" s="179">
        <f>VLOOKUP(B264,Tot_res!C:V,7,FALSE)</f>
        <v>-67025.438181553152</v>
      </c>
      <c r="I264" s="179">
        <f>VLOOKUP(B264,Tot_res!C:V,8,FALSE)</f>
        <v>-26955.239263387131</v>
      </c>
      <c r="J264" s="179">
        <f>VLOOKUP(B264,Tot_res!C:V,9,FALSE)</f>
        <v>-100293.63337543784</v>
      </c>
      <c r="K264" s="179">
        <f>VLOOKUP(B264,Tot_res!C:V,10,FALSE)</f>
        <v>-96352.611792343116</v>
      </c>
      <c r="L264" s="179">
        <f>VLOOKUP(B264,Tot_res!C:V,11,FALSE)</f>
        <v>-313859.2775187064</v>
      </c>
      <c r="M264" s="179">
        <f>VLOOKUP(B264,Tot_res!C:V,12,FALSE)</f>
        <v>-206445.92183541245</v>
      </c>
      <c r="N264" s="179">
        <f>VLOOKUP(B264,Tot_res!C:V,13,FALSE)</f>
        <v>-46678.39885555784</v>
      </c>
      <c r="O264" s="179">
        <f>VLOOKUP(B264,Tot_res!C:V,14,FALSE)</f>
        <v>-111502.1048015525</v>
      </c>
      <c r="P264" s="179">
        <f>VLOOKUP(B264,Tot_res!C:V,15,FALSE)</f>
        <v>-185567.16034881229</v>
      </c>
      <c r="Q264" s="179">
        <f>VLOOKUP(B264,Tot_res!C:V,16,FALSE)</f>
        <v>-62271.373746032041</v>
      </c>
      <c r="R264" s="179">
        <f>VLOOKUP(B264,Tot_res!C:V,17,FALSE)</f>
        <v>-28721.338190043647</v>
      </c>
      <c r="S264" s="179">
        <f>VLOOKUP(B264,Tot_res!C:V,18,FALSE)</f>
        <v>-100985.10658871538</v>
      </c>
      <c r="T264" s="179">
        <f>VLOOKUP(B264,Tot_res!C:V,19,FALSE)</f>
        <v>-12952.921679930958</v>
      </c>
      <c r="U264" s="179">
        <f>VLOOKUP(B264,Tot_res!C:V,20,FALSE)</f>
        <v>-6682.3248586979953</v>
      </c>
      <c r="V264" s="122">
        <f t="shared" si="41"/>
        <v>-1817946.0000000005</v>
      </c>
      <c r="W264" s="105"/>
    </row>
    <row r="265" spans="1:23" ht="13.15">
      <c r="A265" s="355"/>
      <c r="B265" s="119" t="s">
        <v>289</v>
      </c>
      <c r="C265" s="333" t="str">
        <f>VLOOKUP(B265,Tot_res!C:D,2,FALSE)</f>
        <v>Excedene bruto de puertos del Estado</v>
      </c>
      <c r="D265" s="179">
        <f>VLOOKUP(B265,Tot_res!C:V,3,FALSE)</f>
        <v>-89895.088919803849</v>
      </c>
      <c r="E265" s="179">
        <f>VLOOKUP(B265,Tot_res!C:V,4,FALSE)</f>
        <v>-12687.533772511682</v>
      </c>
      <c r="F265" s="179">
        <f>VLOOKUP(B265,Tot_res!C:V,5,FALSE)</f>
        <v>-9081.3122038014044</v>
      </c>
      <c r="G265" s="179">
        <f>VLOOKUP(B265,Tot_res!C:V,6,FALSE)</f>
        <v>-15847.747382585347</v>
      </c>
      <c r="H265" s="179">
        <f>VLOOKUP(B265,Tot_res!C:V,7,FALSE)</f>
        <v>-33445.537355406537</v>
      </c>
      <c r="I265" s="179">
        <f>VLOOKUP(B265,Tot_res!C:V,8,FALSE)</f>
        <v>-3897.0391614020209</v>
      </c>
      <c r="J265" s="179">
        <f>VLOOKUP(B265,Tot_res!C:V,9,FALSE)</f>
        <v>-30778.731663990977</v>
      </c>
      <c r="K265" s="179">
        <f>VLOOKUP(B265,Tot_res!C:V,10,FALSE)</f>
        <v>-25724.479958690245</v>
      </c>
      <c r="L265" s="179">
        <f>VLOOKUP(B265,Tot_res!C:V,11,FALSE)</f>
        <v>-78681.93063922759</v>
      </c>
      <c r="M265" s="179">
        <f>VLOOKUP(B265,Tot_res!C:V,12,FALSE)</f>
        <v>-52323.621638008197</v>
      </c>
      <c r="N265" s="179">
        <f>VLOOKUP(B265,Tot_res!C:V,13,FALSE)</f>
        <v>-16012.249100052552</v>
      </c>
      <c r="O265" s="179">
        <f>VLOOKUP(B265,Tot_res!C:V,14,FALSE)</f>
        <v>-22494.228569526847</v>
      </c>
      <c r="P265" s="179">
        <f>VLOOKUP(B265,Tot_res!C:V,15,FALSE)</f>
        <v>-103331.77362637816</v>
      </c>
      <c r="Q265" s="179">
        <f>VLOOKUP(B265,Tot_res!C:V,16,FALSE)</f>
        <v>-10358.842837256761</v>
      </c>
      <c r="R265" s="179">
        <f>VLOOKUP(B265,Tot_res!C:V,17,FALSE)</f>
        <v>-4785.4206424565909</v>
      </c>
      <c r="S265" s="179">
        <f>VLOOKUP(B265,Tot_res!C:V,18,FALSE)</f>
        <v>-17298.888584370572</v>
      </c>
      <c r="T265" s="179">
        <f>VLOOKUP(B265,Tot_res!C:V,19,FALSE)</f>
        <v>-2850.6840685767306</v>
      </c>
      <c r="U265" s="179">
        <f>VLOOKUP(B265,Tot_res!C:V,20,FALSE)</f>
        <v>1879.7713440460811</v>
      </c>
      <c r="V265" s="122">
        <f t="shared" si="41"/>
        <v>-527615.33878000011</v>
      </c>
      <c r="W265" s="105"/>
    </row>
    <row r="266" spans="1:23" ht="13.15">
      <c r="A266" s="355"/>
      <c r="B266" s="119" t="s">
        <v>290</v>
      </c>
      <c r="C266" s="333" t="str">
        <f>VLOOKUP(B266,Tot_res!C:D,2,FALSE)</f>
        <v>Excedente bruto de los concesionarios de autopistas de peaje</v>
      </c>
      <c r="D266" s="179">
        <f>VLOOKUP(B266,Tot_res!C:V,3,FALSE)</f>
        <v>-154050.71417042837</v>
      </c>
      <c r="E266" s="179">
        <f>VLOOKUP(B266,Tot_res!C:V,4,FALSE)</f>
        <v>-52854.479885663917</v>
      </c>
      <c r="F266" s="179">
        <f>VLOOKUP(B266,Tot_res!C:V,5,FALSE)</f>
        <v>-21383.021074605411</v>
      </c>
      <c r="G266" s="179">
        <f>VLOOKUP(B266,Tot_res!C:V,6,FALSE)</f>
        <v>-11085.018167608483</v>
      </c>
      <c r="H266" s="179">
        <f>VLOOKUP(B266,Tot_res!C:V,7,FALSE)</f>
        <v>-20783.57837116066</v>
      </c>
      <c r="I266" s="179">
        <f>VLOOKUP(B266,Tot_res!C:V,8,FALSE)</f>
        <v>-7366.7404713933738</v>
      </c>
      <c r="J266" s="179">
        <f>VLOOKUP(B266,Tot_res!C:V,9,FALSE)</f>
        <v>-80072.509725426324</v>
      </c>
      <c r="K266" s="179">
        <f>VLOOKUP(B266,Tot_res!C:V,10,FALSE)</f>
        <v>-75603.106735362759</v>
      </c>
      <c r="L266" s="179">
        <f>VLOOKUP(B266,Tot_res!C:V,11,FALSE)</f>
        <v>-222472.26557063538</v>
      </c>
      <c r="M266" s="179">
        <f>VLOOKUP(B266,Tot_res!C:V,12,FALSE)</f>
        <v>-136036.00086213308</v>
      </c>
      <c r="N266" s="179">
        <f>VLOOKUP(B266,Tot_res!C:V,13,FALSE)</f>
        <v>-17423.918467471667</v>
      </c>
      <c r="O266" s="179">
        <f>VLOOKUP(B266,Tot_res!C:V,14,FALSE)</f>
        <v>-93093.968333632889</v>
      </c>
      <c r="P266" s="179">
        <f>VLOOKUP(B266,Tot_res!C:V,15,FALSE)</f>
        <v>-141405.1747237175</v>
      </c>
      <c r="Q266" s="179">
        <f>VLOOKUP(B266,Tot_res!C:V,16,FALSE)</f>
        <v>-37176.358286666415</v>
      </c>
      <c r="R266" s="179">
        <f>VLOOKUP(B266,Tot_res!C:V,17,FALSE)</f>
        <v>-37750.550943844864</v>
      </c>
      <c r="S266" s="179">
        <f>VLOOKUP(B266,Tot_res!C:V,18,FALSE)</f>
        <v>-81288.805246130709</v>
      </c>
      <c r="T266" s="179">
        <f>VLOOKUP(B266,Tot_res!C:V,19,FALSE)</f>
        <v>-26510.476724979293</v>
      </c>
      <c r="U266" s="179">
        <f>VLOOKUP(B266,Tot_res!C:V,20,FALSE)</f>
        <v>-1717.3122391384218</v>
      </c>
      <c r="V266" s="122">
        <f t="shared" si="41"/>
        <v>-1218073.9999999998</v>
      </c>
      <c r="W266" s="105"/>
    </row>
    <row r="267" spans="1:23" ht="13.15">
      <c r="A267" s="355"/>
      <c r="B267" s="119" t="s">
        <v>291</v>
      </c>
      <c r="C267" s="333" t="str">
        <f>VLOOKUP(B267,Tot_res!C:D,2,FALSE)</f>
        <v>Infraestructuras de carreteras, SEITT + AF06/2</v>
      </c>
      <c r="D267" s="179">
        <f>VLOOKUP(B267,Tot_res!C:V,3,FALSE)</f>
        <v>40900.666261324819</v>
      </c>
      <c r="E267" s="179">
        <f>VLOOKUP(B267,Tot_res!C:V,4,FALSE)</f>
        <v>6925.4373096927711</v>
      </c>
      <c r="F267" s="179">
        <f>VLOOKUP(B267,Tot_res!C:V,5,FALSE)</f>
        <v>73216.568289780116</v>
      </c>
      <c r="G267" s="179">
        <f>VLOOKUP(B267,Tot_res!C:V,6,FALSE)</f>
        <v>505.98920215465938</v>
      </c>
      <c r="H267" s="179">
        <f>VLOOKUP(B267,Tot_res!C:V,7,FALSE)</f>
        <v>1139.2143983774952</v>
      </c>
      <c r="I267" s="179">
        <f>VLOOKUP(B267,Tot_res!C:V,8,FALSE)</f>
        <v>8539.8934892262987</v>
      </c>
      <c r="J267" s="179">
        <f>VLOOKUP(B267,Tot_res!C:V,9,FALSE)</f>
        <v>7667.9704059595333</v>
      </c>
      <c r="K267" s="179">
        <f>VLOOKUP(B267,Tot_res!C:V,10,FALSE)</f>
        <v>50624.515130572472</v>
      </c>
      <c r="L267" s="179">
        <f>VLOOKUP(B267,Tot_res!C:V,11,FALSE)</f>
        <v>15249.479601821875</v>
      </c>
      <c r="M267" s="179">
        <f>VLOOKUP(B267,Tot_res!C:V,12,FALSE)</f>
        <v>22101.868918288241</v>
      </c>
      <c r="N267" s="179">
        <f>VLOOKUP(B267,Tot_res!C:V,13,FALSE)</f>
        <v>1110.7457491374494</v>
      </c>
      <c r="O267" s="179">
        <f>VLOOKUP(B267,Tot_res!C:V,14,FALSE)</f>
        <v>17895.434535624245</v>
      </c>
      <c r="P267" s="179">
        <f>VLOOKUP(B267,Tot_res!C:V,15,FALSE)</f>
        <v>22417.393926311783</v>
      </c>
      <c r="Q267" s="179">
        <f>VLOOKUP(B267,Tot_res!C:V,16,FALSE)</f>
        <v>1429.0040423744661</v>
      </c>
      <c r="R267" s="179">
        <f>VLOOKUP(B267,Tot_res!C:V,17,FALSE)</f>
        <v>4508.9189239891657</v>
      </c>
      <c r="S267" s="179">
        <f>VLOOKUP(B267,Tot_res!C:V,18,FALSE)</f>
        <v>14089.78780545161</v>
      </c>
      <c r="T267" s="179">
        <f>VLOOKUP(B267,Tot_res!C:V,19,FALSE)</f>
        <v>468.00809304725516</v>
      </c>
      <c r="U267" s="179">
        <f>VLOOKUP(B267,Tot_res!C:V,20,FALSE)</f>
        <v>108.08434528663315</v>
      </c>
      <c r="V267" s="122">
        <f t="shared" si="41"/>
        <v>288898.98042842094</v>
      </c>
      <c r="W267" s="105"/>
    </row>
    <row r="268" spans="1:23" ht="13.15">
      <c r="A268" s="355"/>
      <c r="B268" s="119" t="s">
        <v>293</v>
      </c>
      <c r="C268" s="333" t="str">
        <f>VLOOKUP(B268,Tot_res!C:D,2,FALSE)</f>
        <v>"Y" ferroviaria vasca, parte financiada mediante descuento del cupo</v>
      </c>
      <c r="D268" s="179">
        <f>VLOOKUP(B268,Tot_res!C:V,3,FALSE)</f>
        <v>13454.412890823405</v>
      </c>
      <c r="E268" s="179">
        <f>VLOOKUP(B268,Tot_res!C:V,4,FALSE)</f>
        <v>2935.3068860016083</v>
      </c>
      <c r="F268" s="179">
        <f>VLOOKUP(B268,Tot_res!C:V,5,FALSE)</f>
        <v>1594.0512594789966</v>
      </c>
      <c r="G268" s="179">
        <f>VLOOKUP(B268,Tot_res!C:V,6,FALSE)</f>
        <v>314.18139315223539</v>
      </c>
      <c r="H268" s="179">
        <f>VLOOKUP(B268,Tot_res!C:V,7,FALSE)</f>
        <v>517.67546879185147</v>
      </c>
      <c r="I268" s="179">
        <f>VLOOKUP(B268,Tot_res!C:V,8,FALSE)</f>
        <v>1008.3571605462777</v>
      </c>
      <c r="J268" s="179">
        <f>VLOOKUP(B268,Tot_res!C:V,9,FALSE)</f>
        <v>2707.8210771754207</v>
      </c>
      <c r="K268" s="179">
        <f>VLOOKUP(B268,Tot_res!C:V,10,FALSE)</f>
        <v>4930.0474642964555</v>
      </c>
      <c r="L268" s="179">
        <f>VLOOKUP(B268,Tot_res!C:V,11,FALSE)</f>
        <v>26651.112223539873</v>
      </c>
      <c r="M268" s="179">
        <f>VLOOKUP(B268,Tot_res!C:V,12,FALSE)</f>
        <v>9287.1988035092108</v>
      </c>
      <c r="N268" s="179">
        <f>VLOOKUP(B268,Tot_res!C:V,13,FALSE)</f>
        <v>875.03840393310384</v>
      </c>
      <c r="O268" s="179">
        <f>VLOOKUP(B268,Tot_res!C:V,14,FALSE)</f>
        <v>2259.7481484662253</v>
      </c>
      <c r="P268" s="179">
        <f>VLOOKUP(B268,Tot_res!C:V,15,FALSE)</f>
        <v>36053.079613481517</v>
      </c>
      <c r="Q268" s="179">
        <f>VLOOKUP(B268,Tot_res!C:V,16,FALSE)</f>
        <v>1637.3918494126015</v>
      </c>
      <c r="R268" s="179">
        <f>VLOOKUP(B268,Tot_res!C:V,17,FALSE)</f>
        <v>2013.1097948786723</v>
      </c>
      <c r="S268" s="179">
        <f>VLOOKUP(B268,Tot_res!C:V,18,FALSE)</f>
        <v>226782.46946148557</v>
      </c>
      <c r="T268" s="179">
        <f>VLOOKUP(B268,Tot_res!C:V,19,FALSE)</f>
        <v>347.03105853424478</v>
      </c>
      <c r="U268" s="179">
        <f>VLOOKUP(B268,Tot_res!C:V,20,FALSE)</f>
        <v>111.2570424926779</v>
      </c>
      <c r="V268" s="122">
        <f t="shared" si="41"/>
        <v>333479.28999999992</v>
      </c>
      <c r="W268" s="105"/>
    </row>
    <row r="269" spans="1:23" ht="13.15">
      <c r="A269" s="355"/>
      <c r="B269" s="115" t="s">
        <v>233</v>
      </c>
      <c r="C269" s="333" t="str">
        <f>VLOOKUP(B269,Tot_res!C:D,2,FALSE)</f>
        <v>Ajuste forales, ayudas al transporte colectivo urbano</v>
      </c>
      <c r="D269" s="179">
        <f>VLOOKUP(B269,Tot_res!C:V,3,FALSE)</f>
        <v>0</v>
      </c>
      <c r="E269" s="179">
        <f>VLOOKUP(B269,Tot_res!C:V,4,FALSE)</f>
        <v>0</v>
      </c>
      <c r="F269" s="179">
        <f>VLOOKUP(B269,Tot_res!C:V,5,FALSE)</f>
        <v>0</v>
      </c>
      <c r="G269" s="179">
        <f>VLOOKUP(B269,Tot_res!C:V,6,FALSE)</f>
        <v>0</v>
      </c>
      <c r="H269" s="179">
        <f>VLOOKUP(B269,Tot_res!C:V,7,FALSE)</f>
        <v>0</v>
      </c>
      <c r="I269" s="179">
        <f>VLOOKUP(B269,Tot_res!C:V,8,FALSE)</f>
        <v>0</v>
      </c>
      <c r="J269" s="179">
        <f>VLOOKUP(B269,Tot_res!C:V,9,FALSE)</f>
        <v>0</v>
      </c>
      <c r="K269" s="179">
        <f>VLOOKUP(B269,Tot_res!C:V,10,FALSE)</f>
        <v>0</v>
      </c>
      <c r="L269" s="179">
        <f>VLOOKUP(B269,Tot_res!C:V,11,FALSE)</f>
        <v>0</v>
      </c>
      <c r="M269" s="179">
        <f>VLOOKUP(B269,Tot_res!C:V,12,FALSE)</f>
        <v>0</v>
      </c>
      <c r="N269" s="179">
        <f>VLOOKUP(B269,Tot_res!C:V,13,FALSE)</f>
        <v>0</v>
      </c>
      <c r="O269" s="179">
        <f>VLOOKUP(B269,Tot_res!C:V,14,FALSE)</f>
        <v>0</v>
      </c>
      <c r="P269" s="179">
        <f>VLOOKUP(B269,Tot_res!C:V,15,FALSE)</f>
        <v>0</v>
      </c>
      <c r="Q269" s="179">
        <f>VLOOKUP(B269,Tot_res!C:V,16,FALSE)</f>
        <v>0</v>
      </c>
      <c r="R269" s="179">
        <f>VLOOKUP(B269,Tot_res!C:V,17,FALSE)</f>
        <v>4345.973324465418</v>
      </c>
      <c r="S269" s="179">
        <f>VLOOKUP(B269,Tot_res!C:V,18,FALSE)</f>
        <v>14786.873730217885</v>
      </c>
      <c r="T269" s="179">
        <f>VLOOKUP(B269,Tot_res!C:V,19,FALSE)</f>
        <v>0</v>
      </c>
      <c r="U269" s="179">
        <f>VLOOKUP(B269,Tot_res!C:V,20,FALSE)</f>
        <v>0</v>
      </c>
      <c r="V269" s="122">
        <f t="shared" si="41"/>
        <v>19132.847054683305</v>
      </c>
      <c r="W269" s="105"/>
    </row>
    <row r="270" spans="1:23" ht="13.15">
      <c r="A270" s="356"/>
      <c r="B270" s="115"/>
      <c r="C270" s="119"/>
      <c r="D270" s="105"/>
      <c r="E270" s="105"/>
      <c r="F270" s="105"/>
      <c r="G270" s="105"/>
      <c r="H270" s="105"/>
      <c r="I270" s="105"/>
      <c r="J270" s="105"/>
      <c r="K270" s="105"/>
      <c r="L270" s="105"/>
      <c r="M270" s="105"/>
      <c r="N270" s="105"/>
      <c r="O270" s="105"/>
      <c r="P270" s="105"/>
      <c r="Q270" s="105"/>
      <c r="R270" s="105"/>
      <c r="S270" s="105"/>
      <c r="T270" s="105"/>
      <c r="U270" s="105"/>
      <c r="V270" s="122"/>
    </row>
    <row r="271" spans="1:23" ht="13.15">
      <c r="A271" s="356"/>
      <c r="B271" s="115"/>
      <c r="C271" s="117" t="s">
        <v>55</v>
      </c>
      <c r="D271" s="114">
        <f t="shared" ref="D271:V271" si="42">SUM(D272:D286)</f>
        <v>1823045.0832811436</v>
      </c>
      <c r="E271" s="114">
        <f t="shared" si="42"/>
        <v>109819.06119272913</v>
      </c>
      <c r="F271" s="114">
        <f t="shared" si="42"/>
        <v>151431.18562461826</v>
      </c>
      <c r="G271" s="114">
        <f t="shared" si="42"/>
        <v>249477.65767749504</v>
      </c>
      <c r="H271" s="114">
        <f t="shared" si="42"/>
        <v>932721.49867724092</v>
      </c>
      <c r="I271" s="114">
        <f t="shared" si="42"/>
        <v>28396.853091651123</v>
      </c>
      <c r="J271" s="114">
        <f t="shared" si="42"/>
        <v>292378.18120734807</v>
      </c>
      <c r="K271" s="114">
        <f t="shared" si="42"/>
        <v>206224.85884329831</v>
      </c>
      <c r="L271" s="114">
        <f t="shared" si="42"/>
        <v>11612.695473886908</v>
      </c>
      <c r="M271" s="114">
        <f t="shared" si="42"/>
        <v>254247.60879532955</v>
      </c>
      <c r="N271" s="114">
        <f t="shared" si="42"/>
        <v>345901.99569033296</v>
      </c>
      <c r="O271" s="114">
        <f t="shared" si="42"/>
        <v>401007.44129288313</v>
      </c>
      <c r="P271" s="114">
        <f t="shared" si="42"/>
        <v>80481.943704393605</v>
      </c>
      <c r="Q271" s="114">
        <f t="shared" si="42"/>
        <v>91540.115045685117</v>
      </c>
      <c r="R271" s="114">
        <f t="shared" si="42"/>
        <v>15786.591591227127</v>
      </c>
      <c r="S271" s="114">
        <f t="shared" si="42"/>
        <v>57492.339866444949</v>
      </c>
      <c r="T271" s="114">
        <f t="shared" si="42"/>
        <v>11641.901255315612</v>
      </c>
      <c r="U271" s="114">
        <f t="shared" si="42"/>
        <v>72397.03762506746</v>
      </c>
      <c r="V271" s="126">
        <f t="shared" si="42"/>
        <v>5135604.0499360906</v>
      </c>
    </row>
    <row r="272" spans="1:23" ht="13.15">
      <c r="A272" s="355"/>
      <c r="B272" s="115" t="s">
        <v>641</v>
      </c>
      <c r="C272" s="333" t="str">
        <f>VLOOKUP(B272,Tot_res!C:D,2,FALSE)</f>
        <v>Subsidio y renta para eventuales agrarios en Andalucía y Extremadura</v>
      </c>
      <c r="D272" s="179">
        <f>VLOOKUP(B272,Tot_res!C:V,3,FALSE)</f>
        <v>899777.32923605794</v>
      </c>
      <c r="E272" s="179">
        <f>VLOOKUP(B272,Tot_res!C:V,4,FALSE)</f>
        <v>0</v>
      </c>
      <c r="F272" s="179">
        <f>VLOOKUP(B272,Tot_res!C:V,5,FALSE)</f>
        <v>0</v>
      </c>
      <c r="G272" s="179">
        <f>VLOOKUP(B272,Tot_res!C:V,6,FALSE)</f>
        <v>0</v>
      </c>
      <c r="H272" s="179">
        <f>VLOOKUP(B272,Tot_res!C:V,7,FALSE)</f>
        <v>0</v>
      </c>
      <c r="I272" s="179">
        <f>VLOOKUP(B272,Tot_res!C:V,8,FALSE)</f>
        <v>0</v>
      </c>
      <c r="J272" s="179">
        <f>VLOOKUP(B272,Tot_res!C:V,9,FALSE)</f>
        <v>0</v>
      </c>
      <c r="K272" s="179">
        <f>VLOOKUP(B272,Tot_res!C:V,10,FALSE)</f>
        <v>0</v>
      </c>
      <c r="L272" s="179">
        <f>VLOOKUP(B272,Tot_res!C:V,11,FALSE)</f>
        <v>0</v>
      </c>
      <c r="M272" s="179">
        <f>VLOOKUP(B272,Tot_res!C:V,12,FALSE)</f>
        <v>0</v>
      </c>
      <c r="N272" s="179">
        <f>VLOOKUP(B272,Tot_res!C:V,13,FALSE)</f>
        <v>131485.02133586773</v>
      </c>
      <c r="O272" s="179">
        <f>VLOOKUP(B272,Tot_res!C:V,14,FALSE)</f>
        <v>0</v>
      </c>
      <c r="P272" s="179">
        <f>VLOOKUP(B272,Tot_res!C:V,15,FALSE)</f>
        <v>0</v>
      </c>
      <c r="Q272" s="179">
        <f>VLOOKUP(B272,Tot_res!C:V,16,FALSE)</f>
        <v>0</v>
      </c>
      <c r="R272" s="179">
        <f>VLOOKUP(B272,Tot_res!C:V,17,FALSE)</f>
        <v>0</v>
      </c>
      <c r="S272" s="179">
        <f>VLOOKUP(B272,Tot_res!C:V,18,FALSE)</f>
        <v>0</v>
      </c>
      <c r="T272" s="179">
        <f>VLOOKUP(B272,Tot_res!C:V,19,FALSE)</f>
        <v>0</v>
      </c>
      <c r="U272" s="179">
        <f>VLOOKUP(B272,Tot_res!C:V,20,FALSE)</f>
        <v>0</v>
      </c>
      <c r="V272" s="122">
        <f t="shared" ref="V272:V286" si="43">SUM(D272:U272)</f>
        <v>1031262.3505719256</v>
      </c>
    </row>
    <row r="273" spans="1:22" ht="13.15">
      <c r="A273" s="355"/>
      <c r="B273" s="115" t="s">
        <v>295</v>
      </c>
      <c r="C273" s="333" t="str">
        <f>VLOOKUP(B273,Tot_res!C:D,2,FALSE)</f>
        <v>Incentivos regionales a la localización industrial</v>
      </c>
      <c r="D273" s="179">
        <f>VLOOKUP(B273,Tot_res!C:V,3,FALSE)</f>
        <v>14849.084888369598</v>
      </c>
      <c r="E273" s="179">
        <f>VLOOKUP(B273,Tot_res!C:V,4,FALSE)</f>
        <v>875.82822688403189</v>
      </c>
      <c r="F273" s="179">
        <f>VLOOKUP(B273,Tot_res!C:V,5,FALSE)</f>
        <v>3594.9768860917006</v>
      </c>
      <c r="G273" s="179">
        <f>VLOOKUP(B273,Tot_res!C:V,6,FALSE)</f>
        <v>0</v>
      </c>
      <c r="H273" s="179">
        <f>VLOOKUP(B273,Tot_res!C:V,7,FALSE)</f>
        <v>6435.1617418805008</v>
      </c>
      <c r="I273" s="179">
        <f>VLOOKUP(B273,Tot_res!C:V,8,FALSE)</f>
        <v>0</v>
      </c>
      <c r="J273" s="179">
        <f>VLOOKUP(B273,Tot_res!C:V,9,FALSE)</f>
        <v>12442.242945977056</v>
      </c>
      <c r="K273" s="179">
        <f>VLOOKUP(B273,Tot_res!C:V,10,FALSE)</f>
        <v>8909.3777961982614</v>
      </c>
      <c r="L273" s="179">
        <f>VLOOKUP(B273,Tot_res!C:V,11,FALSE)</f>
        <v>0</v>
      </c>
      <c r="M273" s="179">
        <f>VLOOKUP(B273,Tot_res!C:V,12,FALSE)</f>
        <v>18269.309800532712</v>
      </c>
      <c r="N273" s="179">
        <f>VLOOKUP(B273,Tot_res!C:V,13,FALSE)</f>
        <v>8134.7775073167786</v>
      </c>
      <c r="O273" s="179">
        <f>VLOOKUP(B273,Tot_res!C:V,14,FALSE)</f>
        <v>6144.8793880070652</v>
      </c>
      <c r="P273" s="179">
        <f>VLOOKUP(B273,Tot_res!C:V,15,FALSE)</f>
        <v>0</v>
      </c>
      <c r="Q273" s="179">
        <f>VLOOKUP(B273,Tot_res!C:V,16,FALSE)</f>
        <v>1895.7842887422921</v>
      </c>
      <c r="R273" s="179">
        <f>VLOOKUP(B273,Tot_res!C:V,17,FALSE)</f>
        <v>0</v>
      </c>
      <c r="S273" s="179">
        <f>VLOOKUP(B273,Tot_res!C:V,18,FALSE)</f>
        <v>0</v>
      </c>
      <c r="T273" s="179">
        <f>VLOOKUP(B273,Tot_res!C:V,19,FALSE)</f>
        <v>0</v>
      </c>
      <c r="U273" s="179">
        <f>VLOOKUP(B273,Tot_res!C:V,20,FALSE)</f>
        <v>0</v>
      </c>
      <c r="V273" s="122">
        <f t="shared" si="43"/>
        <v>81551.42346999998</v>
      </c>
    </row>
    <row r="274" spans="1:22" ht="13.15">
      <c r="A274" s="355"/>
      <c r="B274" s="115" t="s">
        <v>296</v>
      </c>
      <c r="C274" s="333" t="str">
        <f>VLOOKUP(B274,Tot_res!C:D,2,FALSE)</f>
        <v>Desarrollo alternativo de las comarcas mineras del carbón</v>
      </c>
      <c r="D274" s="179">
        <f>VLOOKUP(B274,Tot_res!C:V,3,FALSE)</f>
        <v>1998.40671</v>
      </c>
      <c r="E274" s="179">
        <f>VLOOKUP(B274,Tot_res!C:V,4,FALSE)</f>
        <v>888.51283999999998</v>
      </c>
      <c r="F274" s="179">
        <f>VLOOKUP(B274,Tot_res!C:V,5,FALSE)</f>
        <v>9245.3795399999999</v>
      </c>
      <c r="G274" s="179">
        <f>VLOOKUP(B274,Tot_res!C:V,6,FALSE)</f>
        <v>0</v>
      </c>
      <c r="H274" s="179">
        <f>VLOOKUP(B274,Tot_res!C:V,7,FALSE)</f>
        <v>0</v>
      </c>
      <c r="I274" s="179">
        <f>VLOOKUP(B274,Tot_res!C:V,8,FALSE)</f>
        <v>0</v>
      </c>
      <c r="J274" s="179">
        <f>VLOOKUP(B274,Tot_res!C:V,9,FALSE)</f>
        <v>1853.4641300000001</v>
      </c>
      <c r="K274" s="179">
        <f>VLOOKUP(B274,Tot_res!C:V,10,FALSE)</f>
        <v>1175.6240399999999</v>
      </c>
      <c r="L274" s="179">
        <f>VLOOKUP(B274,Tot_res!C:V,11,FALSE)</f>
        <v>129.00861</v>
      </c>
      <c r="M274" s="179">
        <f>VLOOKUP(B274,Tot_res!C:V,12,FALSE)</f>
        <v>0</v>
      </c>
      <c r="N274" s="179">
        <f>VLOOKUP(B274,Tot_res!C:V,13,FALSE)</f>
        <v>0</v>
      </c>
      <c r="O274" s="179">
        <f>VLOOKUP(B274,Tot_res!C:V,14,FALSE)</f>
        <v>4728.2523000000001</v>
      </c>
      <c r="P274" s="179">
        <f>VLOOKUP(B274,Tot_res!C:V,15,FALSE)</f>
        <v>0</v>
      </c>
      <c r="Q274" s="179">
        <f>VLOOKUP(B274,Tot_res!C:V,16,FALSE)</f>
        <v>0</v>
      </c>
      <c r="R274" s="179">
        <f>VLOOKUP(B274,Tot_res!C:V,17,FALSE)</f>
        <v>0</v>
      </c>
      <c r="S274" s="179">
        <f>VLOOKUP(B274,Tot_res!C:V,18,FALSE)</f>
        <v>0</v>
      </c>
      <c r="T274" s="179">
        <f>VLOOKUP(B274,Tot_res!C:V,19,FALSE)</f>
        <v>0</v>
      </c>
      <c r="U274" s="179">
        <f>VLOOKUP(B274,Tot_res!C:V,20,FALSE)</f>
        <v>0</v>
      </c>
      <c r="V274" s="122">
        <f t="shared" si="43"/>
        <v>20018.64817</v>
      </c>
    </row>
    <row r="275" spans="1:22" ht="13.15">
      <c r="A275" s="355"/>
      <c r="B275" s="115" t="s">
        <v>642</v>
      </c>
      <c r="C275" s="333" t="str">
        <f>VLOOKUP(B275,Tot_res!C:D,2,FALSE)</f>
        <v>Explotación minera</v>
      </c>
      <c r="D275" s="179">
        <f>VLOOKUP(B275,Tot_res!C:V,3,FALSE)</f>
        <v>17138.108612458291</v>
      </c>
      <c r="E275" s="179">
        <f>VLOOKUP(B275,Tot_res!C:V,4,FALSE)</f>
        <v>38567.197150223459</v>
      </c>
      <c r="F275" s="179">
        <f>VLOOKUP(B275,Tot_res!C:V,5,FALSE)</f>
        <v>82867.629021541317</v>
      </c>
      <c r="G275" s="179">
        <f>VLOOKUP(B275,Tot_res!C:V,6,FALSE)</f>
        <v>84.675886546448083</v>
      </c>
      <c r="H275" s="179">
        <f>VLOOKUP(B275,Tot_res!C:V,7,FALSE)</f>
        <v>150.37452014779208</v>
      </c>
      <c r="I275" s="179">
        <f>VLOOKUP(B275,Tot_res!C:V,8,FALSE)</f>
        <v>558.93368518565887</v>
      </c>
      <c r="J275" s="179">
        <f>VLOOKUP(B275,Tot_res!C:V,9,FALSE)</f>
        <v>153048.54719902307</v>
      </c>
      <c r="K275" s="179">
        <f>VLOOKUP(B275,Tot_res!C:V,10,FALSE)</f>
        <v>4968.5835446369911</v>
      </c>
      <c r="L275" s="179">
        <f>VLOOKUP(B275,Tot_res!C:V,11,FALSE)</f>
        <v>4783.7006682402234</v>
      </c>
      <c r="M275" s="179">
        <f>VLOOKUP(B275,Tot_res!C:V,12,FALSE)</f>
        <v>1573.5780780398504</v>
      </c>
      <c r="N275" s="179">
        <f>VLOOKUP(B275,Tot_res!C:V,13,FALSE)</f>
        <v>210.15767071541381</v>
      </c>
      <c r="O275" s="179">
        <f>VLOOKUP(B275,Tot_res!C:V,14,FALSE)</f>
        <v>48764.986992785518</v>
      </c>
      <c r="P275" s="179">
        <f>VLOOKUP(B275,Tot_res!C:V,15,FALSE)</f>
        <v>2450.2279449641642</v>
      </c>
      <c r="Q275" s="179">
        <f>VLOOKUP(B275,Tot_res!C:V,16,FALSE)</f>
        <v>68.561300413027482</v>
      </c>
      <c r="R275" s="179">
        <f>VLOOKUP(B275,Tot_res!C:V,17,FALSE)</f>
        <v>54.872241713485124</v>
      </c>
      <c r="S275" s="179">
        <f>VLOOKUP(B275,Tot_res!C:V,18,FALSE)</f>
        <v>116.96873520325984</v>
      </c>
      <c r="T275" s="179">
        <f>VLOOKUP(B275,Tot_res!C:V,19,FALSE)</f>
        <v>30.346608162021553</v>
      </c>
      <c r="U275" s="179">
        <f>VLOOKUP(B275,Tot_res!C:V,20,FALSE)</f>
        <v>0</v>
      </c>
      <c r="V275" s="122">
        <f t="shared" si="43"/>
        <v>355437.44986000005</v>
      </c>
    </row>
    <row r="276" spans="1:22" ht="13.15">
      <c r="A276" s="355"/>
      <c r="B276" s="115" t="s">
        <v>1188</v>
      </c>
      <c r="C276" s="333" t="str">
        <f>VLOOKUP(B276,Tot_res!C:D,2,FALSE)</f>
        <v>Sobrecostes sistemas eléctricos extrapeninsulares</v>
      </c>
      <c r="D276" s="179">
        <f>VLOOKUP(B276,Tot_res!C:V,3,FALSE)</f>
        <v>0</v>
      </c>
      <c r="E276" s="179">
        <f>VLOOKUP(B276,Tot_res!C:V,4,FALSE)</f>
        <v>0</v>
      </c>
      <c r="F276" s="179">
        <f>VLOOKUP(B276,Tot_res!C:V,5,FALSE)</f>
        <v>0</v>
      </c>
      <c r="G276" s="179">
        <f>VLOOKUP(B276,Tot_res!C:V,6,FALSE)</f>
        <v>108164.14089246791</v>
      </c>
      <c r="H276" s="179">
        <f>VLOOKUP(B276,Tot_res!C:V,7,FALSE)</f>
        <v>364946.38518625777</v>
      </c>
      <c r="I276" s="179">
        <f>VLOOKUP(B276,Tot_res!C:V,8,FALSE)</f>
        <v>0</v>
      </c>
      <c r="J276" s="179">
        <f>VLOOKUP(B276,Tot_res!C:V,9,FALSE)</f>
        <v>0</v>
      </c>
      <c r="K276" s="179">
        <f>VLOOKUP(B276,Tot_res!C:V,10,FALSE)</f>
        <v>0</v>
      </c>
      <c r="L276" s="179">
        <f>VLOOKUP(B276,Tot_res!C:V,11,FALSE)</f>
        <v>0</v>
      </c>
      <c r="M276" s="179">
        <f>VLOOKUP(B276,Tot_res!C:V,12,FALSE)</f>
        <v>0</v>
      </c>
      <c r="N276" s="179">
        <f>VLOOKUP(B276,Tot_res!C:V,13,FALSE)</f>
        <v>0</v>
      </c>
      <c r="O276" s="179">
        <f>VLOOKUP(B276,Tot_res!C:V,14,FALSE)</f>
        <v>0</v>
      </c>
      <c r="P276" s="179">
        <f>VLOOKUP(B276,Tot_res!C:V,15,FALSE)</f>
        <v>0</v>
      </c>
      <c r="Q276" s="179">
        <f>VLOOKUP(B276,Tot_res!C:V,16,FALSE)</f>
        <v>0</v>
      </c>
      <c r="R276" s="179">
        <f>VLOOKUP(B276,Tot_res!C:V,17,FALSE)</f>
        <v>0</v>
      </c>
      <c r="S276" s="179">
        <f>VLOOKUP(B276,Tot_res!C:V,18,FALSE)</f>
        <v>0</v>
      </c>
      <c r="T276" s="179">
        <f>VLOOKUP(B276,Tot_res!C:V,19,FALSE)</f>
        <v>0</v>
      </c>
      <c r="U276" s="179">
        <f>VLOOKUP(B276,Tot_res!C:V,20,FALSE)</f>
        <v>29551.476158950118</v>
      </c>
      <c r="V276" s="122">
        <f t="shared" ref="V276" si="44">SUM(D276:U276)</f>
        <v>502662.00223767583</v>
      </c>
    </row>
    <row r="277" spans="1:22" ht="13.15">
      <c r="A277" s="355"/>
      <c r="B277" s="115" t="s">
        <v>297</v>
      </c>
      <c r="C277" s="333" t="str">
        <f>VLOOKUP(B277,Tot_res!C:D,2,FALSE)</f>
        <v>Subvenciones y apoyo al transporte marítimo</v>
      </c>
      <c r="D277" s="179">
        <f>VLOOKUP(B277,Tot_res!C:V,3,FALSE)</f>
        <v>480.05356785252349</v>
      </c>
      <c r="E277" s="179">
        <f>VLOOKUP(B277,Tot_res!C:V,4,FALSE)</f>
        <v>29.866276642695361</v>
      </c>
      <c r="F277" s="179">
        <f>VLOOKUP(B277,Tot_res!C:V,5,FALSE)</f>
        <v>9.1858376798073387</v>
      </c>
      <c r="G277" s="179">
        <f>VLOOKUP(B277,Tot_res!C:V,6,FALSE)</f>
        <v>13007.86208110406</v>
      </c>
      <c r="H277" s="179">
        <f>VLOOKUP(B277,Tot_res!C:V,7,FALSE)</f>
        <v>24855.098407054844</v>
      </c>
      <c r="I277" s="179">
        <f>VLOOKUP(B277,Tot_res!C:V,8,FALSE)</f>
        <v>15.70416407608532</v>
      </c>
      <c r="J277" s="179">
        <f>VLOOKUP(B277,Tot_res!C:V,9,FALSE)</f>
        <v>13.193894941758032</v>
      </c>
      <c r="K277" s="179">
        <f>VLOOKUP(B277,Tot_res!C:V,10,FALSE)</f>
        <v>24.231030710930746</v>
      </c>
      <c r="L277" s="179">
        <f>VLOOKUP(B277,Tot_res!C:V,11,FALSE)</f>
        <v>344.90140855009446</v>
      </c>
      <c r="M277" s="179">
        <f>VLOOKUP(B277,Tot_res!C:V,12,FALSE)</f>
        <v>222.03169235018751</v>
      </c>
      <c r="N277" s="179">
        <f>VLOOKUP(B277,Tot_res!C:V,13,FALSE)</f>
        <v>14.169714260151462</v>
      </c>
      <c r="O277" s="179">
        <f>VLOOKUP(B277,Tot_res!C:V,14,FALSE)</f>
        <v>16.76588445422864</v>
      </c>
      <c r="P277" s="179">
        <f>VLOOKUP(B277,Tot_res!C:V,15,FALSE)</f>
        <v>130.71375645894247</v>
      </c>
      <c r="Q277" s="179">
        <f>VLOOKUP(B277,Tot_res!C:V,16,FALSE)</f>
        <v>35.070462119489285</v>
      </c>
      <c r="R277" s="179">
        <f>VLOOKUP(B277,Tot_res!C:V,17,FALSE)</f>
        <v>17.405699766443256</v>
      </c>
      <c r="S277" s="179">
        <f>VLOOKUP(B277,Tot_res!C:V,18,FALSE)</f>
        <v>16.992473545231775</v>
      </c>
      <c r="T277" s="179">
        <f>VLOOKUP(B277,Tot_res!C:V,19,FALSE)</f>
        <v>8.7722649782100586</v>
      </c>
      <c r="U277" s="179">
        <f>VLOOKUP(B277,Tot_res!C:V,20,FALSE)</f>
        <v>20530.283593454325</v>
      </c>
      <c r="V277" s="122">
        <f t="shared" ref="V277:V285" si="45">SUM(D277:U277)</f>
        <v>59772.302210000009</v>
      </c>
    </row>
    <row r="278" spans="1:22" ht="13.15">
      <c r="A278" s="355"/>
      <c r="B278" s="115" t="s">
        <v>298</v>
      </c>
      <c r="C278" s="333" t="str">
        <f>VLOOKUP(B278,Tot_res!C:D,2,FALSE)</f>
        <v>Subvenciones y apoyo al transporte aéreo</v>
      </c>
      <c r="D278" s="179">
        <f>VLOOKUP(B278,Tot_res!C:V,3,FALSE)</f>
        <v>1067.0423364053449</v>
      </c>
      <c r="E278" s="179">
        <f>VLOOKUP(B278,Tot_res!C:V,4,FALSE)</f>
        <v>169.26677897898438</v>
      </c>
      <c r="F278" s="179">
        <f>VLOOKUP(B278,Tot_res!C:V,5,FALSE)</f>
        <v>142.17433930542745</v>
      </c>
      <c r="G278" s="179">
        <f>VLOOKUP(B278,Tot_res!C:V,6,FALSE)</f>
        <v>97321.718417376629</v>
      </c>
      <c r="H278" s="179">
        <f>VLOOKUP(B278,Tot_res!C:V,7,FALSE)</f>
        <v>169095.39616541055</v>
      </c>
      <c r="I278" s="179">
        <f>VLOOKUP(B278,Tot_res!C:V,8,FALSE)</f>
        <v>83.782742389374022</v>
      </c>
      <c r="J278" s="179">
        <f>VLOOKUP(B278,Tot_res!C:V,9,FALSE)</f>
        <v>311.26378740602246</v>
      </c>
      <c r="K278" s="179">
        <f>VLOOKUP(B278,Tot_res!C:V,10,FALSE)</f>
        <v>252.52743175218546</v>
      </c>
      <c r="L278" s="179">
        <f>VLOOKUP(B278,Tot_res!C:V,11,FALSE)</f>
        <v>1052.7347870966353</v>
      </c>
      <c r="M278" s="179">
        <f>VLOOKUP(B278,Tot_res!C:V,12,FALSE)</f>
        <v>646.40922440682095</v>
      </c>
      <c r="N278" s="179">
        <f>VLOOKUP(B278,Tot_res!C:V,13,FALSE)</f>
        <v>135.89197217291829</v>
      </c>
      <c r="O278" s="179">
        <f>VLOOKUP(B278,Tot_res!C:V,14,FALSE)</f>
        <v>350.66734763627221</v>
      </c>
      <c r="P278" s="179">
        <f>VLOOKUP(B278,Tot_res!C:V,15,FALSE)</f>
        <v>882.49200297049106</v>
      </c>
      <c r="Q278" s="179">
        <f>VLOOKUP(B278,Tot_res!C:V,16,FALSE)</f>
        <v>177.61599441029912</v>
      </c>
      <c r="R278" s="179">
        <f>VLOOKUP(B278,Tot_res!C:V,17,FALSE)</f>
        <v>81.973649747191331</v>
      </c>
      <c r="S278" s="179">
        <f>VLOOKUP(B278,Tot_res!C:V,18,FALSE)</f>
        <v>299.66865769647359</v>
      </c>
      <c r="T278" s="179">
        <f>VLOOKUP(B278,Tot_res!C:V,19,FALSE)</f>
        <v>40.572382175379836</v>
      </c>
      <c r="U278" s="179">
        <f>VLOOKUP(B278,Tot_res!C:V,20,FALSE)</f>
        <v>1194.6181926630245</v>
      </c>
      <c r="V278" s="122">
        <f t="shared" si="45"/>
        <v>273305.81620999996</v>
      </c>
    </row>
    <row r="279" spans="1:22" ht="13.15">
      <c r="A279" s="355"/>
      <c r="B279" s="115" t="s">
        <v>299</v>
      </c>
      <c r="C279" s="333" t="str">
        <f>VLOOKUP(B279,Tot_res!C:D,2,FALSE)</f>
        <v>Subvenciones al transporte extrapeninsular de mercancías</v>
      </c>
      <c r="D279" s="179">
        <f>VLOOKUP(B279,Tot_res!C:V,3,FALSE)</f>
        <v>0</v>
      </c>
      <c r="E279" s="179">
        <f>VLOOKUP(B279,Tot_res!C:V,4,FALSE)</f>
        <v>0</v>
      </c>
      <c r="F279" s="179">
        <f>VLOOKUP(B279,Tot_res!C:V,5,FALSE)</f>
        <v>0</v>
      </c>
      <c r="G279" s="179">
        <f>VLOOKUP(B279,Tot_res!C:V,6,FALSE)</f>
        <v>1169.3403999999998</v>
      </c>
      <c r="H279" s="179">
        <f>VLOOKUP(B279,Tot_res!C:V,7,FALSE)</f>
        <v>18655.115129999998</v>
      </c>
      <c r="I279" s="179">
        <f>VLOOKUP(B279,Tot_res!C:V,8,FALSE)</f>
        <v>0</v>
      </c>
      <c r="J279" s="179">
        <f>VLOOKUP(B279,Tot_res!C:V,9,FALSE)</f>
        <v>0</v>
      </c>
      <c r="K279" s="179">
        <f>VLOOKUP(B279,Tot_res!C:V,10,FALSE)</f>
        <v>0</v>
      </c>
      <c r="L279" s="179">
        <f>VLOOKUP(B279,Tot_res!C:V,11,FALSE)</f>
        <v>0</v>
      </c>
      <c r="M279" s="179">
        <f>VLOOKUP(B279,Tot_res!C:V,12,FALSE)</f>
        <v>0</v>
      </c>
      <c r="N279" s="179">
        <f>VLOOKUP(B279,Tot_res!C:V,13,FALSE)</f>
        <v>0</v>
      </c>
      <c r="O279" s="179">
        <f>VLOOKUP(B279,Tot_res!C:V,14,FALSE)</f>
        <v>0</v>
      </c>
      <c r="P279" s="179">
        <f>VLOOKUP(B279,Tot_res!C:V,15,FALSE)</f>
        <v>0</v>
      </c>
      <c r="Q279" s="179">
        <f>VLOOKUP(B279,Tot_res!C:V,16,FALSE)</f>
        <v>0</v>
      </c>
      <c r="R279" s="179">
        <f>VLOOKUP(B279,Tot_res!C:V,17,FALSE)</f>
        <v>0</v>
      </c>
      <c r="S279" s="179">
        <f>VLOOKUP(B279,Tot_res!C:V,18,FALSE)</f>
        <v>0</v>
      </c>
      <c r="T279" s="179">
        <f>VLOOKUP(B279,Tot_res!C:V,19,FALSE)</f>
        <v>0</v>
      </c>
      <c r="U279" s="179">
        <f>VLOOKUP(B279,Tot_res!C:V,20,FALSE)</f>
        <v>0</v>
      </c>
      <c r="V279" s="122">
        <f t="shared" si="45"/>
        <v>19824.455529999999</v>
      </c>
    </row>
    <row r="280" spans="1:22" ht="13.15">
      <c r="A280" s="355"/>
      <c r="B280" s="115" t="s">
        <v>300</v>
      </c>
      <c r="C280" s="333" t="str">
        <f>VLOOKUP(B280,Tot_res!C:D,2,FALSE)</f>
        <v>Infraestructuras en comarcas mineras del carbón</v>
      </c>
      <c r="D280" s="179">
        <f>VLOOKUP(B280,Tot_res!C:V,3,FALSE)</f>
        <v>399.89792999999997</v>
      </c>
      <c r="E280" s="179">
        <f>VLOOKUP(B280,Tot_res!C:V,4,FALSE)</f>
        <v>704.02992000000006</v>
      </c>
      <c r="F280" s="179">
        <f>VLOOKUP(B280,Tot_res!C:V,5,FALSE)</f>
        <v>0</v>
      </c>
      <c r="G280" s="179">
        <f>VLOOKUP(B280,Tot_res!C:V,6,FALSE)</f>
        <v>0</v>
      </c>
      <c r="H280" s="179">
        <f>VLOOKUP(B280,Tot_res!C:V,7,FALSE)</f>
        <v>0</v>
      </c>
      <c r="I280" s="179">
        <f>VLOOKUP(B280,Tot_res!C:V,8,FALSE)</f>
        <v>0</v>
      </c>
      <c r="J280" s="179">
        <f>VLOOKUP(B280,Tot_res!C:V,9,FALSE)</f>
        <v>9094.0692500000005</v>
      </c>
      <c r="K280" s="179">
        <f>VLOOKUP(B280,Tot_res!C:V,10,FALSE)</f>
        <v>0</v>
      </c>
      <c r="L280" s="179">
        <f>VLOOKUP(B280,Tot_res!C:V,11,FALSE)</f>
        <v>0</v>
      </c>
      <c r="M280" s="179">
        <f>VLOOKUP(B280,Tot_res!C:V,12,FALSE)</f>
        <v>0</v>
      </c>
      <c r="N280" s="179">
        <f>VLOOKUP(B280,Tot_res!C:V,13,FALSE)</f>
        <v>0</v>
      </c>
      <c r="O280" s="179">
        <f>VLOOKUP(B280,Tot_res!C:V,14,FALSE)</f>
        <v>0</v>
      </c>
      <c r="P280" s="179">
        <f>VLOOKUP(B280,Tot_res!C:V,15,FALSE)</f>
        <v>0</v>
      </c>
      <c r="Q280" s="179">
        <f>VLOOKUP(B280,Tot_res!C:V,16,FALSE)</f>
        <v>0</v>
      </c>
      <c r="R280" s="179">
        <f>VLOOKUP(B280,Tot_res!C:V,17,FALSE)</f>
        <v>0</v>
      </c>
      <c r="S280" s="179">
        <f>VLOOKUP(B280,Tot_res!C:V,18,FALSE)</f>
        <v>0</v>
      </c>
      <c r="T280" s="179">
        <f>VLOOKUP(B280,Tot_res!C:V,19,FALSE)</f>
        <v>0</v>
      </c>
      <c r="U280" s="179">
        <f>VLOOKUP(B280,Tot_res!C:V,20,FALSE)</f>
        <v>0</v>
      </c>
      <c r="V280" s="122">
        <f t="shared" si="45"/>
        <v>10197.997100000001</v>
      </c>
    </row>
    <row r="281" spans="1:22" ht="13.15">
      <c r="A281" s="355"/>
      <c r="B281" s="115" t="s">
        <v>643</v>
      </c>
      <c r="C281" s="333" t="str">
        <f>VLOOKUP(B281,Tot_res!C:D,2,FALSE)</f>
        <v>Direc. y serv. grales. de hacienda y admones. Públicas, transferencias a la ZEC</v>
      </c>
      <c r="D281" s="179">
        <f>VLOOKUP(B281,Tot_res!C:V,3,FALSE)</f>
        <v>0</v>
      </c>
      <c r="E281" s="179">
        <f>VLOOKUP(B281,Tot_res!C:V,4,FALSE)</f>
        <v>0</v>
      </c>
      <c r="F281" s="179">
        <f>VLOOKUP(B281,Tot_res!C:V,5,FALSE)</f>
        <v>0</v>
      </c>
      <c r="G281" s="179">
        <f>VLOOKUP(B281,Tot_res!C:V,6,FALSE)</f>
        <v>0</v>
      </c>
      <c r="H281" s="179">
        <f>VLOOKUP(B281,Tot_res!C:V,7,FALSE)</f>
        <v>897.43</v>
      </c>
      <c r="I281" s="179">
        <f>VLOOKUP(B281,Tot_res!C:V,8,FALSE)</f>
        <v>0</v>
      </c>
      <c r="J281" s="179">
        <f>VLOOKUP(B281,Tot_res!C:V,9,FALSE)</f>
        <v>0</v>
      </c>
      <c r="K281" s="179">
        <f>VLOOKUP(B281,Tot_res!C:V,10,FALSE)</f>
        <v>0</v>
      </c>
      <c r="L281" s="179">
        <f>VLOOKUP(B281,Tot_res!C:V,11,FALSE)</f>
        <v>0</v>
      </c>
      <c r="M281" s="179">
        <f>VLOOKUP(B281,Tot_res!C:V,12,FALSE)</f>
        <v>0</v>
      </c>
      <c r="N281" s="179">
        <f>VLOOKUP(B281,Tot_res!C:V,13,FALSE)</f>
        <v>0</v>
      </c>
      <c r="O281" s="179">
        <f>VLOOKUP(B281,Tot_res!C:V,14,FALSE)</f>
        <v>0</v>
      </c>
      <c r="P281" s="179">
        <f>VLOOKUP(B281,Tot_res!C:V,15,FALSE)</f>
        <v>0</v>
      </c>
      <c r="Q281" s="179">
        <f>VLOOKUP(B281,Tot_res!C:V,16,FALSE)</f>
        <v>0</v>
      </c>
      <c r="R281" s="179">
        <f>VLOOKUP(B281,Tot_res!C:V,17,FALSE)</f>
        <v>0</v>
      </c>
      <c r="S281" s="179">
        <f>VLOOKUP(B281,Tot_res!C:V,18,FALSE)</f>
        <v>0</v>
      </c>
      <c r="T281" s="179">
        <f>VLOOKUP(B281,Tot_res!C:V,19,FALSE)</f>
        <v>0</v>
      </c>
      <c r="U281" s="179">
        <f>VLOOKUP(B281,Tot_res!C:V,20,FALSE)</f>
        <v>0</v>
      </c>
      <c r="V281" s="122">
        <f t="shared" si="45"/>
        <v>897.43</v>
      </c>
    </row>
    <row r="282" spans="1:22" ht="13.15">
      <c r="A282" s="355"/>
      <c r="B282" s="115" t="s">
        <v>301</v>
      </c>
      <c r="C282" s="333" t="str">
        <f>VLOOKUP(B282,Tot_res!C:D,2,FALSE)</f>
        <v>Transfer. a cc.aa. por fondos de compens. intert.</v>
      </c>
      <c r="D282" s="179">
        <f>VLOOKUP(B282,Tot_res!C:V,3,FALSE)</f>
        <v>204591.87</v>
      </c>
      <c r="E282" s="179">
        <f>VLOOKUP(B282,Tot_res!C:V,4,FALSE)</f>
        <v>0</v>
      </c>
      <c r="F282" s="179">
        <f>VLOOKUP(B282,Tot_res!C:V,5,FALSE)</f>
        <v>16221.8</v>
      </c>
      <c r="G282" s="179">
        <f>VLOOKUP(B282,Tot_res!C:V,6,FALSE)</f>
        <v>0</v>
      </c>
      <c r="H282" s="179">
        <f>VLOOKUP(B282,Tot_res!C:V,7,FALSE)</f>
        <v>76513.958419999995</v>
      </c>
      <c r="I282" s="179">
        <f>VLOOKUP(B282,Tot_res!C:V,8,FALSE)</f>
        <v>3578.5124999999998</v>
      </c>
      <c r="J282" s="179">
        <f>VLOOKUP(B282,Tot_res!C:V,9,FALSE)</f>
        <v>25037.629999999997</v>
      </c>
      <c r="K282" s="179">
        <f>VLOOKUP(B282,Tot_res!C:V,10,FALSE)</f>
        <v>46681.534999999996</v>
      </c>
      <c r="L282" s="179">
        <f>VLOOKUP(B282,Tot_res!C:V,11,FALSE)</f>
        <v>0</v>
      </c>
      <c r="M282" s="179">
        <f>VLOOKUP(B282,Tot_res!C:V,12,FALSE)</f>
        <v>72833.67</v>
      </c>
      <c r="N282" s="179">
        <f>VLOOKUP(B282,Tot_res!C:V,13,FALSE)</f>
        <v>29027.317490000001</v>
      </c>
      <c r="O282" s="179">
        <f>VLOOKUP(B282,Tot_res!C:V,14,FALSE)</f>
        <v>73360.419379999992</v>
      </c>
      <c r="P282" s="179">
        <f>VLOOKUP(B282,Tot_res!C:V,15,FALSE)</f>
        <v>0</v>
      </c>
      <c r="Q282" s="179">
        <f>VLOOKUP(B282,Tot_res!C:V,16,FALSE)</f>
        <v>28970.942999999999</v>
      </c>
      <c r="R282" s="179">
        <f>VLOOKUP(B282,Tot_res!C:V,17,FALSE)</f>
        <v>0</v>
      </c>
      <c r="S282" s="179">
        <f>VLOOKUP(B282,Tot_res!C:V,18,FALSE)</f>
        <v>0</v>
      </c>
      <c r="T282" s="179">
        <f>VLOOKUP(B282,Tot_res!C:V,19,FALSE)</f>
        <v>0</v>
      </c>
      <c r="U282" s="179">
        <f>VLOOKUP(B282,Tot_res!C:V,20,FALSE)</f>
        <v>10957.52968</v>
      </c>
      <c r="V282" s="122">
        <f t="shared" si="45"/>
        <v>587775.18546999991</v>
      </c>
    </row>
    <row r="283" spans="1:22" ht="26.3">
      <c r="A283" s="355"/>
      <c r="B283" s="115" t="s">
        <v>644</v>
      </c>
      <c r="C283" s="334" t="str">
        <f>VLOOKUP(B283,Tot_res!C:D,2,FALSE)</f>
        <v>Otras transferencias a Comunidades Autónomas: Transferencias de capital a Aragón para proyectos de inversión en Teruel y a la CA de Extremadura para proyectos de inversión.</v>
      </c>
      <c r="D283" s="179">
        <f>VLOOKUP(B283,Tot_res!C:V,3,FALSE)</f>
        <v>0</v>
      </c>
      <c r="E283" s="179">
        <f>VLOOKUP(B283,Tot_res!C:V,4,FALSE)</f>
        <v>30000</v>
      </c>
      <c r="F283" s="179">
        <f>VLOOKUP(B283,Tot_res!C:V,5,FALSE)</f>
        <v>0</v>
      </c>
      <c r="G283" s="179">
        <f>VLOOKUP(B283,Tot_res!C:V,6,FALSE)</f>
        <v>0</v>
      </c>
      <c r="H283" s="179">
        <f>VLOOKUP(B283,Tot_res!C:V,7,FALSE)</f>
        <v>0</v>
      </c>
      <c r="I283" s="179">
        <f>VLOOKUP(B283,Tot_res!C:V,8,FALSE)</f>
        <v>0</v>
      </c>
      <c r="J283" s="179">
        <f>VLOOKUP(B283,Tot_res!C:V,9,FALSE)</f>
        <v>0</v>
      </c>
      <c r="K283" s="179">
        <f>VLOOKUP(B283,Tot_res!C:V,10,FALSE)</f>
        <v>0</v>
      </c>
      <c r="L283" s="179">
        <f>VLOOKUP(B283,Tot_res!C:V,11,FALSE)</f>
        <v>0</v>
      </c>
      <c r="M283" s="179">
        <f>VLOOKUP(B283,Tot_res!C:V,12,FALSE)</f>
        <v>0</v>
      </c>
      <c r="N283" s="179">
        <f>VLOOKUP(B283,Tot_res!C:V,13,FALSE)</f>
        <v>20000</v>
      </c>
      <c r="O283" s="179">
        <f>VLOOKUP(B283,Tot_res!C:V,14,FALSE)</f>
        <v>0</v>
      </c>
      <c r="P283" s="179">
        <f>VLOOKUP(B283,Tot_res!C:V,15,FALSE)</f>
        <v>0</v>
      </c>
      <c r="Q283" s="179">
        <f>VLOOKUP(B283,Tot_res!C:V,16,FALSE)</f>
        <v>0</v>
      </c>
      <c r="R283" s="179">
        <f>VLOOKUP(B283,Tot_res!C:V,17,FALSE)</f>
        <v>0</v>
      </c>
      <c r="S283" s="179">
        <f>VLOOKUP(B283,Tot_res!C:V,18,FALSE)</f>
        <v>0</v>
      </c>
      <c r="T283" s="179">
        <f>VLOOKUP(B283,Tot_res!C:V,19,FALSE)</f>
        <v>0</v>
      </c>
      <c r="U283" s="179">
        <f>VLOOKUP(B283,Tot_res!C:V,20,FALSE)</f>
        <v>0</v>
      </c>
      <c r="V283" s="122">
        <f t="shared" si="45"/>
        <v>50000</v>
      </c>
    </row>
    <row r="284" spans="1:22" ht="13.15">
      <c r="A284" s="355"/>
      <c r="B284" s="115" t="s">
        <v>302</v>
      </c>
      <c r="C284" s="334" t="str">
        <f>VLOOKUP(B284,Tot_res!C:D,2,FALSE)</f>
        <v>Infraestructuras REF Canarias</v>
      </c>
      <c r="D284" s="179">
        <f>VLOOKUP(B284,Tot_res!C:V,3,FALSE)</f>
        <v>0</v>
      </c>
      <c r="E284" s="179">
        <f>VLOOKUP(B284,Tot_res!C:V,4,FALSE)</f>
        <v>0</v>
      </c>
      <c r="F284" s="179">
        <f>VLOOKUP(B284,Tot_res!C:V,5,FALSE)</f>
        <v>0</v>
      </c>
      <c r="G284" s="179">
        <f>VLOOKUP(B284,Tot_res!C:V,6,FALSE)</f>
        <v>0</v>
      </c>
      <c r="H284" s="179">
        <f>VLOOKUP(B284,Tot_res!C:V,7,FALSE)</f>
        <v>115280.56638713366</v>
      </c>
      <c r="I284" s="179">
        <f>VLOOKUP(B284,Tot_res!C:V,8,FALSE)</f>
        <v>0</v>
      </c>
      <c r="J284" s="179">
        <f>VLOOKUP(B284,Tot_res!C:V,9,FALSE)</f>
        <v>0</v>
      </c>
      <c r="K284" s="179">
        <f>VLOOKUP(B284,Tot_res!C:V,10,FALSE)</f>
        <v>0</v>
      </c>
      <c r="L284" s="179">
        <f>VLOOKUP(B284,Tot_res!C:V,11,FALSE)</f>
        <v>0</v>
      </c>
      <c r="M284" s="179">
        <f>VLOOKUP(B284,Tot_res!C:V,12,FALSE)</f>
        <v>0</v>
      </c>
      <c r="N284" s="179">
        <f>VLOOKUP(B284,Tot_res!C:V,13,FALSE)</f>
        <v>0</v>
      </c>
      <c r="O284" s="179">
        <f>VLOOKUP(B284,Tot_res!C:V,14,FALSE)</f>
        <v>0</v>
      </c>
      <c r="P284" s="179">
        <f>VLOOKUP(B284,Tot_res!C:V,15,FALSE)</f>
        <v>0</v>
      </c>
      <c r="Q284" s="179">
        <f>VLOOKUP(B284,Tot_res!C:V,16,FALSE)</f>
        <v>0</v>
      </c>
      <c r="R284" s="179">
        <f>VLOOKUP(B284,Tot_res!C:V,17,FALSE)</f>
        <v>0</v>
      </c>
      <c r="S284" s="179">
        <f>VLOOKUP(B284,Tot_res!C:V,18,FALSE)</f>
        <v>0</v>
      </c>
      <c r="T284" s="179">
        <f>VLOOKUP(B284,Tot_res!C:V,19,FALSE)</f>
        <v>0</v>
      </c>
      <c r="U284" s="179">
        <f>VLOOKUP(B284,Tot_res!C:V,20,FALSE)</f>
        <v>0</v>
      </c>
      <c r="V284" s="122">
        <f t="shared" si="45"/>
        <v>115280.56638713366</v>
      </c>
    </row>
    <row r="285" spans="1:22" ht="13.15">
      <c r="A285" s="355"/>
      <c r="B285" s="115" t="s">
        <v>303</v>
      </c>
      <c r="C285" s="334" t="str">
        <f>VLOOKUP(B285,Tot_res!C:D,2,FALSE)</f>
        <v>Transporte interinsular Canarias</v>
      </c>
      <c r="D285" s="179">
        <f>VLOOKUP(B285,Tot_res!C:V,3,FALSE)</f>
        <v>0</v>
      </c>
      <c r="E285" s="179">
        <f>VLOOKUP(B285,Tot_res!C:V,4,FALSE)</f>
        <v>0</v>
      </c>
      <c r="F285" s="179">
        <f>VLOOKUP(B285,Tot_res!C:V,5,FALSE)</f>
        <v>0</v>
      </c>
      <c r="G285" s="179">
        <f>VLOOKUP(B285,Tot_res!C:V,6,FALSE)</f>
        <v>0</v>
      </c>
      <c r="H285" s="179">
        <f>VLOOKUP(B285,Tot_res!C:V,7,FALSE)</f>
        <v>29844.212719355735</v>
      </c>
      <c r="I285" s="179">
        <f>VLOOKUP(B285,Tot_res!C:V,8,FALSE)</f>
        <v>0</v>
      </c>
      <c r="J285" s="179">
        <f>VLOOKUP(B285,Tot_res!C:V,9,FALSE)</f>
        <v>0</v>
      </c>
      <c r="K285" s="179">
        <f>VLOOKUP(B285,Tot_res!C:V,10,FALSE)</f>
        <v>0</v>
      </c>
      <c r="L285" s="179">
        <f>VLOOKUP(B285,Tot_res!C:V,11,FALSE)</f>
        <v>0</v>
      </c>
      <c r="M285" s="179">
        <f>VLOOKUP(B285,Tot_res!C:V,12,FALSE)</f>
        <v>0</v>
      </c>
      <c r="N285" s="179">
        <f>VLOOKUP(B285,Tot_res!C:V,13,FALSE)</f>
        <v>0</v>
      </c>
      <c r="O285" s="179">
        <f>VLOOKUP(B285,Tot_res!C:V,14,FALSE)</f>
        <v>0</v>
      </c>
      <c r="P285" s="179">
        <f>VLOOKUP(B285,Tot_res!C:V,15,FALSE)</f>
        <v>0</v>
      </c>
      <c r="Q285" s="179">
        <f>VLOOKUP(B285,Tot_res!C:V,16,FALSE)</f>
        <v>0</v>
      </c>
      <c r="R285" s="179">
        <f>VLOOKUP(B285,Tot_res!C:V,17,FALSE)</f>
        <v>0</v>
      </c>
      <c r="S285" s="179">
        <f>VLOOKUP(B285,Tot_res!C:V,18,FALSE)</f>
        <v>0</v>
      </c>
      <c r="T285" s="179">
        <f>VLOOKUP(B285,Tot_res!C:V,19,FALSE)</f>
        <v>0</v>
      </c>
      <c r="U285" s="179">
        <f>VLOOKUP(B285,Tot_res!C:V,20,FALSE)</f>
        <v>0</v>
      </c>
      <c r="V285" s="122">
        <f t="shared" si="45"/>
        <v>29844.212719355735</v>
      </c>
    </row>
    <row r="286" spans="1:22" ht="13.15">
      <c r="A286" s="355"/>
      <c r="B286" s="115" t="s">
        <v>304</v>
      </c>
      <c r="C286" s="334" t="str">
        <f>VLOOKUP(B286,Tot_res!C:D,2,FALSE)</f>
        <v>Ayudas de la UE gestionadas por las comunidades autónomas, excepto FEOGA Garantía</v>
      </c>
      <c r="D286" s="179">
        <f>VLOOKUP(B286,Tot_res!C:V,3,FALSE)</f>
        <v>682743.29</v>
      </c>
      <c r="E286" s="179">
        <f>VLOOKUP(B286,Tot_res!C:V,4,FALSE)</f>
        <v>38584.359999999964</v>
      </c>
      <c r="F286" s="179">
        <f>VLOOKUP(B286,Tot_res!C:V,5,FALSE)</f>
        <v>39350.039999999994</v>
      </c>
      <c r="G286" s="179">
        <f>VLOOKUP(B286,Tot_res!C:V,6,FALSE)</f>
        <v>29729.919999999998</v>
      </c>
      <c r="H286" s="179">
        <f>VLOOKUP(B286,Tot_res!C:V,7,FALSE)</f>
        <v>126047.79999999999</v>
      </c>
      <c r="I286" s="179">
        <f>VLOOKUP(B286,Tot_res!C:V,8,FALSE)</f>
        <v>24159.920000000006</v>
      </c>
      <c r="J286" s="179">
        <f>VLOOKUP(B286,Tot_res!C:V,9,FALSE)</f>
        <v>90577.770000000135</v>
      </c>
      <c r="K286" s="179">
        <f>VLOOKUP(B286,Tot_res!C:V,10,FALSE)</f>
        <v>144212.97999999995</v>
      </c>
      <c r="L286" s="179">
        <f>VLOOKUP(B286,Tot_res!C:V,11,FALSE)</f>
        <v>5302.3499999999549</v>
      </c>
      <c r="M286" s="179">
        <f>VLOOKUP(B286,Tot_res!C:V,12,FALSE)</f>
        <v>160702.60999999999</v>
      </c>
      <c r="N286" s="179">
        <f>VLOOKUP(B286,Tot_res!C:V,13,FALSE)</f>
        <v>156894.65999999995</v>
      </c>
      <c r="O286" s="179">
        <f>VLOOKUP(B286,Tot_res!C:V,14,FALSE)</f>
        <v>267641.47000000003</v>
      </c>
      <c r="P286" s="179">
        <f>VLOOKUP(B286,Tot_res!C:V,15,FALSE)</f>
        <v>77018.510000000009</v>
      </c>
      <c r="Q286" s="179">
        <f>VLOOKUP(B286,Tot_res!C:V,16,FALSE)</f>
        <v>60392.140000000007</v>
      </c>
      <c r="R286" s="179">
        <f>VLOOKUP(B286,Tot_res!C:V,17,FALSE)</f>
        <v>15632.340000000007</v>
      </c>
      <c r="S286" s="179">
        <f>VLOOKUP(B286,Tot_res!C:V,18,FALSE)</f>
        <v>57058.709999999985</v>
      </c>
      <c r="T286" s="179">
        <f>VLOOKUP(B286,Tot_res!C:V,19,FALSE)</f>
        <v>11562.210000000001</v>
      </c>
      <c r="U286" s="179">
        <f>VLOOKUP(B286,Tot_res!C:V,20,FALSE)</f>
        <v>10163.130000000001</v>
      </c>
      <c r="V286" s="122">
        <f t="shared" si="43"/>
        <v>1997774.2099999997</v>
      </c>
    </row>
    <row r="287" spans="1:22" ht="13.15">
      <c r="A287" s="356"/>
      <c r="B287" s="115"/>
      <c r="C287" s="147"/>
      <c r="D287" s="105"/>
      <c r="E287" s="105"/>
      <c r="F287" s="105"/>
      <c r="G287" s="105"/>
      <c r="H287" s="105"/>
      <c r="I287" s="105"/>
      <c r="J287" s="105"/>
      <c r="K287" s="105"/>
      <c r="L287" s="105"/>
      <c r="M287" s="105"/>
      <c r="N287" s="105"/>
      <c r="O287" s="105"/>
      <c r="P287" s="105"/>
      <c r="Q287" s="105"/>
      <c r="R287" s="105"/>
      <c r="S287" s="105"/>
      <c r="T287" s="105"/>
      <c r="U287" s="105"/>
      <c r="V287" s="122"/>
    </row>
    <row r="288" spans="1:22" ht="13.15">
      <c r="A288" s="356"/>
      <c r="B288" s="115"/>
      <c r="C288" s="112" t="s">
        <v>22</v>
      </c>
      <c r="D288" s="114">
        <f t="shared" ref="D288:V288" si="46">D290+D314+D329+D349+D354</f>
        <v>3207024.5741854403</v>
      </c>
      <c r="E288" s="114">
        <f t="shared" si="46"/>
        <v>610507.77220735431</v>
      </c>
      <c r="F288" s="114">
        <f t="shared" si="46"/>
        <v>427182.87680622871</v>
      </c>
      <c r="G288" s="114">
        <f t="shared" si="46"/>
        <v>451940.23303151096</v>
      </c>
      <c r="H288" s="114">
        <f t="shared" si="46"/>
        <v>816160.90751762968</v>
      </c>
      <c r="I288" s="114">
        <f t="shared" si="46"/>
        <v>236997.98833840148</v>
      </c>
      <c r="J288" s="114">
        <f t="shared" si="46"/>
        <v>1152599.7809019857</v>
      </c>
      <c r="K288" s="114">
        <f t="shared" si="46"/>
        <v>824396.14604948531</v>
      </c>
      <c r="L288" s="114">
        <f t="shared" si="46"/>
        <v>3306405.0682284688</v>
      </c>
      <c r="M288" s="114">
        <f t="shared" si="46"/>
        <v>1774624.6340727813</v>
      </c>
      <c r="N288" s="114">
        <f t="shared" si="46"/>
        <v>441022.31034985039</v>
      </c>
      <c r="O288" s="114">
        <f t="shared" si="46"/>
        <v>1107222.5597613349</v>
      </c>
      <c r="P288" s="114">
        <f t="shared" si="46"/>
        <v>2864995.0460019694</v>
      </c>
      <c r="Q288" s="114">
        <f t="shared" si="46"/>
        <v>531371.09733244905</v>
      </c>
      <c r="R288" s="114">
        <f t="shared" si="46"/>
        <v>306118.58222523087</v>
      </c>
      <c r="S288" s="114">
        <f t="shared" si="46"/>
        <v>1137782.0125357828</v>
      </c>
      <c r="T288" s="114">
        <f t="shared" si="46"/>
        <v>170608.43795387898</v>
      </c>
      <c r="U288" s="114">
        <f t="shared" si="46"/>
        <v>153162.88289072501</v>
      </c>
      <c r="V288" s="126">
        <f t="shared" si="46"/>
        <v>19520122.910390507</v>
      </c>
    </row>
    <row r="289" spans="1:22" ht="13.15">
      <c r="A289" s="356"/>
      <c r="B289" s="115"/>
      <c r="C289" s="102"/>
    </row>
    <row r="290" spans="1:22" ht="13.15">
      <c r="A290" s="356"/>
      <c r="B290" s="115"/>
      <c r="C290" s="117" t="s">
        <v>28</v>
      </c>
      <c r="D290" s="114">
        <f t="shared" ref="D290:U290" si="47">SUM(D291:D311)</f>
        <v>666387.8461410905</v>
      </c>
      <c r="E290" s="114">
        <f t="shared" si="47"/>
        <v>136132.79353233677</v>
      </c>
      <c r="F290" s="114">
        <f t="shared" si="47"/>
        <v>84472.590638468391</v>
      </c>
      <c r="G290" s="114">
        <f t="shared" si="47"/>
        <v>72421.833968588297</v>
      </c>
      <c r="H290" s="114">
        <f t="shared" si="47"/>
        <v>158895.20834704442</v>
      </c>
      <c r="I290" s="114">
        <f t="shared" si="47"/>
        <v>53068.58620720396</v>
      </c>
      <c r="J290" s="114">
        <f t="shared" si="47"/>
        <v>227192.57010307795</v>
      </c>
      <c r="K290" s="114">
        <f t="shared" si="47"/>
        <v>157688.36918462493</v>
      </c>
      <c r="L290" s="114">
        <f t="shared" si="47"/>
        <v>471997.19751646882</v>
      </c>
      <c r="M290" s="114">
        <f t="shared" si="47"/>
        <v>353473.93887927907</v>
      </c>
      <c r="N290" s="114">
        <f t="shared" si="47"/>
        <v>92163.495345477932</v>
      </c>
      <c r="O290" s="114">
        <f t="shared" si="47"/>
        <v>287565.02927894128</v>
      </c>
      <c r="P290" s="114">
        <f t="shared" si="47"/>
        <v>568387.55139270064</v>
      </c>
      <c r="Q290" s="114">
        <f t="shared" si="47"/>
        <v>122143.21096542836</v>
      </c>
      <c r="R290" s="114">
        <f t="shared" si="47"/>
        <v>42132.439155129206</v>
      </c>
      <c r="S290" s="114">
        <f t="shared" si="47"/>
        <v>130329.84446121209</v>
      </c>
      <c r="T290" s="114">
        <f t="shared" si="47"/>
        <v>25333.320279715899</v>
      </c>
      <c r="U290" s="114">
        <f t="shared" si="47"/>
        <v>35957.651465493655</v>
      </c>
      <c r="V290" s="126">
        <f>SUM(V291:V311)</f>
        <v>3685743.4768622825</v>
      </c>
    </row>
    <row r="291" spans="1:22" ht="13.15">
      <c r="A291" s="355"/>
      <c r="B291" s="119" t="s">
        <v>305</v>
      </c>
      <c r="C291" s="334" t="str">
        <f>VLOOKUP(B291,Tot_res!C:D,2,FALSE)</f>
        <v>Plan nacional sobre drogas + AF 11/1</v>
      </c>
      <c r="D291" s="179">
        <f>VLOOKUP(B291,Tot_res!C:V,3,FALSE)</f>
        <v>5260.0260381547032</v>
      </c>
      <c r="E291" s="179">
        <f>VLOOKUP(B291,Tot_res!C:V,4,FALSE)</f>
        <v>955.02627593002558</v>
      </c>
      <c r="F291" s="179">
        <f>VLOOKUP(B291,Tot_res!C:V,5,FALSE)</f>
        <v>1016.3850566358554</v>
      </c>
      <c r="G291" s="179">
        <f>VLOOKUP(B291,Tot_res!C:V,6,FALSE)</f>
        <v>842.9936811511036</v>
      </c>
      <c r="H291" s="179">
        <f>VLOOKUP(B291,Tot_res!C:V,7,FALSE)</f>
        <v>1324.4286347033649</v>
      </c>
      <c r="I291" s="179">
        <f>VLOOKUP(B291,Tot_res!C:V,8,FALSE)</f>
        <v>693.62912942636331</v>
      </c>
      <c r="J291" s="179">
        <f>VLOOKUP(B291,Tot_res!C:V,9,FALSE)</f>
        <v>2589.9626060714422</v>
      </c>
      <c r="K291" s="179">
        <f>VLOOKUP(B291,Tot_res!C:V,10,FALSE)</f>
        <v>1648.3696024649512</v>
      </c>
      <c r="L291" s="179">
        <f>VLOOKUP(B291,Tot_res!C:V,11,FALSE)</f>
        <v>4852.5228874620107</v>
      </c>
      <c r="M291" s="179">
        <f>VLOOKUP(B291,Tot_res!C:V,12,FALSE)</f>
        <v>2604.3619927828586</v>
      </c>
      <c r="N291" s="179">
        <f>VLOOKUP(B291,Tot_res!C:V,13,FALSE)</f>
        <v>1074.8488284680229</v>
      </c>
      <c r="O291" s="179">
        <f>VLOOKUP(B291,Tot_res!C:V,14,FALSE)</f>
        <v>2026.6369942038275</v>
      </c>
      <c r="P291" s="179">
        <f>VLOOKUP(B291,Tot_res!C:V,15,FALSE)</f>
        <v>5111.6679812716948</v>
      </c>
      <c r="Q291" s="179">
        <f>VLOOKUP(B291,Tot_res!C:V,16,FALSE)</f>
        <v>906.74493298143761</v>
      </c>
      <c r="R291" s="179">
        <f>VLOOKUP(B291,Tot_res!C:V,17,FALSE)</f>
        <v>813.56648462966461</v>
      </c>
      <c r="S291" s="179">
        <f>VLOOKUP(B291,Tot_res!C:V,18,FALSE)</f>
        <v>2772.9365583362669</v>
      </c>
      <c r="T291" s="179">
        <f>VLOOKUP(B291,Tot_res!C:V,19,FALSE)</f>
        <v>282.33602677721649</v>
      </c>
      <c r="U291" s="179">
        <f>VLOOKUP(B291,Tot_res!C:V,20,FALSE)</f>
        <v>348.6599067609971</v>
      </c>
      <c r="V291" s="122">
        <f t="shared" ref="V291:V311" si="48">SUM(D291:U291)</f>
        <v>35125.103618211811</v>
      </c>
    </row>
    <row r="292" spans="1:22" ht="13.15">
      <c r="A292" s="355"/>
      <c r="B292" s="119" t="s">
        <v>306</v>
      </c>
      <c r="C292" s="334" t="str">
        <f>VLOOKUP(B292,Tot_res!C:D,2,FALSE)</f>
        <v>Direc. y serv. grales. de sanidad, serv. soc. e igualdad</v>
      </c>
      <c r="D292" s="179">
        <f>VLOOKUP(B292,Tot_res!C:V,3,FALSE)</f>
        <v>8013.936496565937</v>
      </c>
      <c r="E292" s="179">
        <f>VLOOKUP(B292,Tot_res!C:V,4,FALSE)</f>
        <v>1403.0545067211299</v>
      </c>
      <c r="F292" s="179">
        <f>VLOOKUP(B292,Tot_res!C:V,5,FALSE)</f>
        <v>1190.2757821598532</v>
      </c>
      <c r="G292" s="179">
        <f>VLOOKUP(B292,Tot_res!C:V,6,FALSE)</f>
        <v>1033.302469840921</v>
      </c>
      <c r="H292" s="179">
        <f>VLOOKUP(B292,Tot_res!C:V,7,FALSE)</f>
        <v>1960.7636612590629</v>
      </c>
      <c r="I292" s="179">
        <f>VLOOKUP(B292,Tot_res!C:V,8,FALSE)</f>
        <v>615.04067736929574</v>
      </c>
      <c r="J292" s="179">
        <f>VLOOKUP(B292,Tot_res!C:V,9,FALSE)</f>
        <v>2790.944992179122</v>
      </c>
      <c r="K292" s="179">
        <f>VLOOKUP(B292,Tot_res!C:V,10,FALSE)</f>
        <v>2074.3475040063277</v>
      </c>
      <c r="L292" s="179">
        <f>VLOOKUP(B292,Tot_res!C:V,11,FALSE)</f>
        <v>20723.80813791589</v>
      </c>
      <c r="M292" s="179">
        <f>VLOOKUP(B292,Tot_res!C:V,12,FALSE)</f>
        <v>5030.5078647263117</v>
      </c>
      <c r="N292" s="179">
        <f>VLOOKUP(B292,Tot_res!C:V,13,FALSE)</f>
        <v>1131.8211755408201</v>
      </c>
      <c r="O292" s="179">
        <f>VLOOKUP(B292,Tot_res!C:V,14,FALSE)</f>
        <v>3043.2250892809229</v>
      </c>
      <c r="P292" s="179">
        <f>VLOOKUP(B292,Tot_res!C:V,15,FALSE)</f>
        <v>6215.8259884141216</v>
      </c>
      <c r="Q292" s="179">
        <f>VLOOKUP(B292,Tot_res!C:V,16,FALSE)</f>
        <v>1360.3299829819814</v>
      </c>
      <c r="R292" s="179">
        <f>VLOOKUP(B292,Tot_res!C:V,17,FALSE)</f>
        <v>647.53552150325731</v>
      </c>
      <c r="S292" s="179">
        <f>VLOOKUP(B292,Tot_res!C:V,18,FALSE)</f>
        <v>2313.6906465206835</v>
      </c>
      <c r="T292" s="179">
        <f>VLOOKUP(B292,Tot_res!C:V,19,FALSE)</f>
        <v>328.57886640531706</v>
      </c>
      <c r="U292" s="179">
        <f>VLOOKUP(B292,Tot_res!C:V,20,FALSE)</f>
        <v>143.25245660905574</v>
      </c>
      <c r="V292" s="122">
        <f t="shared" si="48"/>
        <v>60020.241820000017</v>
      </c>
    </row>
    <row r="293" spans="1:22" ht="13.15">
      <c r="A293" s="355"/>
      <c r="B293" s="119" t="s">
        <v>307</v>
      </c>
      <c r="C293" s="334" t="str">
        <f>VLOOKUP(B293,Tot_res!C:D,2,FALSE)</f>
        <v>Políticas de salud y ordenación profesional</v>
      </c>
      <c r="D293" s="179">
        <f>VLOOKUP(B293,Tot_res!C:V,3,FALSE)</f>
        <v>2969.3819584011553</v>
      </c>
      <c r="E293" s="179">
        <f>VLOOKUP(B293,Tot_res!C:V,4,FALSE)</f>
        <v>512.75187402311008</v>
      </c>
      <c r="F293" s="179">
        <f>VLOOKUP(B293,Tot_res!C:V,5,FALSE)</f>
        <v>421.83639314309386</v>
      </c>
      <c r="G293" s="179">
        <f>VLOOKUP(B293,Tot_res!C:V,6,FALSE)</f>
        <v>359.02192169123572</v>
      </c>
      <c r="H293" s="179">
        <f>VLOOKUP(B293,Tot_res!C:V,7,FALSE)</f>
        <v>680.16876789194134</v>
      </c>
      <c r="I293" s="179">
        <f>VLOOKUP(B293,Tot_res!C:V,8,FALSE)</f>
        <v>1192.7372094696007</v>
      </c>
      <c r="J293" s="179">
        <f>VLOOKUP(B293,Tot_res!C:V,9,FALSE)</f>
        <v>985.38890048601684</v>
      </c>
      <c r="K293" s="179">
        <f>VLOOKUP(B293,Tot_res!C:V,10,FALSE)</f>
        <v>887.7956303743149</v>
      </c>
      <c r="L293" s="179">
        <f>VLOOKUP(B293,Tot_res!C:V,11,FALSE)</f>
        <v>3928.4832221816741</v>
      </c>
      <c r="M293" s="179">
        <f>VLOOKUP(B293,Tot_res!C:V,12,FALSE)</f>
        <v>1765.3961782192127</v>
      </c>
      <c r="N293" s="179">
        <f>VLOOKUP(B293,Tot_res!C:V,13,FALSE)</f>
        <v>396.07293351500635</v>
      </c>
      <c r="O293" s="179">
        <f>VLOOKUP(B293,Tot_res!C:V,14,FALSE)</f>
        <v>1164.9428537889903</v>
      </c>
      <c r="P293" s="179">
        <f>VLOOKUP(B293,Tot_res!C:V,15,FALSE)</f>
        <v>2750.624013955482</v>
      </c>
      <c r="Q293" s="179">
        <f>VLOOKUP(B293,Tot_res!C:V,16,FALSE)</f>
        <v>592.3048195815843</v>
      </c>
      <c r="R293" s="179">
        <f>VLOOKUP(B293,Tot_res!C:V,17,FALSE)</f>
        <v>392.03433980327441</v>
      </c>
      <c r="S293" s="179">
        <f>VLOOKUP(B293,Tot_res!C:V,18,FALSE)</f>
        <v>995.62007089244128</v>
      </c>
      <c r="T293" s="179">
        <f>VLOOKUP(B293,Tot_res!C:V,19,FALSE)</f>
        <v>120.57618097813922</v>
      </c>
      <c r="U293" s="179">
        <f>VLOOKUP(B293,Tot_res!C:V,20,FALSE)</f>
        <v>40.458491603726443</v>
      </c>
      <c r="V293" s="122">
        <f t="shared" si="48"/>
        <v>20155.59576</v>
      </c>
    </row>
    <row r="294" spans="1:22" ht="13.15">
      <c r="A294" s="355"/>
      <c r="B294" s="119" t="s">
        <v>308</v>
      </c>
      <c r="C294" s="334" t="str">
        <f>VLOOKUP(B294,Tot_res!C:D,2,FALSE)</f>
        <v>Asistencia sanitaria del mutualismo administrativo</v>
      </c>
      <c r="D294" s="179">
        <f>VLOOKUP(B294,Tot_res!C:V,3,FALSE)</f>
        <v>454450.33333404781</v>
      </c>
      <c r="E294" s="179">
        <f>VLOOKUP(B294,Tot_res!C:V,4,FALSE)</f>
        <v>73215.638717695052</v>
      </c>
      <c r="F294" s="179">
        <f>VLOOKUP(B294,Tot_res!C:V,5,FALSE)</f>
        <v>43169.246095752278</v>
      </c>
      <c r="G294" s="179">
        <f>VLOOKUP(B294,Tot_res!C:V,6,FALSE)</f>
        <v>34529.573421348898</v>
      </c>
      <c r="H294" s="179">
        <f>VLOOKUP(B294,Tot_res!C:V,7,FALSE)</f>
        <v>88938.908594258668</v>
      </c>
      <c r="I294" s="179">
        <f>VLOOKUP(B294,Tot_res!C:V,8,FALSE)</f>
        <v>22905.700654636184</v>
      </c>
      <c r="J294" s="179">
        <f>VLOOKUP(B294,Tot_res!C:V,9,FALSE)</f>
        <v>155208.45000961318</v>
      </c>
      <c r="K294" s="179">
        <f>VLOOKUP(B294,Tot_res!C:V,10,FALSE)</f>
        <v>96163.308184485824</v>
      </c>
      <c r="L294" s="179">
        <f>VLOOKUP(B294,Tot_res!C:V,11,FALSE)</f>
        <v>161383.61848488566</v>
      </c>
      <c r="M294" s="179">
        <f>VLOOKUP(B294,Tot_res!C:V,12,FALSE)</f>
        <v>180779.43461773644</v>
      </c>
      <c r="N294" s="179">
        <f>VLOOKUP(B294,Tot_res!C:V,13,FALSE)</f>
        <v>67461.908933649247</v>
      </c>
      <c r="O294" s="179">
        <f>VLOOKUP(B294,Tot_res!C:V,14,FALSE)</f>
        <v>140298.21563788757</v>
      </c>
      <c r="P294" s="179">
        <f>VLOOKUP(B294,Tot_res!C:V,15,FALSE)</f>
        <v>340847.78569394082</v>
      </c>
      <c r="Q294" s="179">
        <f>VLOOKUP(B294,Tot_res!C:V,16,FALSE)</f>
        <v>79574.529771754605</v>
      </c>
      <c r="R294" s="179">
        <f>VLOOKUP(B294,Tot_res!C:V,17,FALSE)</f>
        <v>18812.84192548725</v>
      </c>
      <c r="S294" s="179">
        <f>VLOOKUP(B294,Tot_res!C:V,18,FALSE)</f>
        <v>37414.70862264742</v>
      </c>
      <c r="T294" s="179">
        <f>VLOOKUP(B294,Tot_res!C:V,19,FALSE)</f>
        <v>13890.630700594227</v>
      </c>
      <c r="U294" s="179">
        <f>VLOOKUP(B294,Tot_res!C:V,20,FALSE)</f>
        <v>27847.947189579063</v>
      </c>
      <c r="V294" s="122">
        <f t="shared" si="48"/>
        <v>2036892.7805900001</v>
      </c>
    </row>
    <row r="295" spans="1:22" ht="13.15">
      <c r="A295" s="355"/>
      <c r="B295" s="119" t="s">
        <v>310</v>
      </c>
      <c r="C295" s="334" t="str">
        <f>VLOOKUP(B295,Tot_res!C:D,2,FALSE)</f>
        <v>Prestaciones y farmacia</v>
      </c>
      <c r="D295" s="179">
        <f>VLOOKUP(B295,Tot_res!C:V,3,FALSE)</f>
        <v>20138.826394797918</v>
      </c>
      <c r="E295" s="179">
        <f>VLOOKUP(B295,Tot_res!C:V,4,FALSE)</f>
        <v>4440.4587905950102</v>
      </c>
      <c r="F295" s="179">
        <f>VLOOKUP(B295,Tot_res!C:V,5,FALSE)</f>
        <v>2919.9496951991596</v>
      </c>
      <c r="G295" s="179">
        <f>VLOOKUP(B295,Tot_res!C:V,6,FALSE)</f>
        <v>2840.7108680129718</v>
      </c>
      <c r="H295" s="179">
        <f>VLOOKUP(B295,Tot_res!C:V,7,FALSE)</f>
        <v>5245.9192769449764</v>
      </c>
      <c r="I295" s="179">
        <f>VLOOKUP(B295,Tot_res!C:V,8,FALSE)</f>
        <v>1614.5596674159353</v>
      </c>
      <c r="J295" s="179">
        <f>VLOOKUP(B295,Tot_res!C:V,9,FALSE)</f>
        <v>8522.7214654885993</v>
      </c>
      <c r="K295" s="179">
        <f>VLOOKUP(B295,Tot_res!C:V,10,FALSE)</f>
        <v>7083.3438077264482</v>
      </c>
      <c r="L295" s="179">
        <f>VLOOKUP(B295,Tot_res!C:V,11,FALSE)</f>
        <v>18635.720894552236</v>
      </c>
      <c r="M295" s="179">
        <f>VLOOKUP(B295,Tot_res!C:V,12,FALSE)</f>
        <v>12929.304436676633</v>
      </c>
      <c r="N295" s="179">
        <f>VLOOKUP(B295,Tot_res!C:V,13,FALSE)</f>
        <v>3382.8104404622882</v>
      </c>
      <c r="O295" s="179">
        <f>VLOOKUP(B295,Tot_res!C:V,14,FALSE)</f>
        <v>6961.8744766132322</v>
      </c>
      <c r="P295" s="179">
        <f>VLOOKUP(B295,Tot_res!C:V,15,FALSE)</f>
        <v>17457.160999976164</v>
      </c>
      <c r="Q295" s="179">
        <f>VLOOKUP(B295,Tot_res!C:V,16,FALSE)</f>
        <v>3699.5559898957122</v>
      </c>
      <c r="R295" s="179">
        <f>VLOOKUP(B295,Tot_res!C:V,17,FALSE)</f>
        <v>1660.6561323947885</v>
      </c>
      <c r="S295" s="179">
        <f>VLOOKUP(B295,Tot_res!C:V,18,FALSE)</f>
        <v>6385.1225563301678</v>
      </c>
      <c r="T295" s="179">
        <f>VLOOKUP(B295,Tot_res!C:V,19,FALSE)</f>
        <v>972.8782240252707</v>
      </c>
      <c r="U295" s="179">
        <f>VLOOKUP(B295,Tot_res!C:V,20,FALSE)</f>
        <v>1546.4751728925141</v>
      </c>
      <c r="V295" s="122">
        <f t="shared" si="48"/>
        <v>126438.04929000005</v>
      </c>
    </row>
    <row r="296" spans="1:22" ht="13.15">
      <c r="A296" s="355"/>
      <c r="B296" s="119" t="s">
        <v>311</v>
      </c>
      <c r="C296" s="334" t="str">
        <f>VLOOKUP(B296,Tot_res!C:D,2,FALSE)</f>
        <v>Salud pública, sanidad exterior y calidad + AF11/2</v>
      </c>
      <c r="D296" s="179">
        <f>VLOOKUP(B296,Tot_res!C:V,3,FALSE)</f>
        <v>3169.2271609863383</v>
      </c>
      <c r="E296" s="179">
        <f>VLOOKUP(B296,Tot_res!C:V,4,FALSE)</f>
        <v>561.12953790551842</v>
      </c>
      <c r="F296" s="179">
        <f>VLOOKUP(B296,Tot_res!C:V,5,FALSE)</f>
        <v>432.37299816255347</v>
      </c>
      <c r="G296" s="179">
        <f>VLOOKUP(B296,Tot_res!C:V,6,FALSE)</f>
        <v>448.07428607790746</v>
      </c>
      <c r="H296" s="179">
        <f>VLOOKUP(B296,Tot_res!C:V,7,FALSE)</f>
        <v>818.37912479688009</v>
      </c>
      <c r="I296" s="179">
        <f>VLOOKUP(B296,Tot_res!C:V,8,FALSE)</f>
        <v>288.62161263505709</v>
      </c>
      <c r="J296" s="179">
        <f>VLOOKUP(B296,Tot_res!C:V,9,FALSE)</f>
        <v>964.9746148353629</v>
      </c>
      <c r="K296" s="179">
        <f>VLOOKUP(B296,Tot_res!C:V,10,FALSE)</f>
        <v>828.85118499506871</v>
      </c>
      <c r="L296" s="179">
        <f>VLOOKUP(B296,Tot_res!C:V,11,FALSE)</f>
        <v>2862.1278562278644</v>
      </c>
      <c r="M296" s="179">
        <f>VLOOKUP(B296,Tot_res!C:V,12,FALSE)</f>
        <v>1985.1275191547409</v>
      </c>
      <c r="N296" s="179">
        <f>VLOOKUP(B296,Tot_res!C:V,13,FALSE)</f>
        <v>445.83972478418991</v>
      </c>
      <c r="O296" s="179">
        <f>VLOOKUP(B296,Tot_res!C:V,14,FALSE)</f>
        <v>1056.8802083823966</v>
      </c>
      <c r="P296" s="179">
        <f>VLOOKUP(B296,Tot_res!C:V,15,FALSE)</f>
        <v>2464.6011633128051</v>
      </c>
      <c r="Q296" s="179">
        <f>VLOOKUP(B296,Tot_res!C:V,16,FALSE)</f>
        <v>603.41540024335586</v>
      </c>
      <c r="R296" s="179">
        <f>VLOOKUP(B296,Tot_res!C:V,17,FALSE)</f>
        <v>248.44471501156013</v>
      </c>
      <c r="S296" s="179">
        <f>VLOOKUP(B296,Tot_res!C:V,18,FALSE)</f>
        <v>846.79180619711406</v>
      </c>
      <c r="T296" s="179">
        <f>VLOOKUP(B296,Tot_res!C:V,19,FALSE)</f>
        <v>157.57265818993449</v>
      </c>
      <c r="U296" s="179">
        <f>VLOOKUP(B296,Tot_res!C:V,20,FALSE)</f>
        <v>58.6683046777896</v>
      </c>
      <c r="V296" s="122">
        <f t="shared" si="48"/>
        <v>18241.099876576438</v>
      </c>
    </row>
    <row r="297" spans="1:22" ht="13.15">
      <c r="A297" s="355"/>
      <c r="B297" s="119" t="s">
        <v>312</v>
      </c>
      <c r="C297" s="334" t="str">
        <f>VLOOKUP(B297,Tot_res!C:D,2,FALSE)</f>
        <v>Seguridad alimentaria y nutrición</v>
      </c>
      <c r="D297" s="179">
        <f>VLOOKUP(B297,Tot_res!C:V,3,FALSE)</f>
        <v>2657.5703863089821</v>
      </c>
      <c r="E297" s="179">
        <f>VLOOKUP(B297,Tot_res!C:V,4,FALSE)</f>
        <v>421.69544867758134</v>
      </c>
      <c r="F297" s="179">
        <f>VLOOKUP(B297,Tot_res!C:V,5,FALSE)</f>
        <v>336.07716708772864</v>
      </c>
      <c r="G297" s="179">
        <f>VLOOKUP(B297,Tot_res!C:V,6,FALSE)</f>
        <v>349.51996344028771</v>
      </c>
      <c r="H297" s="179">
        <f>VLOOKUP(B297,Tot_res!C:V,7,FALSE)</f>
        <v>666.419035603677</v>
      </c>
      <c r="I297" s="179">
        <f>VLOOKUP(B297,Tot_res!C:V,8,FALSE)</f>
        <v>186.2763375460477</v>
      </c>
      <c r="J297" s="179">
        <f>VLOOKUP(B297,Tot_res!C:V,9,FALSE)</f>
        <v>791.25676825289986</v>
      </c>
      <c r="K297" s="179">
        <f>VLOOKUP(B297,Tot_res!C:V,10,FALSE)</f>
        <v>659.49448465664898</v>
      </c>
      <c r="L297" s="179">
        <f>VLOOKUP(B297,Tot_res!C:V,11,FALSE)</f>
        <v>2378.2764304496013</v>
      </c>
      <c r="M297" s="179">
        <f>VLOOKUP(B297,Tot_res!C:V,12,FALSE)</f>
        <v>1596.6086307645912</v>
      </c>
      <c r="N297" s="179">
        <f>VLOOKUP(B297,Tot_res!C:V,13,FALSE)</f>
        <v>347.70855077373005</v>
      </c>
      <c r="O297" s="179">
        <f>VLOOKUP(B297,Tot_res!C:V,14,FALSE)</f>
        <v>870.14631449844205</v>
      </c>
      <c r="P297" s="179">
        <f>VLOOKUP(B297,Tot_res!C:V,15,FALSE)</f>
        <v>2043.3604293734752</v>
      </c>
      <c r="Q297" s="179">
        <f>VLOOKUP(B297,Tot_res!C:V,16,FALSE)</f>
        <v>463.71959138747945</v>
      </c>
      <c r="R297" s="179">
        <f>VLOOKUP(B297,Tot_res!C:V,17,FALSE)</f>
        <v>202.80042889447247</v>
      </c>
      <c r="S297" s="179">
        <f>VLOOKUP(B297,Tot_res!C:V,18,FALSE)</f>
        <v>691.2191369138568</v>
      </c>
      <c r="T297" s="179">
        <f>VLOOKUP(B297,Tot_res!C:V,19,FALSE)</f>
        <v>101.14704270302964</v>
      </c>
      <c r="U297" s="179">
        <f>VLOOKUP(B297,Tot_res!C:V,20,FALSE)</f>
        <v>53.2269726674701</v>
      </c>
      <c r="V297" s="122">
        <f t="shared" si="48"/>
        <v>14816.52312</v>
      </c>
    </row>
    <row r="298" spans="1:22" ht="13.15">
      <c r="A298" s="355"/>
      <c r="B298" s="119" t="s">
        <v>313</v>
      </c>
      <c r="C298" s="334" t="str">
        <f>VLOOKUP(B298,Tot_res!C:D,2,FALSE)</f>
        <v>Donación y trasplante de órganos, tejidos y células</v>
      </c>
      <c r="D298" s="179">
        <f>VLOOKUP(B298,Tot_res!C:V,3,FALSE)</f>
        <v>592.68257704517418</v>
      </c>
      <c r="E298" s="179">
        <f>VLOOKUP(B298,Tot_res!C:V,4,FALSE)</f>
        <v>104.02269700335306</v>
      </c>
      <c r="F298" s="179">
        <f>VLOOKUP(B298,Tot_res!C:V,5,FALSE)</f>
        <v>88.375364446086067</v>
      </c>
      <c r="G298" s="179">
        <f>VLOOKUP(B298,Tot_res!C:V,6,FALSE)</f>
        <v>76.378868504697465</v>
      </c>
      <c r="H298" s="179">
        <f>VLOOKUP(B298,Tot_res!C:V,7,FALSE)</f>
        <v>144.91543494094026</v>
      </c>
      <c r="I298" s="179">
        <f>VLOOKUP(B298,Tot_res!C:V,8,FALSE)</f>
        <v>45.590807072603191</v>
      </c>
      <c r="J298" s="179">
        <f>VLOOKUP(B298,Tot_res!C:V,9,FALSE)</f>
        <v>207.20245906351192</v>
      </c>
      <c r="K298" s="179">
        <f>VLOOKUP(B298,Tot_res!C:V,10,FALSE)</f>
        <v>153.57937147772125</v>
      </c>
      <c r="L298" s="179">
        <f>VLOOKUP(B298,Tot_res!C:V,11,FALSE)</f>
        <v>551.98293252973701</v>
      </c>
      <c r="M298" s="179">
        <f>VLOOKUP(B298,Tot_res!C:V,12,FALSE)</f>
        <v>372.4620723255664</v>
      </c>
      <c r="N298" s="179">
        <f>VLOOKUP(B298,Tot_res!C:V,13,FALSE)</f>
        <v>83.868864071148749</v>
      </c>
      <c r="O298" s="179">
        <f>VLOOKUP(B298,Tot_res!C:V,14,FALSE)</f>
        <v>225.88842145650275</v>
      </c>
      <c r="P298" s="179">
        <f>VLOOKUP(B298,Tot_res!C:V,15,FALSE)</f>
        <v>459.80662584410925</v>
      </c>
      <c r="Q298" s="179">
        <f>VLOOKUP(B298,Tot_res!C:V,16,FALSE)</f>
        <v>100.53066600691368</v>
      </c>
      <c r="R298" s="179">
        <f>VLOOKUP(B298,Tot_res!C:V,17,FALSE)</f>
        <v>47.960021448582935</v>
      </c>
      <c r="S298" s="179">
        <f>VLOOKUP(B298,Tot_res!C:V,18,FALSE)</f>
        <v>171.56208809526467</v>
      </c>
      <c r="T298" s="179">
        <f>VLOOKUP(B298,Tot_res!C:V,19,FALSE)</f>
        <v>24.346754423800707</v>
      </c>
      <c r="U298" s="179">
        <f>VLOOKUP(B298,Tot_res!C:V,20,FALSE)</f>
        <v>10.560614244286738</v>
      </c>
      <c r="V298" s="122">
        <f t="shared" si="48"/>
        <v>3461.7166400000006</v>
      </c>
    </row>
    <row r="299" spans="1:22" ht="13.15">
      <c r="A299" s="355"/>
      <c r="B299" s="115" t="s">
        <v>314</v>
      </c>
      <c r="C299" s="334" t="str">
        <f>VLOOKUP(B299,Tot_res!C:D,2,FALSE)</f>
        <v>Protec. y promoc. de derechos de consum. y usuar.</v>
      </c>
      <c r="D299" s="179">
        <f>VLOOKUP(B299,Tot_res!C:V,3,FALSE)</f>
        <v>2746.1266115562266</v>
      </c>
      <c r="E299" s="179">
        <f>VLOOKUP(B299,Tot_res!C:V,4,FALSE)</f>
        <v>435.74728991242267</v>
      </c>
      <c r="F299" s="179">
        <f>VLOOKUP(B299,Tot_res!C:V,5,FALSE)</f>
        <v>347.27601452462079</v>
      </c>
      <c r="G299" s="179">
        <f>VLOOKUP(B299,Tot_res!C:V,6,FALSE)</f>
        <v>361.16675510017495</v>
      </c>
      <c r="H299" s="179">
        <f>VLOOKUP(B299,Tot_res!C:V,7,FALSE)</f>
        <v>688.6256174236737</v>
      </c>
      <c r="I299" s="179">
        <f>VLOOKUP(B299,Tot_res!C:V,8,FALSE)</f>
        <v>192.48348426582669</v>
      </c>
      <c r="J299" s="179">
        <f>VLOOKUP(B299,Tot_res!C:V,9,FALSE)</f>
        <v>817.6232242304327</v>
      </c>
      <c r="K299" s="179">
        <f>VLOOKUP(B299,Tot_res!C:V,10,FALSE)</f>
        <v>681.47032485769921</v>
      </c>
      <c r="L299" s="179">
        <f>VLOOKUP(B299,Tot_res!C:V,11,FALSE)</f>
        <v>2457.5259526297532</v>
      </c>
      <c r="M299" s="179">
        <f>VLOOKUP(B299,Tot_res!C:V,12,FALSE)</f>
        <v>1649.8112229766666</v>
      </c>
      <c r="N299" s="179">
        <f>VLOOKUP(B299,Tot_res!C:V,13,FALSE)</f>
        <v>359.29498208758781</v>
      </c>
      <c r="O299" s="179">
        <f>VLOOKUP(B299,Tot_res!C:V,14,FALSE)</f>
        <v>899.14154767147784</v>
      </c>
      <c r="P299" s="179">
        <f>VLOOKUP(B299,Tot_res!C:V,15,FALSE)</f>
        <v>2111.449796781058</v>
      </c>
      <c r="Q299" s="179">
        <f>VLOOKUP(B299,Tot_res!C:V,16,FALSE)</f>
        <v>479.17177161872598</v>
      </c>
      <c r="R299" s="179">
        <f>VLOOKUP(B299,Tot_res!C:V,17,FALSE)</f>
        <v>209.55819551993514</v>
      </c>
      <c r="S299" s="179">
        <f>VLOOKUP(B299,Tot_res!C:V,18,FALSE)</f>
        <v>714.25211391386199</v>
      </c>
      <c r="T299" s="179">
        <f>VLOOKUP(B299,Tot_res!C:V,19,FALSE)</f>
        <v>104.51748976356546</v>
      </c>
      <c r="U299" s="179">
        <f>VLOOKUP(B299,Tot_res!C:V,20,FALSE)</f>
        <v>55.000615166292476</v>
      </c>
      <c r="V299" s="122">
        <f t="shared" si="48"/>
        <v>15310.243010000004</v>
      </c>
    </row>
    <row r="300" spans="1:22" ht="13.15">
      <c r="A300" s="355"/>
      <c r="B300" s="115" t="s">
        <v>801</v>
      </c>
      <c r="C300" s="334" t="str">
        <f>VLOOKUP(B300,Tot_res!C:D,2,FALSE)</f>
        <v>Atención Primaria de Salud, ISM</v>
      </c>
      <c r="D300" s="179">
        <f>VLOOKUP(B300,Tot_res!C:V,3,FALSE)</f>
        <v>0</v>
      </c>
      <c r="E300" s="179">
        <f>VLOOKUP(B300,Tot_res!C:V,4,FALSE)</f>
        <v>0</v>
      </c>
      <c r="F300" s="179">
        <f>VLOOKUP(B300,Tot_res!C:V,5,FALSE)</f>
        <v>0</v>
      </c>
      <c r="G300" s="179">
        <f>VLOOKUP(B300,Tot_res!C:V,6,FALSE)</f>
        <v>0</v>
      </c>
      <c r="H300" s="179">
        <f>VLOOKUP(B300,Tot_res!C:V,7,FALSE)</f>
        <v>0</v>
      </c>
      <c r="I300" s="179">
        <f>VLOOKUP(B300,Tot_res!C:V,8,FALSE)</f>
        <v>0</v>
      </c>
      <c r="J300" s="179">
        <f>VLOOKUP(B300,Tot_res!C:V,9,FALSE)</f>
        <v>0</v>
      </c>
      <c r="K300" s="179">
        <f>VLOOKUP(B300,Tot_res!C:V,10,FALSE)</f>
        <v>0</v>
      </c>
      <c r="L300" s="179">
        <f>VLOOKUP(B300,Tot_res!C:V,11,FALSE)</f>
        <v>0</v>
      </c>
      <c r="M300" s="179">
        <f>VLOOKUP(B300,Tot_res!C:V,12,FALSE)</f>
        <v>0</v>
      </c>
      <c r="N300" s="179">
        <f>VLOOKUP(B300,Tot_res!C:V,13,FALSE)</f>
        <v>0</v>
      </c>
      <c r="O300" s="179">
        <f>VLOOKUP(B300,Tot_res!C:V,14,FALSE)</f>
        <v>0</v>
      </c>
      <c r="P300" s="179">
        <f>VLOOKUP(B300,Tot_res!C:V,15,FALSE)</f>
        <v>1070.4492499999999</v>
      </c>
      <c r="Q300" s="179">
        <f>VLOOKUP(B300,Tot_res!C:V,16,FALSE)</f>
        <v>0</v>
      </c>
      <c r="R300" s="179">
        <f>VLOOKUP(B300,Tot_res!C:V,17,FALSE)</f>
        <v>0</v>
      </c>
      <c r="S300" s="179">
        <f>VLOOKUP(B300,Tot_res!C:V,18,FALSE)</f>
        <v>0</v>
      </c>
      <c r="T300" s="179">
        <f>VLOOKUP(B300,Tot_res!C:V,19,FALSE)</f>
        <v>0</v>
      </c>
      <c r="U300" s="179">
        <f>VLOOKUP(B300,Tot_res!C:V,20,FALSE)</f>
        <v>0</v>
      </c>
      <c r="V300" s="122">
        <f t="shared" si="48"/>
        <v>1070.4492499999999</v>
      </c>
    </row>
    <row r="301" spans="1:22" ht="26.3">
      <c r="A301" s="355"/>
      <c r="B301" s="115" t="s">
        <v>802</v>
      </c>
      <c r="C301" s="334" t="str">
        <f>VLOOKUP(B301,Tot_res!C:D,2,FALSE)</f>
        <v xml:space="preserve">Medicina Ambulatoria de Mutuas de Accidentes de Trabajo, mutuas de enfermedades profesionales y accidentes de trabajo de la Seguridad Social </v>
      </c>
      <c r="D301" s="179">
        <f>VLOOKUP(B301,Tot_res!C:V,3,FALSE)</f>
        <v>103110.05861604915</v>
      </c>
      <c r="E301" s="179">
        <f>VLOOKUP(B301,Tot_res!C:V,4,FALSE)</f>
        <v>20327.531827872084</v>
      </c>
      <c r="F301" s="179">
        <f>VLOOKUP(B301,Tot_res!C:V,5,FALSE)</f>
        <v>23346.650129356171</v>
      </c>
      <c r="G301" s="179">
        <f>VLOOKUP(B301,Tot_res!C:V,6,FALSE)</f>
        <v>20562.390298081256</v>
      </c>
      <c r="H301" s="179">
        <f>VLOOKUP(B301,Tot_res!C:V,7,FALSE)</f>
        <v>34380.070976559138</v>
      </c>
      <c r="I301" s="179">
        <f>VLOOKUP(B301,Tot_res!C:V,8,FALSE)</f>
        <v>10441.554043120226</v>
      </c>
      <c r="J301" s="179">
        <f>VLOOKUP(B301,Tot_res!C:V,9,FALSE)</f>
        <v>38631.473913679118</v>
      </c>
      <c r="K301" s="179">
        <f>VLOOKUP(B301,Tot_res!C:V,10,FALSE)</f>
        <v>34862.707331511105</v>
      </c>
      <c r="L301" s="179">
        <f>VLOOKUP(B301,Tot_res!C:V,11,FALSE)</f>
        <v>164153.92312704277</v>
      </c>
      <c r="M301" s="179">
        <f>VLOOKUP(B301,Tot_res!C:V,12,FALSE)</f>
        <v>93782.155619997793</v>
      </c>
      <c r="N301" s="179">
        <f>VLOOKUP(B301,Tot_res!C:V,13,FALSE)</f>
        <v>12607.662406323076</v>
      </c>
      <c r="O301" s="179">
        <f>VLOOKUP(B301,Tot_res!C:V,14,FALSE)</f>
        <v>45261.283177579855</v>
      </c>
      <c r="P301" s="179">
        <f>VLOOKUP(B301,Tot_res!C:V,15,FALSE)</f>
        <v>96909.883798882816</v>
      </c>
      <c r="Q301" s="179">
        <f>VLOOKUP(B301,Tot_res!C:V,16,FALSE)</f>
        <v>21369.347182235881</v>
      </c>
      <c r="R301" s="179">
        <f>VLOOKUP(B301,Tot_res!C:V,17,FALSE)</f>
        <v>14669.199461127235</v>
      </c>
      <c r="S301" s="179">
        <f>VLOOKUP(B301,Tot_res!C:V,18,FALSE)</f>
        <v>37423.582049008175</v>
      </c>
      <c r="T301" s="179">
        <f>VLOOKUP(B301,Tot_res!C:V,19,FALSE)</f>
        <v>7373.5268880977501</v>
      </c>
      <c r="U301" s="179">
        <f>VLOOKUP(B301,Tot_res!C:V,20,FALSE)</f>
        <v>2121.1338548686681</v>
      </c>
      <c r="V301" s="122">
        <f t="shared" si="48"/>
        <v>781334.13470139261</v>
      </c>
    </row>
    <row r="302" spans="1:22" ht="13.15">
      <c r="A302" s="355"/>
      <c r="B302" s="115" t="s">
        <v>804</v>
      </c>
      <c r="C302" s="334" t="str">
        <f>VLOOKUP(B302,Tot_res!C:D,2,FALSE)</f>
        <v>Atenció Primaria de Salud INGESA neto de Ceuta y Melilla</v>
      </c>
      <c r="D302" s="179">
        <f>VLOOKUP(B302,Tot_res!C:V,3,FALSE)</f>
        <v>0</v>
      </c>
      <c r="E302" s="179">
        <f>VLOOKUP(B302,Tot_res!C:V,4,FALSE)</f>
        <v>562.22474182203814</v>
      </c>
      <c r="F302" s="179">
        <f>VLOOKUP(B302,Tot_res!C:V,5,FALSE)</f>
        <v>485.12859294106113</v>
      </c>
      <c r="G302" s="179">
        <f>VLOOKUP(B302,Tot_res!C:V,6,FALSE)</f>
        <v>400.19076808669894</v>
      </c>
      <c r="H302" s="179">
        <f>VLOOKUP(B302,Tot_res!C:V,7,FALSE)</f>
        <v>0</v>
      </c>
      <c r="I302" s="179">
        <f>VLOOKUP(B302,Tot_res!C:V,8,FALSE)</f>
        <v>244.13712154689509</v>
      </c>
      <c r="J302" s="179">
        <f>VLOOKUP(B302,Tot_res!C:V,9,FALSE)</f>
        <v>1099.0625213093292</v>
      </c>
      <c r="K302" s="179">
        <f>VLOOKUP(B302,Tot_res!C:V,10,FALSE)</f>
        <v>820.57604794264648</v>
      </c>
      <c r="L302" s="179">
        <f>VLOOKUP(B302,Tot_res!C:V,11,FALSE)</f>
        <v>0</v>
      </c>
      <c r="M302" s="179">
        <f>VLOOKUP(B302,Tot_res!C:V,12,FALSE)</f>
        <v>0</v>
      </c>
      <c r="N302" s="179">
        <f>VLOOKUP(B302,Tot_res!C:V,13,FALSE)</f>
        <v>453.57389965338649</v>
      </c>
      <c r="O302" s="179">
        <f>VLOOKUP(B302,Tot_res!C:V,14,FALSE)</f>
        <v>0</v>
      </c>
      <c r="P302" s="179">
        <f>VLOOKUP(B302,Tot_res!C:V,15,FALSE)</f>
        <v>2426.868311981505</v>
      </c>
      <c r="Q302" s="179">
        <f>VLOOKUP(B302,Tot_res!C:V,16,FALSE)</f>
        <v>522.52794091240889</v>
      </c>
      <c r="R302" s="179">
        <f>VLOOKUP(B302,Tot_res!C:V,17,FALSE)</f>
        <v>0</v>
      </c>
      <c r="S302" s="179">
        <f>VLOOKUP(B302,Tot_res!C:V,18,FALSE)</f>
        <v>0</v>
      </c>
      <c r="T302" s="179">
        <f>VLOOKUP(B302,Tot_res!C:V,19,FALSE)</f>
        <v>131.41044286720765</v>
      </c>
      <c r="U302" s="179">
        <f>VLOOKUP(B302,Tot_res!C:V,20,FALSE)</f>
        <v>48.935610936823629</v>
      </c>
      <c r="V302" s="122">
        <f t="shared" si="48"/>
        <v>7194.6360000000004</v>
      </c>
    </row>
    <row r="303" spans="1:22" ht="13.15">
      <c r="A303" s="355"/>
      <c r="B303" s="115" t="s">
        <v>806</v>
      </c>
      <c r="C303" s="334" t="str">
        <f>VLOOKUP(B303,Tot_res!C:D,2,FALSE)</f>
        <v>Atención Especializada, INGESA neto de Ceuta y Melilla</v>
      </c>
      <c r="D303" s="179">
        <f>VLOOKUP(B303,Tot_res!C:V,3,FALSE)</f>
        <v>585.06450990257451</v>
      </c>
      <c r="E303" s="179">
        <f>VLOOKUP(B303,Tot_res!C:V,4,FALSE)</f>
        <v>444.74496902493911</v>
      </c>
      <c r="F303" s="179">
        <f>VLOOKUP(B303,Tot_res!C:V,5,FALSE)</f>
        <v>382.2289054536929</v>
      </c>
      <c r="G303" s="179">
        <f>VLOOKUP(B303,Tot_res!C:V,6,FALSE)</f>
        <v>319.07184003437942</v>
      </c>
      <c r="H303" s="179">
        <f>VLOOKUP(B303,Tot_res!C:V,7,FALSE)</f>
        <v>143.23131509970673</v>
      </c>
      <c r="I303" s="179">
        <f>VLOOKUP(B303,Tot_res!C:V,8,FALSE)</f>
        <v>193.30467425695861</v>
      </c>
      <c r="J303" s="179">
        <f>VLOOKUP(B303,Tot_res!C:V,9,FALSE)</f>
        <v>873.38888909469154</v>
      </c>
      <c r="K303" s="179">
        <f>VLOOKUP(B303,Tot_res!C:V,10,FALSE)</f>
        <v>651.06862596424287</v>
      </c>
      <c r="L303" s="179">
        <f>VLOOKUP(B303,Tot_res!C:V,11,FALSE)</f>
        <v>544.5728258586679</v>
      </c>
      <c r="M303" s="179">
        <f>VLOOKUP(B303,Tot_res!C:V,12,FALSE)</f>
        <v>371.15489654526721</v>
      </c>
      <c r="N303" s="179">
        <f>VLOOKUP(B303,Tot_res!C:V,13,FALSE)</f>
        <v>358.47549190185913</v>
      </c>
      <c r="O303" s="179">
        <f>VLOOKUP(B303,Tot_res!C:V,14,FALSE)</f>
        <v>223.5994927753782</v>
      </c>
      <c r="P303" s="179">
        <f>VLOOKUP(B303,Tot_res!C:V,15,FALSE)</f>
        <v>1926.5582307093071</v>
      </c>
      <c r="Q303" s="179">
        <f>VLOOKUP(B303,Tot_res!C:V,16,FALSE)</f>
        <v>416.60315088315082</v>
      </c>
      <c r="R303" s="179">
        <f>VLOOKUP(B303,Tot_res!C:V,17,FALSE)</f>
        <v>47.297815418230904</v>
      </c>
      <c r="S303" s="179">
        <f>VLOOKUP(B303,Tot_res!C:V,18,FALSE)</f>
        <v>168.70849547885518</v>
      </c>
      <c r="T303" s="179">
        <f>VLOOKUP(B303,Tot_res!C:V,19,FALSE)</f>
        <v>103.9102707527833</v>
      </c>
      <c r="U303" s="179">
        <f>VLOOKUP(B303,Tot_res!C:V,20,FALSE)</f>
        <v>40.027226240556899</v>
      </c>
      <c r="V303" s="122">
        <f t="shared" si="48"/>
        <v>7793.0116253952438</v>
      </c>
    </row>
    <row r="304" spans="1:22" ht="13.15">
      <c r="A304" s="355"/>
      <c r="B304" s="115" t="s">
        <v>808</v>
      </c>
      <c r="C304" s="334" t="str">
        <f>VLOOKUP(B304,Tot_res!C:D,2,FALSE)</f>
        <v>Atención Especializada, ISM</v>
      </c>
      <c r="D304" s="179">
        <f>VLOOKUP(B304,Tot_res!C:V,3,FALSE)</f>
        <v>0</v>
      </c>
      <c r="E304" s="179">
        <f>VLOOKUP(B304,Tot_res!C:V,4,FALSE)</f>
        <v>0</v>
      </c>
      <c r="F304" s="179">
        <f>VLOOKUP(B304,Tot_res!C:V,5,FALSE)</f>
        <v>0.12940000000000002</v>
      </c>
      <c r="G304" s="179">
        <f>VLOOKUP(B304,Tot_res!C:V,6,FALSE)</f>
        <v>0</v>
      </c>
      <c r="H304" s="179">
        <f>VLOOKUP(B304,Tot_res!C:V,7,FALSE)</f>
        <v>0.21636000000000002</v>
      </c>
      <c r="I304" s="179">
        <f>VLOOKUP(B304,Tot_res!C:V,8,FALSE)</f>
        <v>0</v>
      </c>
      <c r="J304" s="179">
        <f>VLOOKUP(B304,Tot_res!C:V,9,FALSE)</f>
        <v>0</v>
      </c>
      <c r="K304" s="179">
        <f>VLOOKUP(B304,Tot_res!C:V,10,FALSE)</f>
        <v>0</v>
      </c>
      <c r="L304" s="179">
        <f>VLOOKUP(B304,Tot_res!C:V,11,FALSE)</f>
        <v>0</v>
      </c>
      <c r="M304" s="179">
        <f>VLOOKUP(B304,Tot_res!C:V,12,FALSE)</f>
        <v>0</v>
      </c>
      <c r="N304" s="179">
        <f>VLOOKUP(B304,Tot_res!C:V,13,FALSE)</f>
        <v>0</v>
      </c>
      <c r="O304" s="179">
        <f>VLOOKUP(B304,Tot_res!C:V,14,FALSE)</f>
        <v>0</v>
      </c>
      <c r="P304" s="179">
        <f>VLOOKUP(B304,Tot_res!C:V,15,FALSE)</f>
        <v>193.39845000000003</v>
      </c>
      <c r="Q304" s="179">
        <f>VLOOKUP(B304,Tot_res!C:V,16,FALSE)</f>
        <v>0</v>
      </c>
      <c r="R304" s="179">
        <f>VLOOKUP(B304,Tot_res!C:V,17,FALSE)</f>
        <v>0</v>
      </c>
      <c r="S304" s="179">
        <f>VLOOKUP(B304,Tot_res!C:V,18,FALSE)</f>
        <v>0</v>
      </c>
      <c r="T304" s="179">
        <f>VLOOKUP(B304,Tot_res!C:V,19,FALSE)</f>
        <v>0</v>
      </c>
      <c r="U304" s="179">
        <f>VLOOKUP(B304,Tot_res!C:V,20,FALSE)</f>
        <v>0</v>
      </c>
      <c r="V304" s="122">
        <f t="shared" si="48"/>
        <v>193.74421000000004</v>
      </c>
    </row>
    <row r="305" spans="1:22" ht="13.15">
      <c r="A305" s="355"/>
      <c r="B305" s="115" t="s">
        <v>810</v>
      </c>
      <c r="C305" s="334" t="str">
        <f>VLOOKUP(B305,Tot_res!C:D,2,FALSE)</f>
        <v>Atención Especializada, mutuas de la Seg. Social</v>
      </c>
      <c r="D305" s="179">
        <f>VLOOKUP(B305,Tot_res!C:V,3,FALSE)</f>
        <v>32688.719490297113</v>
      </c>
      <c r="E305" s="179">
        <f>VLOOKUP(B305,Tot_res!C:V,4,FALSE)</f>
        <v>29383.179656069344</v>
      </c>
      <c r="F305" s="179">
        <f>VLOOKUP(B305,Tot_res!C:V,5,FALSE)</f>
        <v>4489.7522929954403</v>
      </c>
      <c r="G305" s="179">
        <f>VLOOKUP(B305,Tot_res!C:V,6,FALSE)</f>
        <v>8015.81564858806</v>
      </c>
      <c r="H305" s="179">
        <f>VLOOKUP(B305,Tot_res!C:V,7,FALSE)</f>
        <v>7795.2191212012485</v>
      </c>
      <c r="I305" s="179">
        <f>VLOOKUP(B305,Tot_res!C:V,8,FALSE)</f>
        <v>5593.0703292601102</v>
      </c>
      <c r="J305" s="179">
        <f>VLOOKUP(B305,Tot_res!C:V,9,FALSE)</f>
        <v>7253.5941185476131</v>
      </c>
      <c r="K305" s="179">
        <f>VLOOKUP(B305,Tot_res!C:V,10,FALSE)</f>
        <v>5280.3610050033067</v>
      </c>
      <c r="L305" s="179">
        <f>VLOOKUP(B305,Tot_res!C:V,11,FALSE)</f>
        <v>83534.827708187542</v>
      </c>
      <c r="M305" s="179">
        <f>VLOOKUP(B305,Tot_res!C:V,12,FALSE)</f>
        <v>38991.954913518399</v>
      </c>
      <c r="N305" s="179">
        <f>VLOOKUP(B305,Tot_res!C:V,13,FALSE)</f>
        <v>1958.1792727429061</v>
      </c>
      <c r="O305" s="179">
        <f>VLOOKUP(B305,Tot_res!C:V,14,FALSE)</f>
        <v>23500.047573420303</v>
      </c>
      <c r="P305" s="179">
        <f>VLOOKUP(B305,Tot_res!C:V,15,FALSE)</f>
        <v>79346.392159665367</v>
      </c>
      <c r="Q305" s="179">
        <f>VLOOKUP(B305,Tot_res!C:V,16,FALSE)</f>
        <v>9034.706363772375</v>
      </c>
      <c r="R305" s="179">
        <f>VLOOKUP(B305,Tot_res!C:V,17,FALSE)</f>
        <v>4002.0144219271492</v>
      </c>
      <c r="S305" s="179">
        <f>VLOOKUP(B305,Tot_res!C:V,18,FALSE)</f>
        <v>36621.433902705088</v>
      </c>
      <c r="T305" s="179">
        <f>VLOOKUP(B305,Tot_res!C:V,19,FALSE)</f>
        <v>1158.4196563402234</v>
      </c>
      <c r="U305" s="179">
        <f>VLOOKUP(B305,Tot_res!C:V,20,FALSE)</f>
        <v>197.88577509999519</v>
      </c>
      <c r="V305" s="122">
        <f t="shared" si="48"/>
        <v>378845.57340934157</v>
      </c>
    </row>
    <row r="306" spans="1:22" ht="13.15">
      <c r="A306" s="355"/>
      <c r="B306" s="115" t="s">
        <v>633</v>
      </c>
      <c r="C306" s="334" t="str">
        <f>VLOOKUP(B306,Tot_res!C:D,2,FALSE)</f>
        <v xml:space="preserve">Medicina Marítima </v>
      </c>
      <c r="D306" s="179">
        <f>VLOOKUP(B306,Tot_res!C:V,3,FALSE)</f>
        <v>2195.157573903919</v>
      </c>
      <c r="E306" s="179">
        <f>VLOOKUP(B306,Tot_res!C:V,4,FALSE)</f>
        <v>0</v>
      </c>
      <c r="F306" s="179">
        <f>VLOOKUP(B306,Tot_res!C:V,5,FALSE)</f>
        <v>531.69469997327792</v>
      </c>
      <c r="G306" s="179">
        <f>VLOOKUP(B306,Tot_res!C:V,6,FALSE)</f>
        <v>304.82140185129578</v>
      </c>
      <c r="H306" s="179">
        <f>VLOOKUP(B306,Tot_res!C:V,7,FALSE)</f>
        <v>6658.5524390784012</v>
      </c>
      <c r="I306" s="179">
        <f>VLOOKUP(B306,Tot_res!C:V,8,FALSE)</f>
        <v>6625.2514090693094</v>
      </c>
      <c r="J306" s="179">
        <f>VLOOKUP(B306,Tot_res!C:V,9,FALSE)</f>
        <v>0</v>
      </c>
      <c r="K306" s="179">
        <f>VLOOKUP(B306,Tot_res!C:V,10,FALSE)</f>
        <v>0</v>
      </c>
      <c r="L306" s="179">
        <f>VLOOKUP(B306,Tot_res!C:V,11,FALSE)</f>
        <v>1034.1094184418171</v>
      </c>
      <c r="M306" s="179">
        <f>VLOOKUP(B306,Tot_res!C:V,12,FALSE)</f>
        <v>706.57219976701731</v>
      </c>
      <c r="N306" s="179">
        <f>VLOOKUP(B306,Tot_res!C:V,13,FALSE)</f>
        <v>0</v>
      </c>
      <c r="O306" s="179">
        <f>VLOOKUP(B306,Tot_res!C:V,14,FALSE)</f>
        <v>3682.6299065754488</v>
      </c>
      <c r="P306" s="179">
        <f>VLOOKUP(B306,Tot_res!C:V,15,FALSE)</f>
        <v>88.251754607654334</v>
      </c>
      <c r="Q306" s="179">
        <f>VLOOKUP(B306,Tot_res!C:V,16,FALSE)</f>
        <v>285.81325998605166</v>
      </c>
      <c r="R306" s="179">
        <f>VLOOKUP(B306,Tot_res!C:V,17,FALSE)</f>
        <v>0</v>
      </c>
      <c r="S306" s="179">
        <f>VLOOKUP(B306,Tot_res!C:V,18,FALSE)</f>
        <v>868.90917432846538</v>
      </c>
      <c r="T306" s="179">
        <f>VLOOKUP(B306,Tot_res!C:V,19,FALSE)</f>
        <v>0</v>
      </c>
      <c r="U306" s="179">
        <f>VLOOKUP(B306,Tot_res!C:V,20,FALSE)</f>
        <v>364.0047924173449</v>
      </c>
      <c r="V306" s="122">
        <f t="shared" si="48"/>
        <v>23345.768030000007</v>
      </c>
    </row>
    <row r="307" spans="1:22" ht="13.15">
      <c r="A307" s="355"/>
      <c r="B307" s="115" t="s">
        <v>812</v>
      </c>
      <c r="C307" s="334" t="str">
        <f>VLOOKUP(B307,Tot_res!C:D,2,FALSE)</f>
        <v>Admón.,Ser.Grales.y Cont.Int.Asist.San., neto CyMel</v>
      </c>
      <c r="D307" s="179">
        <f>VLOOKUP(B307,Tot_res!C:V,3,FALSE)</f>
        <v>80.259383539617318</v>
      </c>
      <c r="E307" s="179">
        <f>VLOOKUP(B307,Tot_res!C:V,4,FALSE)</f>
        <v>137.75025646220419</v>
      </c>
      <c r="F307" s="179">
        <f>VLOOKUP(B307,Tot_res!C:V,5,FALSE)</f>
        <v>118.65182155008073</v>
      </c>
      <c r="G307" s="179">
        <f>VLOOKUP(B307,Tot_res!C:V,6,FALSE)</f>
        <v>98.392721129179904</v>
      </c>
      <c r="H307" s="179">
        <f>VLOOKUP(B307,Tot_res!C:V,7,FALSE)</f>
        <v>19.647826727218444</v>
      </c>
      <c r="I307" s="179">
        <f>VLOOKUP(B307,Tot_res!C:V,8,FALSE)</f>
        <v>59.840639005842426</v>
      </c>
      <c r="J307" s="179">
        <f>VLOOKUP(B307,Tot_res!C:V,9,FALSE)</f>
        <v>269.82489719135225</v>
      </c>
      <c r="K307" s="179">
        <f>VLOOKUP(B307,Tot_res!C:V,10,FALSE)</f>
        <v>201.31622255497845</v>
      </c>
      <c r="L307" s="179">
        <f>VLOOKUP(B307,Tot_res!C:V,11,FALSE)</f>
        <v>74.714269076380518</v>
      </c>
      <c r="M307" s="179">
        <f>VLOOKUP(B307,Tot_res!C:V,12,FALSE)</f>
        <v>50.911840254789979</v>
      </c>
      <c r="N307" s="179">
        <f>VLOOKUP(B307,Tot_res!C:V,13,FALSE)</f>
        <v>111.08579137317922</v>
      </c>
      <c r="O307" s="179">
        <f>VLOOKUP(B307,Tot_res!C:V,14,FALSE)</f>
        <v>30.679013940889007</v>
      </c>
      <c r="P307" s="179">
        <f>VLOOKUP(B307,Tot_res!C:V,15,FALSE)</f>
        <v>595.5345962560516</v>
      </c>
      <c r="Q307" s="179">
        <f>VLOOKUP(B307,Tot_res!C:V,16,FALSE)</f>
        <v>128.46999530767647</v>
      </c>
      <c r="R307" s="179">
        <f>VLOOKUP(B307,Tot_res!C:V,17,FALSE)</f>
        <v>6.4883992817401754</v>
      </c>
      <c r="S307" s="179">
        <f>VLOOKUP(B307,Tot_res!C:V,18,FALSE)</f>
        <v>23.149795657468022</v>
      </c>
      <c r="T307" s="179">
        <f>VLOOKUP(B307,Tot_res!C:V,19,FALSE)</f>
        <v>32.19112775873149</v>
      </c>
      <c r="U307" s="179">
        <f>VLOOKUP(B307,Tot_res!C:V,20,FALSE)</f>
        <v>12.169771349017092</v>
      </c>
      <c r="V307" s="122">
        <f t="shared" si="48"/>
        <v>2051.0783684163976</v>
      </c>
    </row>
    <row r="308" spans="1:22" ht="13.15">
      <c r="A308" s="355"/>
      <c r="B308" s="115" t="s">
        <v>814</v>
      </c>
      <c r="C308" s="334" t="str">
        <f>VLOOKUP(B308,Tot_res!C:D,2,FALSE)</f>
        <v>Formación del Personal Sanitario, neto de CyMel</v>
      </c>
      <c r="D308" s="179">
        <f>VLOOKUP(B308,Tot_res!C:V,3,FALSE)</f>
        <v>1.8427213656479944</v>
      </c>
      <c r="E308" s="179">
        <f>VLOOKUP(B308,Tot_res!C:V,4,FALSE)</f>
        <v>0.34704217558549721</v>
      </c>
      <c r="F308" s="179">
        <f>VLOOKUP(B308,Tot_res!C:V,5,FALSE)</f>
        <v>0.29945334989595357</v>
      </c>
      <c r="G308" s="179">
        <f>VLOOKUP(B308,Tot_res!C:V,6,FALSE)</f>
        <v>0.24702412482942643</v>
      </c>
      <c r="H308" s="179">
        <f>VLOOKUP(B308,Tot_res!C:V,7,FALSE)</f>
        <v>0.44598562635043187</v>
      </c>
      <c r="I308" s="179">
        <f>VLOOKUP(B308,Tot_res!C:V,8,FALSE)</f>
        <v>0.1506975262743486</v>
      </c>
      <c r="J308" s="179">
        <f>VLOOKUP(B308,Tot_res!C:V,9,FALSE)</f>
        <v>0.67841384437044805</v>
      </c>
      <c r="K308" s="179">
        <f>VLOOKUP(B308,Tot_res!C:V,10,FALSE)</f>
        <v>0.50651363365560564</v>
      </c>
      <c r="L308" s="179">
        <f>VLOOKUP(B308,Tot_res!C:V,11,FALSE)</f>
        <v>1.7850312036434761</v>
      </c>
      <c r="M308" s="179">
        <f>VLOOKUP(B308,Tot_res!C:V,12,FALSE)</f>
        <v>1.1445890090831643</v>
      </c>
      <c r="N308" s="179">
        <f>VLOOKUP(B308,Tot_res!C:V,13,FALSE)</f>
        <v>0.27997571294066997</v>
      </c>
      <c r="O308" s="179">
        <f>VLOOKUP(B308,Tot_res!C:V,14,FALSE)</f>
        <v>0.74480612144111003</v>
      </c>
      <c r="P308" s="179">
        <f>VLOOKUP(B308,Tot_res!C:V,15,FALSE)</f>
        <v>1.4980231146002387</v>
      </c>
      <c r="Q308" s="179">
        <f>VLOOKUP(B308,Tot_res!C:V,16,FALSE)</f>
        <v>0.32253869303363403</v>
      </c>
      <c r="R308" s="179">
        <f>VLOOKUP(B308,Tot_res!C:V,17,FALSE)</f>
        <v>0.14945230130143977</v>
      </c>
      <c r="S308" s="179">
        <f>VLOOKUP(B308,Tot_res!C:V,18,FALSE)</f>
        <v>0.57741072353952438</v>
      </c>
      <c r="T308" s="179">
        <f>VLOOKUP(B308,Tot_res!C:V,19,FALSE)</f>
        <v>8.1115188633453711E-2</v>
      </c>
      <c r="U308" s="179">
        <f>VLOOKUP(B308,Tot_res!C:V,20,FALSE)</f>
        <v>3.0206285173583293E-2</v>
      </c>
      <c r="V308" s="122">
        <f t="shared" si="48"/>
        <v>11.131</v>
      </c>
    </row>
    <row r="309" spans="1:22" ht="13.15">
      <c r="A309" s="355"/>
      <c r="B309" s="115" t="s">
        <v>317</v>
      </c>
      <c r="C309" s="334" t="str">
        <f>VLOOKUP(B309,Tot_res!C:D,2,FALSE)</f>
        <v>ISM sanidad transferida</v>
      </c>
      <c r="D309" s="179">
        <f>VLOOKUP(B309,Tot_res!C:V,3,FALSE)</f>
        <v>26005.312663546476</v>
      </c>
      <c r="E309" s="179">
        <f>VLOOKUP(B309,Tot_res!C:V,4,FALSE)</f>
        <v>0</v>
      </c>
      <c r="F309" s="179">
        <f>VLOOKUP(B309,Tot_res!C:V,5,FALSE)</f>
        <v>4413.7383616029847</v>
      </c>
      <c r="G309" s="179">
        <f>VLOOKUP(B309,Tot_res!C:V,6,FALSE)</f>
        <v>1102.0669012039277</v>
      </c>
      <c r="H309" s="179">
        <f>VLOOKUP(B309,Tot_res!C:V,7,FALSE)</f>
        <v>0</v>
      </c>
      <c r="I309" s="179">
        <f>VLOOKUP(B309,Tot_res!C:V,8,FALSE)</f>
        <v>1648.6841187551549</v>
      </c>
      <c r="J309" s="179">
        <f>VLOOKUP(B309,Tot_res!C:V,9,FALSE)</f>
        <v>0</v>
      </c>
      <c r="K309" s="179">
        <f>VLOOKUP(B309,Tot_res!C:V,10,FALSE)</f>
        <v>0</v>
      </c>
      <c r="L309" s="179">
        <f>VLOOKUP(B309,Tot_res!C:V,11,FALSE)</f>
        <v>0</v>
      </c>
      <c r="M309" s="179">
        <f>VLOOKUP(B309,Tot_res!C:V,12,FALSE)</f>
        <v>0</v>
      </c>
      <c r="N309" s="179">
        <f>VLOOKUP(B309,Tot_res!C:V,13,FALSE)</f>
        <v>0</v>
      </c>
      <c r="O309" s="179">
        <f>VLOOKUP(B309,Tot_res!C:V,14,FALSE)</f>
        <v>0</v>
      </c>
      <c r="P309" s="179">
        <f>VLOOKUP(B309,Tot_res!C:V,15,FALSE)</f>
        <v>0</v>
      </c>
      <c r="Q309" s="179">
        <f>VLOOKUP(B309,Tot_res!C:V,16,FALSE)</f>
        <v>1729.6222329562393</v>
      </c>
      <c r="R309" s="179">
        <f>VLOOKUP(B309,Tot_res!C:V,17,FALSE)</f>
        <v>0</v>
      </c>
      <c r="S309" s="179">
        <f>VLOOKUP(B309,Tot_res!C:V,18,FALSE)</f>
        <v>0</v>
      </c>
      <c r="T309" s="179">
        <f>VLOOKUP(B309,Tot_res!C:V,19,FALSE)</f>
        <v>0</v>
      </c>
      <c r="U309" s="179">
        <f>VLOOKUP(B309,Tot_res!C:V,20,FALSE)</f>
        <v>0</v>
      </c>
      <c r="V309" s="122">
        <f t="shared" si="48"/>
        <v>34899.424278064784</v>
      </c>
    </row>
    <row r="310" spans="1:22" ht="13.15">
      <c r="A310" s="355"/>
      <c r="B310" s="115" t="s">
        <v>816</v>
      </c>
      <c r="C310" s="334" t="str">
        <f>VLOOKUP(B310,Tot_res!C:D,2,FALSE)</f>
        <v>ISM transf. antes de 2002, sanidad</v>
      </c>
      <c r="D310" s="179">
        <f>VLOOKUP(B310,Tot_res!C:V,3,FALSE)</f>
        <v>0</v>
      </c>
      <c r="E310" s="179">
        <f>VLOOKUP(B310,Tot_res!C:V,4,FALSE)</f>
        <v>0</v>
      </c>
      <c r="F310" s="179">
        <f>VLOOKUP(B310,Tot_res!C:V,5,FALSE)</f>
        <v>0</v>
      </c>
      <c r="G310" s="179">
        <f>VLOOKUP(B310,Tot_res!C:V,6,FALSE)</f>
        <v>0</v>
      </c>
      <c r="H310" s="179">
        <f>VLOOKUP(B310,Tot_res!C:V,7,FALSE)</f>
        <v>8370.0685224161225</v>
      </c>
      <c r="I310" s="179">
        <f>VLOOKUP(B310,Tot_res!C:V,8,FALSE)</f>
        <v>0</v>
      </c>
      <c r="J310" s="179">
        <f>VLOOKUP(B310,Tot_res!C:V,9,FALSE)</f>
        <v>0</v>
      </c>
      <c r="K310" s="179">
        <f>VLOOKUP(B310,Tot_res!C:V,10,FALSE)</f>
        <v>0</v>
      </c>
      <c r="L310" s="179">
        <f>VLOOKUP(B310,Tot_res!C:V,11,FALSE)</f>
        <v>2394.3852971841507</v>
      </c>
      <c r="M310" s="179">
        <f>VLOOKUP(B310,Tot_res!C:V,12,FALSE)</f>
        <v>8150.8530534814681</v>
      </c>
      <c r="N310" s="179">
        <f>VLOOKUP(B310,Tot_res!C:V,13,FALSE)</f>
        <v>0</v>
      </c>
      <c r="O310" s="179">
        <f>VLOOKUP(B310,Tot_res!C:V,14,FALSE)</f>
        <v>57770.110571801524</v>
      </c>
      <c r="P310" s="179">
        <f>VLOOKUP(B310,Tot_res!C:V,15,FALSE)</f>
        <v>0</v>
      </c>
      <c r="Q310" s="179">
        <f>VLOOKUP(B310,Tot_res!C:V,16,FALSE)</f>
        <v>0</v>
      </c>
      <c r="R310" s="179">
        <f>VLOOKUP(B310,Tot_res!C:V,17,FALSE)</f>
        <v>0</v>
      </c>
      <c r="S310" s="179">
        <f>VLOOKUP(B310,Tot_res!C:V,18,FALSE)</f>
        <v>0</v>
      </c>
      <c r="T310" s="179">
        <f>VLOOKUP(B310,Tot_res!C:V,19,FALSE)</f>
        <v>0</v>
      </c>
      <c r="U310" s="179">
        <f>VLOOKUP(B310,Tot_res!C:V,20,FALSE)</f>
        <v>0</v>
      </c>
      <c r="V310" s="122">
        <f t="shared" si="48"/>
        <v>76685.417444883264</v>
      </c>
    </row>
    <row r="311" spans="1:22" ht="13.15">
      <c r="A311" s="355"/>
      <c r="B311" s="102" t="s">
        <v>634</v>
      </c>
      <c r="C311" s="334" t="str">
        <f>VLOOKUP(B311,Tot_res!C:D,2,FALSE)</f>
        <v>Compensación Fondo Cohesión Sanitaria, extrapresupuestario</v>
      </c>
      <c r="D311" s="179">
        <f>VLOOKUP(B311,Tot_res!C:V,3,FALSE)</f>
        <v>1723.3202246216088</v>
      </c>
      <c r="E311" s="179">
        <f>VLOOKUP(B311,Tot_res!C:V,4,FALSE)</f>
        <v>3227.4899004474059</v>
      </c>
      <c r="F311" s="179">
        <f>VLOOKUP(B311,Tot_res!C:V,5,FALSE)</f>
        <v>782.52241413453908</v>
      </c>
      <c r="G311" s="179">
        <f>VLOOKUP(B311,Tot_res!C:V,6,FALSE)</f>
        <v>778.09513032048244</v>
      </c>
      <c r="H311" s="179">
        <f>VLOOKUP(B311,Tot_res!C:V,7,FALSE)</f>
        <v>1059.227652513089</v>
      </c>
      <c r="I311" s="179">
        <f>VLOOKUP(B311,Tot_res!C:V,8,FALSE)</f>
        <v>527.95359482627327</v>
      </c>
      <c r="J311" s="179">
        <f>VLOOKUP(B311,Tot_res!C:V,9,FALSE)</f>
        <v>6186.022309190862</v>
      </c>
      <c r="K311" s="179">
        <f>VLOOKUP(B311,Tot_res!C:V,10,FALSE)</f>
        <v>5691.2733429700147</v>
      </c>
      <c r="L311" s="179">
        <f>VLOOKUP(B311,Tot_res!C:V,11,FALSE)</f>
        <v>2484.8130406393784</v>
      </c>
      <c r="M311" s="179">
        <f>VLOOKUP(B311,Tot_res!C:V,12,FALSE)</f>
        <v>2706.1772313422184</v>
      </c>
      <c r="N311" s="179">
        <f>VLOOKUP(B311,Tot_res!C:V,13,FALSE)</f>
        <v>1990.0640744185309</v>
      </c>
      <c r="O311" s="179">
        <f>VLOOKUP(B311,Tot_res!C:V,14,FALSE)</f>
        <v>548.98319294304304</v>
      </c>
      <c r="P311" s="179">
        <f>VLOOKUP(B311,Tot_res!C:V,15,FALSE)</f>
        <v>6366.4341246136764</v>
      </c>
      <c r="Q311" s="179">
        <f>VLOOKUP(B311,Tot_res!C:V,16,FALSE)</f>
        <v>875.49537422973196</v>
      </c>
      <c r="R311" s="179">
        <f>VLOOKUP(B311,Tot_res!C:V,17,FALSE)</f>
        <v>371.8918403807711</v>
      </c>
      <c r="S311" s="179">
        <f>VLOOKUP(B311,Tot_res!C:V,18,FALSE)</f>
        <v>2917.58003346343</v>
      </c>
      <c r="T311" s="179">
        <f>VLOOKUP(B311,Tot_res!C:V,19,FALSE)</f>
        <v>551.19683485007135</v>
      </c>
      <c r="U311" s="179">
        <f>VLOOKUP(B311,Tot_res!C:V,20,FALSE)</f>
        <v>3069.2145040948753</v>
      </c>
      <c r="V311" s="122">
        <f t="shared" si="48"/>
        <v>41857.754820000002</v>
      </c>
    </row>
    <row r="312" spans="1:22" ht="13.15">
      <c r="A312" s="356"/>
      <c r="B312" s="115"/>
      <c r="C312" s="148"/>
      <c r="D312" s="105"/>
      <c r="E312" s="105"/>
      <c r="F312" s="105"/>
      <c r="G312" s="105"/>
      <c r="H312" s="105"/>
      <c r="I312" s="105"/>
      <c r="J312" s="105"/>
      <c r="K312" s="105"/>
      <c r="L312" s="105"/>
      <c r="M312" s="105"/>
      <c r="N312" s="105"/>
      <c r="O312" s="105"/>
      <c r="P312" s="105"/>
      <c r="Q312" s="105"/>
      <c r="R312" s="105"/>
      <c r="S312" s="105"/>
      <c r="T312" s="105"/>
      <c r="U312" s="105"/>
      <c r="V312" s="122"/>
    </row>
    <row r="313" spans="1:22" ht="13.15">
      <c r="A313" s="356"/>
      <c r="B313" s="115"/>
      <c r="C313" s="105"/>
    </row>
    <row r="314" spans="1:22" ht="13.15">
      <c r="A314" s="364"/>
      <c r="B314" s="115"/>
      <c r="C314" s="117" t="s">
        <v>58</v>
      </c>
      <c r="D314" s="114">
        <f t="shared" ref="D314:V314" si="49">SUM(D315:D327)</f>
        <v>132284.81783804012</v>
      </c>
      <c r="E314" s="114">
        <f t="shared" si="49"/>
        <v>20855.66778983215</v>
      </c>
      <c r="F314" s="114">
        <f t="shared" si="49"/>
        <v>16120.890820659064</v>
      </c>
      <c r="G314" s="114">
        <f t="shared" si="49"/>
        <v>12286.724009310619</v>
      </c>
      <c r="H314" s="114">
        <f t="shared" si="49"/>
        <v>35713.297316334028</v>
      </c>
      <c r="I314" s="114">
        <f t="shared" si="49"/>
        <v>9136.1978185952721</v>
      </c>
      <c r="J314" s="114">
        <f t="shared" si="49"/>
        <v>34127.142946222622</v>
      </c>
      <c r="K314" s="114">
        <f t="shared" si="49"/>
        <v>33035.836639124027</v>
      </c>
      <c r="L314" s="114">
        <f t="shared" si="49"/>
        <v>62002.067119455096</v>
      </c>
      <c r="M314" s="114">
        <f t="shared" si="49"/>
        <v>66214.355460328879</v>
      </c>
      <c r="N314" s="114">
        <f t="shared" si="49"/>
        <v>16952.529908894085</v>
      </c>
      <c r="O314" s="114">
        <f t="shared" si="49"/>
        <v>39145.273612216042</v>
      </c>
      <c r="P314" s="114">
        <f t="shared" si="49"/>
        <v>107408.32540440033</v>
      </c>
      <c r="Q314" s="114">
        <f t="shared" si="49"/>
        <v>27399.456861518069</v>
      </c>
      <c r="R314" s="114">
        <f t="shared" si="49"/>
        <v>10239.774092426032</v>
      </c>
      <c r="S314" s="114">
        <f t="shared" si="49"/>
        <v>27376.769371721781</v>
      </c>
      <c r="T314" s="114">
        <f t="shared" si="49"/>
        <v>4264.0943436128719</v>
      </c>
      <c r="U314" s="114">
        <f t="shared" si="49"/>
        <v>2131.3997928803451</v>
      </c>
      <c r="V314" s="126">
        <f t="shared" si="49"/>
        <v>656694.62114557158</v>
      </c>
    </row>
    <row r="315" spans="1:22" ht="26.3">
      <c r="A315" s="355"/>
      <c r="B315" s="119" t="s">
        <v>649</v>
      </c>
      <c r="C315" s="334" t="str">
        <f>VLOOKUP(B315,Tot_res!C:D,2,FALSE)</f>
        <v xml:space="preserve">Dirección y servicios generales de la educación,cultura y deporte, neto del gasto directo del Estado en Ceuta y Melilla </v>
      </c>
      <c r="D315" s="179">
        <f>VLOOKUP(B315,Tot_res!C:V,3,FALSE)</f>
        <v>11969.958336217216</v>
      </c>
      <c r="E315" s="179">
        <f>VLOOKUP(B315,Tot_res!C:V,4,FALSE)</f>
        <v>1620.3097815478577</v>
      </c>
      <c r="F315" s="179">
        <f>VLOOKUP(B315,Tot_res!C:V,5,FALSE)</f>
        <v>1057.2806689487734</v>
      </c>
      <c r="G315" s="179">
        <f>VLOOKUP(B315,Tot_res!C:V,6,FALSE)</f>
        <v>1264.1417514149794</v>
      </c>
      <c r="H315" s="179">
        <f>VLOOKUP(B315,Tot_res!C:V,7,FALSE)</f>
        <v>2606.8517490254712</v>
      </c>
      <c r="I315" s="179">
        <f>VLOOKUP(B315,Tot_res!C:V,8,FALSE)</f>
        <v>678.62068742805047</v>
      </c>
      <c r="J315" s="179">
        <f>VLOOKUP(B315,Tot_res!C:V,9,FALSE)</f>
        <v>2671.0561637884061</v>
      </c>
      <c r="K315" s="179">
        <f>VLOOKUP(B315,Tot_res!C:V,10,FALSE)</f>
        <v>2961.6321561427299</v>
      </c>
      <c r="L315" s="179">
        <f>VLOOKUP(B315,Tot_res!C:V,11,FALSE)</f>
        <v>9872.5511119461917</v>
      </c>
      <c r="M315" s="179">
        <f>VLOOKUP(B315,Tot_res!C:V,12,FALSE)</f>
        <v>6516.4495232069548</v>
      </c>
      <c r="N315" s="179">
        <f>VLOOKUP(B315,Tot_res!C:V,13,FALSE)</f>
        <v>1391.7386281546194</v>
      </c>
      <c r="O315" s="179">
        <f>VLOOKUP(B315,Tot_res!C:V,14,FALSE)</f>
        <v>3088.7800960243762</v>
      </c>
      <c r="P315" s="179">
        <f>VLOOKUP(B315,Tot_res!C:V,15,FALSE)</f>
        <v>9234.2781069263292</v>
      </c>
      <c r="Q315" s="179">
        <f>VLOOKUP(B315,Tot_res!C:V,16,FALSE)</f>
        <v>2153.4813710554463</v>
      </c>
      <c r="R315" s="179">
        <f>VLOOKUP(B315,Tot_res!C:V,17,FALSE)</f>
        <v>813.04613006034253</v>
      </c>
      <c r="S315" s="179">
        <f>VLOOKUP(B315,Tot_res!C:V,18,FALSE)</f>
        <v>2713.0951266965822</v>
      </c>
      <c r="T315" s="179">
        <f>VLOOKUP(B315,Tot_res!C:V,19,FALSE)</f>
        <v>435.79310376443459</v>
      </c>
      <c r="U315" s="179">
        <f>VLOOKUP(B315,Tot_res!C:V,20,FALSE)</f>
        <v>268.82081293916849</v>
      </c>
      <c r="V315" s="122">
        <f t="shared" ref="V315:V327" si="50">SUM(D315:U315)</f>
        <v>61317.885305287935</v>
      </c>
    </row>
    <row r="316" spans="1:22" ht="26.3">
      <c r="A316" s="355"/>
      <c r="B316" s="115" t="s">
        <v>650</v>
      </c>
      <c r="C316" s="334" t="str">
        <f>VLOOKUP(B316,Tot_res!C:D,2,FALSE)</f>
        <v xml:space="preserve">Formac. permanente del profesorado de educación, neto del gasto directo del Estado en Ceuta y Melilla </v>
      </c>
      <c r="D316" s="179">
        <f>VLOOKUP(B316,Tot_res!C:V,3,FALSE)</f>
        <v>417.77132687981424</v>
      </c>
      <c r="E316" s="179">
        <f>VLOOKUP(B316,Tot_res!C:V,4,FALSE)</f>
        <v>56.583914255397339</v>
      </c>
      <c r="F316" s="179">
        <f>VLOOKUP(B316,Tot_res!C:V,5,FALSE)</f>
        <v>42.298119397454379</v>
      </c>
      <c r="G316" s="179">
        <f>VLOOKUP(B316,Tot_res!C:V,6,FALSE)</f>
        <v>43.137683495091245</v>
      </c>
      <c r="H316" s="179">
        <f>VLOOKUP(B316,Tot_res!C:V,7,FALSE)</f>
        <v>87.982859070718973</v>
      </c>
      <c r="I316" s="179">
        <f>VLOOKUP(B316,Tot_res!C:V,8,FALSE)</f>
        <v>25.406227944031549</v>
      </c>
      <c r="J316" s="179">
        <f>VLOOKUP(B316,Tot_res!C:V,9,FALSE)</f>
        <v>113.70293258761679</v>
      </c>
      <c r="K316" s="179">
        <f>VLOOKUP(B316,Tot_res!C:V,10,FALSE)</f>
        <v>107.77116279748873</v>
      </c>
      <c r="L316" s="179">
        <f>VLOOKUP(B316,Tot_res!C:V,11,FALSE)</f>
        <v>292.4607532379631</v>
      </c>
      <c r="M316" s="179">
        <f>VLOOKUP(B316,Tot_res!C:V,12,FALSE)</f>
        <v>195.76370490054478</v>
      </c>
      <c r="N316" s="179">
        <f>VLOOKUP(B316,Tot_res!C:V,13,FALSE)</f>
        <v>57.792814760578345</v>
      </c>
      <c r="O316" s="179">
        <f>VLOOKUP(B316,Tot_res!C:V,14,FALSE)</f>
        <v>123.65844406666426</v>
      </c>
      <c r="P316" s="179">
        <f>VLOOKUP(B316,Tot_res!C:V,15,FALSE)</f>
        <v>202.51020680295977</v>
      </c>
      <c r="Q316" s="179">
        <f>VLOOKUP(B316,Tot_res!C:V,16,FALSE)</f>
        <v>72.061412925417528</v>
      </c>
      <c r="R316" s="179">
        <f>VLOOKUP(B316,Tot_res!C:V,17,FALSE)</f>
        <v>30.612966765297482</v>
      </c>
      <c r="S316" s="179">
        <f>VLOOKUP(B316,Tot_res!C:V,18,FALSE)</f>
        <v>85.352622633861728</v>
      </c>
      <c r="T316" s="179">
        <f>VLOOKUP(B316,Tot_res!C:V,19,FALSE)</f>
        <v>13.538505195938169</v>
      </c>
      <c r="U316" s="179">
        <f>VLOOKUP(B316,Tot_res!C:V,20,FALSE)</f>
        <v>9.6002322831611711</v>
      </c>
      <c r="V316" s="122">
        <f t="shared" si="50"/>
        <v>1978.0058899999995</v>
      </c>
    </row>
    <row r="317" spans="1:22" ht="13.15">
      <c r="A317" s="355"/>
      <c r="B317" s="115" t="s">
        <v>651</v>
      </c>
      <c r="C317" s="334" t="str">
        <f>VLOOKUP(B317,Tot_res!C:D,2,FALSE)</f>
        <v>Educación infantil y primaria +AF12/1</v>
      </c>
      <c r="D317" s="179">
        <f>VLOOKUP(B317,Tot_res!C:V,3,FALSE)</f>
        <v>66188.50220369811</v>
      </c>
      <c r="E317" s="179">
        <f>VLOOKUP(B317,Tot_res!C:V,4,FALSE)</f>
        <v>7592.4460457939122</v>
      </c>
      <c r="F317" s="179">
        <f>VLOOKUP(B317,Tot_res!C:V,5,FALSE)</f>
        <v>112.15045635459859</v>
      </c>
      <c r="G317" s="179">
        <f>VLOOKUP(B317,Tot_res!C:V,6,FALSE)</f>
        <v>161.17279429657881</v>
      </c>
      <c r="H317" s="179">
        <f>VLOOKUP(B317,Tot_res!C:V,7,FALSE)</f>
        <v>18263.936619614688</v>
      </c>
      <c r="I317" s="179">
        <f>VLOOKUP(B317,Tot_res!C:V,8,FALSE)</f>
        <v>3422.1399449589967</v>
      </c>
      <c r="J317" s="179">
        <f>VLOOKUP(B317,Tot_res!C:V,9,FALSE)</f>
        <v>296.31017135943739</v>
      </c>
      <c r="K317" s="179">
        <f>VLOOKUP(B317,Tot_res!C:V,10,FALSE)</f>
        <v>325.23048779198973</v>
      </c>
      <c r="L317" s="179">
        <f>VLOOKUP(B317,Tot_res!C:V,11,FALSE)</f>
        <v>1182.2495477310765</v>
      </c>
      <c r="M317" s="179">
        <f>VLOOKUP(B317,Tot_res!C:V,12,FALSE)</f>
        <v>743.21666960341429</v>
      </c>
      <c r="N317" s="179">
        <f>VLOOKUP(B317,Tot_res!C:V,13,FALSE)</f>
        <v>152.40986310289253</v>
      </c>
      <c r="O317" s="179">
        <f>VLOOKUP(B317,Tot_res!C:V,14,FALSE)</f>
        <v>336.89178503761474</v>
      </c>
      <c r="P317" s="179">
        <f>VLOOKUP(B317,Tot_res!C:V,15,FALSE)</f>
        <v>1038.9347981984995</v>
      </c>
      <c r="Q317" s="179">
        <f>VLOOKUP(B317,Tot_res!C:V,16,FALSE)</f>
        <v>248.58713535607365</v>
      </c>
      <c r="R317" s="179">
        <f>VLOOKUP(B317,Tot_res!C:V,17,FALSE)</f>
        <v>3208.7261499094657</v>
      </c>
      <c r="S317" s="179">
        <f>VLOOKUP(B317,Tot_res!C:V,18,FALSE)</f>
        <v>10941.878619083576</v>
      </c>
      <c r="T317" s="179">
        <f>VLOOKUP(B317,Tot_res!C:V,19,FALSE)</f>
        <v>47.138973596407929</v>
      </c>
      <c r="U317" s="179">
        <f>VLOOKUP(B317,Tot_res!C:V,20,FALSE)</f>
        <v>32.829694012159202</v>
      </c>
      <c r="V317" s="122">
        <f t="shared" si="50"/>
        <v>114294.75195949951</v>
      </c>
    </row>
    <row r="318" spans="1:22" ht="26.3">
      <c r="A318" s="355"/>
      <c r="B318" s="115" t="s">
        <v>652</v>
      </c>
      <c r="C318" s="334" t="str">
        <f>VLOOKUP(B318,Tot_res!C:D,2,FALSE)</f>
        <v xml:space="preserve">Educ. secund., formac. profesional y EEOO Idiomas, neto del gasto directo del Estado en Ceuta y Melilla </v>
      </c>
      <c r="D318" s="179">
        <f>VLOOKUP(B318,Tot_res!C:V,3,FALSE)</f>
        <v>6872.5965370241984</v>
      </c>
      <c r="E318" s="179">
        <f>VLOOKUP(B318,Tot_res!C:V,4,FALSE)</f>
        <v>1135.7015793375808</v>
      </c>
      <c r="F318" s="179">
        <f>VLOOKUP(B318,Tot_res!C:V,5,FALSE)</f>
        <v>708.61035949200118</v>
      </c>
      <c r="G318" s="179">
        <f>VLOOKUP(B318,Tot_res!C:V,6,FALSE)</f>
        <v>623.92434430389949</v>
      </c>
      <c r="H318" s="179">
        <f>VLOOKUP(B318,Tot_res!C:V,7,FALSE)</f>
        <v>1675.3936478470448</v>
      </c>
      <c r="I318" s="179">
        <f>VLOOKUP(B318,Tot_res!C:V,8,FALSE)</f>
        <v>469.93586212169043</v>
      </c>
      <c r="J318" s="179">
        <f>VLOOKUP(B318,Tot_res!C:V,9,FALSE)</f>
        <v>2568.0981987971127</v>
      </c>
      <c r="K318" s="179">
        <f>VLOOKUP(B318,Tot_res!C:V,10,FALSE)</f>
        <v>1990.7023400377971</v>
      </c>
      <c r="L318" s="179">
        <f>VLOOKUP(B318,Tot_res!C:V,11,FALSE)</f>
        <v>5170.7647724505277</v>
      </c>
      <c r="M318" s="179">
        <f>VLOOKUP(B318,Tot_res!C:V,12,FALSE)</f>
        <v>4006.765165073838</v>
      </c>
      <c r="N318" s="179">
        <f>VLOOKUP(B318,Tot_res!C:V,13,FALSE)</f>
        <v>1065.4213600514117</v>
      </c>
      <c r="O318" s="179">
        <f>VLOOKUP(B318,Tot_res!C:V,14,FALSE)</f>
        <v>2063.6678012771627</v>
      </c>
      <c r="P318" s="179">
        <f>VLOOKUP(B318,Tot_res!C:V,15,FALSE)</f>
        <v>3617.821900250995</v>
      </c>
      <c r="Q318" s="179">
        <f>VLOOKUP(B318,Tot_res!C:V,16,FALSE)</f>
        <v>1055.1929761916356</v>
      </c>
      <c r="R318" s="179">
        <f>VLOOKUP(B318,Tot_res!C:V,17,FALSE)</f>
        <v>477.56720682672869</v>
      </c>
      <c r="S318" s="179">
        <f>VLOOKUP(B318,Tot_res!C:V,18,FALSE)</f>
        <v>1524.5317359326268</v>
      </c>
      <c r="T318" s="179">
        <f>VLOOKUP(B318,Tot_res!C:V,19,FALSE)</f>
        <v>289.98379740643327</v>
      </c>
      <c r="U318" s="179">
        <f>VLOOKUP(B318,Tot_res!C:V,20,FALSE)</f>
        <v>79.943695577319389</v>
      </c>
      <c r="V318" s="122">
        <f t="shared" si="50"/>
        <v>35396.623280000007</v>
      </c>
    </row>
    <row r="319" spans="1:22" ht="13.15">
      <c r="A319" s="355"/>
      <c r="B319" s="115" t="s">
        <v>653</v>
      </c>
      <c r="C319" s="334" t="str">
        <f>VLOOKUP(B319,Tot_res!C:D,2,FALSE)</f>
        <v>Enseñanzas universitarias, neto del gasto directo del Estado en Ceuta y Melilla</v>
      </c>
      <c r="D319" s="179">
        <f>VLOOKUP(B319,Tot_res!C:V,3,FALSE)</f>
        <v>36228.512955243612</v>
      </c>
      <c r="E319" s="179">
        <f>VLOOKUP(B319,Tot_res!C:V,4,FALSE)</f>
        <v>8749.1924641970145</v>
      </c>
      <c r="F319" s="179">
        <f>VLOOKUP(B319,Tot_res!C:V,5,FALSE)</f>
        <v>5546.7192455712266</v>
      </c>
      <c r="G319" s="179">
        <f>VLOOKUP(B319,Tot_res!C:V,6,FALSE)</f>
        <v>5405.9701943734954</v>
      </c>
      <c r="H319" s="179">
        <f>VLOOKUP(B319,Tot_res!C:V,7,FALSE)</f>
        <v>10885.080275954693</v>
      </c>
      <c r="I319" s="179">
        <f>VLOOKUP(B319,Tot_res!C:V,8,FALSE)</f>
        <v>3676.1645263766827</v>
      </c>
      <c r="J319" s="179">
        <f>VLOOKUP(B319,Tot_res!C:V,9,FALSE)</f>
        <v>13026.080820279469</v>
      </c>
      <c r="K319" s="179">
        <f>VLOOKUP(B319,Tot_res!C:V,10,FALSE)</f>
        <v>13470.074543938636</v>
      </c>
      <c r="L319" s="179">
        <f>VLOOKUP(B319,Tot_res!C:V,11,FALSE)</f>
        <v>20508.821770180635</v>
      </c>
      <c r="M319" s="179">
        <f>VLOOKUP(B319,Tot_res!C:V,12,FALSE)</f>
        <v>21309.808262015526</v>
      </c>
      <c r="N319" s="179">
        <f>VLOOKUP(B319,Tot_res!C:V,13,FALSE)</f>
        <v>5433.5472647687948</v>
      </c>
      <c r="O319" s="179">
        <f>VLOOKUP(B319,Tot_res!C:V,14,FALSE)</f>
        <v>15720.263469779175</v>
      </c>
      <c r="P319" s="179">
        <f>VLOOKUP(B319,Tot_res!C:V,15,FALSE)</f>
        <v>52785.059343318884</v>
      </c>
      <c r="Q319" s="179">
        <f>VLOOKUP(B319,Tot_res!C:V,16,FALSE)</f>
        <v>7250.721847332461</v>
      </c>
      <c r="R319" s="179">
        <f>VLOOKUP(B319,Tot_res!C:V,17,FALSE)</f>
        <v>4889.2858942151533</v>
      </c>
      <c r="S319" s="179">
        <f>VLOOKUP(B319,Tot_res!C:V,18,FALSE)</f>
        <v>8660.0861826137516</v>
      </c>
      <c r="T319" s="179">
        <f>VLOOKUP(B319,Tot_res!C:V,19,FALSE)</f>
        <v>1722.9538383662059</v>
      </c>
      <c r="U319" s="179">
        <f>VLOOKUP(B319,Tot_res!C:V,20,FALSE)</f>
        <v>1372.3273914746046</v>
      </c>
      <c r="V319" s="122">
        <f t="shared" si="50"/>
        <v>236640.67029000001</v>
      </c>
    </row>
    <row r="320" spans="1:22" ht="13.15">
      <c r="A320" s="355"/>
      <c r="B320" s="115" t="s">
        <v>654</v>
      </c>
      <c r="C320" s="334" t="str">
        <f>VLOOKUP(B320,Tot_res!C:D,2,FALSE)</f>
        <v xml:space="preserve">Enseñanzas artísticas, neto del gasto directo del Estado en Ceuta y Melilla </v>
      </c>
      <c r="D320" s="179">
        <f>VLOOKUP(B320,Tot_res!C:V,3,FALSE)</f>
        <v>1.5575185925781797E-2</v>
      </c>
      <c r="E320" s="179">
        <f>VLOOKUP(B320,Tot_res!C:V,4,FALSE)</f>
        <v>3.5397850396207721E-3</v>
      </c>
      <c r="F320" s="179">
        <f>VLOOKUP(B320,Tot_res!C:V,5,FALSE)</f>
        <v>8.312575438658552E-4</v>
      </c>
      <c r="G320" s="179">
        <f>VLOOKUP(B320,Tot_res!C:V,6,FALSE)</f>
        <v>6.0897402539974521E-4</v>
      </c>
      <c r="H320" s="179">
        <f>VLOOKUP(B320,Tot_res!C:V,7,FALSE)</f>
        <v>6.7126422898684014E-3</v>
      </c>
      <c r="I320" s="179">
        <f>VLOOKUP(B320,Tot_res!C:V,8,FALSE)</f>
        <v>5.4535689649073146E-4</v>
      </c>
      <c r="J320" s="179">
        <f>VLOOKUP(B320,Tot_res!C:V,9,FALSE)</f>
        <v>6.0564259586811933E-3</v>
      </c>
      <c r="K320" s="179">
        <f>VLOOKUP(B320,Tot_res!C:V,10,FALSE)</f>
        <v>4.896448546059147E-3</v>
      </c>
      <c r="L320" s="179">
        <f>VLOOKUP(B320,Tot_res!C:V,11,FALSE)</f>
        <v>2.1230899258879294E-2</v>
      </c>
      <c r="M320" s="179">
        <f>VLOOKUP(B320,Tot_res!C:V,12,FALSE)</f>
        <v>6.5542582248478828E-3</v>
      </c>
      <c r="N320" s="179">
        <f>VLOOKUP(B320,Tot_res!C:V,13,FALSE)</f>
        <v>6.7616726510541948E-4</v>
      </c>
      <c r="O320" s="179">
        <f>VLOOKUP(B320,Tot_res!C:V,14,FALSE)</f>
        <v>6.7232765140795231E-3</v>
      </c>
      <c r="P320" s="179">
        <f>VLOOKUP(B320,Tot_res!C:V,15,FALSE)</f>
        <v>1.5076130253289938E-2</v>
      </c>
      <c r="Q320" s="179">
        <f>VLOOKUP(B320,Tot_res!C:V,16,FALSE)</f>
        <v>1.3773673057874624E-3</v>
      </c>
      <c r="R320" s="179">
        <f>VLOOKUP(B320,Tot_res!C:V,17,FALSE)</f>
        <v>4.1044341127776992E-3</v>
      </c>
      <c r="S320" s="179">
        <f>VLOOKUP(B320,Tot_res!C:V,18,FALSE)</f>
        <v>1.0745554186712889E-2</v>
      </c>
      <c r="T320" s="179">
        <f>VLOOKUP(B320,Tot_res!C:V,19,FALSE)</f>
        <v>9.5030439012310723E-4</v>
      </c>
      <c r="U320" s="179">
        <f>VLOOKUP(B320,Tot_res!C:V,20,FALSE)</f>
        <v>2.0553226262912122E-4</v>
      </c>
      <c r="V320" s="122">
        <f t="shared" si="50"/>
        <v>0.10640999999999999</v>
      </c>
    </row>
    <row r="321" spans="1:23" ht="13.15">
      <c r="A321" s="355"/>
      <c r="B321" s="115" t="s">
        <v>655</v>
      </c>
      <c r="C321" s="334" t="str">
        <f>VLOOKUP(B321,Tot_res!C:D,2,FALSE)</f>
        <v>Educación compensatoria,neto del gasto directo del Estado en Ceuta y Melilla  +AF12/2</v>
      </c>
      <c r="D321" s="179">
        <f>VLOOKUP(B321,Tot_res!C:V,3,FALSE)</f>
        <v>174.09630469078903</v>
      </c>
      <c r="E321" s="179">
        <f>VLOOKUP(B321,Tot_res!C:V,4,FALSE)</f>
        <v>23.717246954549172</v>
      </c>
      <c r="F321" s="179">
        <f>VLOOKUP(B321,Tot_res!C:V,5,FALSE)</f>
        <v>15.541822510611217</v>
      </c>
      <c r="G321" s="179">
        <f>VLOOKUP(B321,Tot_res!C:V,6,FALSE)</f>
        <v>16.282720350843093</v>
      </c>
      <c r="H321" s="179">
        <f>VLOOKUP(B321,Tot_res!C:V,7,FALSE)</f>
        <v>42.648464182543002</v>
      </c>
      <c r="I321" s="179">
        <f>VLOOKUP(B321,Tot_res!C:V,8,FALSE)</f>
        <v>8.6182599346512614</v>
      </c>
      <c r="J321" s="179">
        <f>VLOOKUP(B321,Tot_res!C:V,9,FALSE)</f>
        <v>32.378087224845942</v>
      </c>
      <c r="K321" s="179">
        <f>VLOOKUP(B321,Tot_res!C:V,10,FALSE)</f>
        <v>34.7114896182199</v>
      </c>
      <c r="L321" s="179">
        <f>VLOOKUP(B321,Tot_res!C:V,11,FALSE)</f>
        <v>188.87254257487629</v>
      </c>
      <c r="M321" s="179">
        <f>VLOOKUP(B321,Tot_res!C:V,12,FALSE)</f>
        <v>80.771069393515887</v>
      </c>
      <c r="N321" s="179">
        <f>VLOOKUP(B321,Tot_res!C:V,13,FALSE)</f>
        <v>17.824128501210563</v>
      </c>
      <c r="O321" s="179">
        <f>VLOOKUP(B321,Tot_res!C:V,14,FALSE)</f>
        <v>35.87201911833386</v>
      </c>
      <c r="P321" s="179">
        <f>VLOOKUP(B321,Tot_res!C:V,15,FALSE)</f>
        <v>127.95909226038833</v>
      </c>
      <c r="Q321" s="179">
        <f>VLOOKUP(B321,Tot_res!C:V,16,FALSE)</f>
        <v>39.240554375441334</v>
      </c>
      <c r="R321" s="179">
        <f>VLOOKUP(B321,Tot_res!C:V,17,FALSE)</f>
        <v>14.259126708344111</v>
      </c>
      <c r="S321" s="179">
        <f>VLOOKUP(B321,Tot_res!C:V,18,FALSE)</f>
        <v>32.324754945622921</v>
      </c>
      <c r="T321" s="179">
        <f>VLOOKUP(B321,Tot_res!C:V,19,FALSE)</f>
        <v>7.9052546663627741</v>
      </c>
      <c r="U321" s="179">
        <f>VLOOKUP(B321,Tot_res!C:V,20,FALSE)</f>
        <v>4.9904153376537934</v>
      </c>
      <c r="V321" s="122">
        <f t="shared" si="50"/>
        <v>898.01335334880241</v>
      </c>
    </row>
    <row r="322" spans="1:23" ht="13.15">
      <c r="A322" s="355"/>
      <c r="B322" s="119" t="s">
        <v>656</v>
      </c>
      <c r="C322" s="334" t="str">
        <f>VLOOKUP(B322,Tot_res!C:D,2,FALSE)</f>
        <v xml:space="preserve">Deporte en edad escolar y en la universidad, neto del gasto directo del Estado en Ceuta y Melilla  </v>
      </c>
      <c r="D322" s="179">
        <f>VLOOKUP(B322,Tot_res!C:V,3,FALSE)</f>
        <v>213.64543000011312</v>
      </c>
      <c r="E322" s="179">
        <f>VLOOKUP(B322,Tot_res!C:V,4,FALSE)</f>
        <v>28.920048866400624</v>
      </c>
      <c r="F322" s="179">
        <f>VLOOKUP(B322,Tot_res!C:V,5,FALSE)</f>
        <v>18.870841217961349</v>
      </c>
      <c r="G322" s="179">
        <f>VLOOKUP(B322,Tot_res!C:V,6,FALSE)</f>
        <v>22.56299483056516</v>
      </c>
      <c r="H322" s="179">
        <f>VLOOKUP(B322,Tot_res!C:V,7,FALSE)</f>
        <v>46.528312565797975</v>
      </c>
      <c r="I322" s="179">
        <f>VLOOKUP(B322,Tot_res!C:V,8,FALSE)</f>
        <v>12.112340285585034</v>
      </c>
      <c r="J322" s="179">
        <f>VLOOKUP(B322,Tot_res!C:V,9,FALSE)</f>
        <v>47.674263070774231</v>
      </c>
      <c r="K322" s="179">
        <f>VLOOKUP(B322,Tot_res!C:V,10,FALSE)</f>
        <v>52.86059965528969</v>
      </c>
      <c r="L322" s="179">
        <f>VLOOKUP(B322,Tot_res!C:V,11,FALSE)</f>
        <v>176.20992222905289</v>
      </c>
      <c r="M322" s="179">
        <f>VLOOKUP(B322,Tot_res!C:V,12,FALSE)</f>
        <v>116.30864714434355</v>
      </c>
      <c r="N322" s="179">
        <f>VLOOKUP(B322,Tot_res!C:V,13,FALSE)</f>
        <v>24.840403726403203</v>
      </c>
      <c r="O322" s="179">
        <f>VLOOKUP(B322,Tot_res!C:V,14,FALSE)</f>
        <v>55.129995715545945</v>
      </c>
      <c r="P322" s="179">
        <f>VLOOKUP(B322,Tot_res!C:V,15,FALSE)</f>
        <v>161.94412279612723</v>
      </c>
      <c r="Q322" s="179">
        <f>VLOOKUP(B322,Tot_res!C:V,16,FALSE)</f>
        <v>38.436345440260766</v>
      </c>
      <c r="R322" s="179">
        <f>VLOOKUP(B322,Tot_res!C:V,17,FALSE)</f>
        <v>14.511628627904159</v>
      </c>
      <c r="S322" s="179">
        <f>VLOOKUP(B322,Tot_res!C:V,18,FALSE)</f>
        <v>48.424594195996377</v>
      </c>
      <c r="T322" s="179">
        <f>VLOOKUP(B322,Tot_res!C:V,19,FALSE)</f>
        <v>7.7782396922076451</v>
      </c>
      <c r="U322" s="179">
        <f>VLOOKUP(B322,Tot_res!C:V,20,FALSE)</f>
        <v>4.7980399396710496</v>
      </c>
      <c r="V322" s="122">
        <f t="shared" si="50"/>
        <v>1091.5567699999999</v>
      </c>
    </row>
    <row r="323" spans="1:23" ht="13.15">
      <c r="A323" s="355"/>
      <c r="B323" s="102" t="s">
        <v>657</v>
      </c>
      <c r="C323" s="334" t="str">
        <f>VLOOKUP(B323,Tot_res!C:D,2,FALSE)</f>
        <v xml:space="preserve">Otras enseñanzas y actividades educativas, neto del gasto directo del Estado en Ceuta y Melilla  </v>
      </c>
      <c r="D323" s="179">
        <f>VLOOKUP(B323,Tot_res!C:V,3,FALSE)</f>
        <v>2889.1109154877845</v>
      </c>
      <c r="E323" s="179">
        <f>VLOOKUP(B323,Tot_res!C:V,4,FALSE)</f>
        <v>590.18596917734033</v>
      </c>
      <c r="F323" s="179">
        <f>VLOOKUP(B323,Tot_res!C:V,5,FALSE)</f>
        <v>527.75953672748017</v>
      </c>
      <c r="G323" s="179">
        <f>VLOOKUP(B323,Tot_res!C:V,6,FALSE)</f>
        <v>281.38932605249613</v>
      </c>
      <c r="H323" s="179">
        <f>VLOOKUP(B323,Tot_res!C:V,7,FALSE)</f>
        <v>412.24866954363642</v>
      </c>
      <c r="I323" s="179">
        <f>VLOOKUP(B323,Tot_res!C:V,8,FALSE)</f>
        <v>405.97957240585902</v>
      </c>
      <c r="J323" s="179">
        <f>VLOOKUP(B323,Tot_res!C:V,9,FALSE)</f>
        <v>956.43886418514069</v>
      </c>
      <c r="K323" s="179">
        <f>VLOOKUP(B323,Tot_res!C:V,10,FALSE)</f>
        <v>913.58749255966359</v>
      </c>
      <c r="L323" s="179">
        <f>VLOOKUP(B323,Tot_res!C:V,11,FALSE)</f>
        <v>1395.7915163716289</v>
      </c>
      <c r="M323" s="179">
        <f>VLOOKUP(B323,Tot_res!C:V,12,FALSE)</f>
        <v>1033.7864624980605</v>
      </c>
      <c r="N323" s="179">
        <f>VLOOKUP(B323,Tot_res!C:V,13,FALSE)</f>
        <v>336.83658799912052</v>
      </c>
      <c r="O323" s="179">
        <f>VLOOKUP(B323,Tot_res!C:V,14,FALSE)</f>
        <v>514.16398566490443</v>
      </c>
      <c r="P323" s="179">
        <f>VLOOKUP(B323,Tot_res!C:V,15,FALSE)</f>
        <v>1911.0807625988889</v>
      </c>
      <c r="Q323" s="179">
        <f>VLOOKUP(B323,Tot_res!C:V,16,FALSE)</f>
        <v>340.24217750919479</v>
      </c>
      <c r="R323" s="179">
        <f>VLOOKUP(B323,Tot_res!C:V,17,FALSE)</f>
        <v>231.78949158295541</v>
      </c>
      <c r="S323" s="179">
        <f>VLOOKUP(B323,Tot_res!C:V,18,FALSE)</f>
        <v>1624.3103417663979</v>
      </c>
      <c r="T323" s="179">
        <f>VLOOKUP(B323,Tot_res!C:V,19,FALSE)</f>
        <v>85.307097818412217</v>
      </c>
      <c r="U323" s="179">
        <f>VLOOKUP(B323,Tot_res!C:V,20,FALSE)</f>
        <v>292.29560005103491</v>
      </c>
      <c r="V323" s="122">
        <f t="shared" si="50"/>
        <v>14742.304369999998</v>
      </c>
    </row>
    <row r="324" spans="1:23" ht="13.15">
      <c r="A324" s="355"/>
      <c r="B324" s="115" t="s">
        <v>658</v>
      </c>
      <c r="C324" s="334" t="str">
        <f>VLOOKUP(B324,Tot_res!C:D,2,FALSE)</f>
        <v xml:space="preserve">Servicios complementarios de la enseñanza, neto del gasto directo del Estado en Ceuta y Melilla  </v>
      </c>
      <c r="D324" s="179">
        <f>VLOOKUP(B324,Tot_res!C:V,3,FALSE)</f>
        <v>690.92076611398943</v>
      </c>
      <c r="E324" s="179">
        <f>VLOOKUP(B324,Tot_res!C:V,4,FALSE)</f>
        <v>97.55207422457562</v>
      </c>
      <c r="F324" s="179">
        <f>VLOOKUP(B324,Tot_res!C:V,5,FALSE)</f>
        <v>70.925685475916453</v>
      </c>
      <c r="G324" s="179">
        <f>VLOOKUP(B324,Tot_res!C:V,6,FALSE)</f>
        <v>71.185608444403911</v>
      </c>
      <c r="H324" s="179">
        <f>VLOOKUP(B324,Tot_res!C:V,7,FALSE)</f>
        <v>164.58099757636563</v>
      </c>
      <c r="I324" s="179">
        <f>VLOOKUP(B324,Tot_res!C:V,8,FALSE)</f>
        <v>41.877255262265805</v>
      </c>
      <c r="J324" s="179">
        <f>VLOOKUP(B324,Tot_res!C:V,9,FALSE)</f>
        <v>171.042435953519</v>
      </c>
      <c r="K324" s="179">
        <f>VLOOKUP(B324,Tot_res!C:V,10,FALSE)</f>
        <v>180.25596507610561</v>
      </c>
      <c r="L324" s="179">
        <f>VLOOKUP(B324,Tot_res!C:V,11,FALSE)</f>
        <v>569.76947759897178</v>
      </c>
      <c r="M324" s="179">
        <f>VLOOKUP(B324,Tot_res!C:V,12,FALSE)</f>
        <v>392.53819089947325</v>
      </c>
      <c r="N324" s="179">
        <f>VLOOKUP(B324,Tot_res!C:V,13,FALSE)</f>
        <v>86.743199985858894</v>
      </c>
      <c r="O324" s="179">
        <f>VLOOKUP(B324,Tot_res!C:V,14,FALSE)</f>
        <v>197.92606134482912</v>
      </c>
      <c r="P324" s="179">
        <f>VLOOKUP(B324,Tot_res!C:V,15,FALSE)</f>
        <v>536.01982002626789</v>
      </c>
      <c r="Q324" s="179">
        <f>VLOOKUP(B324,Tot_res!C:V,16,FALSE)</f>
        <v>125.35583286652432</v>
      </c>
      <c r="R324" s="179">
        <f>VLOOKUP(B324,Tot_res!C:V,17,FALSE)</f>
        <v>48.722469127155371</v>
      </c>
      <c r="S324" s="179">
        <f>VLOOKUP(B324,Tot_res!C:V,18,FALSE)</f>
        <v>158.38882803928001</v>
      </c>
      <c r="T324" s="179">
        <f>VLOOKUP(B324,Tot_res!C:V,19,FALSE)</f>
        <v>27.018876393765666</v>
      </c>
      <c r="U324" s="179">
        <f>VLOOKUP(B324,Tot_res!C:V,20,FALSE)</f>
        <v>14.68549559073195</v>
      </c>
      <c r="V324" s="122">
        <f t="shared" si="50"/>
        <v>3645.5090400000004</v>
      </c>
      <c r="W324" s="104"/>
    </row>
    <row r="325" spans="1:23" ht="13.15">
      <c r="A325" s="355"/>
      <c r="B325" s="115" t="s">
        <v>319</v>
      </c>
      <c r="C325" s="334" t="str">
        <f>VLOOKUP(B325,Tot_res!C:D,2,FALSE)</f>
        <v>Investigación y evaluación educativa</v>
      </c>
      <c r="D325" s="179">
        <f>VLOOKUP(B325,Tot_res!C:V,3,FALSE)</f>
        <v>45.169867498587983</v>
      </c>
      <c r="E325" s="179">
        <f>VLOOKUP(B325,Tot_res!C:V,4,FALSE)</f>
        <v>5.9976556924852718</v>
      </c>
      <c r="F325" s="179">
        <f>VLOOKUP(B325,Tot_res!C:V,5,FALSE)</f>
        <v>3.8419640108123669</v>
      </c>
      <c r="G325" s="179">
        <f>VLOOKUP(B325,Tot_res!C:V,6,FALSE)</f>
        <v>4.9782164100054214</v>
      </c>
      <c r="H325" s="179">
        <f>VLOOKUP(B325,Tot_res!C:V,7,FALSE)</f>
        <v>9.9602083107818888</v>
      </c>
      <c r="I325" s="179">
        <f>VLOOKUP(B325,Tot_res!C:V,8,FALSE)</f>
        <v>2.5676365205639002</v>
      </c>
      <c r="J325" s="179">
        <f>VLOOKUP(B325,Tot_res!C:V,9,FALSE)</f>
        <v>10.288808481223318</v>
      </c>
      <c r="K325" s="179">
        <f>VLOOKUP(B325,Tot_res!C:V,10,FALSE)</f>
        <v>10.619320053007483</v>
      </c>
      <c r="L325" s="179">
        <f>VLOOKUP(B325,Tot_res!C:V,11,FALSE)</f>
        <v>36.748961785978409</v>
      </c>
      <c r="M325" s="179">
        <f>VLOOKUP(B325,Tot_res!C:V,12,FALSE)</f>
        <v>24.045580289736169</v>
      </c>
      <c r="N325" s="179">
        <f>VLOOKUP(B325,Tot_res!C:V,13,FALSE)</f>
        <v>5.2360663436169892</v>
      </c>
      <c r="O325" s="179">
        <f>VLOOKUP(B325,Tot_res!C:V,14,FALSE)</f>
        <v>11.374408744833888</v>
      </c>
      <c r="P325" s="179">
        <f>VLOOKUP(B325,Tot_res!C:V,15,FALSE)</f>
        <v>31.790341970927464</v>
      </c>
      <c r="Q325" s="179">
        <f>VLOOKUP(B325,Tot_res!C:V,16,FALSE)</f>
        <v>7.9850115826370809</v>
      </c>
      <c r="R325" s="179">
        <f>VLOOKUP(B325,Tot_res!C:V,17,FALSE)</f>
        <v>2.9869241685735219</v>
      </c>
      <c r="S325" s="179">
        <f>VLOOKUP(B325,Tot_res!C:V,18,FALSE)</f>
        <v>10.158672329408276</v>
      </c>
      <c r="T325" s="179">
        <f>VLOOKUP(B325,Tot_res!C:V,19,FALSE)</f>
        <v>1.5107356642430148</v>
      </c>
      <c r="U325" s="179">
        <f>VLOOKUP(B325,Tot_res!C:V,20,FALSE)</f>
        <v>1.0782101425775181</v>
      </c>
      <c r="V325" s="122">
        <f t="shared" si="50"/>
        <v>226.33858999999998</v>
      </c>
      <c r="W325" s="104"/>
    </row>
    <row r="326" spans="1:23" ht="13.15">
      <c r="A326" s="355"/>
      <c r="B326" s="115" t="s">
        <v>659</v>
      </c>
      <c r="C326" s="334" t="str">
        <f>VLOOKUP(B326,Tot_res!C:D,2,FALSE)</f>
        <v>Formación del personal de las administraciones públicas + AF12/3</v>
      </c>
      <c r="D326" s="179">
        <f>VLOOKUP(B326,Tot_res!C:V,3,FALSE)</f>
        <v>6594.5176200000005</v>
      </c>
      <c r="E326" s="179">
        <f>VLOOKUP(B326,Tot_res!C:V,4,FALSE)</f>
        <v>955.05747000000008</v>
      </c>
      <c r="F326" s="179">
        <f>VLOOKUP(B326,Tot_res!C:V,5,FALSE)</f>
        <v>757.66804999999999</v>
      </c>
      <c r="G326" s="179">
        <f>VLOOKUP(B326,Tot_res!C:V,6,FALSE)</f>
        <v>694.12402999999995</v>
      </c>
      <c r="H326" s="179">
        <f>VLOOKUP(B326,Tot_res!C:V,7,FALSE)</f>
        <v>1518.0788</v>
      </c>
      <c r="I326" s="179">
        <f>VLOOKUP(B326,Tot_res!C:V,8,FALSE)</f>
        <v>392.77495999999996</v>
      </c>
      <c r="J326" s="179">
        <f>VLOOKUP(B326,Tot_res!C:V,9,FALSE)</f>
        <v>2005.2790499999999</v>
      </c>
      <c r="K326" s="179">
        <f>VLOOKUP(B326,Tot_res!C:V,10,FALSE)</f>
        <v>1639.0749499999999</v>
      </c>
      <c r="L326" s="179">
        <f>VLOOKUP(B326,Tot_res!C:V,11,FALSE)</f>
        <v>4831.0885799999996</v>
      </c>
      <c r="M326" s="179">
        <f>VLOOKUP(B326,Tot_res!C:V,12,FALSE)</f>
        <v>3538.0445100000002</v>
      </c>
      <c r="N326" s="179">
        <f>VLOOKUP(B326,Tot_res!C:V,13,FALSE)</f>
        <v>1324.97741</v>
      </c>
      <c r="O326" s="179">
        <f>VLOOKUP(B326,Tot_res!C:V,14,FALSE)</f>
        <v>2106.6512699999998</v>
      </c>
      <c r="P326" s="179">
        <f>VLOOKUP(B326,Tot_res!C:V,15,FALSE)</f>
        <v>4063.0417425200003</v>
      </c>
      <c r="Q326" s="179">
        <f>VLOOKUP(B326,Tot_res!C:V,16,FALSE)</f>
        <v>1063.65435</v>
      </c>
      <c r="R326" s="179">
        <f>VLOOKUP(B326,Tot_res!C:V,17,FALSE)</f>
        <v>508.262</v>
      </c>
      <c r="S326" s="179">
        <f>VLOOKUP(B326,Tot_res!C:V,18,FALSE)</f>
        <v>1578.2071479304852</v>
      </c>
      <c r="T326" s="179">
        <f>VLOOKUP(B326,Tot_res!C:V,19,FALSE)</f>
        <v>208.88835</v>
      </c>
      <c r="U326" s="179">
        <f>VLOOKUP(B326,Tot_res!C:V,20,FALSE)</f>
        <v>50.03</v>
      </c>
      <c r="V326" s="122">
        <f t="shared" si="50"/>
        <v>33829.420290450478</v>
      </c>
    </row>
    <row r="327" spans="1:23" ht="13.15">
      <c r="A327" s="355"/>
      <c r="B327" s="115" t="s">
        <v>320</v>
      </c>
      <c r="C327" s="334" t="str">
        <f>VLOOKUP(B327,Tot_res!C:D,2,FALSE)</f>
        <v>Profesores de religión</v>
      </c>
      <c r="D327" s="179">
        <f>VLOOKUP(B327,Tot_res!C:V,3,FALSE)</f>
        <v>0</v>
      </c>
      <c r="E327" s="179">
        <f>VLOOKUP(B327,Tot_res!C:V,4,FALSE)</f>
        <v>0</v>
      </c>
      <c r="F327" s="179">
        <f>VLOOKUP(B327,Tot_res!C:V,5,FALSE)</f>
        <v>7259.2232396946856</v>
      </c>
      <c r="G327" s="179">
        <f>VLOOKUP(B327,Tot_res!C:V,6,FALSE)</f>
        <v>3697.8537363642345</v>
      </c>
      <c r="H327" s="179">
        <f>VLOOKUP(B327,Tot_res!C:V,7,FALSE)</f>
        <v>0</v>
      </c>
      <c r="I327" s="179">
        <f>VLOOKUP(B327,Tot_res!C:V,8,FALSE)</f>
        <v>0</v>
      </c>
      <c r="J327" s="179">
        <f>VLOOKUP(B327,Tot_res!C:V,9,FALSE)</f>
        <v>12228.787094069119</v>
      </c>
      <c r="K327" s="179">
        <f>VLOOKUP(B327,Tot_res!C:V,10,FALSE)</f>
        <v>11349.311235004554</v>
      </c>
      <c r="L327" s="179">
        <f>VLOOKUP(B327,Tot_res!C:V,11,FALSE)</f>
        <v>17776.71693244894</v>
      </c>
      <c r="M327" s="179">
        <f>VLOOKUP(B327,Tot_res!C:V,12,FALSE)</f>
        <v>28256.851121045256</v>
      </c>
      <c r="N327" s="179">
        <f>VLOOKUP(B327,Tot_res!C:V,13,FALSE)</f>
        <v>7055.1615053323121</v>
      </c>
      <c r="O327" s="179">
        <f>VLOOKUP(B327,Tot_res!C:V,14,FALSE)</f>
        <v>14890.887552166088</v>
      </c>
      <c r="P327" s="179">
        <f>VLOOKUP(B327,Tot_res!C:V,15,FALSE)</f>
        <v>33697.870090599834</v>
      </c>
      <c r="Q327" s="179">
        <f>VLOOKUP(B327,Tot_res!C:V,16,FALSE)</f>
        <v>15004.496469515667</v>
      </c>
      <c r="R327" s="179">
        <f>VLOOKUP(B327,Tot_res!C:V,17,FALSE)</f>
        <v>0</v>
      </c>
      <c r="S327" s="179">
        <f>VLOOKUP(B327,Tot_res!C:V,18,FALSE)</f>
        <v>0</v>
      </c>
      <c r="T327" s="179">
        <f>VLOOKUP(B327,Tot_res!C:V,19,FALSE)</f>
        <v>1416.2766207440698</v>
      </c>
      <c r="U327" s="179">
        <f>VLOOKUP(B327,Tot_res!C:V,20,FALSE)</f>
        <v>0</v>
      </c>
      <c r="V327" s="122">
        <f t="shared" si="50"/>
        <v>152633.43559698475</v>
      </c>
    </row>
    <row r="328" spans="1:23" ht="13.15">
      <c r="A328" s="356"/>
      <c r="B328" s="115"/>
      <c r="C328"/>
    </row>
    <row r="329" spans="1:23" ht="13.15">
      <c r="A329" s="356"/>
      <c r="B329" s="115"/>
      <c r="C329" s="117" t="s">
        <v>76</v>
      </c>
      <c r="D329" s="114">
        <f t="shared" ref="D329:V329" si="51">SUM(D330:D347)</f>
        <v>2098334.0199958803</v>
      </c>
      <c r="E329" s="114">
        <f t="shared" si="51"/>
        <v>373899.10346586572</v>
      </c>
      <c r="F329" s="114">
        <f t="shared" si="51"/>
        <v>281132.240266821</v>
      </c>
      <c r="G329" s="114">
        <f t="shared" si="51"/>
        <v>303331.0176039816</v>
      </c>
      <c r="H329" s="114">
        <f t="shared" si="51"/>
        <v>543214.26188738446</v>
      </c>
      <c r="I329" s="114">
        <f t="shared" si="51"/>
        <v>146247.07359844338</v>
      </c>
      <c r="J329" s="114">
        <f t="shared" si="51"/>
        <v>773650.63856084819</v>
      </c>
      <c r="K329" s="114">
        <f t="shared" si="51"/>
        <v>537302.65489382436</v>
      </c>
      <c r="L329" s="114">
        <f t="shared" si="51"/>
        <v>2427913.9544514846</v>
      </c>
      <c r="M329" s="114">
        <f t="shared" si="51"/>
        <v>1123091.7999177626</v>
      </c>
      <c r="N329" s="114">
        <f t="shared" si="51"/>
        <v>284422.09221848584</v>
      </c>
      <c r="O329" s="114">
        <f t="shared" si="51"/>
        <v>660009.82253864838</v>
      </c>
      <c r="P329" s="114">
        <f t="shared" si="51"/>
        <v>1700910.3200335465</v>
      </c>
      <c r="Q329" s="114">
        <f t="shared" si="51"/>
        <v>325982.23279153323</v>
      </c>
      <c r="R329" s="114">
        <f t="shared" si="51"/>
        <v>222301.23530606611</v>
      </c>
      <c r="S329" s="114">
        <f t="shared" si="51"/>
        <v>872981.59596372035</v>
      </c>
      <c r="T329" s="114">
        <f t="shared" si="51"/>
        <v>119355.39829071239</v>
      </c>
      <c r="U329" s="114">
        <f t="shared" si="51"/>
        <v>109278.10058288201</v>
      </c>
      <c r="V329" s="126">
        <f t="shared" si="51"/>
        <v>12903357.56236789</v>
      </c>
    </row>
    <row r="330" spans="1:23" ht="13.15">
      <c r="A330" s="355"/>
      <c r="B330" s="115" t="s">
        <v>322</v>
      </c>
      <c r="C330" s="334" t="str">
        <f>VLOOKUP(B330,Tot_res!C:D,2,FALSE)</f>
        <v>Dirección y servicios generales de justicia</v>
      </c>
      <c r="D330" s="179">
        <f>VLOOKUP(B330,Tot_res!C:V,3,FALSE)</f>
        <v>8852.0875481039475</v>
      </c>
      <c r="E330" s="179">
        <f>VLOOKUP(B330,Tot_res!C:V,4,FALSE)</f>
        <v>1436.1986120290544</v>
      </c>
      <c r="F330" s="179">
        <f>VLOOKUP(B330,Tot_res!C:V,5,FALSE)</f>
        <v>1190.365011572841</v>
      </c>
      <c r="G330" s="179">
        <f>VLOOKUP(B330,Tot_res!C:V,6,FALSE)</f>
        <v>2080.6621639533428</v>
      </c>
      <c r="H330" s="179">
        <f>VLOOKUP(B330,Tot_res!C:V,7,FALSE)</f>
        <v>2332.429036825095</v>
      </c>
      <c r="I330" s="179">
        <f>VLOOKUP(B330,Tot_res!C:V,8,FALSE)</f>
        <v>647.82106014824126</v>
      </c>
      <c r="J330" s="179">
        <f>VLOOKUP(B330,Tot_res!C:V,9,FALSE)</f>
        <v>4746.6844963225858</v>
      </c>
      <c r="K330" s="179">
        <f>VLOOKUP(B330,Tot_res!C:V,10,FALSE)</f>
        <v>4052.729061310878</v>
      </c>
      <c r="L330" s="179">
        <f>VLOOKUP(B330,Tot_res!C:V,11,FALSE)</f>
        <v>8159.8167505568545</v>
      </c>
      <c r="M330" s="179">
        <f>VLOOKUP(B330,Tot_res!C:V,12,FALSE)</f>
        <v>5307.5894891853368</v>
      </c>
      <c r="N330" s="179">
        <f>VLOOKUP(B330,Tot_res!C:V,13,FALSE)</f>
        <v>1921.8131117135438</v>
      </c>
      <c r="O330" s="179">
        <f>VLOOKUP(B330,Tot_res!C:V,14,FALSE)</f>
        <v>3006.9053795492855</v>
      </c>
      <c r="P330" s="179">
        <f>VLOOKUP(B330,Tot_res!C:V,15,FALSE)</f>
        <v>7244.1271338840215</v>
      </c>
      <c r="Q330" s="179">
        <f>VLOOKUP(B330,Tot_res!C:V,16,FALSE)</f>
        <v>2482.2364500877165</v>
      </c>
      <c r="R330" s="179">
        <f>VLOOKUP(B330,Tot_res!C:V,17,FALSE)</f>
        <v>675.41044905299964</v>
      </c>
      <c r="S330" s="179">
        <f>VLOOKUP(B330,Tot_res!C:V,18,FALSE)</f>
        <v>2395.5358857373653</v>
      </c>
      <c r="T330" s="179">
        <f>VLOOKUP(B330,Tot_res!C:V,19,FALSE)</f>
        <v>597.84239770432748</v>
      </c>
      <c r="U330" s="179">
        <f>VLOOKUP(B330,Tot_res!C:V,20,FALSE)</f>
        <v>210.08037226255715</v>
      </c>
      <c r="V330" s="122">
        <f t="shared" ref="V330:V347" si="52">SUM(D330:U330)</f>
        <v>57340.334409999996</v>
      </c>
    </row>
    <row r="331" spans="1:23" ht="13.15">
      <c r="A331" s="355"/>
      <c r="B331" s="115" t="s">
        <v>323</v>
      </c>
      <c r="C331" s="334" t="str">
        <f>VLOOKUP(B331,Tot_res!C:D,2,FALSE)</f>
        <v>Formación del personal de la administración de justicia</v>
      </c>
      <c r="D331" s="179">
        <f>VLOOKUP(B331,Tot_res!C:V,3,FALSE)</f>
        <v>1034.9715977958931</v>
      </c>
      <c r="E331" s="179">
        <f>VLOOKUP(B331,Tot_res!C:V,4,FALSE)</f>
        <v>179.86028116634171</v>
      </c>
      <c r="F331" s="179">
        <f>VLOOKUP(B331,Tot_res!C:V,5,FALSE)</f>
        <v>164.02920955381279</v>
      </c>
      <c r="G331" s="179">
        <f>VLOOKUP(B331,Tot_res!C:V,6,FALSE)</f>
        <v>158.73923640597624</v>
      </c>
      <c r="H331" s="179">
        <f>VLOOKUP(B331,Tot_res!C:V,7,FALSE)</f>
        <v>295.86337043281736</v>
      </c>
      <c r="I331" s="179">
        <f>VLOOKUP(B331,Tot_res!C:V,8,FALSE)</f>
        <v>86.77375845273842</v>
      </c>
      <c r="J331" s="179">
        <f>VLOOKUP(B331,Tot_res!C:V,9,FALSE)</f>
        <v>360.20988678655016</v>
      </c>
      <c r="K331" s="179">
        <f>VLOOKUP(B331,Tot_res!C:V,10,FALSE)</f>
        <v>525.18337371898212</v>
      </c>
      <c r="L331" s="179">
        <f>VLOOKUP(B331,Tot_res!C:V,11,FALSE)</f>
        <v>1012.7364775348244</v>
      </c>
      <c r="M331" s="179">
        <f>VLOOKUP(B331,Tot_res!C:V,12,FALSE)</f>
        <v>629.69153923390923</v>
      </c>
      <c r="N331" s="179">
        <f>VLOOKUP(B331,Tot_res!C:V,13,FALSE)</f>
        <v>136.44775871232085</v>
      </c>
      <c r="O331" s="179">
        <f>VLOOKUP(B331,Tot_res!C:V,14,FALSE)</f>
        <v>385.27806551101975</v>
      </c>
      <c r="P331" s="179">
        <f>VLOOKUP(B331,Tot_res!C:V,15,FALSE)</f>
        <v>888.35537150231016</v>
      </c>
      <c r="Q331" s="179">
        <f>VLOOKUP(B331,Tot_res!C:V,16,FALSE)</f>
        <v>183.10985050894803</v>
      </c>
      <c r="R331" s="179">
        <f>VLOOKUP(B331,Tot_res!C:V,17,FALSE)</f>
        <v>82.155764036894539</v>
      </c>
      <c r="S331" s="179">
        <f>VLOOKUP(B331,Tot_res!C:V,18,FALSE)</f>
        <v>306.44897199549143</v>
      </c>
      <c r="T331" s="179">
        <f>VLOOKUP(B331,Tot_res!C:V,19,FALSE)</f>
        <v>45.408594429602346</v>
      </c>
      <c r="U331" s="179">
        <f>VLOOKUP(B331,Tot_res!C:V,20,FALSE)</f>
        <v>31.940132221567289</v>
      </c>
      <c r="V331" s="122">
        <f t="shared" si="52"/>
        <v>6507.2032400000007</v>
      </c>
    </row>
    <row r="332" spans="1:23" ht="13.15">
      <c r="A332" s="355"/>
      <c r="B332" s="115" t="s">
        <v>324</v>
      </c>
      <c r="C332" s="334" t="str">
        <f>VLOOKUP(B332,Tot_res!C:D,2,FALSE)</f>
        <v>Formación de la carrera fiscal</v>
      </c>
      <c r="D332" s="179">
        <f>VLOOKUP(B332,Tot_res!C:V,3,FALSE)</f>
        <v>505.89797542850005</v>
      </c>
      <c r="E332" s="179">
        <f>VLOOKUP(B332,Tot_res!C:V,4,FALSE)</f>
        <v>78.043810238085285</v>
      </c>
      <c r="F332" s="179">
        <f>VLOOKUP(B332,Tot_res!C:V,5,FALSE)</f>
        <v>61.911811110141187</v>
      </c>
      <c r="G332" s="179">
        <f>VLOOKUP(B332,Tot_res!C:V,6,FALSE)</f>
        <v>71.404129174150398</v>
      </c>
      <c r="H332" s="179">
        <f>VLOOKUP(B332,Tot_res!C:V,7,FALSE)</f>
        <v>139.66269001897206</v>
      </c>
      <c r="I332" s="179">
        <f>VLOOKUP(B332,Tot_res!C:V,8,FALSE)</f>
        <v>34.678977705241394</v>
      </c>
      <c r="J332" s="179">
        <f>VLOOKUP(B332,Tot_res!C:V,9,FALSE)</f>
        <v>155.2498221119159</v>
      </c>
      <c r="K332" s="179">
        <f>VLOOKUP(B332,Tot_res!C:V,10,FALSE)</f>
        <v>105.82861396446148</v>
      </c>
      <c r="L332" s="179">
        <f>VLOOKUP(B332,Tot_res!C:V,11,FALSE)</f>
        <v>476.31151090926221</v>
      </c>
      <c r="M332" s="179">
        <f>VLOOKUP(B332,Tot_res!C:V,12,FALSE)</f>
        <v>300.46992291839172</v>
      </c>
      <c r="N332" s="179">
        <f>VLOOKUP(B332,Tot_res!C:V,13,FALSE)</f>
        <v>65.886946711093927</v>
      </c>
      <c r="O332" s="179">
        <f>VLOOKUP(B332,Tot_res!C:V,14,FALSE)</f>
        <v>173.11203987723127</v>
      </c>
      <c r="P332" s="179">
        <f>VLOOKUP(B332,Tot_res!C:V,15,FALSE)</f>
        <v>393.10207735697827</v>
      </c>
      <c r="Q332" s="179">
        <f>VLOOKUP(B332,Tot_res!C:V,16,FALSE)</f>
        <v>75.896426202905005</v>
      </c>
      <c r="R332" s="179">
        <f>VLOOKUP(B332,Tot_res!C:V,17,FALSE)</f>
        <v>31.390233956357143</v>
      </c>
      <c r="S332" s="179">
        <f>VLOOKUP(B332,Tot_res!C:V,18,FALSE)</f>
        <v>127.83720780528512</v>
      </c>
      <c r="T332" s="179">
        <f>VLOOKUP(B332,Tot_res!C:V,19,FALSE)</f>
        <v>17.397374526077456</v>
      </c>
      <c r="U332" s="179">
        <f>VLOOKUP(B332,Tot_res!C:V,20,FALSE)</f>
        <v>11.495269984950097</v>
      </c>
      <c r="V332" s="122">
        <f t="shared" si="52"/>
        <v>2825.5768400000002</v>
      </c>
    </row>
    <row r="333" spans="1:23" ht="13.15">
      <c r="A333" s="355"/>
      <c r="B333" s="115" t="s">
        <v>326</v>
      </c>
      <c r="C333" s="334" t="str">
        <f>VLOOKUP(B333,Tot_res!C:D,2,FALSE)</f>
        <v>Tribunales de justicia y ministerio fiscal</v>
      </c>
      <c r="D333" s="179">
        <f>VLOOKUP(B333,Tot_res!C:V,3,FALSE)</f>
        <v>177780.98551003195</v>
      </c>
      <c r="E333" s="179">
        <f>VLOOKUP(B333,Tot_res!C:V,4,FALSE)</f>
        <v>29801.312987991594</v>
      </c>
      <c r="F333" s="179">
        <f>VLOOKUP(B333,Tot_res!C:V,5,FALSE)</f>
        <v>26056.333974603243</v>
      </c>
      <c r="G333" s="179">
        <f>VLOOKUP(B333,Tot_res!C:V,6,FALSE)</f>
        <v>69936.333519227948</v>
      </c>
      <c r="H333" s="179">
        <f>VLOOKUP(B333,Tot_res!C:V,7,FALSE)</f>
        <v>50257.953765099439</v>
      </c>
      <c r="I333" s="179">
        <f>VLOOKUP(B333,Tot_res!C:V,8,FALSE)</f>
        <v>13838.094213056582</v>
      </c>
      <c r="J333" s="179">
        <f>VLOOKUP(B333,Tot_res!C:V,9,FALSE)</f>
        <v>160180.36347848596</v>
      </c>
      <c r="K333" s="179">
        <f>VLOOKUP(B333,Tot_res!C:V,10,FALSE)</f>
        <v>138209.0776161504</v>
      </c>
      <c r="L333" s="179">
        <f>VLOOKUP(B333,Tot_res!C:V,11,FALSE)</f>
        <v>171085.97988669443</v>
      </c>
      <c r="M333" s="179">
        <f>VLOOKUP(B333,Tot_res!C:V,12,FALSE)</f>
        <v>106266.33901291121</v>
      </c>
      <c r="N333" s="179">
        <f>VLOOKUP(B333,Tot_res!C:V,13,FALSE)</f>
        <v>62074.429393660146</v>
      </c>
      <c r="O333" s="179">
        <f>VLOOKUP(B333,Tot_res!C:V,14,FALSE)</f>
        <v>63672.458972864661</v>
      </c>
      <c r="P333" s="179">
        <f>VLOOKUP(B333,Tot_res!C:V,15,FALSE)</f>
        <v>158854.58391806163</v>
      </c>
      <c r="Q333" s="179">
        <f>VLOOKUP(B333,Tot_res!C:V,16,FALSE)</f>
        <v>78690.124220481637</v>
      </c>
      <c r="R333" s="179">
        <f>VLOOKUP(B333,Tot_res!C:V,17,FALSE)</f>
        <v>13565.685069598647</v>
      </c>
      <c r="S333" s="179">
        <f>VLOOKUP(B333,Tot_res!C:V,18,FALSE)</f>
        <v>50941.448657795831</v>
      </c>
      <c r="T333" s="179">
        <f>VLOOKUP(B333,Tot_res!C:V,19,FALSE)</f>
        <v>20025.155084041595</v>
      </c>
      <c r="U333" s="179">
        <f>VLOOKUP(B333,Tot_res!C:V,20,FALSE)</f>
        <v>5214.6335992428039</v>
      </c>
      <c r="V333" s="122">
        <f t="shared" si="52"/>
        <v>1396451.2928799998</v>
      </c>
    </row>
    <row r="334" spans="1:23" ht="13.15">
      <c r="A334" s="355"/>
      <c r="B334" s="115" t="s">
        <v>327</v>
      </c>
      <c r="C334" s="334" t="str">
        <f>VLOOKUP(B334,Tot_res!C:D,2,FALSE)</f>
        <v>Dirección y serv. grales. seguridad y protecc. civil</v>
      </c>
      <c r="D334" s="179">
        <f>VLOOKUP(B334,Tot_res!C:V,3,FALSE)</f>
        <v>11747.072533612842</v>
      </c>
      <c r="E334" s="179">
        <f>VLOOKUP(B334,Tot_res!C:V,4,FALSE)</f>
        <v>1874.3222992401825</v>
      </c>
      <c r="F334" s="179">
        <f>VLOOKUP(B334,Tot_res!C:V,5,FALSE)</f>
        <v>1540.6131526095326</v>
      </c>
      <c r="G334" s="179">
        <f>VLOOKUP(B334,Tot_res!C:V,6,FALSE)</f>
        <v>1522.9957911736476</v>
      </c>
      <c r="H334" s="179">
        <f>VLOOKUP(B334,Tot_res!C:V,7,FALSE)</f>
        <v>2902.856750650049</v>
      </c>
      <c r="I334" s="179">
        <f>VLOOKUP(B334,Tot_res!C:V,8,FALSE)</f>
        <v>769.80975158355182</v>
      </c>
      <c r="J334" s="179">
        <f>VLOOKUP(B334,Tot_res!C:V,9,FALSE)</f>
        <v>3646.723062665274</v>
      </c>
      <c r="K334" s="179">
        <f>VLOOKUP(B334,Tot_res!C:V,10,FALSE)</f>
        <v>2736.434774680436</v>
      </c>
      <c r="L334" s="179">
        <f>VLOOKUP(B334,Tot_res!C:V,11,FALSE)</f>
        <v>8218.8093659846782</v>
      </c>
      <c r="M334" s="179">
        <f>VLOOKUP(B334,Tot_res!C:V,12,FALSE)</f>
        <v>6497.7496015914749</v>
      </c>
      <c r="N334" s="179">
        <f>VLOOKUP(B334,Tot_res!C:V,13,FALSE)</f>
        <v>1507.1685785671302</v>
      </c>
      <c r="O334" s="179">
        <f>VLOOKUP(B334,Tot_res!C:V,14,FALSE)</f>
        <v>3666.6852903106669</v>
      </c>
      <c r="P334" s="179">
        <f>VLOOKUP(B334,Tot_res!C:V,15,FALSE)</f>
        <v>9490.8712885598889</v>
      </c>
      <c r="Q334" s="179">
        <f>VLOOKUP(B334,Tot_res!C:V,16,FALSE)</f>
        <v>1854.283584591619</v>
      </c>
      <c r="R334" s="179">
        <f>VLOOKUP(B334,Tot_res!C:V,17,FALSE)</f>
        <v>973.32608912246587</v>
      </c>
      <c r="S334" s="179">
        <f>VLOOKUP(B334,Tot_res!C:V,18,FALSE)</f>
        <v>2754.2683287263008</v>
      </c>
      <c r="T334" s="179">
        <f>VLOOKUP(B334,Tot_res!C:V,19,FALSE)</f>
        <v>484.69748449345298</v>
      </c>
      <c r="U334" s="179">
        <f>VLOOKUP(B334,Tot_res!C:V,20,FALSE)</f>
        <v>413.57691183679248</v>
      </c>
      <c r="V334" s="122">
        <f t="shared" si="52"/>
        <v>62602.264639999972</v>
      </c>
    </row>
    <row r="335" spans="1:23" ht="13.15">
      <c r="A335" s="355"/>
      <c r="B335" s="115" t="s">
        <v>328</v>
      </c>
      <c r="C335" s="334" t="str">
        <f>VLOOKUP(B335,Tot_res!C:D,2,FALSE)</f>
        <v>Formac. fuerzas y cuerpos de segur. del estado</v>
      </c>
      <c r="D335" s="179">
        <f>VLOOKUP(B335,Tot_res!C:V,3,FALSE)</f>
        <v>13512.164915674626</v>
      </c>
      <c r="E335" s="179">
        <f>VLOOKUP(B335,Tot_res!C:V,4,FALSE)</f>
        <v>2553.1358124515245</v>
      </c>
      <c r="F335" s="179">
        <f>VLOOKUP(B335,Tot_res!C:V,5,FALSE)</f>
        <v>1783.5992096711352</v>
      </c>
      <c r="G335" s="179">
        <f>VLOOKUP(B335,Tot_res!C:V,6,FALSE)</f>
        <v>1930.2244750572781</v>
      </c>
      <c r="H335" s="179">
        <f>VLOOKUP(B335,Tot_res!C:V,7,FALSE)</f>
        <v>3683.7166233623007</v>
      </c>
      <c r="I335" s="179">
        <f>VLOOKUP(B335,Tot_res!C:V,8,FALSE)</f>
        <v>909.78962176563516</v>
      </c>
      <c r="J335" s="179">
        <f>VLOOKUP(B335,Tot_res!C:V,9,FALSE)</f>
        <v>4809.0272663279966</v>
      </c>
      <c r="K335" s="179">
        <f>VLOOKUP(B335,Tot_res!C:V,10,FALSE)</f>
        <v>3373.2094586679068</v>
      </c>
      <c r="L335" s="179">
        <f>VLOOKUP(B335,Tot_res!C:V,11,FALSE)</f>
        <v>6738.161985684199</v>
      </c>
      <c r="M335" s="179">
        <f>VLOOKUP(B335,Tot_res!C:V,12,FALSE)</f>
        <v>7408.014305388363</v>
      </c>
      <c r="N335" s="179">
        <f>VLOOKUP(B335,Tot_res!C:V,13,FALSE)</f>
        <v>1914.4608287202018</v>
      </c>
      <c r="O335" s="179">
        <f>VLOOKUP(B335,Tot_res!C:V,14,FALSE)</f>
        <v>4374.8363574194755</v>
      </c>
      <c r="P335" s="179">
        <f>VLOOKUP(B335,Tot_res!C:V,15,FALSE)</f>
        <v>11317.086615672384</v>
      </c>
      <c r="Q335" s="179">
        <f>VLOOKUP(B335,Tot_res!C:V,16,FALSE)</f>
        <v>1972.5205138353087</v>
      </c>
      <c r="R335" s="179">
        <f>VLOOKUP(B335,Tot_res!C:V,17,FALSE)</f>
        <v>1223.0353408793028</v>
      </c>
      <c r="S335" s="179">
        <f>VLOOKUP(B335,Tot_res!C:V,18,FALSE)</f>
        <v>2857.6361781012238</v>
      </c>
      <c r="T335" s="179">
        <f>VLOOKUP(B335,Tot_res!C:V,19,FALSE)</f>
        <v>760.10325545681235</v>
      </c>
      <c r="U335" s="179">
        <f>VLOOKUP(B335,Tot_res!C:V,20,FALSE)</f>
        <v>869.41898586431216</v>
      </c>
      <c r="V335" s="122">
        <f t="shared" si="52"/>
        <v>71990.141749999981</v>
      </c>
    </row>
    <row r="336" spans="1:23" ht="13.15">
      <c r="A336" s="355"/>
      <c r="B336" s="115" t="s">
        <v>329</v>
      </c>
      <c r="C336" s="334" t="str">
        <f>VLOOKUP(B336,Tot_res!C:D,2,FALSE)</f>
        <v>Fuerzas y cuerpos en reserva</v>
      </c>
      <c r="D336" s="179">
        <f>VLOOKUP(B336,Tot_res!C:V,3,FALSE)</f>
        <v>152863.57444370521</v>
      </c>
      <c r="E336" s="179">
        <f>VLOOKUP(B336,Tot_res!C:V,4,FALSE)</f>
        <v>17344.024353547298</v>
      </c>
      <c r="F336" s="179">
        <f>VLOOKUP(B336,Tot_res!C:V,5,FALSE)</f>
        <v>16114.045392004495</v>
      </c>
      <c r="G336" s="179">
        <f>VLOOKUP(B336,Tot_res!C:V,6,FALSE)</f>
        <v>11715.021370826486</v>
      </c>
      <c r="H336" s="179">
        <f>VLOOKUP(B336,Tot_res!C:V,7,FALSE)</f>
        <v>27081.181274661118</v>
      </c>
      <c r="I336" s="179">
        <f>VLOOKUP(B336,Tot_res!C:V,8,FALSE)</f>
        <v>7786.4721658912013</v>
      </c>
      <c r="J336" s="179">
        <f>VLOOKUP(B336,Tot_res!C:V,9,FALSE)</f>
        <v>35471.098486048759</v>
      </c>
      <c r="K336" s="179">
        <f>VLOOKUP(B336,Tot_res!C:V,10,FALSE)</f>
        <v>20508.220573599669</v>
      </c>
      <c r="L336" s="179">
        <f>VLOOKUP(B336,Tot_res!C:V,11,FALSE)</f>
        <v>50826.57712689785</v>
      </c>
      <c r="M336" s="179">
        <f>VLOOKUP(B336,Tot_res!C:V,12,FALSE)</f>
        <v>58891.619199844907</v>
      </c>
      <c r="N336" s="179">
        <f>VLOOKUP(B336,Tot_res!C:V,13,FALSE)</f>
        <v>13181.16002083212</v>
      </c>
      <c r="O336" s="179">
        <f>VLOOKUP(B336,Tot_res!C:V,14,FALSE)</f>
        <v>39512.074789332473</v>
      </c>
      <c r="P336" s="179">
        <f>VLOOKUP(B336,Tot_res!C:V,15,FALSE)</f>
        <v>78288.14463684427</v>
      </c>
      <c r="Q336" s="179">
        <f>VLOOKUP(B336,Tot_res!C:V,16,FALSE)</f>
        <v>16266.433904565234</v>
      </c>
      <c r="R336" s="179">
        <f>VLOOKUP(B336,Tot_res!C:V,17,FALSE)</f>
        <v>7670.8172681574069</v>
      </c>
      <c r="S336" s="179">
        <f>VLOOKUP(B336,Tot_res!C:V,18,FALSE)</f>
        <v>20717.739115667846</v>
      </c>
      <c r="T336" s="179">
        <f>VLOOKUP(B336,Tot_res!C:V,19,FALSE)</f>
        <v>6541.0495026534436</v>
      </c>
      <c r="U336" s="179">
        <f>VLOOKUP(B336,Tot_res!C:V,20,FALSE)</f>
        <v>12464.575544920126</v>
      </c>
      <c r="V336" s="122">
        <f t="shared" si="52"/>
        <v>593243.82917000004</v>
      </c>
    </row>
    <row r="337" spans="1:22" ht="13.15">
      <c r="A337" s="355"/>
      <c r="B337" s="115" t="s">
        <v>330</v>
      </c>
      <c r="C337" s="334" t="str">
        <f>VLOOKUP(B337,Tot_res!C:D,2,FALSE)</f>
        <v>Seguridad ciudadana</v>
      </c>
      <c r="D337" s="179">
        <f>VLOOKUP(B337,Tot_res!C:V,3,FALSE)</f>
        <v>994536.57225192036</v>
      </c>
      <c r="E337" s="179">
        <f>VLOOKUP(B337,Tot_res!C:V,4,FALSE)</f>
        <v>179991.36077188363</v>
      </c>
      <c r="F337" s="179">
        <f>VLOOKUP(B337,Tot_res!C:V,5,FALSE)</f>
        <v>128460.11227548802</v>
      </c>
      <c r="G337" s="179">
        <f>VLOOKUP(B337,Tot_res!C:V,6,FALSE)</f>
        <v>143259.37533534618</v>
      </c>
      <c r="H337" s="179">
        <f>VLOOKUP(B337,Tot_res!C:V,7,FALSE)</f>
        <v>271642.63259553438</v>
      </c>
      <c r="I337" s="179">
        <f>VLOOKUP(B337,Tot_res!C:V,8,FALSE)</f>
        <v>65262.096744621558</v>
      </c>
      <c r="J337" s="179">
        <f>VLOOKUP(B337,Tot_res!C:V,9,FALSE)</f>
        <v>332585.70141188061</v>
      </c>
      <c r="K337" s="179">
        <f>VLOOKUP(B337,Tot_res!C:V,10,FALSE)</f>
        <v>237885.62424124539</v>
      </c>
      <c r="L337" s="179">
        <f>VLOOKUP(B337,Tot_res!C:V,11,FALSE)</f>
        <v>520338.89960374881</v>
      </c>
      <c r="M337" s="179">
        <f>VLOOKUP(B337,Tot_res!C:V,12,FALSE)</f>
        <v>546747.22580333194</v>
      </c>
      <c r="N337" s="179">
        <f>VLOOKUP(B337,Tot_res!C:V,13,FALSE)</f>
        <v>135743.27995735579</v>
      </c>
      <c r="O337" s="179">
        <f>VLOOKUP(B337,Tot_res!C:V,14,FALSE)</f>
        <v>311229.38960129465</v>
      </c>
      <c r="P337" s="179">
        <f>VLOOKUP(B337,Tot_res!C:V,15,FALSE)</f>
        <v>850952.54459721828</v>
      </c>
      <c r="Q337" s="179">
        <f>VLOOKUP(B337,Tot_res!C:V,16,FALSE)</f>
        <v>144608.23876933777</v>
      </c>
      <c r="R337" s="179">
        <f>VLOOKUP(B337,Tot_res!C:V,17,FALSE)</f>
        <v>89017.794171310394</v>
      </c>
      <c r="S337" s="179">
        <f>VLOOKUP(B337,Tot_res!C:V,18,FALSE)</f>
        <v>221598.9669465523</v>
      </c>
      <c r="T337" s="179">
        <f>VLOOKUP(B337,Tot_res!C:V,19,FALSE)</f>
        <v>55438.421207459643</v>
      </c>
      <c r="U337" s="179">
        <f>VLOOKUP(B337,Tot_res!C:V,20,FALSE)</f>
        <v>70553.280834470206</v>
      </c>
      <c r="V337" s="122">
        <f t="shared" si="52"/>
        <v>5299851.51712</v>
      </c>
    </row>
    <row r="338" spans="1:22" ht="13.15">
      <c r="A338" s="355"/>
      <c r="B338" s="115" t="s">
        <v>332</v>
      </c>
      <c r="C338" s="334" t="str">
        <f>VLOOKUP(B338,Tot_res!C:D,2,FALSE)</f>
        <v>Seguridad vial</v>
      </c>
      <c r="D338" s="179">
        <f>VLOOKUP(B338,Tot_res!C:V,3,FALSE)</f>
        <v>120136.08638477685</v>
      </c>
      <c r="E338" s="179">
        <f>VLOOKUP(B338,Tot_res!C:V,4,FALSE)</f>
        <v>34478.592356676098</v>
      </c>
      <c r="F338" s="179">
        <f>VLOOKUP(B338,Tot_res!C:V,5,FALSE)</f>
        <v>19285.244178238314</v>
      </c>
      <c r="G338" s="179">
        <f>VLOOKUP(B338,Tot_res!C:V,6,FALSE)</f>
        <v>16811.297334987343</v>
      </c>
      <c r="H338" s="179">
        <f>VLOOKUP(B338,Tot_res!C:V,7,FALSE)</f>
        <v>29289.585736663968</v>
      </c>
      <c r="I338" s="179">
        <f>VLOOKUP(B338,Tot_res!C:V,8,FALSE)</f>
        <v>11043.637499076296</v>
      </c>
      <c r="J338" s="179">
        <f>VLOOKUP(B338,Tot_res!C:V,9,FALSE)</f>
        <v>75358.044932631266</v>
      </c>
      <c r="K338" s="179">
        <f>VLOOKUP(B338,Tot_res!C:V,10,FALSE)</f>
        <v>44977.455569040889</v>
      </c>
      <c r="L338" s="179">
        <f>VLOOKUP(B338,Tot_res!C:V,11,FALSE)</f>
        <v>44638.966288266733</v>
      </c>
      <c r="M338" s="179">
        <f>VLOOKUP(B338,Tot_res!C:V,12,FALSE)</f>
        <v>65846.296268851205</v>
      </c>
      <c r="N338" s="179">
        <f>VLOOKUP(B338,Tot_res!C:V,13,FALSE)</f>
        <v>22888.823121170841</v>
      </c>
      <c r="O338" s="179">
        <f>VLOOKUP(B338,Tot_res!C:V,14,FALSE)</f>
        <v>56966.444088555378</v>
      </c>
      <c r="P338" s="179">
        <f>VLOOKUP(B338,Tot_res!C:V,15,FALSE)</f>
        <v>79599.435548134992</v>
      </c>
      <c r="Q338" s="179">
        <f>VLOOKUP(B338,Tot_res!C:V,16,FALSE)</f>
        <v>18147.525069331383</v>
      </c>
      <c r="R338" s="179">
        <f>VLOOKUP(B338,Tot_res!C:V,17,FALSE)</f>
        <v>11304.343106675018</v>
      </c>
      <c r="S338" s="179">
        <f>VLOOKUP(B338,Tot_res!C:V,18,FALSE)</f>
        <v>13712.655615557007</v>
      </c>
      <c r="T338" s="179">
        <f>VLOOKUP(B338,Tot_res!C:V,19,FALSE)</f>
        <v>7713.6821904957415</v>
      </c>
      <c r="U338" s="179">
        <f>VLOOKUP(B338,Tot_res!C:V,20,FALSE)</f>
        <v>1631.9021408705214</v>
      </c>
      <c r="V338" s="122">
        <f t="shared" si="52"/>
        <v>673830.01742999989</v>
      </c>
    </row>
    <row r="339" spans="1:22" ht="13.15">
      <c r="A339" s="355"/>
      <c r="B339" s="115" t="s">
        <v>333</v>
      </c>
      <c r="C339" s="334" t="str">
        <f>VLOOKUP(B339,Tot_res!C:D,2,FALSE)</f>
        <v>Actuaciones policiales en materia de droga</v>
      </c>
      <c r="D339" s="179">
        <f>VLOOKUP(B339,Tot_res!C:V,3,FALSE)</f>
        <v>16070.849045683392</v>
      </c>
      <c r="E339" s="179">
        <f>VLOOKUP(B339,Tot_res!C:V,4,FALSE)</f>
        <v>2706.3845059457808</v>
      </c>
      <c r="F339" s="179">
        <f>VLOOKUP(B339,Tot_res!C:V,5,FALSE)</f>
        <v>2025.5232649130594</v>
      </c>
      <c r="G339" s="179">
        <f>VLOOKUP(B339,Tot_res!C:V,6,FALSE)</f>
        <v>2169.344020085759</v>
      </c>
      <c r="H339" s="179">
        <f>VLOOKUP(B339,Tot_res!C:V,7,FALSE)</f>
        <v>4248.449611308667</v>
      </c>
      <c r="I339" s="179">
        <f>VLOOKUP(B339,Tot_res!C:V,8,FALSE)</f>
        <v>1040.680624462314</v>
      </c>
      <c r="J339" s="179">
        <f>VLOOKUP(B339,Tot_res!C:V,9,FALSE)</f>
        <v>5095.2771651468611</v>
      </c>
      <c r="K339" s="179">
        <f>VLOOKUP(B339,Tot_res!C:V,10,FALSE)</f>
        <v>3843.6730549908411</v>
      </c>
      <c r="L339" s="179">
        <f>VLOOKUP(B339,Tot_res!C:V,11,FALSE)</f>
        <v>9099.1830506996885</v>
      </c>
      <c r="M339" s="179">
        <f>VLOOKUP(B339,Tot_res!C:V,12,FALSE)</f>
        <v>8897.5568112011697</v>
      </c>
      <c r="N339" s="179">
        <f>VLOOKUP(B339,Tot_res!C:V,13,FALSE)</f>
        <v>2189.9082373261663</v>
      </c>
      <c r="O339" s="179">
        <f>VLOOKUP(B339,Tot_res!C:V,14,FALSE)</f>
        <v>4993.9867048323104</v>
      </c>
      <c r="P339" s="179">
        <f>VLOOKUP(B339,Tot_res!C:V,15,FALSE)</f>
        <v>12468.230813773414</v>
      </c>
      <c r="Q339" s="179">
        <f>VLOOKUP(B339,Tot_res!C:V,16,FALSE)</f>
        <v>2433.8044874324137</v>
      </c>
      <c r="R339" s="179">
        <f>VLOOKUP(B339,Tot_res!C:V,17,FALSE)</f>
        <v>1310.3319239555167</v>
      </c>
      <c r="S339" s="179">
        <f>VLOOKUP(B339,Tot_res!C:V,18,FALSE)</f>
        <v>3423.8314832579913</v>
      </c>
      <c r="T339" s="179">
        <f>VLOOKUP(B339,Tot_res!C:V,19,FALSE)</f>
        <v>795.34968738318298</v>
      </c>
      <c r="U339" s="179">
        <f>VLOOKUP(B339,Tot_res!C:V,20,FALSE)</f>
        <v>894.75919760146644</v>
      </c>
      <c r="V339" s="122">
        <f t="shared" si="52"/>
        <v>83707.123689999993</v>
      </c>
    </row>
    <row r="340" spans="1:22" ht="13.15">
      <c r="A340" s="355"/>
      <c r="B340" s="115" t="s">
        <v>335</v>
      </c>
      <c r="C340" s="334" t="str">
        <f>VLOOKUP(B340,Tot_res!C:D,2,FALSE)</f>
        <v>Centros e instituciones penitenciarias</v>
      </c>
      <c r="D340" s="179">
        <f>VLOOKUP(B340,Tot_res!C:V,3,FALSE)</f>
        <v>241244.24449417187</v>
      </c>
      <c r="E340" s="179">
        <f>VLOOKUP(B340,Tot_res!C:V,4,FALSE)</f>
        <v>38461.674477156659</v>
      </c>
      <c r="F340" s="179">
        <f>VLOOKUP(B340,Tot_res!C:V,5,FALSE)</f>
        <v>22736.87781383019</v>
      </c>
      <c r="G340" s="179">
        <f>VLOOKUP(B340,Tot_res!C:V,6,FALSE)</f>
        <v>31510.736866867454</v>
      </c>
      <c r="H340" s="179">
        <f>VLOOKUP(B340,Tot_res!C:V,7,FALSE)</f>
        <v>61444.970946601323</v>
      </c>
      <c r="I340" s="179">
        <f>VLOOKUP(B340,Tot_res!C:V,8,FALSE)</f>
        <v>14282.069769478647</v>
      </c>
      <c r="J340" s="179">
        <f>VLOOKUP(B340,Tot_res!C:V,9,FALSE)</f>
        <v>102114.83781603565</v>
      </c>
      <c r="K340" s="179">
        <f>VLOOKUP(B340,Tot_res!C:V,10,FALSE)</f>
        <v>42942.460186195298</v>
      </c>
      <c r="L340" s="179">
        <f>VLOOKUP(B340,Tot_res!C:V,11,FALSE)</f>
        <v>49015.673137619116</v>
      </c>
      <c r="M340" s="179">
        <f>VLOOKUP(B340,Tot_res!C:V,12,FALSE)</f>
        <v>123318.4720563689</v>
      </c>
      <c r="N340" s="179">
        <f>VLOOKUP(B340,Tot_res!C:V,13,FALSE)</f>
        <v>23568.77928905205</v>
      </c>
      <c r="O340" s="179">
        <f>VLOOKUP(B340,Tot_res!C:V,14,FALSE)</f>
        <v>71361.607859001437</v>
      </c>
      <c r="P340" s="179">
        <f>VLOOKUP(B340,Tot_res!C:V,15,FALSE)</f>
        <v>171101.36582722233</v>
      </c>
      <c r="Q340" s="179">
        <f>VLOOKUP(B340,Tot_res!C:V,16,FALSE)</f>
        <v>31051.433828480644</v>
      </c>
      <c r="R340" s="179">
        <f>VLOOKUP(B340,Tot_res!C:V,17,FALSE)</f>
        <v>11414.403626120304</v>
      </c>
      <c r="S340" s="179">
        <f>VLOOKUP(B340,Tot_res!C:V,18,FALSE)</f>
        <v>36341.662688461351</v>
      </c>
      <c r="T340" s="179">
        <f>VLOOKUP(B340,Tot_res!C:V,19,FALSE)</f>
        <v>7883.0214716340288</v>
      </c>
      <c r="U340" s="179">
        <f>VLOOKUP(B340,Tot_res!C:V,20,FALSE)</f>
        <v>13826.429395702842</v>
      </c>
      <c r="V340" s="122">
        <f t="shared" si="52"/>
        <v>1093620.7215500004</v>
      </c>
    </row>
    <row r="341" spans="1:22" ht="13.15">
      <c r="A341" s="355"/>
      <c r="B341" s="115" t="s">
        <v>336</v>
      </c>
      <c r="C341" s="334" t="str">
        <f>VLOOKUP(B341,Tot_res!C:D,2,FALSE)</f>
        <v>Trabajo, formación y asistencia a reclusos</v>
      </c>
      <c r="D341" s="179">
        <f>VLOOKUP(B341,Tot_res!C:V,3,FALSE)</f>
        <v>4425.117912562353</v>
      </c>
      <c r="E341" s="179">
        <f>VLOOKUP(B341,Tot_res!C:V,4,FALSE)</f>
        <v>904.99215784063131</v>
      </c>
      <c r="F341" s="179">
        <f>VLOOKUP(B341,Tot_res!C:V,5,FALSE)</f>
        <v>392.6084921221576</v>
      </c>
      <c r="G341" s="179">
        <f>VLOOKUP(B341,Tot_res!C:V,6,FALSE)</f>
        <v>488.8806927533393</v>
      </c>
      <c r="H341" s="179">
        <f>VLOOKUP(B341,Tot_res!C:V,7,FALSE)</f>
        <v>889.35273586294977</v>
      </c>
      <c r="I341" s="179">
        <f>VLOOKUP(B341,Tot_res!C:V,8,FALSE)</f>
        <v>378.44137314477274</v>
      </c>
      <c r="J341" s="179">
        <f>VLOOKUP(B341,Tot_res!C:V,9,FALSE)</f>
        <v>2609.7802378104871</v>
      </c>
      <c r="K341" s="179">
        <f>VLOOKUP(B341,Tot_res!C:V,10,FALSE)</f>
        <v>1445.7182733132406</v>
      </c>
      <c r="L341" s="179">
        <f>VLOOKUP(B341,Tot_res!C:V,11,FALSE)</f>
        <v>1005.911246312111</v>
      </c>
      <c r="M341" s="179">
        <f>VLOOKUP(B341,Tot_res!C:V,12,FALSE)</f>
        <v>2395.5254469054494</v>
      </c>
      <c r="N341" s="179">
        <f>VLOOKUP(B341,Tot_res!C:V,13,FALSE)</f>
        <v>677.14639682328504</v>
      </c>
      <c r="O341" s="179">
        <f>VLOOKUP(B341,Tot_res!C:V,14,FALSE)</f>
        <v>1847.3583140100545</v>
      </c>
      <c r="P341" s="179">
        <f>VLOOKUP(B341,Tot_res!C:V,15,FALSE)</f>
        <v>3364.5381460876938</v>
      </c>
      <c r="Q341" s="179">
        <f>VLOOKUP(B341,Tot_res!C:V,16,FALSE)</f>
        <v>676.19994346201395</v>
      </c>
      <c r="R341" s="179">
        <f>VLOOKUP(B341,Tot_res!C:V,17,FALSE)</f>
        <v>231.32099408887984</v>
      </c>
      <c r="S341" s="179">
        <f>VLOOKUP(B341,Tot_res!C:V,18,FALSE)</f>
        <v>867.7062201079957</v>
      </c>
      <c r="T341" s="179">
        <f>VLOOKUP(B341,Tot_res!C:V,19,FALSE)</f>
        <v>187.04995046806684</v>
      </c>
      <c r="U341" s="179">
        <f>VLOOKUP(B341,Tot_res!C:V,20,FALSE)</f>
        <v>266.90412632451978</v>
      </c>
      <c r="V341" s="122">
        <f t="shared" si="52"/>
        <v>23054.552660000005</v>
      </c>
    </row>
    <row r="342" spans="1:22" ht="13.15">
      <c r="A342" s="355"/>
      <c r="B342" s="115" t="s">
        <v>337</v>
      </c>
      <c r="C342" s="334" t="str">
        <f>VLOOKUP(B342,Tot_res!C:D,2,FALSE)</f>
        <v>Protección civil</v>
      </c>
      <c r="D342" s="179">
        <f>VLOOKUP(B342,Tot_res!C:V,3,FALSE)</f>
        <v>5561.1392325986553</v>
      </c>
      <c r="E342" s="179">
        <f>VLOOKUP(B342,Tot_res!C:V,4,FALSE)</f>
        <v>572.6586492163741</v>
      </c>
      <c r="F342" s="179">
        <f>VLOOKUP(B342,Tot_res!C:V,5,FALSE)</f>
        <v>267.25057037100686</v>
      </c>
      <c r="G342" s="179">
        <f>VLOOKUP(B342,Tot_res!C:V,6,FALSE)</f>
        <v>277.94036231294172</v>
      </c>
      <c r="H342" s="179">
        <f>VLOOKUP(B342,Tot_res!C:V,7,FALSE)</f>
        <v>757.0783770656775</v>
      </c>
      <c r="I342" s="179">
        <f>VLOOKUP(B342,Tot_res!C:V,8,FALSE)</f>
        <v>148.49105608662006</v>
      </c>
      <c r="J342" s="179">
        <f>VLOOKUP(B342,Tot_res!C:V,9,FALSE)</f>
        <v>799.95943761785293</v>
      </c>
      <c r="K342" s="179">
        <f>VLOOKUP(B342,Tot_res!C:V,10,FALSE)</f>
        <v>1406.6687827981525</v>
      </c>
      <c r="L342" s="179">
        <f>VLOOKUP(B342,Tot_res!C:V,11,FALSE)</f>
        <v>2178.735610914217</v>
      </c>
      <c r="M342" s="179">
        <f>VLOOKUP(B342,Tot_res!C:V,12,FALSE)</f>
        <v>1567.9191483682971</v>
      </c>
      <c r="N342" s="179">
        <f>VLOOKUP(B342,Tot_res!C:V,13,FALSE)</f>
        <v>1047.7603361424692</v>
      </c>
      <c r="O342" s="179">
        <f>VLOOKUP(B342,Tot_res!C:V,14,FALSE)</f>
        <v>704.47119593241587</v>
      </c>
      <c r="P342" s="179">
        <f>VLOOKUP(B342,Tot_res!C:V,15,FALSE)</f>
        <v>2117.8034551857436</v>
      </c>
      <c r="Q342" s="179">
        <f>VLOOKUP(B342,Tot_res!C:V,16,FALSE)</f>
        <v>2405.2775084737177</v>
      </c>
      <c r="R342" s="179">
        <f>VLOOKUP(B342,Tot_res!C:V,17,FALSE)</f>
        <v>170.3543722112195</v>
      </c>
      <c r="S342" s="179">
        <f>VLOOKUP(B342,Tot_res!C:V,18,FALSE)</f>
        <v>680.36361573742749</v>
      </c>
      <c r="T342" s="179">
        <f>VLOOKUP(B342,Tot_res!C:V,19,FALSE)</f>
        <v>80.432732422637329</v>
      </c>
      <c r="U342" s="179">
        <f>VLOOKUP(B342,Tot_res!C:V,20,FALSE)</f>
        <v>42.326406544572357</v>
      </c>
      <c r="V342" s="122">
        <f t="shared" si="52"/>
        <v>20786.630850000001</v>
      </c>
    </row>
    <row r="343" spans="1:22" ht="26.3">
      <c r="A343" s="355"/>
      <c r="B343" s="115" t="s">
        <v>839</v>
      </c>
      <c r="C343" s="334" t="str">
        <f>VLOOKUP(B343,Tot_res!C:D,2,FALSE)</f>
        <v>Otras transferencias a Comunidades Autónomas: Transferencias a PV para prejubilaciones policía autónoma</v>
      </c>
      <c r="D343" s="179">
        <f>VLOOKUP(B343,Tot_res!C:V,3,FALSE)</f>
        <v>564.94389787679847</v>
      </c>
      <c r="E343" s="179">
        <f>VLOOKUP(B343,Tot_res!C:V,4,FALSE)</f>
        <v>108.27983385029287</v>
      </c>
      <c r="F343" s="179">
        <f>VLOOKUP(B343,Tot_res!C:V,5,FALSE)</f>
        <v>77.022101736295696</v>
      </c>
      <c r="G343" s="179">
        <f>VLOOKUP(B343,Tot_res!C:V,6,FALSE)</f>
        <v>87.597073692188872</v>
      </c>
      <c r="H343" s="179">
        <f>VLOOKUP(B343,Tot_res!C:V,7,FALSE)</f>
        <v>150.81050240690652</v>
      </c>
      <c r="I343" s="179">
        <f>VLOOKUP(B343,Tot_res!C:V,8,FALSE)</f>
        <v>43.167737439404547</v>
      </c>
      <c r="J343" s="179">
        <f>VLOOKUP(B343,Tot_res!C:V,9,FALSE)</f>
        <v>187.15409926846618</v>
      </c>
      <c r="K343" s="179">
        <f>VLOOKUP(B343,Tot_res!C:V,10,FALSE)</f>
        <v>144.46790613329492</v>
      </c>
      <c r="L343" s="179">
        <f>VLOOKUP(B343,Tot_res!C:V,11,FALSE)</f>
        <v>628.28681207302884</v>
      </c>
      <c r="M343" s="179">
        <f>VLOOKUP(B343,Tot_res!C:V,12,FALSE)</f>
        <v>361.4611076146885</v>
      </c>
      <c r="N343" s="179">
        <f>VLOOKUP(B343,Tot_res!C:V,13,FALSE)</f>
        <v>71.660191794824499</v>
      </c>
      <c r="O343" s="179">
        <f>VLOOKUP(B343,Tot_res!C:V,14,FALSE)</f>
        <v>199.86373399902783</v>
      </c>
      <c r="P343" s="179">
        <f>VLOOKUP(B343,Tot_res!C:V,15,FALSE)</f>
        <v>586.84141766776611</v>
      </c>
      <c r="Q343" s="179">
        <f>VLOOKUP(B343,Tot_res!C:V,16,FALSE)</f>
        <v>102.89555197645072</v>
      </c>
      <c r="R343" s="179">
        <f>VLOOKUP(B343,Tot_res!C:V,17,FALSE)</f>
        <v>55.126454275053007</v>
      </c>
      <c r="S343" s="179">
        <f>VLOOKUP(B343,Tot_res!C:V,18,FALSE)</f>
        <v>10992.995290464618</v>
      </c>
      <c r="T343" s="179">
        <f>VLOOKUP(B343,Tot_res!C:V,19,FALSE)</f>
        <v>25.523377148224725</v>
      </c>
      <c r="U343" s="179">
        <f>VLOOKUP(B343,Tot_res!C:V,20,FALSE)</f>
        <v>11.653830582670249</v>
      </c>
      <c r="V343" s="122">
        <f t="shared" si="52"/>
        <v>14399.750920000002</v>
      </c>
    </row>
    <row r="344" spans="1:22" ht="13.15">
      <c r="A344" s="355"/>
      <c r="B344" s="115" t="s">
        <v>339</v>
      </c>
      <c r="C344" s="334" t="str">
        <f>VLOOKUP(B344,Tot_res!C:D,2,FALSE)</f>
        <v>Administración de Justicia + AF13</v>
      </c>
      <c r="D344" s="179">
        <f>VLOOKUP(B344,Tot_res!C:V,3,FALSE)</f>
        <v>263142.67034628941</v>
      </c>
      <c r="E344" s="179">
        <f>VLOOKUP(B344,Tot_res!C:V,4,FALSE)</f>
        <v>46856.9295964556</v>
      </c>
      <c r="F344" s="179">
        <f>VLOOKUP(B344,Tot_res!C:V,5,FALSE)</f>
        <v>49203.334698617553</v>
      </c>
      <c r="G344" s="179">
        <f>VLOOKUP(B344,Tot_res!C:V,6,FALSE)</f>
        <v>7920.637399345881</v>
      </c>
      <c r="H344" s="179">
        <f>VLOOKUP(B344,Tot_res!C:V,7,FALSE)</f>
        <v>65045.273565524192</v>
      </c>
      <c r="I344" s="179">
        <f>VLOOKUP(B344,Tot_res!C:V,8,FALSE)</f>
        <v>23376.557448019077</v>
      </c>
      <c r="J344" s="179">
        <f>VLOOKUP(B344,Tot_res!C:V,9,FALSE)</f>
        <v>16922.708666224433</v>
      </c>
      <c r="K344" s="179">
        <f>VLOOKUP(B344,Tot_res!C:V,10,FALSE)</f>
        <v>13062.96948166891</v>
      </c>
      <c r="L344" s="179">
        <f>VLOOKUP(B344,Tot_res!C:V,11,FALSE)</f>
        <v>265454.91895123874</v>
      </c>
      <c r="M344" s="179">
        <f>VLOOKUP(B344,Tot_res!C:V,12,FALSE)</f>
        <v>133404.00167461688</v>
      </c>
      <c r="N344" s="179">
        <f>VLOOKUP(B344,Tot_res!C:V,13,FALSE)</f>
        <v>6479.6045261612289</v>
      </c>
      <c r="O344" s="179">
        <f>VLOOKUP(B344,Tot_res!C:V,14,FALSE)</f>
        <v>67364.774933273191</v>
      </c>
      <c r="P344" s="179">
        <f>VLOOKUP(B344,Tot_res!C:V,15,FALSE)</f>
        <v>224540.45761322687</v>
      </c>
      <c r="Q344" s="179">
        <f>VLOOKUP(B344,Tot_res!C:V,16,FALSE)</f>
        <v>9303.9450161870864</v>
      </c>
      <c r="R344" s="179">
        <f>VLOOKUP(B344,Tot_res!C:V,17,FALSE)</f>
        <v>21251.469611611985</v>
      </c>
      <c r="S344" s="179">
        <f>VLOOKUP(B344,Tot_res!C:V,18,FALSE)</f>
        <v>72800.715949971011</v>
      </c>
      <c r="T344" s="179">
        <f>VLOOKUP(B344,Tot_res!C:V,19,FALSE)</f>
        <v>14858.836554560163</v>
      </c>
      <c r="U344" s="179">
        <f>VLOOKUP(B344,Tot_res!C:V,20,FALSE)</f>
        <v>1053.7539950603373</v>
      </c>
      <c r="V344" s="122">
        <f t="shared" si="52"/>
        <v>1302043.5600280524</v>
      </c>
    </row>
    <row r="345" spans="1:22" ht="13.15">
      <c r="A345" s="355"/>
      <c r="B345" s="115" t="s">
        <v>341</v>
      </c>
      <c r="C345" s="334" t="str">
        <f>VLOOKUP(B345,Tot_res!C:D,2,FALSE)</f>
        <v>Instituciones Penitenciarias transferidas, Cataluña</v>
      </c>
      <c r="D345" s="179">
        <f>VLOOKUP(B345,Tot_res!C:V,3,FALSE)</f>
        <v>16297.099587414192</v>
      </c>
      <c r="E345" s="179">
        <f>VLOOKUP(B345,Tot_res!C:V,4,FALSE)</f>
        <v>3123.5796017956368</v>
      </c>
      <c r="F345" s="179">
        <f>VLOOKUP(B345,Tot_res!C:V,5,FALSE)</f>
        <v>2221.8787868067166</v>
      </c>
      <c r="G345" s="179">
        <f>VLOOKUP(B345,Tot_res!C:V,6,FALSE)</f>
        <v>2526.9380533055769</v>
      </c>
      <c r="H345" s="179">
        <f>VLOOKUP(B345,Tot_res!C:V,7,FALSE)</f>
        <v>4350.4740661687938</v>
      </c>
      <c r="I345" s="179">
        <f>VLOOKUP(B345,Tot_res!C:V,8,FALSE)</f>
        <v>1245.2721742057713</v>
      </c>
      <c r="J345" s="179">
        <f>VLOOKUP(B345,Tot_res!C:V,9,FALSE)</f>
        <v>5398.8882886140073</v>
      </c>
      <c r="K345" s="179">
        <f>VLOOKUP(B345,Tot_res!C:V,10,FALSE)</f>
        <v>4167.5073618601255</v>
      </c>
      <c r="L345" s="179">
        <f>VLOOKUP(B345,Tot_res!C:V,11,FALSE)</f>
        <v>329669.69734281173</v>
      </c>
      <c r="M345" s="179">
        <f>VLOOKUP(B345,Tot_res!C:V,12,FALSE)</f>
        <v>10427.172839484781</v>
      </c>
      <c r="N345" s="179">
        <f>VLOOKUP(B345,Tot_res!C:V,13,FALSE)</f>
        <v>2067.2022240129386</v>
      </c>
      <c r="O345" s="179">
        <f>VLOOKUP(B345,Tot_res!C:V,14,FALSE)</f>
        <v>5765.5267879447711</v>
      </c>
      <c r="P345" s="179">
        <f>VLOOKUP(B345,Tot_res!C:V,15,FALSE)</f>
        <v>16928.783657446569</v>
      </c>
      <c r="Q345" s="179">
        <f>VLOOKUP(B345,Tot_res!C:V,16,FALSE)</f>
        <v>2968.2576694152813</v>
      </c>
      <c r="R345" s="179">
        <f>VLOOKUP(B345,Tot_res!C:V,17,FALSE)</f>
        <v>1590.2487284100105</v>
      </c>
      <c r="S345" s="179">
        <f>VLOOKUP(B345,Tot_res!C:V,18,FALSE)</f>
        <v>5572.7797779741668</v>
      </c>
      <c r="T345" s="179">
        <f>VLOOKUP(B345,Tot_res!C:V,19,FALSE)</f>
        <v>736.28022314254781</v>
      </c>
      <c r="U345" s="179">
        <f>VLOOKUP(B345,Tot_res!C:V,20,FALSE)</f>
        <v>336.18141251620045</v>
      </c>
      <c r="V345" s="122">
        <f t="shared" si="52"/>
        <v>415393.76858332974</v>
      </c>
    </row>
    <row r="346" spans="1:22" ht="13.15">
      <c r="A346" s="355"/>
      <c r="B346" s="115" t="s">
        <v>342</v>
      </c>
      <c r="C346" s="334" t="str">
        <f>VLOOKUP(B346,Tot_res!C:D,2,FALSE)</f>
        <v>Policía áutonómica catalana y tráfico</v>
      </c>
      <c r="D346" s="179">
        <f>VLOOKUP(B346,Tot_res!C:V,3,FALSE)</f>
        <v>46109.196432798402</v>
      </c>
      <c r="E346" s="179">
        <f>VLOOKUP(B346,Tot_res!C:V,4,FALSE)</f>
        <v>8837.5078436597669</v>
      </c>
      <c r="F346" s="179">
        <f>VLOOKUP(B346,Tot_res!C:V,5,FALSE)</f>
        <v>6286.3360981028382</v>
      </c>
      <c r="G346" s="179">
        <f>VLOOKUP(B346,Tot_res!C:V,6,FALSE)</f>
        <v>7149.4367723789037</v>
      </c>
      <c r="H346" s="179">
        <f>VLOOKUP(B346,Tot_res!C:V,7,FALSE)</f>
        <v>12308.746241428607</v>
      </c>
      <c r="I346" s="179">
        <f>VLOOKUP(B346,Tot_res!C:V,8,FALSE)</f>
        <v>3523.234240839678</v>
      </c>
      <c r="J346" s="179">
        <f>VLOOKUP(B346,Tot_res!C:V,9,FALSE)</f>
        <v>15275.012543378361</v>
      </c>
      <c r="K346" s="179">
        <f>VLOOKUP(B346,Tot_res!C:V,10,FALSE)</f>
        <v>11791.080649193695</v>
      </c>
      <c r="L346" s="179">
        <f>VLOOKUP(B346,Tot_res!C:V,11,FALSE)</f>
        <v>932730.68322292599</v>
      </c>
      <c r="M346" s="179">
        <f>VLOOKUP(B346,Tot_res!C:V,12,FALSE)</f>
        <v>29501.480193803571</v>
      </c>
      <c r="N346" s="179">
        <f>VLOOKUP(B346,Tot_res!C:V,13,FALSE)</f>
        <v>5848.7114778964151</v>
      </c>
      <c r="O346" s="179">
        <f>VLOOKUP(B346,Tot_res!C:V,14,FALSE)</f>
        <v>16312.338632894571</v>
      </c>
      <c r="P346" s="179">
        <f>VLOOKUP(B346,Tot_res!C:V,15,FALSE)</f>
        <v>47896.412907261518</v>
      </c>
      <c r="Q346" s="179">
        <f>VLOOKUP(B346,Tot_res!C:V,16,FALSE)</f>
        <v>8398.0572867043138</v>
      </c>
      <c r="R346" s="179">
        <f>VLOOKUP(B346,Tot_res!C:V,17,FALSE)</f>
        <v>4499.2724381393637</v>
      </c>
      <c r="S346" s="179">
        <f>VLOOKUP(B346,Tot_res!C:V,18,FALSE)</f>
        <v>15767.001734331798</v>
      </c>
      <c r="T346" s="179">
        <f>VLOOKUP(B346,Tot_res!C:V,19,FALSE)</f>
        <v>2083.1491675170532</v>
      </c>
      <c r="U346" s="179">
        <f>VLOOKUP(B346,Tot_res!C:V,20,FALSE)</f>
        <v>951.15420407298529</v>
      </c>
      <c r="V346" s="122">
        <f t="shared" si="52"/>
        <v>1175268.8120873277</v>
      </c>
    </row>
    <row r="347" spans="1:22" ht="13.15">
      <c r="A347" s="355"/>
      <c r="B347" s="115" t="s">
        <v>232</v>
      </c>
      <c r="C347" s="334" t="str">
        <f>VLOOKUP(B347,Tot_res!C:D,2,FALSE)</f>
        <v>Ajuste forales, seguridad ciudadana y vial</v>
      </c>
      <c r="D347" s="179">
        <f>VLOOKUP(B347,Tot_res!C:V,3,FALSE)</f>
        <v>23949.34588543493</v>
      </c>
      <c r="E347" s="179">
        <f>VLOOKUP(B347,Tot_res!C:V,4,FALSE)</f>
        <v>4590.2455147212058</v>
      </c>
      <c r="F347" s="179">
        <f>VLOOKUP(B347,Tot_res!C:V,5,FALSE)</f>
        <v>3265.154225469616</v>
      </c>
      <c r="G347" s="179">
        <f>VLOOKUP(B347,Tot_res!C:V,6,FALSE)</f>
        <v>3713.4530070872047</v>
      </c>
      <c r="H347" s="179">
        <f>VLOOKUP(B347,Tot_res!C:V,7,FALSE)</f>
        <v>6393.2239977692007</v>
      </c>
      <c r="I347" s="179">
        <f>VLOOKUP(B347,Tot_res!C:V,8,FALSE)</f>
        <v>1829.9853824660581</v>
      </c>
      <c r="J347" s="179">
        <f>VLOOKUP(B347,Tot_res!C:V,9,FALSE)</f>
        <v>7933.9174634912015</v>
      </c>
      <c r="K347" s="179">
        <f>VLOOKUP(B347,Tot_res!C:V,10,FALSE)</f>
        <v>6124.3459152918495</v>
      </c>
      <c r="L347" s="179">
        <f>VLOOKUP(B347,Tot_res!C:V,11,FALSE)</f>
        <v>26634.606080612353</v>
      </c>
      <c r="M347" s="179">
        <f>VLOOKUP(B347,Tot_res!C:V,12,FALSE)</f>
        <v>15323.215496141947</v>
      </c>
      <c r="N347" s="179">
        <f>VLOOKUP(B347,Tot_res!C:V,13,FALSE)</f>
        <v>3037.849821833328</v>
      </c>
      <c r="O347" s="179">
        <f>VLOOKUP(B347,Tot_res!C:V,14,FALSE)</f>
        <v>8472.7097920458109</v>
      </c>
      <c r="P347" s="179">
        <f>VLOOKUP(B347,Tot_res!C:V,15,FALSE)</f>
        <v>24877.635008439858</v>
      </c>
      <c r="Q347" s="179">
        <f>VLOOKUP(B347,Tot_res!C:V,16,FALSE)</f>
        <v>4361.9927104587832</v>
      </c>
      <c r="R347" s="179">
        <f>VLOOKUP(B347,Tot_res!C:V,17,FALSE)</f>
        <v>57234.749664464282</v>
      </c>
      <c r="S347" s="179">
        <f>VLOOKUP(B347,Tot_res!C:V,18,FALSE)</f>
        <v>411122.00229547539</v>
      </c>
      <c r="T347" s="179">
        <f>VLOOKUP(B347,Tot_res!C:V,19,FALSE)</f>
        <v>1081.9980351757752</v>
      </c>
      <c r="U347" s="179">
        <f>VLOOKUP(B347,Tot_res!C:V,20,FALSE)</f>
        <v>494.03422280258928</v>
      </c>
      <c r="V347" s="122">
        <f t="shared" si="52"/>
        <v>610440.46451918129</v>
      </c>
    </row>
    <row r="348" spans="1:22" ht="13.15">
      <c r="A348" s="356"/>
      <c r="B348" s="115"/>
      <c r="C348" s="102"/>
    </row>
    <row r="349" spans="1:22" ht="13.15">
      <c r="A349" s="356"/>
      <c r="B349" s="115"/>
      <c r="C349" s="117" t="s">
        <v>6</v>
      </c>
      <c r="D349" s="114">
        <f t="shared" ref="D349:U349" si="53">SUM(D350:D352)</f>
        <v>138347.37636810378</v>
      </c>
      <c r="E349" s="114">
        <f t="shared" si="53"/>
        <v>48833.124376017586</v>
      </c>
      <c r="F349" s="114">
        <f t="shared" si="53"/>
        <v>22919.518912588017</v>
      </c>
      <c r="G349" s="114">
        <f t="shared" si="53"/>
        <v>14759.51552187884</v>
      </c>
      <c r="H349" s="114">
        <f t="shared" si="53"/>
        <v>33604.809866943222</v>
      </c>
      <c r="I349" s="114">
        <f t="shared" si="53"/>
        <v>10407.330917824793</v>
      </c>
      <c r="J349" s="114">
        <f t="shared" si="53"/>
        <v>43153.982642446113</v>
      </c>
      <c r="K349" s="114">
        <f t="shared" si="53"/>
        <v>44196.040334065219</v>
      </c>
      <c r="L349" s="114">
        <f t="shared" si="53"/>
        <v>109197.35722569819</v>
      </c>
      <c r="M349" s="114">
        <f t="shared" si="53"/>
        <v>86550.827896282732</v>
      </c>
      <c r="N349" s="114">
        <f t="shared" si="53"/>
        <v>19843.360167236337</v>
      </c>
      <c r="O349" s="114">
        <f t="shared" si="53"/>
        <v>26124.82717412529</v>
      </c>
      <c r="P349" s="114">
        <f t="shared" si="53"/>
        <v>121075.65533490304</v>
      </c>
      <c r="Q349" s="114">
        <f t="shared" si="53"/>
        <v>21748.109511021736</v>
      </c>
      <c r="R349" s="114">
        <f t="shared" si="53"/>
        <v>10803.09508166275</v>
      </c>
      <c r="S349" s="114">
        <f t="shared" si="53"/>
        <v>36934.939704646597</v>
      </c>
      <c r="T349" s="114">
        <f t="shared" si="53"/>
        <v>12992.527544435021</v>
      </c>
      <c r="U349" s="114">
        <f t="shared" si="53"/>
        <v>999.76355409227131</v>
      </c>
      <c r="V349" s="126">
        <f>SUM(V350:V352)</f>
        <v>802492.16213397146</v>
      </c>
    </row>
    <row r="350" spans="1:22" ht="13.15">
      <c r="A350" s="355"/>
      <c r="B350" s="119" t="s">
        <v>343</v>
      </c>
      <c r="C350" s="334" t="str">
        <f>VLOOKUP(B350,Tot_res!C:D,2,FALSE)</f>
        <v>Promoción, administración y ayudas para rehabilitación y acceso a vivienda+AF15</v>
      </c>
      <c r="D350" s="179">
        <f>VLOOKUP(B350,Tot_res!C:V,3,FALSE)</f>
        <v>135157.43964919762</v>
      </c>
      <c r="E350" s="179">
        <f>VLOOKUP(B350,Tot_res!C:V,4,FALSE)</f>
        <v>48614.990101856216</v>
      </c>
      <c r="F350" s="179">
        <f>VLOOKUP(B350,Tot_res!C:V,5,FALSE)</f>
        <v>22746.56852598711</v>
      </c>
      <c r="G350" s="179">
        <f>VLOOKUP(B350,Tot_res!C:V,6,FALSE)</f>
        <v>10927.652067516996</v>
      </c>
      <c r="H350" s="179">
        <f>VLOOKUP(B350,Tot_res!C:V,7,FALSE)</f>
        <v>31984.15950473366</v>
      </c>
      <c r="I350" s="179">
        <f>VLOOKUP(B350,Tot_res!C:V,8,FALSE)</f>
        <v>10282.075199801451</v>
      </c>
      <c r="J350" s="179">
        <f>VLOOKUP(B350,Tot_res!C:V,9,FALSE)</f>
        <v>37483.548352750084</v>
      </c>
      <c r="K350" s="179">
        <f>VLOOKUP(B350,Tot_res!C:V,10,FALSE)</f>
        <v>43760.255378855341</v>
      </c>
      <c r="L350" s="179">
        <f>VLOOKUP(B350,Tot_res!C:V,11,FALSE)</f>
        <v>106412.10663080135</v>
      </c>
      <c r="M350" s="179">
        <f>VLOOKUP(B350,Tot_res!C:V,12,FALSE)</f>
        <v>85665.816585755092</v>
      </c>
      <c r="N350" s="179">
        <f>VLOOKUP(B350,Tot_res!C:V,13,FALSE)</f>
        <v>18768.452005250165</v>
      </c>
      <c r="O350" s="179">
        <f>VLOOKUP(B350,Tot_res!C:V,14,FALSE)</f>
        <v>24356.429832376489</v>
      </c>
      <c r="P350" s="179">
        <f>VLOOKUP(B350,Tot_res!C:V,15,FALSE)</f>
        <v>118779.90304231246</v>
      </c>
      <c r="Q350" s="179">
        <f>VLOOKUP(B350,Tot_res!C:V,16,FALSE)</f>
        <v>20971.975688142767</v>
      </c>
      <c r="R350" s="179">
        <f>VLOOKUP(B350,Tot_res!C:V,17,FALSE)</f>
        <v>10627.079618645705</v>
      </c>
      <c r="S350" s="179">
        <f>VLOOKUP(B350,Tot_res!C:V,18,FALSE)</f>
        <v>36221.031888139827</v>
      </c>
      <c r="T350" s="179">
        <f>VLOOKUP(B350,Tot_res!C:V,19,FALSE)</f>
        <v>12677.540903590414</v>
      </c>
      <c r="U350" s="179">
        <f>VLOOKUP(B350,Tot_res!C:V,20,FALSE)</f>
        <v>973.41816825877277</v>
      </c>
      <c r="V350" s="122">
        <f>SUM(D350:U350)</f>
        <v>776410.4431439715</v>
      </c>
    </row>
    <row r="351" spans="1:22" ht="13.15">
      <c r="A351" s="355"/>
      <c r="B351" s="119" t="s">
        <v>844</v>
      </c>
      <c r="C351" s="334" t="str">
        <f>VLOOKUP(B351,Tot_res!C:D,2,FALSE)</f>
        <v>Ordenación y fomento de la edificación, neto de actuaciones relacionadas con el 1% cultural</v>
      </c>
      <c r="D351" s="179">
        <f>VLOOKUP(B351,Tot_res!C:V,3,FALSE)</f>
        <v>2932.9305665477245</v>
      </c>
      <c r="E351" s="179">
        <f>VLOOKUP(B351,Tot_res!C:V,4,FALSE)</f>
        <v>177.35329417678693</v>
      </c>
      <c r="F351" s="179">
        <f>VLOOKUP(B351,Tot_res!C:V,5,FALSE)</f>
        <v>140.44930965720422</v>
      </c>
      <c r="G351" s="179">
        <f>VLOOKUP(B351,Tot_res!C:V,6,FALSE)</f>
        <v>3798.0623624174823</v>
      </c>
      <c r="H351" s="179">
        <f>VLOOKUP(B351,Tot_res!C:V,7,FALSE)</f>
        <v>1556.2028529051049</v>
      </c>
      <c r="I351" s="179">
        <f>VLOOKUP(B351,Tot_res!C:V,8,FALSE)</f>
        <v>107.24145769188834</v>
      </c>
      <c r="J351" s="179">
        <f>VLOOKUP(B351,Tot_res!C:V,9,FALSE)</f>
        <v>5593.9140746214316</v>
      </c>
      <c r="K351" s="179">
        <f>VLOOKUP(B351,Tot_res!C:V,10,FALSE)</f>
        <v>372.0070997384305</v>
      </c>
      <c r="L351" s="179">
        <f>VLOOKUP(B351,Tot_res!C:V,11,FALSE)</f>
        <v>2555.2541749399215</v>
      </c>
      <c r="M351" s="179">
        <f>VLOOKUP(B351,Tot_res!C:V,12,FALSE)</f>
        <v>730.60778348316978</v>
      </c>
      <c r="N351" s="179">
        <f>VLOOKUP(B351,Tot_res!C:V,13,FALSE)</f>
        <v>1041.2822466625912</v>
      </c>
      <c r="O351" s="179">
        <f>VLOOKUP(B351,Tot_res!C:V,14,FALSE)</f>
        <v>1684.2479406905263</v>
      </c>
      <c r="P351" s="179">
        <f>VLOOKUP(B351,Tot_res!C:V,15,FALSE)</f>
        <v>2098.1446564804742</v>
      </c>
      <c r="Q351" s="179">
        <f>VLOOKUP(B351,Tot_res!C:V,16,FALSE)</f>
        <v>731.28880632938433</v>
      </c>
      <c r="R351" s="179">
        <f>VLOOKUP(B351,Tot_res!C:V,17,FALSE)</f>
        <v>156.40320431815354</v>
      </c>
      <c r="S351" s="179">
        <f>VLOOKUP(B351,Tot_res!C:V,18,FALSE)</f>
        <v>647.0619592041985</v>
      </c>
      <c r="T351" s="179">
        <f>VLOOKUP(B351,Tot_res!C:V,19,FALSE)</f>
        <v>305.20499502199283</v>
      </c>
      <c r="U351" s="179">
        <f>VLOOKUP(B351,Tot_res!C:V,20,FALSE)</f>
        <v>21.197955113534423</v>
      </c>
      <c r="V351" s="122">
        <f>SUM(D351:U351)</f>
        <v>24648.854740000002</v>
      </c>
    </row>
    <row r="352" spans="1:22" ht="13.15">
      <c r="A352" s="355"/>
      <c r="B352" s="119" t="s">
        <v>344</v>
      </c>
      <c r="C352" s="334" t="str">
        <f>VLOOKUP(B352,Tot_res!C:D,2,FALSE)</f>
        <v>Suelo y políticas urbanas</v>
      </c>
      <c r="D352" s="179">
        <f>VLOOKUP(B352,Tot_res!C:V,3,FALSE)</f>
        <v>257.00615235842378</v>
      </c>
      <c r="E352" s="179">
        <f>VLOOKUP(B352,Tot_res!C:V,4,FALSE)</f>
        <v>40.780979984581968</v>
      </c>
      <c r="F352" s="179">
        <f>VLOOKUP(B352,Tot_res!C:V,5,FALSE)</f>
        <v>32.501076943703566</v>
      </c>
      <c r="G352" s="179">
        <f>VLOOKUP(B352,Tot_res!C:V,6,FALSE)</f>
        <v>33.801091944362661</v>
      </c>
      <c r="H352" s="179">
        <f>VLOOKUP(B352,Tot_res!C:V,7,FALSE)</f>
        <v>64.447509304462628</v>
      </c>
      <c r="I352" s="179">
        <f>VLOOKUP(B352,Tot_res!C:V,8,FALSE)</f>
        <v>18.014260331452473</v>
      </c>
      <c r="J352" s="179">
        <f>VLOOKUP(B352,Tot_res!C:V,9,FALSE)</f>
        <v>76.52021507459537</v>
      </c>
      <c r="K352" s="179">
        <f>VLOOKUP(B352,Tot_res!C:V,10,FALSE)</f>
        <v>63.77785547144515</v>
      </c>
      <c r="L352" s="179">
        <f>VLOOKUP(B352,Tot_res!C:V,11,FALSE)</f>
        <v>229.99641995691391</v>
      </c>
      <c r="M352" s="179">
        <f>VLOOKUP(B352,Tot_res!C:V,12,FALSE)</f>
        <v>154.40352704447659</v>
      </c>
      <c r="N352" s="179">
        <f>VLOOKUP(B352,Tot_res!C:V,13,FALSE)</f>
        <v>33.625915323580145</v>
      </c>
      <c r="O352" s="179">
        <f>VLOOKUP(B352,Tot_res!C:V,14,FALSE)</f>
        <v>84.149401058274321</v>
      </c>
      <c r="P352" s="179">
        <f>VLOOKUP(B352,Tot_res!C:V,15,FALSE)</f>
        <v>197.60763611010395</v>
      </c>
      <c r="Q352" s="179">
        <f>VLOOKUP(B352,Tot_res!C:V,16,FALSE)</f>
        <v>44.845016549586234</v>
      </c>
      <c r="R352" s="179">
        <f>VLOOKUP(B352,Tot_res!C:V,17,FALSE)</f>
        <v>19.612258698892145</v>
      </c>
      <c r="S352" s="179">
        <f>VLOOKUP(B352,Tot_res!C:V,18,FALSE)</f>
        <v>66.845857302568064</v>
      </c>
      <c r="T352" s="179">
        <f>VLOOKUP(B352,Tot_res!C:V,19,FALSE)</f>
        <v>9.7816458226128358</v>
      </c>
      <c r="U352" s="179">
        <f>VLOOKUP(B352,Tot_res!C:V,20,FALSE)</f>
        <v>5.1474307199640119</v>
      </c>
      <c r="V352" s="122">
        <f>SUM(D352:U352)</f>
        <v>1432.8642499999996</v>
      </c>
    </row>
    <row r="353" spans="1:22" ht="13.15">
      <c r="A353" s="356"/>
      <c r="B353" s="115"/>
      <c r="C353" s="102"/>
      <c r="D353" s="105"/>
      <c r="E353" s="105"/>
      <c r="F353" s="105"/>
      <c r="G353" s="105"/>
      <c r="H353" s="105"/>
      <c r="I353" s="105"/>
      <c r="J353" s="105"/>
      <c r="K353" s="105"/>
      <c r="L353" s="105"/>
      <c r="M353" s="105"/>
      <c r="N353" s="105"/>
      <c r="O353" s="105"/>
      <c r="P353" s="105"/>
      <c r="Q353" s="105"/>
      <c r="R353" s="105"/>
      <c r="S353" s="105"/>
      <c r="T353" s="105"/>
      <c r="U353" s="105"/>
      <c r="V353" s="122"/>
    </row>
    <row r="354" spans="1:22" ht="13.15">
      <c r="A354" s="356"/>
      <c r="B354" s="115"/>
      <c r="C354" s="117" t="s">
        <v>45</v>
      </c>
      <c r="D354" s="114">
        <f>SUM(D355:D373)</f>
        <v>171670.51384232569</v>
      </c>
      <c r="E354" s="114">
        <f t="shared" ref="E354:I354" si="54">SUM(E355:E373)</f>
        <v>30787.083043302027</v>
      </c>
      <c r="F354" s="114">
        <f t="shared" si="54"/>
        <v>22537.636167692261</v>
      </c>
      <c r="G354" s="114">
        <f t="shared" si="54"/>
        <v>49141.141927751589</v>
      </c>
      <c r="H354" s="114">
        <f t="shared" si="54"/>
        <v>44733.330099923514</v>
      </c>
      <c r="I354" s="114">
        <f t="shared" si="54"/>
        <v>18138.799796334075</v>
      </c>
      <c r="J354" s="114">
        <f t="shared" ref="J354" si="55">SUM(J355:J373)</f>
        <v>74475.446649390651</v>
      </c>
      <c r="K354" s="114">
        <f t="shared" ref="K354" si="56">SUM(K355:K373)</f>
        <v>52173.244997846778</v>
      </c>
      <c r="L354" s="114">
        <f t="shared" ref="L354" si="57">SUM(L355:L373)</f>
        <v>235294.49191536239</v>
      </c>
      <c r="M354" s="114">
        <f t="shared" ref="M354:N354" si="58">SUM(M355:M373)</f>
        <v>145293.71191912793</v>
      </c>
      <c r="N354" s="114">
        <f t="shared" si="58"/>
        <v>27640.832709756225</v>
      </c>
      <c r="O354" s="114">
        <f t="shared" ref="O354" si="59">SUM(O355:O373)</f>
        <v>94377.607157403952</v>
      </c>
      <c r="P354" s="114">
        <f t="shared" ref="P354" si="60">SUM(P355:P373)</f>
        <v>367213.19383641897</v>
      </c>
      <c r="Q354" s="114">
        <f t="shared" ref="Q354" si="61">SUM(Q355:Q373)</f>
        <v>34098.08720294763</v>
      </c>
      <c r="R354" s="114">
        <f t="shared" ref="R354:S354" si="62">SUM(R355:R373)</f>
        <v>20642.03858994678</v>
      </c>
      <c r="S354" s="114">
        <f t="shared" si="62"/>
        <v>70158.863034481779</v>
      </c>
      <c r="T354" s="114">
        <f t="shared" ref="T354" si="63">SUM(T355:T373)</f>
        <v>8663.0974954027806</v>
      </c>
      <c r="U354" s="114">
        <f t="shared" ref="U354" si="64">SUM(U355:U373)</f>
        <v>4795.967495376728</v>
      </c>
      <c r="V354" s="126">
        <f>SUM(V355:V373)</f>
        <v>1471835.0878807919</v>
      </c>
    </row>
    <row r="355" spans="1:22" ht="13.15">
      <c r="A355" s="355"/>
      <c r="B355" s="102" t="s">
        <v>660</v>
      </c>
      <c r="C355" s="334" t="str">
        <f>VLOOKUP(B355,Tot_res!C:D,2,FALSE)</f>
        <v>Dirección y servicios generales de Cultura</v>
      </c>
      <c r="D355" s="179">
        <f>VLOOKUP(B355,Tot_res!C:V,3,FALSE)</f>
        <v>3152.3090832801231</v>
      </c>
      <c r="E355" s="179">
        <f>VLOOKUP(B355,Tot_res!C:V,4,FALSE)</f>
        <v>553.43806410082016</v>
      </c>
      <c r="F355" s="179">
        <f>VLOOKUP(B355,Tot_res!C:V,5,FALSE)</f>
        <v>407.09126876251469</v>
      </c>
      <c r="G355" s="179">
        <f>VLOOKUP(B355,Tot_res!C:V,6,FALSE)</f>
        <v>528.36974031554769</v>
      </c>
      <c r="H355" s="179">
        <f>VLOOKUP(B355,Tot_res!C:V,7,FALSE)</f>
        <v>821.6584331688905</v>
      </c>
      <c r="I355" s="179">
        <f>VLOOKUP(B355,Tot_res!C:V,8,FALSE)</f>
        <v>330.28523933145453</v>
      </c>
      <c r="J355" s="179">
        <f>VLOOKUP(B355,Tot_res!C:V,9,FALSE)</f>
        <v>1299.9972133849628</v>
      </c>
      <c r="K355" s="179">
        <f>VLOOKUP(B355,Tot_res!C:V,10,FALSE)</f>
        <v>923.86956796283994</v>
      </c>
      <c r="L355" s="179">
        <f>VLOOKUP(B355,Tot_res!C:V,11,FALSE)</f>
        <v>3297.3295420783329</v>
      </c>
      <c r="M355" s="179">
        <f>VLOOKUP(B355,Tot_res!C:V,12,FALSE)</f>
        <v>1952.6010574940733</v>
      </c>
      <c r="N355" s="179">
        <f>VLOOKUP(B355,Tot_res!C:V,13,FALSE)</f>
        <v>489.91279290121577</v>
      </c>
      <c r="O355" s="179">
        <f>VLOOKUP(B355,Tot_res!C:V,14,FALSE)</f>
        <v>1095.4286059290671</v>
      </c>
      <c r="P355" s="179">
        <f>VLOOKUP(B355,Tot_res!C:V,15,FALSE)</f>
        <v>6858.085385052299</v>
      </c>
      <c r="Q355" s="179">
        <f>VLOOKUP(B355,Tot_res!C:V,16,FALSE)</f>
        <v>600.51015351898957</v>
      </c>
      <c r="R355" s="179">
        <f>VLOOKUP(B355,Tot_res!C:V,17,FALSE)</f>
        <v>260.98476255865478</v>
      </c>
      <c r="S355" s="179">
        <f>VLOOKUP(B355,Tot_res!C:V,18,FALSE)</f>
        <v>927.27249870079902</v>
      </c>
      <c r="T355" s="179">
        <f>VLOOKUP(B355,Tot_res!C:V,19,FALSE)</f>
        <v>156.59343784206621</v>
      </c>
      <c r="U355" s="179">
        <f>VLOOKUP(B355,Tot_res!C:V,20,FALSE)</f>
        <v>76.850834164855314</v>
      </c>
      <c r="V355" s="122">
        <f t="shared" ref="V355:V373" si="65">SUM(D355:U355)</f>
        <v>23732.587680547509</v>
      </c>
    </row>
    <row r="356" spans="1:22" ht="13.15">
      <c r="A356" s="355"/>
      <c r="B356" s="115" t="s">
        <v>345</v>
      </c>
      <c r="C356" s="334" t="str">
        <f>VLOOKUP(B356,Tot_res!C:D,2,FALSE)</f>
        <v>Archivos</v>
      </c>
      <c r="D356" s="179">
        <f>VLOOKUP(B356,Tot_res!C:V,3,FALSE)</f>
        <v>3945.9423821523478</v>
      </c>
      <c r="E356" s="179">
        <f>VLOOKUP(B356,Tot_res!C:V,4,FALSE)</f>
        <v>472.43377406971297</v>
      </c>
      <c r="F356" s="179">
        <f>VLOOKUP(B356,Tot_res!C:V,5,FALSE)</f>
        <v>329.75082912749741</v>
      </c>
      <c r="G356" s="179">
        <f>VLOOKUP(B356,Tot_res!C:V,6,FALSE)</f>
        <v>2251.312639948394</v>
      </c>
      <c r="H356" s="179">
        <f>VLOOKUP(B356,Tot_res!C:V,7,FALSE)</f>
        <v>676.75429115877455</v>
      </c>
      <c r="I356" s="179">
        <f>VLOOKUP(B356,Tot_res!C:V,8,FALSE)</f>
        <v>198.81122606755531</v>
      </c>
      <c r="J356" s="179">
        <f>VLOOKUP(B356,Tot_res!C:V,9,FALSE)</f>
        <v>6426.7816489839724</v>
      </c>
      <c r="K356" s="179">
        <f>VLOOKUP(B356,Tot_res!C:V,10,FALSE)</f>
        <v>1004.3644064335241</v>
      </c>
      <c r="L356" s="179">
        <f>VLOOKUP(B356,Tot_res!C:V,11,FALSE)</f>
        <v>3694.210920516136</v>
      </c>
      <c r="M356" s="179">
        <f>VLOOKUP(B356,Tot_res!C:V,12,FALSE)</f>
        <v>1543.3442290868552</v>
      </c>
      <c r="N356" s="179">
        <f>VLOOKUP(B356,Tot_res!C:V,13,FALSE)</f>
        <v>344.49024087401074</v>
      </c>
      <c r="O356" s="179">
        <f>VLOOKUP(B356,Tot_res!C:V,14,FALSE)</f>
        <v>925.45959360776999</v>
      </c>
      <c r="P356" s="179">
        <f>VLOOKUP(B356,Tot_res!C:V,15,FALSE)</f>
        <v>7080.5041636580909</v>
      </c>
      <c r="Q356" s="179">
        <f>VLOOKUP(B356,Tot_res!C:V,16,FALSE)</f>
        <v>438.29381803358353</v>
      </c>
      <c r="R356" s="179">
        <f>VLOOKUP(B356,Tot_res!C:V,17,FALSE)</f>
        <v>238.78240365239523</v>
      </c>
      <c r="S356" s="179">
        <f>VLOOKUP(B356,Tot_res!C:V,18,FALSE)</f>
        <v>834.12943527651532</v>
      </c>
      <c r="T356" s="179">
        <f>VLOOKUP(B356,Tot_res!C:V,19,FALSE)</f>
        <v>108.67854623766425</v>
      </c>
      <c r="U356" s="179">
        <f>VLOOKUP(B356,Tot_res!C:V,20,FALSE)</f>
        <v>59.125871115201548</v>
      </c>
      <c r="V356" s="122">
        <f t="shared" si="65"/>
        <v>30573.170419999999</v>
      </c>
    </row>
    <row r="357" spans="1:22" ht="13.15">
      <c r="A357" s="355"/>
      <c r="B357" s="115" t="s">
        <v>347</v>
      </c>
      <c r="C357" s="334" t="str">
        <f>VLOOKUP(B357,Tot_res!C:D,2,FALSE)</f>
        <v>Bibliotecas</v>
      </c>
      <c r="D357" s="179">
        <f>VLOOKUP(B357,Tot_res!C:V,3,FALSE)</f>
        <v>1461.7666050558109</v>
      </c>
      <c r="E357" s="179">
        <f>VLOOKUP(B357,Tot_res!C:V,4,FALSE)</f>
        <v>258.44955854564006</v>
      </c>
      <c r="F357" s="179">
        <f>VLOOKUP(B357,Tot_res!C:V,5,FALSE)</f>
        <v>266.63812496465243</v>
      </c>
      <c r="G357" s="179">
        <f>VLOOKUP(B357,Tot_res!C:V,6,FALSE)</f>
        <v>193.66386909064749</v>
      </c>
      <c r="H357" s="179">
        <f>VLOOKUP(B357,Tot_res!C:V,7,FALSE)</f>
        <v>663.01691724512125</v>
      </c>
      <c r="I357" s="179">
        <f>VLOOKUP(B357,Tot_res!C:V,8,FALSE)</f>
        <v>123.11882451679173</v>
      </c>
      <c r="J357" s="179">
        <f>VLOOKUP(B357,Tot_res!C:V,9,FALSE)</f>
        <v>6305.8016985615996</v>
      </c>
      <c r="K357" s="179">
        <f>VLOOKUP(B357,Tot_res!C:V,10,FALSE)</f>
        <v>737.07249689560501</v>
      </c>
      <c r="L357" s="179">
        <f>VLOOKUP(B357,Tot_res!C:V,11,FALSE)</f>
        <v>6032.94654988812</v>
      </c>
      <c r="M357" s="179">
        <f>VLOOKUP(B357,Tot_res!C:V,12,FALSE)</f>
        <v>874.47426990410986</v>
      </c>
      <c r="N357" s="179">
        <f>VLOOKUP(B357,Tot_res!C:V,13,FALSE)</f>
        <v>262.15770954214406</v>
      </c>
      <c r="O357" s="179">
        <f>VLOOKUP(B357,Tot_res!C:V,14,FALSE)</f>
        <v>643.69452388070158</v>
      </c>
      <c r="P357" s="179">
        <f>VLOOKUP(B357,Tot_res!C:V,15,FALSE)</f>
        <v>23971.049645756219</v>
      </c>
      <c r="Q357" s="179">
        <f>VLOOKUP(B357,Tot_res!C:V,16,FALSE)</f>
        <v>291.41464596435389</v>
      </c>
      <c r="R357" s="179">
        <f>VLOOKUP(B357,Tot_res!C:V,17,FALSE)</f>
        <v>120.5741090892225</v>
      </c>
      <c r="S357" s="179">
        <f>VLOOKUP(B357,Tot_res!C:V,18,FALSE)</f>
        <v>519.3831539310587</v>
      </c>
      <c r="T357" s="179">
        <f>VLOOKUP(B357,Tot_res!C:V,19,FALSE)</f>
        <v>125.04177852430259</v>
      </c>
      <c r="U357" s="179">
        <f>VLOOKUP(B357,Tot_res!C:V,20,FALSE)</f>
        <v>815.72353864389856</v>
      </c>
      <c r="V357" s="122">
        <f t="shared" si="65"/>
        <v>43665.988020000004</v>
      </c>
    </row>
    <row r="358" spans="1:22" ht="13.15">
      <c r="A358" s="355"/>
      <c r="B358" s="115" t="s">
        <v>348</v>
      </c>
      <c r="C358" s="334" t="str">
        <f>VLOOKUP(B358,Tot_res!C:D,2,FALSE)</f>
        <v>Museos</v>
      </c>
      <c r="D358" s="179">
        <f>VLOOKUP(B358,Tot_res!C:V,3,FALSE)</f>
        <v>6566.9939454722517</v>
      </c>
      <c r="E358" s="179">
        <f>VLOOKUP(B358,Tot_res!C:V,4,FALSE)</f>
        <v>1043.7426362447677</v>
      </c>
      <c r="F358" s="179">
        <f>VLOOKUP(B358,Tot_res!C:V,5,FALSE)</f>
        <v>700.70891728672905</v>
      </c>
      <c r="G358" s="179">
        <f>VLOOKUP(B358,Tot_res!C:V,6,FALSE)</f>
        <v>2032.0265296604503</v>
      </c>
      <c r="H358" s="179">
        <f>VLOOKUP(B358,Tot_res!C:V,7,FALSE)</f>
        <v>1388.0488570708021</v>
      </c>
      <c r="I358" s="179">
        <f>VLOOKUP(B358,Tot_res!C:V,8,FALSE)</f>
        <v>5261.4471155578585</v>
      </c>
      <c r="J358" s="179">
        <f>VLOOKUP(B358,Tot_res!C:V,9,FALSE)</f>
        <v>5671.3976526028755</v>
      </c>
      <c r="K358" s="179">
        <f>VLOOKUP(B358,Tot_res!C:V,10,FALSE)</f>
        <v>6308.2384317992964</v>
      </c>
      <c r="L358" s="179">
        <f>VLOOKUP(B358,Tot_res!C:V,11,FALSE)</f>
        <v>9082.4624643873613</v>
      </c>
      <c r="M358" s="179">
        <f>VLOOKUP(B358,Tot_res!C:V,12,FALSE)</f>
        <v>5872.702156834891</v>
      </c>
      <c r="N358" s="179">
        <f>VLOOKUP(B358,Tot_res!C:V,13,FALSE)</f>
        <v>4118.1509452459586</v>
      </c>
      <c r="O358" s="179">
        <f>VLOOKUP(B358,Tot_res!C:V,14,FALSE)</f>
        <v>1888.8771133453406</v>
      </c>
      <c r="P358" s="179">
        <f>VLOOKUP(B358,Tot_res!C:V,15,FALSE)</f>
        <v>72599.63522191532</v>
      </c>
      <c r="Q358" s="179">
        <f>VLOOKUP(B358,Tot_res!C:V,16,FALSE)</f>
        <v>4091.6188495226206</v>
      </c>
      <c r="R358" s="179">
        <f>VLOOKUP(B358,Tot_res!C:V,17,FALSE)</f>
        <v>501.51316593748572</v>
      </c>
      <c r="S358" s="179">
        <f>VLOOKUP(B358,Tot_res!C:V,18,FALSE)</f>
        <v>2184.6976955193759</v>
      </c>
      <c r="T358" s="179">
        <f>VLOOKUP(B358,Tot_res!C:V,19,FALSE)</f>
        <v>1583.5163454071583</v>
      </c>
      <c r="U358" s="179">
        <f>VLOOKUP(B358,Tot_res!C:V,20,FALSE)</f>
        <v>106.02077618946282</v>
      </c>
      <c r="V358" s="122">
        <f t="shared" si="65"/>
        <v>131001.79882000001</v>
      </c>
    </row>
    <row r="359" spans="1:22" ht="13.15">
      <c r="A359" s="355"/>
      <c r="B359" s="119" t="s">
        <v>350</v>
      </c>
      <c r="C359" s="334" t="str">
        <f>VLOOKUP(B359,Tot_res!C:D,2,FALSE)</f>
        <v>Exposiciones</v>
      </c>
      <c r="D359" s="179">
        <f>VLOOKUP(B359,Tot_res!C:V,3,FALSE)</f>
        <v>183.64957584733702</v>
      </c>
      <c r="E359" s="179">
        <f>VLOOKUP(B359,Tot_res!C:V,4,FALSE)</f>
        <v>12.35456495769033</v>
      </c>
      <c r="F359" s="179">
        <f>VLOOKUP(B359,Tot_res!C:V,5,FALSE)</f>
        <v>2.8833674744329256</v>
      </c>
      <c r="G359" s="179">
        <f>VLOOKUP(B359,Tot_res!C:V,6,FALSE)</f>
        <v>2.9986996825215408</v>
      </c>
      <c r="H359" s="179">
        <f>VLOOKUP(B359,Tot_res!C:V,7,FALSE)</f>
        <v>5.7175290670699113</v>
      </c>
      <c r="I359" s="179">
        <f>VLOOKUP(B359,Tot_res!C:V,8,FALSE)</f>
        <v>1.5981541905718302</v>
      </c>
      <c r="J359" s="179">
        <f>VLOOKUP(B359,Tot_res!C:V,9,FALSE)</f>
        <v>442.67337612768176</v>
      </c>
      <c r="K359" s="179">
        <f>VLOOKUP(B359,Tot_res!C:V,10,FALSE)</f>
        <v>5.6581200178068221</v>
      </c>
      <c r="L359" s="179">
        <f>VLOOKUP(B359,Tot_res!C:V,11,FALSE)</f>
        <v>409.37256528515326</v>
      </c>
      <c r="M359" s="179">
        <f>VLOOKUP(B359,Tot_res!C:V,12,FALSE)</f>
        <v>538.85837773286698</v>
      </c>
      <c r="N359" s="179">
        <f>VLOOKUP(B359,Tot_res!C:V,13,FALSE)</f>
        <v>55.4029813799105</v>
      </c>
      <c r="O359" s="179">
        <f>VLOOKUP(B359,Tot_res!C:V,14,FALSE)</f>
        <v>33.675314605689536</v>
      </c>
      <c r="P359" s="179">
        <f>VLOOKUP(B359,Tot_res!C:V,15,FALSE)</f>
        <v>390.74131559844182</v>
      </c>
      <c r="Q359" s="179">
        <f>VLOOKUP(B359,Tot_res!C:V,16,FALSE)</f>
        <v>3.9784731543959917</v>
      </c>
      <c r="R359" s="179">
        <f>VLOOKUP(B359,Tot_res!C:V,17,FALSE)</f>
        <v>1.7399223087438371</v>
      </c>
      <c r="S359" s="179">
        <f>VLOOKUP(B359,Tot_res!C:V,18,FALSE)</f>
        <v>58.350123727552599</v>
      </c>
      <c r="T359" s="179">
        <f>VLOOKUP(B359,Tot_res!C:V,19,FALSE)</f>
        <v>0.86778907234975544</v>
      </c>
      <c r="U359" s="179">
        <f>VLOOKUP(B359,Tot_res!C:V,20,FALSE)</f>
        <v>0.45665976978391831</v>
      </c>
      <c r="V359" s="122">
        <f t="shared" si="65"/>
        <v>2150.9769099999999</v>
      </c>
    </row>
    <row r="360" spans="1:22" ht="13.15">
      <c r="A360" s="355"/>
      <c r="B360" s="115" t="s">
        <v>351</v>
      </c>
      <c r="C360" s="334" t="str">
        <f>VLOOKUP(B360,Tot_res!C:D,2,FALSE)</f>
        <v>Promoción y cooperación cultural</v>
      </c>
      <c r="D360" s="179">
        <f>VLOOKUP(B360,Tot_res!C:V,3,FALSE)</f>
        <v>1314.574600296125</v>
      </c>
      <c r="E360" s="179">
        <f>VLOOKUP(B360,Tot_res!C:V,4,FALSE)</f>
        <v>318.67228760195019</v>
      </c>
      <c r="F360" s="179">
        <f>VLOOKUP(B360,Tot_res!C:V,5,FALSE)</f>
        <v>346.51506329708394</v>
      </c>
      <c r="G360" s="179">
        <f>VLOOKUP(B360,Tot_res!C:V,6,FALSE)</f>
        <v>104.45711850622703</v>
      </c>
      <c r="H360" s="179">
        <f>VLOOKUP(B360,Tot_res!C:V,7,FALSE)</f>
        <v>443.55055631439836</v>
      </c>
      <c r="I360" s="179">
        <f>VLOOKUP(B360,Tot_res!C:V,8,FALSE)</f>
        <v>126.51332419113544</v>
      </c>
      <c r="J360" s="179">
        <f>VLOOKUP(B360,Tot_res!C:V,9,FALSE)</f>
        <v>622.97581373433877</v>
      </c>
      <c r="K360" s="179">
        <f>VLOOKUP(B360,Tot_res!C:V,10,FALSE)</f>
        <v>289.45095214884157</v>
      </c>
      <c r="L360" s="179">
        <f>VLOOKUP(B360,Tot_res!C:V,11,FALSE)</f>
        <v>1155.9470203503738</v>
      </c>
      <c r="M360" s="179">
        <f>VLOOKUP(B360,Tot_res!C:V,12,FALSE)</f>
        <v>634.24770162917798</v>
      </c>
      <c r="N360" s="179">
        <f>VLOOKUP(B360,Tot_res!C:V,13,FALSE)</f>
        <v>130.88678427194603</v>
      </c>
      <c r="O360" s="179">
        <f>VLOOKUP(B360,Tot_res!C:V,14,FALSE)</f>
        <v>481.06277538092331</v>
      </c>
      <c r="P360" s="179">
        <f>VLOOKUP(B360,Tot_res!C:V,15,FALSE)</f>
        <v>2936.5351798817546</v>
      </c>
      <c r="Q360" s="179">
        <f>VLOOKUP(B360,Tot_res!C:V,16,FALSE)</f>
        <v>136.23127675144593</v>
      </c>
      <c r="R360" s="179">
        <f>VLOOKUP(B360,Tot_res!C:V,17,FALSE)</f>
        <v>68.354442766465084</v>
      </c>
      <c r="S360" s="179">
        <f>VLOOKUP(B360,Tot_res!C:V,18,FALSE)</f>
        <v>344.44266827641815</v>
      </c>
      <c r="T360" s="179">
        <f>VLOOKUP(B360,Tot_res!C:V,19,FALSE)</f>
        <v>76.286393934525904</v>
      </c>
      <c r="U360" s="179">
        <f>VLOOKUP(B360,Tot_res!C:V,20,FALSE)</f>
        <v>18.162790666869611</v>
      </c>
      <c r="V360" s="122">
        <f t="shared" si="65"/>
        <v>9548.8667500000029</v>
      </c>
    </row>
    <row r="361" spans="1:22" ht="13.15">
      <c r="A361" s="355"/>
      <c r="B361" s="115" t="s">
        <v>353</v>
      </c>
      <c r="C361" s="334" t="str">
        <f>VLOOKUP(B361,Tot_res!C:D,2,FALSE)</f>
        <v>Promoción del libro y publicaciones culturales</v>
      </c>
      <c r="D361" s="179">
        <f>VLOOKUP(B361,Tot_res!C:V,3,FALSE)</f>
        <v>1261.2797623682516</v>
      </c>
      <c r="E361" s="179">
        <f>VLOOKUP(B361,Tot_res!C:V,4,FALSE)</f>
        <v>200.13616122451575</v>
      </c>
      <c r="F361" s="179">
        <f>VLOOKUP(B361,Tot_res!C:V,5,FALSE)</f>
        <v>159.50182603837999</v>
      </c>
      <c r="G361" s="179">
        <f>VLOOKUP(B361,Tot_res!C:V,6,FALSE)</f>
        <v>165.88176128918965</v>
      </c>
      <c r="H361" s="179">
        <f>VLOOKUP(B361,Tot_res!C:V,7,FALSE)</f>
        <v>316.28168615744039</v>
      </c>
      <c r="I361" s="179">
        <f>VLOOKUP(B361,Tot_res!C:V,8,FALSE)</f>
        <v>88.406529499757625</v>
      </c>
      <c r="J361" s="179">
        <f>VLOOKUP(B361,Tot_res!C:V,9,FALSE)</f>
        <v>375.52952643349346</v>
      </c>
      <c r="K361" s="179">
        <f>VLOOKUP(B361,Tot_res!C:V,10,FALSE)</f>
        <v>312.99530246729682</v>
      </c>
      <c r="L361" s="179">
        <f>VLOOKUP(B361,Tot_res!C:V,11,FALSE)</f>
        <v>1128.7271812242154</v>
      </c>
      <c r="M361" s="179">
        <f>VLOOKUP(B361,Tot_res!C:V,12,FALSE)</f>
        <v>757.74856793265485</v>
      </c>
      <c r="N361" s="179">
        <f>VLOOKUP(B361,Tot_res!C:V,13,FALSE)</f>
        <v>165.02206697990746</v>
      </c>
      <c r="O361" s="179">
        <f>VLOOKUP(B361,Tot_res!C:V,14,FALSE)</f>
        <v>412.97041178295416</v>
      </c>
      <c r="P361" s="179">
        <f>VLOOKUP(B361,Tot_res!C:V,15,FALSE)</f>
        <v>969.77644320168986</v>
      </c>
      <c r="Q361" s="179">
        <f>VLOOKUP(B361,Tot_res!C:V,16,FALSE)</f>
        <v>220.08076965480674</v>
      </c>
      <c r="R361" s="179">
        <f>VLOOKUP(B361,Tot_res!C:V,17,FALSE)</f>
        <v>96.248843711513487</v>
      </c>
      <c r="S361" s="179">
        <f>VLOOKUP(B361,Tot_res!C:V,18,FALSE)</f>
        <v>328.05178490942711</v>
      </c>
      <c r="T361" s="179">
        <f>VLOOKUP(B361,Tot_res!C:V,19,FALSE)</f>
        <v>48.004266845369706</v>
      </c>
      <c r="U361" s="179">
        <f>VLOOKUP(B361,Tot_res!C:V,20,FALSE)</f>
        <v>25.261458279134651</v>
      </c>
      <c r="V361" s="122">
        <f t="shared" si="65"/>
        <v>7031.904349999998</v>
      </c>
    </row>
    <row r="362" spans="1:22" ht="13.15">
      <c r="A362" s="355"/>
      <c r="B362" s="119" t="s">
        <v>355</v>
      </c>
      <c r="C362" s="334" t="str">
        <f>VLOOKUP(B362,Tot_res!C:D,2,FALSE)</f>
        <v>Fomento de las industrias culturales</v>
      </c>
      <c r="D362" s="179">
        <f>VLOOKUP(B362,Tot_res!C:V,3,FALSE)</f>
        <v>350.17087348743752</v>
      </c>
      <c r="E362" s="179">
        <f>VLOOKUP(B362,Tot_res!C:V,4,FALSE)</f>
        <v>97.12518408921882</v>
      </c>
      <c r="F362" s="179">
        <f>VLOOKUP(B362,Tot_res!C:V,5,FALSE)</f>
        <v>18.345075313474549</v>
      </c>
      <c r="G362" s="179">
        <f>VLOOKUP(B362,Tot_res!C:V,6,FALSE)</f>
        <v>36.31697700057434</v>
      </c>
      <c r="H362" s="179">
        <f>VLOOKUP(B362,Tot_res!C:V,7,FALSE)</f>
        <v>65.636510509407927</v>
      </c>
      <c r="I362" s="179">
        <f>VLOOKUP(B362,Tot_res!C:V,8,FALSE)</f>
        <v>62.488000371482208</v>
      </c>
      <c r="J362" s="179">
        <f>VLOOKUP(B362,Tot_res!C:V,9,FALSE)</f>
        <v>63.223078842384083</v>
      </c>
      <c r="K362" s="179">
        <f>VLOOKUP(B362,Tot_res!C:V,10,FALSE)</f>
        <v>15.87301903734881</v>
      </c>
      <c r="L362" s="179">
        <f>VLOOKUP(B362,Tot_res!C:V,11,FALSE)</f>
        <v>966.56712657561911</v>
      </c>
      <c r="M362" s="179">
        <f>VLOOKUP(B362,Tot_res!C:V,12,FALSE)</f>
        <v>95.827410803535159</v>
      </c>
      <c r="N362" s="179">
        <f>VLOOKUP(B362,Tot_res!C:V,13,FALSE)</f>
        <v>9.3240846928002608</v>
      </c>
      <c r="O362" s="179">
        <f>VLOOKUP(B362,Tot_res!C:V,14,FALSE)</f>
        <v>42.242473022861901</v>
      </c>
      <c r="P362" s="179">
        <f>VLOOKUP(B362,Tot_res!C:V,15,FALSE)</f>
        <v>1143.0831952646133</v>
      </c>
      <c r="Q362" s="179">
        <f>VLOOKUP(B362,Tot_res!C:V,16,FALSE)</f>
        <v>14.742986225087222</v>
      </c>
      <c r="R362" s="179">
        <f>VLOOKUP(B362,Tot_res!C:V,17,FALSE)</f>
        <v>14.269949233907955</v>
      </c>
      <c r="S362" s="179">
        <f>VLOOKUP(B362,Tot_res!C:V,18,FALSE)</f>
        <v>276.94947240378201</v>
      </c>
      <c r="T362" s="179">
        <f>VLOOKUP(B362,Tot_res!C:V,19,FALSE)</f>
        <v>4.0646141464292755</v>
      </c>
      <c r="U362" s="179">
        <f>VLOOKUP(B362,Tot_res!C:V,20,FALSE)</f>
        <v>0.47478898003548875</v>
      </c>
      <c r="V362" s="122">
        <f t="shared" si="65"/>
        <v>3276.7248200000004</v>
      </c>
    </row>
    <row r="363" spans="1:22" ht="13.15">
      <c r="A363" s="355"/>
      <c r="B363" s="119" t="s">
        <v>357</v>
      </c>
      <c r="C363" s="334" t="str">
        <f>VLOOKUP(B363,Tot_res!C:D,2,FALSE)</f>
        <v>Música y danza</v>
      </c>
      <c r="D363" s="179">
        <f>VLOOKUP(B363,Tot_res!C:V,3,FALSE)</f>
        <v>4199.2353454305603</v>
      </c>
      <c r="E363" s="179">
        <f>VLOOKUP(B363,Tot_res!C:V,4,FALSE)</f>
        <v>630.08199611638668</v>
      </c>
      <c r="F363" s="179">
        <f>VLOOKUP(B363,Tot_res!C:V,5,FALSE)</f>
        <v>582.94746074590614</v>
      </c>
      <c r="G363" s="179">
        <f>VLOOKUP(B363,Tot_res!C:V,6,FALSE)</f>
        <v>446.87207747569198</v>
      </c>
      <c r="H363" s="179">
        <f>VLOOKUP(B363,Tot_res!C:V,7,FALSE)</f>
        <v>869.66924773365861</v>
      </c>
      <c r="I363" s="179">
        <f>VLOOKUP(B363,Tot_res!C:V,8,FALSE)</f>
        <v>283.92249968263729</v>
      </c>
      <c r="J363" s="179">
        <f>VLOOKUP(B363,Tot_res!C:V,9,FALSE)</f>
        <v>1003.2608331524466</v>
      </c>
      <c r="K363" s="179">
        <f>VLOOKUP(B363,Tot_res!C:V,10,FALSE)</f>
        <v>755.39290272136918</v>
      </c>
      <c r="L363" s="179">
        <f>VLOOKUP(B363,Tot_res!C:V,11,FALSE)</f>
        <v>9017.3134519951655</v>
      </c>
      <c r="M363" s="179">
        <f>VLOOKUP(B363,Tot_res!C:V,12,FALSE)</f>
        <v>2167.6151257554588</v>
      </c>
      <c r="N363" s="179">
        <f>VLOOKUP(B363,Tot_res!C:V,13,FALSE)</f>
        <v>385.89435224232517</v>
      </c>
      <c r="O363" s="179">
        <f>VLOOKUP(B363,Tot_res!C:V,14,FALSE)</f>
        <v>989.46043814147379</v>
      </c>
      <c r="P363" s="179">
        <f>VLOOKUP(B363,Tot_res!C:V,15,FALSE)</f>
        <v>42018.088075012231</v>
      </c>
      <c r="Q363" s="179">
        <f>VLOOKUP(B363,Tot_res!C:V,16,FALSE)</f>
        <v>558.14644268386542</v>
      </c>
      <c r="R363" s="179">
        <f>VLOOKUP(B363,Tot_res!C:V,17,FALSE)</f>
        <v>314.68352238431902</v>
      </c>
      <c r="S363" s="179">
        <f>VLOOKUP(B363,Tot_res!C:V,18,FALSE)</f>
        <v>1541.6133156575484</v>
      </c>
      <c r="T363" s="179">
        <f>VLOOKUP(B363,Tot_res!C:V,19,FALSE)</f>
        <v>121.37593699610581</v>
      </c>
      <c r="U363" s="179">
        <f>VLOOKUP(B363,Tot_res!C:V,20,FALSE)</f>
        <v>53.364896072861441</v>
      </c>
      <c r="V363" s="122">
        <f t="shared" si="65"/>
        <v>65938.937919999997</v>
      </c>
    </row>
    <row r="364" spans="1:22" ht="13.15">
      <c r="A364" s="355"/>
      <c r="B364" s="115" t="s">
        <v>358</v>
      </c>
      <c r="C364" s="334" t="str">
        <f>VLOOKUP(B364,Tot_res!C:D,2,FALSE)</f>
        <v>Teatro</v>
      </c>
      <c r="D364" s="179">
        <f>VLOOKUP(B364,Tot_res!C:V,3,FALSE)</f>
        <v>2436.7479986807271</v>
      </c>
      <c r="E364" s="179">
        <f>VLOOKUP(B364,Tot_res!C:V,4,FALSE)</f>
        <v>608.29686635690177</v>
      </c>
      <c r="F364" s="179">
        <f>VLOOKUP(B364,Tot_res!C:V,5,FALSE)</f>
        <v>319.04504031329111</v>
      </c>
      <c r="G364" s="179">
        <f>VLOOKUP(B364,Tot_res!C:V,6,FALSE)</f>
        <v>494.49380556950473</v>
      </c>
      <c r="H364" s="179">
        <f>VLOOKUP(B364,Tot_res!C:V,7,FALSE)</f>
        <v>532.54292629716042</v>
      </c>
      <c r="I364" s="179">
        <f>VLOOKUP(B364,Tot_res!C:V,8,FALSE)</f>
        <v>191.85894469722672</v>
      </c>
      <c r="J364" s="179">
        <f>VLOOKUP(B364,Tot_res!C:V,9,FALSE)</f>
        <v>1019.9302458310549</v>
      </c>
      <c r="K364" s="179">
        <f>VLOOKUP(B364,Tot_res!C:V,10,FALSE)</f>
        <v>1034.5981883811253</v>
      </c>
      <c r="L364" s="179">
        <f>VLOOKUP(B364,Tot_res!C:V,11,FALSE)</f>
        <v>4120.9086121909795</v>
      </c>
      <c r="M364" s="179">
        <f>VLOOKUP(B364,Tot_res!C:V,12,FALSE)</f>
        <v>1889.6610210672511</v>
      </c>
      <c r="N364" s="179">
        <f>VLOOKUP(B364,Tot_res!C:V,13,FALSE)</f>
        <v>503.68709391547537</v>
      </c>
      <c r="O364" s="179">
        <f>VLOOKUP(B364,Tot_res!C:V,14,FALSE)</f>
        <v>826.94066740676317</v>
      </c>
      <c r="P364" s="179">
        <f>VLOOKUP(B364,Tot_res!C:V,15,FALSE)</f>
        <v>17498.315407995658</v>
      </c>
      <c r="Q364" s="179">
        <f>VLOOKUP(B364,Tot_res!C:V,16,FALSE)</f>
        <v>501.37878398501675</v>
      </c>
      <c r="R364" s="179">
        <f>VLOOKUP(B364,Tot_res!C:V,17,FALSE)</f>
        <v>194.58972809070042</v>
      </c>
      <c r="S364" s="179">
        <f>VLOOKUP(B364,Tot_res!C:V,18,FALSE)</f>
        <v>1148.7459637184611</v>
      </c>
      <c r="T364" s="179">
        <f>VLOOKUP(B364,Tot_res!C:V,19,FALSE)</f>
        <v>110.68942588752978</v>
      </c>
      <c r="U364" s="179">
        <f>VLOOKUP(B364,Tot_res!C:V,20,FALSE)</f>
        <v>37.758379615171243</v>
      </c>
      <c r="V364" s="122">
        <f t="shared" si="65"/>
        <v>33470.189100000003</v>
      </c>
    </row>
    <row r="365" spans="1:22" ht="13.15">
      <c r="A365" s="355"/>
      <c r="B365" s="115" t="s">
        <v>360</v>
      </c>
      <c r="C365" s="334" t="str">
        <f>VLOOKUP(B365,Tot_res!C:D,2,FALSE)</f>
        <v>Cinematografía</v>
      </c>
      <c r="D365" s="179">
        <f>VLOOKUP(B365,Tot_res!C:V,3,FALSE)</f>
        <v>6879.2925949541295</v>
      </c>
      <c r="E365" s="179">
        <f>VLOOKUP(B365,Tot_res!C:V,4,FALSE)</f>
        <v>1375.8585189908258</v>
      </c>
      <c r="F365" s="179">
        <f>VLOOKUP(B365,Tot_res!C:V,5,FALSE)</f>
        <v>917.23901266055077</v>
      </c>
      <c r="G365" s="179">
        <f>VLOOKUP(B365,Tot_res!C:V,6,FALSE)</f>
        <v>1375.8585189908258</v>
      </c>
      <c r="H365" s="179">
        <f>VLOOKUP(B365,Tot_res!C:V,7,FALSE)</f>
        <v>2293.0975316513764</v>
      </c>
      <c r="I365" s="179">
        <f>VLOOKUP(B365,Tot_res!C:V,8,FALSE)</f>
        <v>458.61950633027539</v>
      </c>
      <c r="J365" s="179">
        <f>VLOOKUP(B365,Tot_res!C:V,9,FALSE)</f>
        <v>2293.0975316513764</v>
      </c>
      <c r="K365" s="179">
        <f>VLOOKUP(B365,Tot_res!C:V,10,FALSE)</f>
        <v>1375.8585189908258</v>
      </c>
      <c r="L365" s="179">
        <f>VLOOKUP(B365,Tot_res!C:V,11,FALSE)</f>
        <v>9631.0096329357821</v>
      </c>
      <c r="M365" s="179">
        <f>VLOOKUP(B365,Tot_res!C:V,12,FALSE)</f>
        <v>5503.4340759633033</v>
      </c>
      <c r="N365" s="179">
        <f>VLOOKUP(B365,Tot_res!C:V,13,FALSE)</f>
        <v>458.61950633027539</v>
      </c>
      <c r="O365" s="179">
        <f>VLOOKUP(B365,Tot_res!C:V,14,FALSE)</f>
        <v>1834.4780253211015</v>
      </c>
      <c r="P365" s="179">
        <f>VLOOKUP(B365,Tot_res!C:V,15,FALSE)</f>
        <v>9631.0096329357821</v>
      </c>
      <c r="Q365" s="179">
        <f>VLOOKUP(B365,Tot_res!C:V,16,FALSE)</f>
        <v>1375.8585189908258</v>
      </c>
      <c r="R365" s="179">
        <f>VLOOKUP(B365,Tot_res!C:V,17,FALSE)</f>
        <v>917.23901266055077</v>
      </c>
      <c r="S365" s="179">
        <f>VLOOKUP(B365,Tot_res!C:V,18,FALSE)</f>
        <v>3210.3365443119269</v>
      </c>
      <c r="T365" s="179">
        <f>VLOOKUP(B365,Tot_res!C:V,19,FALSE)</f>
        <v>458.61950633027539</v>
      </c>
      <c r="U365" s="179">
        <f>VLOOKUP(B365,Tot_res!C:V,20,FALSE)</f>
        <v>0</v>
      </c>
      <c r="V365" s="122">
        <f t="shared" si="65"/>
        <v>49989.526190000011</v>
      </c>
    </row>
    <row r="366" spans="1:22" ht="13.15">
      <c r="A366" s="355"/>
      <c r="B366" s="102" t="s">
        <v>851</v>
      </c>
      <c r="C366" s="334" t="str">
        <f>VLOOKUP(B366,Tot_res!C:D,2,FALSE)</f>
        <v>Fomento y apoyo de las actividades deportivas</v>
      </c>
      <c r="D366" s="179">
        <f>VLOOKUP(B366,Tot_res!C:V,3,FALSE)</f>
        <v>18072.789064866251</v>
      </c>
      <c r="E366" s="179">
        <f>VLOOKUP(B366,Tot_res!C:V,4,FALSE)</f>
        <v>4374.4191370443004</v>
      </c>
      <c r="F366" s="179">
        <f>VLOOKUP(B366,Tot_res!C:V,5,FALSE)</f>
        <v>2768.9080475489172</v>
      </c>
      <c r="G366" s="179">
        <f>VLOOKUP(B366,Tot_res!C:V,6,FALSE)</f>
        <v>2821.8268858912261</v>
      </c>
      <c r="H366" s="179">
        <f>VLOOKUP(B366,Tot_res!C:V,7,FALSE)</f>
        <v>5384.9607403553646</v>
      </c>
      <c r="I366" s="179">
        <f>VLOOKUP(B366,Tot_res!C:V,8,FALSE)</f>
        <v>1959.1762061838181</v>
      </c>
      <c r="J366" s="179">
        <f>VLOOKUP(B366,Tot_res!C:V,9,FALSE)</f>
        <v>5394.7334828153798</v>
      </c>
      <c r="K366" s="179">
        <f>VLOOKUP(B366,Tot_res!C:V,10,FALSE)</f>
        <v>4132.1890362159247</v>
      </c>
      <c r="L366" s="179">
        <f>VLOOKUP(B366,Tot_res!C:V,11,FALSE)</f>
        <v>19554.476531397751</v>
      </c>
      <c r="M366" s="179">
        <f>VLOOKUP(B366,Tot_res!C:V,12,FALSE)</f>
        <v>10939.75265650226</v>
      </c>
      <c r="N366" s="179">
        <f>VLOOKUP(B366,Tot_res!C:V,13,FALSE)</f>
        <v>2441.2765895104285</v>
      </c>
      <c r="O366" s="179">
        <f>VLOOKUP(B366,Tot_res!C:V,14,FALSE)</f>
        <v>6252.1321076301692</v>
      </c>
      <c r="P366" s="179">
        <f>VLOOKUP(B366,Tot_res!C:V,15,FALSE)</f>
        <v>13676.0898268939</v>
      </c>
      <c r="Q366" s="179">
        <f>VLOOKUP(B366,Tot_res!C:V,16,FALSE)</f>
        <v>2924.8955877032959</v>
      </c>
      <c r="R366" s="179">
        <f>VLOOKUP(B366,Tot_res!C:V,17,FALSE)</f>
        <v>2278.9027767387629</v>
      </c>
      <c r="S366" s="179">
        <f>VLOOKUP(B366,Tot_res!C:V,18,FALSE)</f>
        <v>6388.0833840447222</v>
      </c>
      <c r="T366" s="179">
        <f>VLOOKUP(B366,Tot_res!C:V,19,FALSE)</f>
        <v>1051.1168018365149</v>
      </c>
      <c r="U366" s="179">
        <f>VLOOKUP(B366,Tot_res!C:V,20,FALSE)</f>
        <v>507.35128682101322</v>
      </c>
      <c r="V366" s="122">
        <f t="shared" si="65"/>
        <v>110923.08014999998</v>
      </c>
    </row>
    <row r="367" spans="1:22" ht="13.15">
      <c r="A367" s="355"/>
      <c r="B367" s="119" t="s">
        <v>363</v>
      </c>
      <c r="C367" s="334" t="str">
        <f>VLOOKUP(B367,Tot_res!C:D,2,FALSE)</f>
        <v>Administración del patrimonio histórico-nacional</v>
      </c>
      <c r="D367" s="179">
        <f>VLOOKUP(B367,Tot_res!C:V,3,FALSE)</f>
        <v>4493.4273448144368</v>
      </c>
      <c r="E367" s="179">
        <f>VLOOKUP(B367,Tot_res!C:V,4,FALSE)</f>
        <v>811.21369770578758</v>
      </c>
      <c r="F367" s="179">
        <f>VLOOKUP(B367,Tot_res!C:V,5,FALSE)</f>
        <v>577.03620085858483</v>
      </c>
      <c r="G367" s="179">
        <f>VLOOKUP(B367,Tot_res!C:V,6,FALSE)</f>
        <v>1978.0026280347568</v>
      </c>
      <c r="H367" s="179">
        <f>VLOOKUP(B367,Tot_res!C:V,7,FALSE)</f>
        <v>1150.8926630167339</v>
      </c>
      <c r="I367" s="179">
        <f>VLOOKUP(B367,Tot_res!C:V,8,FALSE)</f>
        <v>323.40518695501504</v>
      </c>
      <c r="J367" s="179">
        <f>VLOOKUP(B367,Tot_res!C:V,9,FALSE)</f>
        <v>3564.6157436922849</v>
      </c>
      <c r="K367" s="179">
        <f>VLOOKUP(B367,Tot_res!C:V,10,FALSE)</f>
        <v>1082.328446275925</v>
      </c>
      <c r="L367" s="179">
        <f>VLOOKUP(B367,Tot_res!C:V,11,FALSE)</f>
        <v>4721.9602576017551</v>
      </c>
      <c r="M367" s="179">
        <f>VLOOKUP(B367,Tot_res!C:V,12,FALSE)</f>
        <v>2708.0038014312859</v>
      </c>
      <c r="N367" s="179">
        <f>VLOOKUP(B367,Tot_res!C:V,13,FALSE)</f>
        <v>1465.1874850067361</v>
      </c>
      <c r="O367" s="179">
        <f>VLOOKUP(B367,Tot_res!C:V,14,FALSE)</f>
        <v>1497.3443616361697</v>
      </c>
      <c r="P367" s="179">
        <f>VLOOKUP(B367,Tot_res!C:V,15,FALSE)</f>
        <v>80597.328290301914</v>
      </c>
      <c r="Q367" s="179">
        <f>VLOOKUP(B367,Tot_res!C:V,16,FALSE)</f>
        <v>770.87559361884712</v>
      </c>
      <c r="R367" s="179">
        <f>VLOOKUP(B367,Tot_res!C:V,17,FALSE)</f>
        <v>412.99781523218337</v>
      </c>
      <c r="S367" s="179">
        <f>VLOOKUP(B367,Tot_res!C:V,18,FALSE)</f>
        <v>1447.2867243695855</v>
      </c>
      <c r="T367" s="179">
        <f>VLOOKUP(B367,Tot_res!C:V,19,FALSE)</f>
        <v>191.21670599326262</v>
      </c>
      <c r="U367" s="179">
        <f>VLOOKUP(B367,Tot_res!C:V,20,FALSE)</f>
        <v>87.308473454765618</v>
      </c>
      <c r="V367" s="122">
        <f t="shared" si="65"/>
        <v>107880.43142000004</v>
      </c>
    </row>
    <row r="368" spans="1:22" ht="13.15">
      <c r="A368" s="355"/>
      <c r="B368" s="119" t="s">
        <v>364</v>
      </c>
      <c r="C368" s="334" t="str">
        <f>VLOOKUP(B368,Tot_res!C:D,2,FALSE)</f>
        <v>Conservación y restauración de bienes culturales + AF17/1</v>
      </c>
      <c r="D368" s="179">
        <f>VLOOKUP(B368,Tot_res!C:V,3,FALSE)</f>
        <v>1835.6810061868505</v>
      </c>
      <c r="E368" s="179">
        <f>VLOOKUP(B368,Tot_res!C:V,4,FALSE)</f>
        <v>822.98992415301825</v>
      </c>
      <c r="F368" s="179">
        <f>VLOOKUP(B368,Tot_res!C:V,5,FALSE)</f>
        <v>241.88909242885887</v>
      </c>
      <c r="G368" s="179">
        <f>VLOOKUP(B368,Tot_res!C:V,6,FALSE)</f>
        <v>1214.7154274778495</v>
      </c>
      <c r="H368" s="179">
        <f>VLOOKUP(B368,Tot_res!C:V,7,FALSE)</f>
        <v>1308.8407799386264</v>
      </c>
      <c r="I368" s="179">
        <f>VLOOKUP(B368,Tot_res!C:V,8,FALSE)</f>
        <v>329.17479286116821</v>
      </c>
      <c r="J368" s="179">
        <f>VLOOKUP(B368,Tot_res!C:V,9,FALSE)</f>
        <v>1419.8959953087885</v>
      </c>
      <c r="K368" s="179">
        <f>VLOOKUP(B368,Tot_res!C:V,10,FALSE)</f>
        <v>3751.3659306631189</v>
      </c>
      <c r="L368" s="179">
        <f>VLOOKUP(B368,Tot_res!C:V,11,FALSE)</f>
        <v>3738.9886554172604</v>
      </c>
      <c r="M368" s="179">
        <f>VLOOKUP(B368,Tot_res!C:V,12,FALSE)</f>
        <v>1855.393779483647</v>
      </c>
      <c r="N368" s="179">
        <f>VLOOKUP(B368,Tot_res!C:V,13,FALSE)</f>
        <v>615.10100977229149</v>
      </c>
      <c r="O368" s="179">
        <f>VLOOKUP(B368,Tot_res!C:V,14,FALSE)</f>
        <v>5119.6086813230268</v>
      </c>
      <c r="P368" s="179">
        <f>VLOOKUP(B368,Tot_res!C:V,15,FALSE)</f>
        <v>3965.1096949826633</v>
      </c>
      <c r="Q368" s="179">
        <f>VLOOKUP(B368,Tot_res!C:V,16,FALSE)</f>
        <v>480.56559837441011</v>
      </c>
      <c r="R368" s="179">
        <f>VLOOKUP(B368,Tot_res!C:V,17,FALSE)</f>
        <v>404.78943644659671</v>
      </c>
      <c r="S368" s="179">
        <f>VLOOKUP(B368,Tot_res!C:V,18,FALSE)</f>
        <v>1492.3797089082709</v>
      </c>
      <c r="T368" s="179">
        <f>VLOOKUP(B368,Tot_res!C:V,19,FALSE)</f>
        <v>123.29217145594572</v>
      </c>
      <c r="U368" s="179">
        <f>VLOOKUP(B368,Tot_res!C:V,20,FALSE)</f>
        <v>100.32801447859323</v>
      </c>
      <c r="V368" s="122">
        <f t="shared" si="65"/>
        <v>28820.109699660985</v>
      </c>
    </row>
    <row r="369" spans="1:22" ht="13.15">
      <c r="A369" s="355"/>
      <c r="B369" s="115" t="s">
        <v>366</v>
      </c>
      <c r="C369" s="334" t="str">
        <f>VLOOKUP(B369,Tot_res!C:D,2,FALSE)</f>
        <v>Protección del patrimonio histórico + AF17/2</v>
      </c>
      <c r="D369" s="179">
        <f>VLOOKUP(B369,Tot_res!C:V,3,FALSE)</f>
        <v>1606.7426025252325</v>
      </c>
      <c r="E369" s="179">
        <f>VLOOKUP(B369,Tot_res!C:V,4,FALSE)</f>
        <v>478.71334552143475</v>
      </c>
      <c r="F369" s="179">
        <f>VLOOKUP(B369,Tot_res!C:V,5,FALSE)</f>
        <v>125.00167043721325</v>
      </c>
      <c r="G369" s="179">
        <f>VLOOKUP(B369,Tot_res!C:V,6,FALSE)</f>
        <v>131.96439626057406</v>
      </c>
      <c r="H369" s="179">
        <f>VLOOKUP(B369,Tot_res!C:V,7,FALSE)</f>
        <v>257.49840384119113</v>
      </c>
      <c r="I369" s="179">
        <f>VLOOKUP(B369,Tot_res!C:V,8,FALSE)</f>
        <v>250.09589987761797</v>
      </c>
      <c r="J369" s="179">
        <f>VLOOKUP(B369,Tot_res!C:V,9,FALSE)</f>
        <v>931.66861318469057</v>
      </c>
      <c r="K369" s="179">
        <f>VLOOKUP(B369,Tot_res!C:V,10,FALSE)</f>
        <v>298.14557903355092</v>
      </c>
      <c r="L369" s="179">
        <f>VLOOKUP(B369,Tot_res!C:V,11,FALSE)</f>
        <v>1017.4760278253511</v>
      </c>
      <c r="M369" s="179">
        <f>VLOOKUP(B369,Tot_res!C:V,12,FALSE)</f>
        <v>560.47561805195357</v>
      </c>
      <c r="N369" s="179">
        <f>VLOOKUP(B369,Tot_res!C:V,13,FALSE)</f>
        <v>321.52934866142658</v>
      </c>
      <c r="O369" s="179">
        <f>VLOOKUP(B369,Tot_res!C:V,14,FALSE)</f>
        <v>307.67399847452248</v>
      </c>
      <c r="P369" s="179">
        <f>VLOOKUP(B369,Tot_res!C:V,15,FALSE)</f>
        <v>2007.1919767621976</v>
      </c>
      <c r="Q369" s="179">
        <f>VLOOKUP(B369,Tot_res!C:V,16,FALSE)</f>
        <v>411.90835382127426</v>
      </c>
      <c r="R369" s="179">
        <f>VLOOKUP(B369,Tot_res!C:V,17,FALSE)</f>
        <v>131.51918389677158</v>
      </c>
      <c r="S369" s="179">
        <f>VLOOKUP(B369,Tot_res!C:V,18,FALSE)</f>
        <v>451.69478347653046</v>
      </c>
      <c r="T369" s="179">
        <f>VLOOKUP(B369,Tot_res!C:V,19,FALSE)</f>
        <v>28.504122355882188</v>
      </c>
      <c r="U369" s="179">
        <f>VLOOKUP(B369,Tot_res!C:V,20,FALSE)</f>
        <v>13.847977867634089</v>
      </c>
      <c r="V369" s="122">
        <f t="shared" si="65"/>
        <v>9331.6519018750496</v>
      </c>
    </row>
    <row r="370" spans="1:22" ht="13.15">
      <c r="A370" s="355"/>
      <c r="B370" s="115" t="s">
        <v>854</v>
      </c>
      <c r="C370" s="334" t="str">
        <f>VLOOKUP(B370,Tot_res!C:D,2,FALSE)</f>
        <v>Dirección y Servicios Generales de Economía y Hacienda, transferencias a RTVE</v>
      </c>
      <c r="D370" s="179">
        <f>VLOOKUP(B370,Tot_res!C:V,3,FALSE)</f>
        <v>65777.071959545443</v>
      </c>
      <c r="E370" s="179">
        <f>VLOOKUP(B370,Tot_res!C:V,4,FALSE)</f>
        <v>10437.312221559776</v>
      </c>
      <c r="F370" s="179">
        <f>VLOOKUP(B370,Tot_res!C:V,5,FALSE)</f>
        <v>8318.1887175497504</v>
      </c>
      <c r="G370" s="179">
        <f>VLOOKUP(B370,Tot_res!C:V,6,FALSE)</f>
        <v>8650.9090803198469</v>
      </c>
      <c r="H370" s="179">
        <f>VLOOKUP(B370,Tot_res!C:V,7,FALSE)</f>
        <v>16494.424037060089</v>
      </c>
      <c r="I370" s="179">
        <f>VLOOKUP(B370,Tot_res!C:V,8,FALSE)</f>
        <v>4610.4939015912096</v>
      </c>
      <c r="J370" s="179">
        <f>VLOOKUP(B370,Tot_res!C:V,9,FALSE)</f>
        <v>19584.261493873066</v>
      </c>
      <c r="K370" s="179">
        <f>VLOOKUP(B370,Tot_res!C:V,10,FALSE)</f>
        <v>16323.035656049868</v>
      </c>
      <c r="L370" s="179">
        <f>VLOOKUP(B370,Tot_res!C:V,11,FALSE)</f>
        <v>58864.31483105271</v>
      </c>
      <c r="M370" s="179">
        <f>VLOOKUP(B370,Tot_res!C:V,12,FALSE)</f>
        <v>39517.388264885521</v>
      </c>
      <c r="N370" s="179">
        <f>VLOOKUP(B370,Tot_res!C:V,13,FALSE)</f>
        <v>8606.0751139532676</v>
      </c>
      <c r="O370" s="179">
        <f>VLOOKUP(B370,Tot_res!C:V,14,FALSE)</f>
        <v>21536.843215501871</v>
      </c>
      <c r="P370" s="179">
        <f>VLOOKUP(B370,Tot_res!C:V,15,FALSE)</f>
        <v>50574.865935671223</v>
      </c>
      <c r="Q370" s="179">
        <f>VLOOKUP(B370,Tot_res!C:V,16,FALSE)</f>
        <v>11477.444619673348</v>
      </c>
      <c r="R370" s="179">
        <f>VLOOKUP(B370,Tot_res!C:V,17,FALSE)</f>
        <v>5019.4788719576991</v>
      </c>
      <c r="S370" s="179">
        <f>VLOOKUP(B370,Tot_res!C:V,18,FALSE)</f>
        <v>17108.247120312211</v>
      </c>
      <c r="T370" s="179">
        <f>VLOOKUP(B370,Tot_res!C:V,19,FALSE)</f>
        <v>2503.4732252614995</v>
      </c>
      <c r="U370" s="179">
        <f>VLOOKUP(B370,Tot_res!C:V,20,FALSE)</f>
        <v>1317.4117341815843</v>
      </c>
      <c r="V370" s="122">
        <f t="shared" si="65"/>
        <v>366721.23999999993</v>
      </c>
    </row>
    <row r="371" spans="1:22" ht="13.15">
      <c r="A371" s="355"/>
      <c r="B371" s="115" t="s">
        <v>368</v>
      </c>
      <c r="C371" s="334" t="str">
        <f>VLOOKUP(B371,Tot_res!C:D,2,FALSE)</f>
        <v>Normalización lingüística + AF08</v>
      </c>
      <c r="D371" s="179">
        <f>VLOOKUP(B371,Tot_res!C:V,3,FALSE)</f>
        <v>0</v>
      </c>
      <c r="E371" s="179">
        <f>VLOOKUP(B371,Tot_res!C:V,4,FALSE)</f>
        <v>0</v>
      </c>
      <c r="F371" s="179">
        <f>VLOOKUP(B371,Tot_res!C:V,5,FALSE)</f>
        <v>0</v>
      </c>
      <c r="G371" s="179">
        <f>VLOOKUP(B371,Tot_res!C:V,6,FALSE)</f>
        <v>20089.032865917172</v>
      </c>
      <c r="H371" s="179">
        <f>VLOOKUP(B371,Tot_res!C:V,7,FALSE)</f>
        <v>0</v>
      </c>
      <c r="I371" s="179">
        <f>VLOOKUP(B371,Tot_res!C:V,8,FALSE)</f>
        <v>0</v>
      </c>
      <c r="J371" s="179">
        <f>VLOOKUP(B371,Tot_res!C:V,9,FALSE)</f>
        <v>0</v>
      </c>
      <c r="K371" s="179">
        <f>VLOOKUP(B371,Tot_res!C:V,10,FALSE)</f>
        <v>0</v>
      </c>
      <c r="L371" s="179">
        <f>VLOOKUP(B371,Tot_res!C:V,11,FALSE)</f>
        <v>66156.398058334278</v>
      </c>
      <c r="M371" s="179">
        <f>VLOOKUP(B371,Tot_res!C:V,12,FALSE)</f>
        <v>41331.382385507975</v>
      </c>
      <c r="N371" s="179">
        <f>VLOOKUP(B371,Tot_res!C:V,13,FALSE)</f>
        <v>0</v>
      </c>
      <c r="O371" s="179">
        <f>VLOOKUP(B371,Tot_res!C:V,14,FALSE)</f>
        <v>30980.550235719373</v>
      </c>
      <c r="P371" s="179">
        <f>VLOOKUP(B371,Tot_res!C:V,15,FALSE)</f>
        <v>0</v>
      </c>
      <c r="Q371" s="179">
        <f>VLOOKUP(B371,Tot_res!C:V,16,FALSE)</f>
        <v>0</v>
      </c>
      <c r="R371" s="179">
        <f>VLOOKUP(B371,Tot_res!C:V,17,FALSE)</f>
        <v>6190.2365059007197</v>
      </c>
      <c r="S371" s="179">
        <f>VLOOKUP(B371,Tot_res!C:V,18,FALSE)</f>
        <v>21098.62369732872</v>
      </c>
      <c r="T371" s="179">
        <f>VLOOKUP(B371,Tot_res!C:V,19,FALSE)</f>
        <v>0</v>
      </c>
      <c r="U371" s="179">
        <f>VLOOKUP(B371,Tot_res!C:V,20,FALSE)</f>
        <v>0</v>
      </c>
      <c r="V371" s="122">
        <f t="shared" si="65"/>
        <v>185846.22374870823</v>
      </c>
    </row>
    <row r="372" spans="1:22" ht="13.15">
      <c r="A372" s="355"/>
      <c r="B372" s="115" t="s">
        <v>369</v>
      </c>
      <c r="C372" s="334" t="str">
        <f>VLOOKUP(B372,Tot_res!C:D,2,FALSE)</f>
        <v>Aportación a la Iglesia Católica ligadas a la casilla del IRPF</v>
      </c>
      <c r="D372" s="179">
        <f>VLOOKUP(B372,Tot_res!C:V,3,FALSE)</f>
        <v>45406.484512459603</v>
      </c>
      <c r="E372" s="179">
        <f>VLOOKUP(B372,Tot_res!C:V,4,FALSE)</f>
        <v>7879.8882559458625</v>
      </c>
      <c r="F372" s="179">
        <f>VLOOKUP(B372,Tot_res!C:V,5,FALSE)</f>
        <v>6091.6220993055258</v>
      </c>
      <c r="G372" s="179">
        <f>VLOOKUP(B372,Tot_res!C:V,6,FALSE)</f>
        <v>5816.8143632433203</v>
      </c>
      <c r="H372" s="179">
        <f>VLOOKUP(B372,Tot_res!C:V,7,FALSE)</f>
        <v>12010.596951804198</v>
      </c>
      <c r="I372" s="179">
        <f>VLOOKUP(B372,Tot_res!C:V,8,FALSE)</f>
        <v>3148.4464457114791</v>
      </c>
      <c r="J372" s="179">
        <f>VLOOKUP(B372,Tot_res!C:V,9,FALSE)</f>
        <v>16975.965647296147</v>
      </c>
      <c r="K372" s="179">
        <f>VLOOKUP(B372,Tot_res!C:V,10,FALSE)</f>
        <v>13129.06241538697</v>
      </c>
      <c r="L372" s="179">
        <f>VLOOKUP(B372,Tot_res!C:V,11,FALSE)</f>
        <v>28667.299679141175</v>
      </c>
      <c r="M372" s="179">
        <f>VLOOKUP(B372,Tot_res!C:V,12,FALSE)</f>
        <v>25545.781442184958</v>
      </c>
      <c r="N372" s="179">
        <f>VLOOKUP(B372,Tot_res!C:V,13,FALSE)</f>
        <v>6912.1471639070996</v>
      </c>
      <c r="O372" s="179">
        <f>VLOOKUP(B372,Tot_res!C:V,14,FALSE)</f>
        <v>18541.836032090625</v>
      </c>
      <c r="P372" s="179">
        <f>VLOOKUP(B372,Tot_res!C:V,15,FALSE)</f>
        <v>31129.413454652156</v>
      </c>
      <c r="Q372" s="179">
        <f>VLOOKUP(B372,Tot_res!C:V,16,FALSE)</f>
        <v>9765.252003495094</v>
      </c>
      <c r="R372" s="179">
        <f>VLOOKUP(B372,Tot_res!C:V,17,FALSE)</f>
        <v>3459.8752294346232</v>
      </c>
      <c r="S372" s="179">
        <f>VLOOKUP(B372,Tot_res!C:V,18,FALSE)</f>
        <v>10746.566937545975</v>
      </c>
      <c r="T372" s="179">
        <f>VLOOKUP(B372,Tot_res!C:V,19,FALSE)</f>
        <v>1964.1460221994655</v>
      </c>
      <c r="U372" s="179">
        <f>VLOOKUP(B372,Tot_res!C:V,20,FALSE)</f>
        <v>744.80134419573358</v>
      </c>
      <c r="V372" s="122">
        <f t="shared" si="65"/>
        <v>247936.00000000003</v>
      </c>
    </row>
    <row r="373" spans="1:22" ht="13.15">
      <c r="A373" s="355"/>
      <c r="B373" s="115" t="s">
        <v>857</v>
      </c>
      <c r="C373" s="334" t="str">
        <f>VLOOKUP(B373,Tot_res!C:D,2,FALSE)</f>
        <v>Ordenación y fomento de la edificación, actuaciones relacionadas con el 1% cultural</v>
      </c>
      <c r="D373" s="179">
        <f>VLOOKUP(B373,Tot_res!C:V,3,FALSE)</f>
        <v>2726.3545849027541</v>
      </c>
      <c r="E373" s="179">
        <f>VLOOKUP(B373,Tot_res!C:V,4,FALSE)</f>
        <v>411.95684907341723</v>
      </c>
      <c r="F373" s="179">
        <f>VLOOKUP(B373,Tot_res!C:V,5,FALSE)</f>
        <v>364.32435357890245</v>
      </c>
      <c r="G373" s="179">
        <f>VLOOKUP(B373,Tot_res!C:V,6,FALSE)</f>
        <v>805.62454307726625</v>
      </c>
      <c r="H373" s="179">
        <f>VLOOKUP(B373,Tot_res!C:V,7,FALSE)</f>
        <v>50.1420375332197</v>
      </c>
      <c r="I373" s="179">
        <f>VLOOKUP(B373,Tot_res!C:V,8,FALSE)</f>
        <v>390.93799871701901</v>
      </c>
      <c r="J373" s="179">
        <f>VLOOKUP(B373,Tot_res!C:V,9,FALSE)</f>
        <v>1079.6370539141108</v>
      </c>
      <c r="K373" s="179">
        <f>VLOOKUP(B373,Tot_res!C:V,10,FALSE)</f>
        <v>693.74602736553732</v>
      </c>
      <c r="L373" s="179">
        <f>VLOOKUP(B373,Tot_res!C:V,11,FALSE)</f>
        <v>4036.7828071648837</v>
      </c>
      <c r="M373" s="179">
        <f>VLOOKUP(B373,Tot_res!C:V,12,FALSE)</f>
        <v>1005.0199768761626</v>
      </c>
      <c r="N373" s="179">
        <f>VLOOKUP(B373,Tot_res!C:V,13,FALSE)</f>
        <v>355.96744056900616</v>
      </c>
      <c r="O373" s="179">
        <f>VLOOKUP(B373,Tot_res!C:V,14,FALSE)</f>
        <v>967.32858260355215</v>
      </c>
      <c r="P373" s="179">
        <f>VLOOKUP(B373,Tot_res!C:V,15,FALSE)</f>
        <v>166.37099088287027</v>
      </c>
      <c r="Q373" s="179">
        <f>VLOOKUP(B373,Tot_res!C:V,16,FALSE)</f>
        <v>34.890727776372067</v>
      </c>
      <c r="R373" s="179">
        <f>VLOOKUP(B373,Tot_res!C:V,17,FALSE)</f>
        <v>15.258907945461431</v>
      </c>
      <c r="S373" s="179">
        <f>VLOOKUP(B373,Tot_res!C:V,18,FALSE)</f>
        <v>52.00802206290264</v>
      </c>
      <c r="T373" s="179">
        <f>VLOOKUP(B373,Tot_res!C:V,19,FALSE)</f>
        <v>7.61040507643252</v>
      </c>
      <c r="U373" s="179">
        <f>VLOOKUP(B373,Tot_res!C:V,20,FALSE)</f>
        <v>831.71867088012868</v>
      </c>
      <c r="V373" s="122">
        <f t="shared" si="65"/>
        <v>13995.679979999997</v>
      </c>
    </row>
    <row r="374" spans="1:22" s="104" customFormat="1" ht="13.15">
      <c r="A374" s="356"/>
      <c r="B374" s="119"/>
      <c r="C374" s="132"/>
      <c r="D374" s="139"/>
      <c r="E374" s="139"/>
      <c r="F374" s="139"/>
      <c r="G374" s="139"/>
      <c r="H374" s="139"/>
      <c r="I374" s="139"/>
      <c r="J374" s="139"/>
      <c r="K374" s="139"/>
      <c r="L374" s="139"/>
      <c r="M374" s="139"/>
      <c r="N374" s="139"/>
      <c r="O374" s="139"/>
      <c r="P374" s="139"/>
      <c r="Q374" s="139"/>
      <c r="R374" s="139"/>
      <c r="S374" s="139"/>
      <c r="T374" s="139"/>
      <c r="U374" s="139"/>
      <c r="V374" s="122"/>
    </row>
    <row r="375" spans="1:22" ht="13.15">
      <c r="A375" s="356"/>
      <c r="B375" s="115"/>
      <c r="C375" s="147" t="s">
        <v>68</v>
      </c>
      <c r="D375" s="111">
        <f t="shared" ref="D375:V375" si="66">D377+D396+D410</f>
        <v>26456986.642728701</v>
      </c>
      <c r="E375" s="111">
        <f t="shared" si="66"/>
        <v>5403140.9857986681</v>
      </c>
      <c r="F375" s="111">
        <f t="shared" si="66"/>
        <v>5688973.5042425739</v>
      </c>
      <c r="G375" s="111">
        <f t="shared" si="66"/>
        <v>3238116.1125207599</v>
      </c>
      <c r="H375" s="111">
        <f t="shared" si="66"/>
        <v>5877567.6824730746</v>
      </c>
      <c r="I375" s="111">
        <f t="shared" si="66"/>
        <v>2457513.0799222072</v>
      </c>
      <c r="J375" s="111">
        <f t="shared" si="66"/>
        <v>10475208.317401679</v>
      </c>
      <c r="K375" s="111">
        <f t="shared" si="66"/>
        <v>6625045.1891036527</v>
      </c>
      <c r="L375" s="111">
        <f t="shared" si="66"/>
        <v>29399248.443349659</v>
      </c>
      <c r="M375" s="111">
        <f t="shared" si="66"/>
        <v>16343218.548220769</v>
      </c>
      <c r="N375" s="111">
        <f t="shared" si="66"/>
        <v>3656691.1963985735</v>
      </c>
      <c r="O375" s="111">
        <f t="shared" si="66"/>
        <v>11276746.493691279</v>
      </c>
      <c r="P375" s="111">
        <f t="shared" si="66"/>
        <v>24074775.504618123</v>
      </c>
      <c r="Q375" s="111">
        <f t="shared" si="66"/>
        <v>4407071.6849154541</v>
      </c>
      <c r="R375" s="111">
        <f t="shared" si="66"/>
        <v>2530712.3737487681</v>
      </c>
      <c r="S375" s="111">
        <f t="shared" si="66"/>
        <v>10362907.363325177</v>
      </c>
      <c r="T375" s="111">
        <f t="shared" si="66"/>
        <v>1170928.098613515</v>
      </c>
      <c r="U375" s="111">
        <f t="shared" si="66"/>
        <v>436592.71479748451</v>
      </c>
      <c r="V375" s="125">
        <f t="shared" si="66"/>
        <v>169881443.93587011</v>
      </c>
    </row>
    <row r="376" spans="1:22" ht="13.15">
      <c r="A376" s="356"/>
      <c r="B376" s="115"/>
      <c r="C376" s="102"/>
      <c r="D376" s="105"/>
      <c r="E376" s="105"/>
      <c r="F376" s="105"/>
      <c r="G376" s="105"/>
      <c r="H376" s="105"/>
      <c r="I376" s="105"/>
      <c r="J376" s="105"/>
      <c r="K376" s="105"/>
      <c r="L376" s="105"/>
      <c r="M376" s="105"/>
      <c r="N376" s="105"/>
      <c r="O376" s="105"/>
      <c r="P376" s="105"/>
      <c r="Q376" s="105"/>
      <c r="R376" s="105"/>
      <c r="S376" s="105"/>
      <c r="T376" s="105"/>
      <c r="U376" s="105"/>
      <c r="V376" s="122"/>
    </row>
    <row r="377" spans="1:22" ht="13.15">
      <c r="A377" s="356"/>
      <c r="B377" s="115"/>
      <c r="C377" s="117" t="s">
        <v>3</v>
      </c>
      <c r="D377" s="114">
        <f t="shared" ref="D377:V377" si="67">SUM(D378:D394)</f>
        <v>25734269.352656465</v>
      </c>
      <c r="E377" s="114">
        <f t="shared" si="67"/>
        <v>5291590.0862479126</v>
      </c>
      <c r="F377" s="114">
        <f t="shared" si="67"/>
        <v>5585132.3097357396</v>
      </c>
      <c r="G377" s="114">
        <f t="shared" si="67"/>
        <v>3153569.8614299414</v>
      </c>
      <c r="H377" s="114">
        <f t="shared" si="67"/>
        <v>5742634.4578993348</v>
      </c>
      <c r="I377" s="114">
        <f t="shared" si="67"/>
        <v>2394854.5677902265</v>
      </c>
      <c r="J377" s="114">
        <f t="shared" si="67"/>
        <v>10218119.128934696</v>
      </c>
      <c r="K377" s="114">
        <f t="shared" si="67"/>
        <v>6449352.4489033176</v>
      </c>
      <c r="L377" s="114">
        <f t="shared" si="67"/>
        <v>28737015.41081604</v>
      </c>
      <c r="M377" s="114">
        <f t="shared" si="67"/>
        <v>15994003.308303706</v>
      </c>
      <c r="N377" s="114">
        <f t="shared" si="67"/>
        <v>3556247.9757374581</v>
      </c>
      <c r="O377" s="114">
        <f t="shared" si="67"/>
        <v>11020790.465560218</v>
      </c>
      <c r="P377" s="114">
        <f t="shared" si="67"/>
        <v>23534247.747919291</v>
      </c>
      <c r="Q377" s="114">
        <f t="shared" si="67"/>
        <v>4274534.5327050304</v>
      </c>
      <c r="R377" s="114">
        <f t="shared" si="67"/>
        <v>2478915.003087305</v>
      </c>
      <c r="S377" s="114">
        <f t="shared" si="67"/>
        <v>10133581.303049656</v>
      </c>
      <c r="T377" s="114">
        <f t="shared" si="67"/>
        <v>1139125.6871288491</v>
      </c>
      <c r="U377" s="114">
        <f t="shared" si="67"/>
        <v>406974.67224942072</v>
      </c>
      <c r="V377" s="126">
        <f t="shared" si="67"/>
        <v>165844958.32015461</v>
      </c>
    </row>
    <row r="378" spans="1:22" ht="13.15">
      <c r="A378" s="355"/>
      <c r="B378" s="115" t="s">
        <v>370</v>
      </c>
      <c r="C378" s="334" t="str">
        <f>VLOOKUP(B378,Tot_res!C:D,2,FALSE)</f>
        <v>Pensiones de clases pasivas</v>
      </c>
      <c r="D378" s="179">
        <f>VLOOKUP(B378,Tot_res!C:V,3,FALSE)</f>
        <v>2366359.9545100001</v>
      </c>
      <c r="E378" s="179">
        <f>VLOOKUP(B378,Tot_res!C:V,4,FALSE)</f>
        <v>438299.31550999999</v>
      </c>
      <c r="F378" s="179">
        <f>VLOOKUP(B378,Tot_res!C:V,5,FALSE)</f>
        <v>321006.44218000001</v>
      </c>
      <c r="G378" s="179">
        <f>VLOOKUP(B378,Tot_res!C:V,6,FALSE)</f>
        <v>180381.08108</v>
      </c>
      <c r="H378" s="179">
        <f>VLOOKUP(B378,Tot_res!C:V,7,FALSE)</f>
        <v>478778.39199000003</v>
      </c>
      <c r="I378" s="179">
        <f>VLOOKUP(B378,Tot_res!C:V,8,FALSE)</f>
        <v>148327.38912000001</v>
      </c>
      <c r="J378" s="179">
        <f>VLOOKUP(B378,Tot_res!C:V,9,FALSE)</f>
        <v>1053178.66203</v>
      </c>
      <c r="K378" s="179">
        <f>VLOOKUP(B378,Tot_res!C:V,10,FALSE)</f>
        <v>496071.22168999998</v>
      </c>
      <c r="L378" s="179">
        <f>VLOOKUP(B378,Tot_res!C:V,11,FALSE)</f>
        <v>1037625.07669</v>
      </c>
      <c r="M378" s="179">
        <f>VLOOKUP(B378,Tot_res!C:V,12,FALSE)</f>
        <v>991653.31070999999</v>
      </c>
      <c r="N378" s="179">
        <f>VLOOKUP(B378,Tot_res!C:V,13,FALSE)</f>
        <v>376724.74244</v>
      </c>
      <c r="O378" s="179">
        <f>VLOOKUP(B378,Tot_res!C:V,14,FALSE)</f>
        <v>860864.61045000004</v>
      </c>
      <c r="P378" s="179">
        <f>VLOOKUP(B378,Tot_res!C:V,15,FALSE)</f>
        <v>2174004.8964999998</v>
      </c>
      <c r="Q378" s="179">
        <f>VLOOKUP(B378,Tot_res!C:V,16,FALSE)</f>
        <v>417600.46176999999</v>
      </c>
      <c r="R378" s="179">
        <f>VLOOKUP(B378,Tot_res!C:V,17,FALSE)</f>
        <v>119206.05806</v>
      </c>
      <c r="S378" s="179">
        <f>VLOOKUP(B378,Tot_res!C:V,18,FALSE)</f>
        <v>300825.95470999996</v>
      </c>
      <c r="T378" s="179">
        <f>VLOOKUP(B378,Tot_res!C:V,19,FALSE)</f>
        <v>94392.566349999994</v>
      </c>
      <c r="U378" s="179">
        <f>VLOOKUP(B378,Tot_res!C:V,20,FALSE)</f>
        <v>87830.603170000002</v>
      </c>
      <c r="V378" s="122">
        <f t="shared" ref="V378:V394" si="68">SUM(D378:U378)</f>
        <v>11943130.73896</v>
      </c>
    </row>
    <row r="379" spans="1:22" ht="13.15">
      <c r="A379" s="355"/>
      <c r="B379" s="115" t="s">
        <v>371</v>
      </c>
      <c r="C379" s="334" t="str">
        <f>VLOOKUP(B379,Tot_res!C:D,2,FALSE)</f>
        <v>Otras pensiones y prestac. de clases pasivas</v>
      </c>
      <c r="D379" s="179">
        <f>VLOOKUP(B379,Tot_res!C:V,3,FALSE)</f>
        <v>3320.27153</v>
      </c>
      <c r="E379" s="179">
        <f>VLOOKUP(B379,Tot_res!C:V,4,FALSE)</f>
        <v>390.82731000000001</v>
      </c>
      <c r="F379" s="179">
        <f>VLOOKUP(B379,Tot_res!C:V,5,FALSE)</f>
        <v>357.43376000000001</v>
      </c>
      <c r="G379" s="179">
        <f>VLOOKUP(B379,Tot_res!C:V,6,FALSE)</f>
        <v>228.53111999999999</v>
      </c>
      <c r="H379" s="179">
        <f>VLOOKUP(B379,Tot_res!C:V,7,FALSE)</f>
        <v>9420.1772300000011</v>
      </c>
      <c r="I379" s="179">
        <f>VLOOKUP(B379,Tot_res!C:V,8,FALSE)</f>
        <v>220.55279999999999</v>
      </c>
      <c r="J379" s="179">
        <f>VLOOKUP(B379,Tot_res!C:V,9,FALSE)</f>
        <v>828.21539000000007</v>
      </c>
      <c r="K379" s="179">
        <f>VLOOKUP(B379,Tot_res!C:V,10,FALSE)</f>
        <v>790.15041000000008</v>
      </c>
      <c r="L379" s="179">
        <f>VLOOKUP(B379,Tot_res!C:V,11,FALSE)</f>
        <v>1997.1776399999999</v>
      </c>
      <c r="M379" s="179">
        <f>VLOOKUP(B379,Tot_res!C:V,12,FALSE)</f>
        <v>1329.15428</v>
      </c>
      <c r="N379" s="179">
        <f>VLOOKUP(B379,Tot_res!C:V,13,FALSE)</f>
        <v>396.70684</v>
      </c>
      <c r="O379" s="179">
        <f>VLOOKUP(B379,Tot_res!C:V,14,FALSE)</f>
        <v>884.63468</v>
      </c>
      <c r="P379" s="179">
        <f>VLOOKUP(B379,Tot_res!C:V,15,FALSE)</f>
        <v>18060.290919999999</v>
      </c>
      <c r="Q379" s="179">
        <f>VLOOKUP(B379,Tot_res!C:V,16,FALSE)</f>
        <v>477.11124000000001</v>
      </c>
      <c r="R379" s="179">
        <f>VLOOKUP(B379,Tot_res!C:V,17,FALSE)</f>
        <v>103.01576</v>
      </c>
      <c r="S379" s="179">
        <f>VLOOKUP(B379,Tot_res!C:V,18,FALSE)</f>
        <v>976.62867000000006</v>
      </c>
      <c r="T379" s="179">
        <f>VLOOKUP(B379,Tot_res!C:V,19,FALSE)</f>
        <v>94.720399999999998</v>
      </c>
      <c r="U379" s="179">
        <f>VLOOKUP(B379,Tot_res!C:V,20,FALSE)</f>
        <v>400.81810999999999</v>
      </c>
      <c r="V379" s="122">
        <f t="shared" si="68"/>
        <v>40276.418089999992</v>
      </c>
    </row>
    <row r="380" spans="1:22" ht="13.15">
      <c r="A380" s="355"/>
      <c r="B380" s="115" t="s">
        <v>372</v>
      </c>
      <c r="C380" s="334" t="str">
        <f>VLOOKUP(B380,Tot_res!C:D,2,FALSE)</f>
        <v>Pensiones no contrib. y prestac. asistenciales</v>
      </c>
      <c r="D380" s="179">
        <f>VLOOKUP(B380,Tot_res!C:V,3,FALSE)</f>
        <v>7319.877237201139</v>
      </c>
      <c r="E380" s="179">
        <f>VLOOKUP(B380,Tot_res!C:V,4,FALSE)</f>
        <v>42.101962293632404</v>
      </c>
      <c r="F380" s="179">
        <f>VLOOKUP(B380,Tot_res!C:V,5,FALSE)</f>
        <v>37.591037762171787</v>
      </c>
      <c r="G380" s="179">
        <f>VLOOKUP(B380,Tot_res!C:V,6,FALSE)</f>
        <v>14.886050953820025</v>
      </c>
      <c r="H380" s="179">
        <f>VLOOKUP(B380,Tot_res!C:V,7,FALSE)</f>
        <v>3972.6208707063147</v>
      </c>
      <c r="I380" s="179">
        <f>VLOOKUP(B380,Tot_res!C:V,8,FALSE)</f>
        <v>77.587901941122567</v>
      </c>
      <c r="J380" s="179">
        <f>VLOOKUP(B380,Tot_res!C:V,9,FALSE)</f>
        <v>127.20807178718933</v>
      </c>
      <c r="K380" s="179">
        <f>VLOOKUP(B380,Tot_res!C:V,10,FALSE)</f>
        <v>420.86925878527529</v>
      </c>
      <c r="L380" s="179">
        <f>VLOOKUP(B380,Tot_res!C:V,11,FALSE)</f>
        <v>62.10039438310779</v>
      </c>
      <c r="M380" s="179">
        <f>VLOOKUP(B380,Tot_res!C:V,12,FALSE)</f>
        <v>878.87846287957632</v>
      </c>
      <c r="N380" s="179">
        <f>VLOOKUP(B380,Tot_res!C:V,13,FALSE)</f>
        <v>151.86779255917401</v>
      </c>
      <c r="O380" s="179">
        <f>VLOOKUP(B380,Tot_res!C:V,14,FALSE)</f>
        <v>24.358992469887315</v>
      </c>
      <c r="P380" s="179">
        <f>VLOOKUP(B380,Tot_res!C:V,15,FALSE)</f>
        <v>1235.6925933181108</v>
      </c>
      <c r="Q380" s="179">
        <f>VLOOKUP(B380,Tot_res!C:V,16,FALSE)</f>
        <v>201.97090163640823</v>
      </c>
      <c r="R380" s="179">
        <f>VLOOKUP(B380,Tot_res!C:V,17,FALSE)</f>
        <v>3.308011323071117</v>
      </c>
      <c r="S380" s="179">
        <f>VLOOKUP(B380,Tot_res!C:V,18,FALSE)</f>
        <v>0</v>
      </c>
      <c r="T380" s="179">
        <f>VLOOKUP(B380,Tot_res!C:V,19,FALSE)</f>
        <v>0</v>
      </c>
      <c r="U380" s="179">
        <f>VLOOKUP(B380,Tot_res!C:V,20,FALSE)</f>
        <v>0</v>
      </c>
      <c r="V380" s="122">
        <f t="shared" si="68"/>
        <v>14570.919540000001</v>
      </c>
    </row>
    <row r="381" spans="1:22" ht="13.15">
      <c r="A381" s="355"/>
      <c r="B381" s="115" t="s">
        <v>373</v>
      </c>
      <c r="C381" s="334" t="str">
        <f>VLOOKUP(B381,Tot_res!C:D,2,FALSE)</f>
        <v>Pensiones de guerra</v>
      </c>
      <c r="D381" s="179">
        <f>VLOOKUP(B381,Tot_res!C:V,3,FALSE)</f>
        <v>25796.261699999999</v>
      </c>
      <c r="E381" s="179">
        <f>VLOOKUP(B381,Tot_res!C:V,4,FALSE)</f>
        <v>9106.1653399999996</v>
      </c>
      <c r="F381" s="179">
        <f>VLOOKUP(B381,Tot_res!C:V,5,FALSE)</f>
        <v>9784.8708399999996</v>
      </c>
      <c r="G381" s="179">
        <f>VLOOKUP(B381,Tot_res!C:V,6,FALSE)</f>
        <v>2334.68777</v>
      </c>
      <c r="H381" s="179">
        <f>VLOOKUP(B381,Tot_res!C:V,7,FALSE)</f>
        <v>685.86096999999995</v>
      </c>
      <c r="I381" s="179">
        <f>VLOOKUP(B381,Tot_res!C:V,8,FALSE)</f>
        <v>4262.6604800000005</v>
      </c>
      <c r="J381" s="179">
        <f>VLOOKUP(B381,Tot_res!C:V,9,FALSE)</f>
        <v>6868.1065799999997</v>
      </c>
      <c r="K381" s="179">
        <f>VLOOKUP(B381,Tot_res!C:V,10,FALSE)</f>
        <v>12810.09966</v>
      </c>
      <c r="L381" s="179">
        <f>VLOOKUP(B381,Tot_res!C:V,11,FALSE)</f>
        <v>60082.76311</v>
      </c>
      <c r="M381" s="179">
        <f>VLOOKUP(B381,Tot_res!C:V,12,FALSE)</f>
        <v>42351.309740000004</v>
      </c>
      <c r="N381" s="179">
        <f>VLOOKUP(B381,Tot_res!C:V,13,FALSE)</f>
        <v>4399.7438099999999</v>
      </c>
      <c r="O381" s="179">
        <f>VLOOKUP(B381,Tot_res!C:V,14,FALSE)</f>
        <v>3561.16014</v>
      </c>
      <c r="P381" s="179">
        <f>VLOOKUP(B381,Tot_res!C:V,15,FALSE)</f>
        <v>70588.091589999996</v>
      </c>
      <c r="Q381" s="179">
        <f>VLOOKUP(B381,Tot_res!C:V,16,FALSE)</f>
        <v>8982.4857400000001</v>
      </c>
      <c r="R381" s="179">
        <f>VLOOKUP(B381,Tot_res!C:V,17,FALSE)</f>
        <v>1369.3810600000002</v>
      </c>
      <c r="S381" s="179">
        <f>VLOOKUP(B381,Tot_res!C:V,18,FALSE)</f>
        <v>11861.57245</v>
      </c>
      <c r="T381" s="179">
        <f>VLOOKUP(B381,Tot_res!C:V,19,FALSE)</f>
        <v>661.81058999999993</v>
      </c>
      <c r="U381" s="179">
        <f>VLOOKUP(B381,Tot_res!C:V,20,FALSE)</f>
        <v>146.03164000000001</v>
      </c>
      <c r="V381" s="122">
        <f t="shared" si="68"/>
        <v>275653.06320999993</v>
      </c>
    </row>
    <row r="382" spans="1:22" ht="18" customHeight="1">
      <c r="A382" s="355"/>
      <c r="B382" s="115" t="s">
        <v>374</v>
      </c>
      <c r="C382" s="334" t="str">
        <f>VLOOKUP(B382,Tot_res!C:D,2,FALSE)</f>
        <v>Gestión de pensiones de clases pasivas</v>
      </c>
      <c r="D382" s="179">
        <f>VLOOKUP(B382,Tot_res!C:V,3,FALSE)</f>
        <v>1294.2611215655452</v>
      </c>
      <c r="E382" s="179">
        <f>VLOOKUP(B382,Tot_res!C:V,4,FALSE)</f>
        <v>241.94157404519549</v>
      </c>
      <c r="F382" s="179">
        <f>VLOOKUP(B382,Tot_res!C:V,5,FALSE)</f>
        <v>178.91761852225954</v>
      </c>
      <c r="G382" s="179">
        <f>VLOOKUP(B382,Tot_res!C:V,6,FALSE)</f>
        <v>98.843673095945263</v>
      </c>
      <c r="H382" s="179">
        <f>VLOOKUP(B382,Tot_res!C:V,7,FALSE)</f>
        <v>264.14123209808713</v>
      </c>
      <c r="I382" s="179">
        <f>VLOOKUP(B382,Tot_res!C:V,8,FALSE)</f>
        <v>82.562622785716471</v>
      </c>
      <c r="J382" s="179">
        <f>VLOOKUP(B382,Tot_res!C:V,9,FALSE)</f>
        <v>573.18418847352814</v>
      </c>
      <c r="K382" s="179">
        <f>VLOOKUP(B382,Tot_res!C:V,10,FALSE)</f>
        <v>275.37234201467828</v>
      </c>
      <c r="L382" s="179">
        <f>VLOOKUP(B382,Tot_res!C:V,11,FALSE)</f>
        <v>594.16381523575797</v>
      </c>
      <c r="M382" s="179">
        <f>VLOOKUP(B382,Tot_res!C:V,12,FALSE)</f>
        <v>559.38443117049667</v>
      </c>
      <c r="N382" s="179">
        <f>VLOOKUP(B382,Tot_res!C:V,13,FALSE)</f>
        <v>206.1335395262218</v>
      </c>
      <c r="O382" s="179">
        <f>VLOOKUP(B382,Tot_res!C:V,14,FALSE)</f>
        <v>467.52185686601587</v>
      </c>
      <c r="P382" s="179">
        <f>VLOOKUP(B382,Tot_res!C:V,15,FALSE)</f>
        <v>1222.4975638847889</v>
      </c>
      <c r="Q382" s="179">
        <f>VLOOKUP(B382,Tot_res!C:V,16,FALSE)</f>
        <v>230.73790681831747</v>
      </c>
      <c r="R382" s="179">
        <f>VLOOKUP(B382,Tot_res!C:V,17,FALSE)</f>
        <v>65.201822335205605</v>
      </c>
      <c r="S382" s="179">
        <f>VLOOKUP(B382,Tot_res!C:V,18,FALSE)</f>
        <v>169.47080223795041</v>
      </c>
      <c r="T382" s="179">
        <f>VLOOKUP(B382,Tot_res!C:V,19,FALSE)</f>
        <v>51.408468448546842</v>
      </c>
      <c r="U382" s="179">
        <f>VLOOKUP(B382,Tot_res!C:V,20,FALSE)</f>
        <v>47.749790875743422</v>
      </c>
      <c r="V382" s="122">
        <f t="shared" si="68"/>
        <v>6623.4943700000003</v>
      </c>
    </row>
    <row r="383" spans="1:22" ht="13.15">
      <c r="A383" s="355"/>
      <c r="B383" s="115" t="s">
        <v>375</v>
      </c>
      <c r="C383" s="334" t="str">
        <f>VLOOKUP(B383,Tot_res!C:D,2,FALSE)</f>
        <v>Prestaciones económicas del mutualismo administrativo</v>
      </c>
      <c r="D383" s="179">
        <f>VLOOKUP(B383,Tot_res!C:V,3,FALSE)</f>
        <v>69046.589518867535</v>
      </c>
      <c r="E383" s="179">
        <f>VLOOKUP(B383,Tot_res!C:V,4,FALSE)</f>
        <v>12445.788531459448</v>
      </c>
      <c r="F383" s="179">
        <f>VLOOKUP(B383,Tot_res!C:V,5,FALSE)</f>
        <v>8169.2220213871988</v>
      </c>
      <c r="G383" s="179">
        <f>VLOOKUP(B383,Tot_res!C:V,6,FALSE)</f>
        <v>6332.3395854322098</v>
      </c>
      <c r="H383" s="179">
        <f>VLOOKUP(B383,Tot_res!C:V,7,FALSE)</f>
        <v>15460.501117927126</v>
      </c>
      <c r="I383" s="179">
        <f>VLOOKUP(B383,Tot_res!C:V,8,FALSE)</f>
        <v>4163.3517983959937</v>
      </c>
      <c r="J383" s="179">
        <f>VLOOKUP(B383,Tot_res!C:V,9,FALSE)</f>
        <v>26297.163726041566</v>
      </c>
      <c r="K383" s="179">
        <f>VLOOKUP(B383,Tot_res!C:V,10,FALSE)</f>
        <v>15523.383182683028</v>
      </c>
      <c r="L383" s="179">
        <f>VLOOKUP(B383,Tot_res!C:V,11,FALSE)</f>
        <v>32376.873847100833</v>
      </c>
      <c r="M383" s="179">
        <f>VLOOKUP(B383,Tot_res!C:V,12,FALSE)</f>
        <v>31415.307400846468</v>
      </c>
      <c r="N383" s="179">
        <f>VLOOKUP(B383,Tot_res!C:V,13,FALSE)</f>
        <v>10264.834511259764</v>
      </c>
      <c r="O383" s="179">
        <f>VLOOKUP(B383,Tot_res!C:V,14,FALSE)</f>
        <v>23746.689550945142</v>
      </c>
      <c r="P383" s="179">
        <f>VLOOKUP(B383,Tot_res!C:V,15,FALSE)</f>
        <v>60129.541442741851</v>
      </c>
      <c r="Q383" s="179">
        <f>VLOOKUP(B383,Tot_res!C:V,16,FALSE)</f>
        <v>12120.644730519305</v>
      </c>
      <c r="R383" s="179">
        <f>VLOOKUP(B383,Tot_res!C:V,17,FALSE)</f>
        <v>3410.3596723451251</v>
      </c>
      <c r="S383" s="179">
        <f>VLOOKUP(B383,Tot_res!C:V,18,FALSE)</f>
        <v>7478.1613830056504</v>
      </c>
      <c r="T383" s="179">
        <f>VLOOKUP(B383,Tot_res!C:V,19,FALSE)</f>
        <v>2427.252504042372</v>
      </c>
      <c r="U383" s="179">
        <f>VLOOKUP(B383,Tot_res!C:V,20,FALSE)</f>
        <v>3740.661824999444</v>
      </c>
      <c r="V383" s="122">
        <f t="shared" si="68"/>
        <v>344548.66635000007</v>
      </c>
    </row>
    <row r="384" spans="1:22" ht="13.15">
      <c r="A384" s="355"/>
      <c r="B384" s="115" t="s">
        <v>377</v>
      </c>
      <c r="C384" s="334" t="str">
        <f>VLOOKUP(B384,Tot_res!C:D,2,FALSE)</f>
        <v>Prestaciones de garantía salarial</v>
      </c>
      <c r="D384" s="179">
        <f>VLOOKUP(B384,Tot_res!C:V,3,FALSE)</f>
        <v>138909.53402092704</v>
      </c>
      <c r="E384" s="179">
        <f>VLOOKUP(B384,Tot_res!C:V,4,FALSE)</f>
        <v>43801.763264393499</v>
      </c>
      <c r="F384" s="179">
        <f>VLOOKUP(B384,Tot_res!C:V,5,FALSE)</f>
        <v>25894.780373826798</v>
      </c>
      <c r="G384" s="179">
        <f>VLOOKUP(B384,Tot_res!C:V,6,FALSE)</f>
        <v>23531.889163493532</v>
      </c>
      <c r="H384" s="179">
        <f>VLOOKUP(B384,Tot_res!C:V,7,FALSE)</f>
        <v>53935.698853126727</v>
      </c>
      <c r="I384" s="179">
        <f>VLOOKUP(B384,Tot_res!C:V,8,FALSE)</f>
        <v>13758.021080241422</v>
      </c>
      <c r="J384" s="179">
        <f>VLOOKUP(B384,Tot_res!C:V,9,FALSE)</f>
        <v>56926.210702318902</v>
      </c>
      <c r="K384" s="179">
        <f>VLOOKUP(B384,Tot_res!C:V,10,FALSE)</f>
        <v>50331.897335914247</v>
      </c>
      <c r="L384" s="179">
        <f>VLOOKUP(B384,Tot_res!C:V,11,FALSE)</f>
        <v>334194.78254170576</v>
      </c>
      <c r="M384" s="179">
        <f>VLOOKUP(B384,Tot_res!C:V,12,FALSE)</f>
        <v>178326.30694711398</v>
      </c>
      <c r="N384" s="179">
        <f>VLOOKUP(B384,Tot_res!C:V,13,FALSE)</f>
        <v>16517.529580662798</v>
      </c>
      <c r="O384" s="179">
        <f>VLOOKUP(B384,Tot_res!C:V,14,FALSE)</f>
        <v>69863.033724126755</v>
      </c>
      <c r="P384" s="179">
        <f>VLOOKUP(B384,Tot_res!C:V,15,FALSE)</f>
        <v>187231.60273132168</v>
      </c>
      <c r="Q384" s="179">
        <f>VLOOKUP(B384,Tot_res!C:V,16,FALSE)</f>
        <v>46440.580613261023</v>
      </c>
      <c r="R384" s="179">
        <f>VLOOKUP(B384,Tot_res!C:V,17,FALSE)</f>
        <v>27182.374613448792</v>
      </c>
      <c r="S384" s="179">
        <f>VLOOKUP(B384,Tot_res!C:V,18,FALSE)</f>
        <v>120136.10720687185</v>
      </c>
      <c r="T384" s="179">
        <f>VLOOKUP(B384,Tot_res!C:V,19,FALSE)</f>
        <v>8838.4438051713005</v>
      </c>
      <c r="U384" s="179">
        <f>VLOOKUP(B384,Tot_res!C:V,20,FALSE)</f>
        <v>661.73328207389625</v>
      </c>
      <c r="V384" s="122">
        <f t="shared" si="68"/>
        <v>1396482.28984</v>
      </c>
    </row>
    <row r="385" spans="1:22" ht="13.15">
      <c r="A385" s="355"/>
      <c r="B385" s="119" t="s">
        <v>378</v>
      </c>
      <c r="C385" s="334" t="str">
        <f>VLOOKUP(B385,Tot_res!C:D,2,FALSE)</f>
        <v>Prestaciones económicas por cese de actividad</v>
      </c>
      <c r="D385" s="179">
        <f>VLOOKUP(B385,Tot_res!C:V,3,FALSE)</f>
        <v>122.50511000000002</v>
      </c>
      <c r="E385" s="179">
        <f>VLOOKUP(B385,Tot_res!C:V,4,FALSE)</f>
        <v>48.164870000000001</v>
      </c>
      <c r="F385" s="179">
        <f>VLOOKUP(B385,Tot_res!C:V,5,FALSE)</f>
        <v>93.118479999999991</v>
      </c>
      <c r="G385" s="179">
        <f>VLOOKUP(B385,Tot_res!C:V,6,FALSE)</f>
        <v>28.050800000000002</v>
      </c>
      <c r="H385" s="179">
        <f>VLOOKUP(B385,Tot_res!C:V,7,FALSE)</f>
        <v>0</v>
      </c>
      <c r="I385" s="179">
        <f>VLOOKUP(B385,Tot_res!C:V,8,FALSE)</f>
        <v>18.178000000000001</v>
      </c>
      <c r="J385" s="179">
        <f>VLOOKUP(B385,Tot_res!C:V,9,FALSE)</f>
        <v>81.155820000000006</v>
      </c>
      <c r="K385" s="179">
        <f>VLOOKUP(B385,Tot_res!C:V,10,FALSE)</f>
        <v>49.984949999999998</v>
      </c>
      <c r="L385" s="179">
        <f>VLOOKUP(B385,Tot_res!C:V,11,FALSE)</f>
        <v>260.12428999999997</v>
      </c>
      <c r="M385" s="179">
        <f>VLOOKUP(B385,Tot_res!C:V,12,FALSE)</f>
        <v>141.43711999999999</v>
      </c>
      <c r="N385" s="179">
        <f>VLOOKUP(B385,Tot_res!C:V,13,FALSE)</f>
        <v>18.55772</v>
      </c>
      <c r="O385" s="179">
        <f>VLOOKUP(B385,Tot_res!C:V,14,FALSE)</f>
        <v>1834.86294</v>
      </c>
      <c r="P385" s="179">
        <f>VLOOKUP(B385,Tot_res!C:V,15,FALSE)</f>
        <v>191.84477999999996</v>
      </c>
      <c r="Q385" s="179">
        <f>VLOOKUP(B385,Tot_res!C:V,16,FALSE)</f>
        <v>42.606830000000002</v>
      </c>
      <c r="R385" s="179">
        <f>VLOOKUP(B385,Tot_res!C:V,17,FALSE)</f>
        <v>79.154630000000012</v>
      </c>
      <c r="S385" s="179">
        <f>VLOOKUP(B385,Tot_res!C:V,18,FALSE)</f>
        <v>82.164050000000003</v>
      </c>
      <c r="T385" s="179">
        <f>VLOOKUP(B385,Tot_res!C:V,19,FALSE)</f>
        <v>34.096139999999998</v>
      </c>
      <c r="U385" s="179">
        <f>VLOOKUP(B385,Tot_res!C:V,20,FALSE)</f>
        <v>0</v>
      </c>
      <c r="V385" s="122">
        <f t="shared" si="68"/>
        <v>3126.0065299999997</v>
      </c>
    </row>
    <row r="386" spans="1:22" ht="13.15">
      <c r="A386" s="355"/>
      <c r="B386" s="119" t="s">
        <v>864</v>
      </c>
      <c r="C386" s="334" t="str">
        <f>VLOOKUP(B386,Tot_res!C:D,2,FALSE)</f>
        <v>Prestaciones a los desempleados, neto de renta y subsidio agrarios</v>
      </c>
      <c r="D386" s="179">
        <f>VLOOKUP(B386,Tot_res!C:V,3,FALSE)</f>
        <v>5011486.1584433448</v>
      </c>
      <c r="E386" s="179">
        <f>VLOOKUP(B386,Tot_res!C:V,4,FALSE)</f>
        <v>820550.66992001235</v>
      </c>
      <c r="F386" s="179">
        <f>VLOOKUP(B386,Tot_res!C:V,5,FALSE)</f>
        <v>675202.71000881528</v>
      </c>
      <c r="G386" s="179">
        <f>VLOOKUP(B386,Tot_res!C:V,6,FALSE)</f>
        <v>755668.20557727164</v>
      </c>
      <c r="H386" s="179">
        <f>VLOOKUP(B386,Tot_res!C:V,7,FALSE)</f>
        <v>1414064.5677794176</v>
      </c>
      <c r="I386" s="179">
        <f>VLOOKUP(B386,Tot_res!C:V,8,FALSE)</f>
        <v>366891.78985429066</v>
      </c>
      <c r="J386" s="179">
        <f>VLOOKUP(B386,Tot_res!C:V,9,FALSE)</f>
        <v>1445314.1017012475</v>
      </c>
      <c r="K386" s="179">
        <f>VLOOKUP(B386,Tot_res!C:V,10,FALSE)</f>
        <v>1422324.4181662428</v>
      </c>
      <c r="L386" s="179">
        <f>VLOOKUP(B386,Tot_res!C:V,11,FALSE)</f>
        <v>4948813.7593409326</v>
      </c>
      <c r="M386" s="179">
        <f>VLOOKUP(B386,Tot_res!C:V,12,FALSE)</f>
        <v>3245382.0211726478</v>
      </c>
      <c r="N386" s="179">
        <f>VLOOKUP(B386,Tot_res!C:V,13,FALSE)</f>
        <v>680469.31068520574</v>
      </c>
      <c r="O386" s="179">
        <f>VLOOKUP(B386,Tot_res!C:V,14,FALSE)</f>
        <v>1663359.8539027073</v>
      </c>
      <c r="P386" s="179">
        <f>VLOOKUP(B386,Tot_res!C:V,15,FALSE)</f>
        <v>4003535.2354809656</v>
      </c>
      <c r="Q386" s="179">
        <f>VLOOKUP(B386,Tot_res!C:V,16,FALSE)</f>
        <v>875623.71698224335</v>
      </c>
      <c r="R386" s="179">
        <f>VLOOKUP(B386,Tot_res!C:V,17,FALSE)</f>
        <v>424035.72794437507</v>
      </c>
      <c r="S386" s="179">
        <f>VLOOKUP(B386,Tot_res!C:V,18,FALSE)</f>
        <v>1275408.4716856885</v>
      </c>
      <c r="T386" s="179">
        <f>VLOOKUP(B386,Tot_res!C:V,19,FALSE)</f>
        <v>202736.73381747931</v>
      </c>
      <c r="U386" s="179">
        <f>VLOOKUP(B386,Tot_res!C:V,20,FALSE)</f>
        <v>72688.001975186722</v>
      </c>
      <c r="V386" s="122">
        <f t="shared" si="68"/>
        <v>29303555.454438072</v>
      </c>
    </row>
    <row r="387" spans="1:22" ht="13.15">
      <c r="A387" s="355"/>
      <c r="B387" s="115" t="s">
        <v>380</v>
      </c>
      <c r="C387" s="334" t="str">
        <f>VLOOKUP(B387,Tot_res!C:D,2,FALSE)</f>
        <v>Becas y ayudas a estudiantes + AF03/1</v>
      </c>
      <c r="D387" s="179">
        <f>VLOOKUP(B387,Tot_res!C:V,3,FALSE)</f>
        <v>330133.94914760161</v>
      </c>
      <c r="E387" s="179">
        <f>VLOOKUP(B387,Tot_res!C:V,4,FALSE)</f>
        <v>26743.869886016535</v>
      </c>
      <c r="F387" s="179">
        <f>VLOOKUP(B387,Tot_res!C:V,5,FALSE)</f>
        <v>21753.662395269293</v>
      </c>
      <c r="G387" s="179">
        <f>VLOOKUP(B387,Tot_res!C:V,6,FALSE)</f>
        <v>14393.686126063667</v>
      </c>
      <c r="H387" s="179">
        <f>VLOOKUP(B387,Tot_res!C:V,7,FALSE)</f>
        <v>60739.150245493685</v>
      </c>
      <c r="I387" s="179">
        <f>VLOOKUP(B387,Tot_res!C:V,8,FALSE)</f>
        <v>11929.91832590052</v>
      </c>
      <c r="J387" s="179">
        <f>VLOOKUP(B387,Tot_res!C:V,9,FALSE)</f>
        <v>76621.213623976655</v>
      </c>
      <c r="K387" s="179">
        <f>VLOOKUP(B387,Tot_res!C:V,10,FALSE)</f>
        <v>52432.081680825868</v>
      </c>
      <c r="L387" s="179">
        <f>VLOOKUP(B387,Tot_res!C:V,11,FALSE)</f>
        <v>137671.35647549192</v>
      </c>
      <c r="M387" s="179">
        <f>VLOOKUP(B387,Tot_res!C:V,12,FALSE)</f>
        <v>151355.15402738922</v>
      </c>
      <c r="N387" s="179">
        <f>VLOOKUP(B387,Tot_res!C:V,13,FALSE)</f>
        <v>47202.328599606219</v>
      </c>
      <c r="O387" s="179">
        <f>VLOOKUP(B387,Tot_res!C:V,14,FALSE)</f>
        <v>81169.408600507799</v>
      </c>
      <c r="P387" s="179">
        <f>VLOOKUP(B387,Tot_res!C:V,15,FALSE)</f>
        <v>160027.30052917515</v>
      </c>
      <c r="Q387" s="179">
        <f>VLOOKUP(B387,Tot_res!C:V,16,FALSE)</f>
        <v>50656.937100522744</v>
      </c>
      <c r="R387" s="179">
        <f>VLOOKUP(B387,Tot_res!C:V,17,FALSE)</f>
        <v>17971.90638336166</v>
      </c>
      <c r="S387" s="179">
        <f>VLOOKUP(B387,Tot_res!C:V,18,FALSE)</f>
        <v>61254.754387649729</v>
      </c>
      <c r="T387" s="179">
        <f>VLOOKUP(B387,Tot_res!C:V,19,FALSE)</f>
        <v>5441.9758979734897</v>
      </c>
      <c r="U387" s="179">
        <f>VLOOKUP(B387,Tot_res!C:V,20,FALSE)</f>
        <v>5538.8887638918895</v>
      </c>
      <c r="V387" s="122">
        <f t="shared" si="68"/>
        <v>1313037.5421967176</v>
      </c>
    </row>
    <row r="388" spans="1:22" ht="13.15">
      <c r="A388" s="355"/>
      <c r="B388" s="119" t="s">
        <v>867</v>
      </c>
      <c r="C388" s="334" t="str">
        <f>VLOOKUP(B388,Tot_res!C:D,2,FALSE)</f>
        <v xml:space="preserve"> Gestión de la Deuda y de la Tesorería del Estado, indemnizaciones síndrome tóxico</v>
      </c>
      <c r="D388" s="179">
        <f>VLOOKUP(B388,Tot_res!C:V,3,FALSE)</f>
        <v>43.818064250000006</v>
      </c>
      <c r="E388" s="179">
        <f>VLOOKUP(B388,Tot_res!C:V,4,FALSE)</f>
        <v>4.3308551875000001</v>
      </c>
      <c r="F388" s="179">
        <f>VLOOKUP(B388,Tot_res!C:V,5,FALSE)</f>
        <v>6.8784170625000014</v>
      </c>
      <c r="G388" s="179">
        <f>VLOOKUP(B388,Tot_res!C:V,6,FALSE)</f>
        <v>5.09512375</v>
      </c>
      <c r="H388" s="179">
        <f>VLOOKUP(B388,Tot_res!C:V,7,FALSE)</f>
        <v>10.1902475</v>
      </c>
      <c r="I388" s="179">
        <f>VLOOKUP(B388,Tot_res!C:V,8,FALSE)</f>
        <v>15.030615062500001</v>
      </c>
      <c r="J388" s="179">
        <f>VLOOKUP(B388,Tot_res!C:V,9,FALSE)</f>
        <v>739.55721231250004</v>
      </c>
      <c r="K388" s="179">
        <f>VLOOKUP(B388,Tot_res!C:V,10,FALSE)</f>
        <v>160.49639812500001</v>
      </c>
      <c r="L388" s="179">
        <f>VLOOKUP(B388,Tot_res!C:V,11,FALSE)</f>
        <v>14.011590312500001</v>
      </c>
      <c r="M388" s="179">
        <f>VLOOKUP(B388,Tot_res!C:V,12,FALSE)</f>
        <v>38.9776966875</v>
      </c>
      <c r="N388" s="179">
        <f>VLOOKUP(B388,Tot_res!C:V,13,FALSE)</f>
        <v>29.296961562500005</v>
      </c>
      <c r="O388" s="179">
        <f>VLOOKUP(B388,Tot_res!C:V,14,FALSE)</f>
        <v>12.737809374999999</v>
      </c>
      <c r="P388" s="179">
        <f>VLOOKUP(B388,Tot_res!C:V,15,FALSE)</f>
        <v>2075.7534157500004</v>
      </c>
      <c r="Q388" s="179">
        <f>VLOOKUP(B388,Tot_res!C:V,16,FALSE)</f>
        <v>11.464028437500001</v>
      </c>
      <c r="R388" s="179">
        <f>VLOOKUP(B388,Tot_res!C:V,17,FALSE)</f>
        <v>3.5665866250000002</v>
      </c>
      <c r="S388" s="179">
        <f>VLOOKUP(B388,Tot_res!C:V,18,FALSE)</f>
        <v>7.6426856250000013</v>
      </c>
      <c r="T388" s="179">
        <f>VLOOKUP(B388,Tot_res!C:V,19,FALSE)</f>
        <v>0</v>
      </c>
      <c r="U388" s="179">
        <f>VLOOKUP(B388,Tot_res!C:V,20,FALSE)</f>
        <v>0.50951237500000002</v>
      </c>
      <c r="V388" s="122">
        <f t="shared" si="68"/>
        <v>3179.3572200000008</v>
      </c>
    </row>
    <row r="389" spans="1:22" ht="13.15">
      <c r="A389" s="355"/>
      <c r="B389" s="115" t="s">
        <v>869</v>
      </c>
      <c r="C389" s="334" t="str">
        <f>VLOOKUP(B389,Tot_res!C:D,2,FALSE)</f>
        <v>Pensiones contributivas de la Seguridad Social</v>
      </c>
      <c r="D389" s="179">
        <f>VLOOKUP(B389,Tot_res!C:V,3,FALSE)</f>
        <v>15740233.878534945</v>
      </c>
      <c r="E389" s="179">
        <f>VLOOKUP(B389,Tot_res!C:V,4,FALSE)</f>
        <v>3617101.2400336484</v>
      </c>
      <c r="F389" s="179">
        <f>VLOOKUP(B389,Tot_res!C:V,5,FALSE)</f>
        <v>4216269.2156032454</v>
      </c>
      <c r="G389" s="179">
        <f>VLOOKUP(B389,Tot_res!C:V,6,FALSE)</f>
        <v>1929866.2110677452</v>
      </c>
      <c r="H389" s="179">
        <f>VLOOKUP(B389,Tot_res!C:V,7,FALSE)</f>
        <v>3100260.7631028914</v>
      </c>
      <c r="I389" s="179">
        <f>VLOOKUP(B389,Tot_res!C:V,8,FALSE)</f>
        <v>1675878.6306997393</v>
      </c>
      <c r="J389" s="179">
        <f>VLOOKUP(B389,Tot_res!C:V,9,FALSE)</f>
        <v>6957003.1257942999</v>
      </c>
      <c r="K389" s="179">
        <f>VLOOKUP(B389,Tot_res!C:V,10,FALSE)</f>
        <v>3936902.3881001761</v>
      </c>
      <c r="L389" s="179">
        <f>VLOOKUP(B389,Tot_res!C:V,11,FALSE)</f>
        <v>20215384.084675573</v>
      </c>
      <c r="M389" s="179">
        <f>VLOOKUP(B389,Tot_res!C:V,12,FALSE)</f>
        <v>10199643.557124179</v>
      </c>
      <c r="N389" s="179">
        <f>VLOOKUP(B389,Tot_res!C:V,13,FALSE)</f>
        <v>2158597.0273962971</v>
      </c>
      <c r="O389" s="179">
        <f>VLOOKUP(B389,Tot_res!C:V,14,FALSE)</f>
        <v>7453388.4972122097</v>
      </c>
      <c r="P389" s="179">
        <f>VLOOKUP(B389,Tot_res!C:V,15,FALSE)</f>
        <v>14767090.178300697</v>
      </c>
      <c r="Q389" s="179">
        <f>VLOOKUP(B389,Tot_res!C:V,16,FALSE)</f>
        <v>2463202.6467622188</v>
      </c>
      <c r="R389" s="179">
        <f>VLOOKUP(B389,Tot_res!C:V,17,FALSE)</f>
        <v>1707252.1371902348</v>
      </c>
      <c r="S389" s="179">
        <f>VLOOKUP(B389,Tot_res!C:V,18,FALSE)</f>
        <v>7642348.3986150138</v>
      </c>
      <c r="T389" s="179">
        <f>VLOOKUP(B389,Tot_res!C:V,19,FALSE)</f>
        <v>754036.62827023689</v>
      </c>
      <c r="U389" s="179">
        <f>VLOOKUP(B389,Tot_res!C:V,20,FALSE)</f>
        <v>184466.64454664922</v>
      </c>
      <c r="V389" s="122">
        <f t="shared" si="68"/>
        <v>108718925.25303</v>
      </c>
    </row>
    <row r="390" spans="1:22" ht="13.15">
      <c r="A390" s="355"/>
      <c r="B390" s="115" t="s">
        <v>870</v>
      </c>
      <c r="C390" s="334" t="str">
        <f>VLOOKUP(B390,Tot_res!C:D,2,FALSE)</f>
        <v>Otras prestaciones contributivas de la Seguridad Social + AF03/2</v>
      </c>
      <c r="D390" s="179">
        <f>VLOOKUP(B390,Tot_res!C:V,3,FALSE)</f>
        <v>655158.87982343987</v>
      </c>
      <c r="E390" s="179">
        <f>VLOOKUP(B390,Tot_res!C:V,4,FALSE)</f>
        <v>118837.30495000051</v>
      </c>
      <c r="F390" s="179">
        <f>VLOOKUP(B390,Tot_res!C:V,5,FALSE)</f>
        <v>118645.93921270721</v>
      </c>
      <c r="G390" s="179">
        <f>VLOOKUP(B390,Tot_res!C:V,6,FALSE)</f>
        <v>78897.101960771601</v>
      </c>
      <c r="H390" s="179">
        <f>VLOOKUP(B390,Tot_res!C:V,7,FALSE)</f>
        <v>143640.39293603163</v>
      </c>
      <c r="I390" s="179">
        <f>VLOOKUP(B390,Tot_res!C:V,8,FALSE)</f>
        <v>57779.000798787594</v>
      </c>
      <c r="J390" s="179">
        <f>VLOOKUP(B390,Tot_res!C:V,9,FALSE)</f>
        <v>185561.35907401374</v>
      </c>
      <c r="K390" s="179">
        <f>VLOOKUP(B390,Tot_res!C:V,10,FALSE)</f>
        <v>140759.93399901289</v>
      </c>
      <c r="L390" s="179">
        <f>VLOOKUP(B390,Tot_res!C:V,11,FALSE)</f>
        <v>731483.97282635083</v>
      </c>
      <c r="M390" s="179">
        <f>VLOOKUP(B390,Tot_res!C:V,12,FALSE)</f>
        <v>367639.09786461917</v>
      </c>
      <c r="N390" s="179">
        <f>VLOOKUP(B390,Tot_res!C:V,13,FALSE)</f>
        <v>85544.817277948197</v>
      </c>
      <c r="O390" s="179">
        <f>VLOOKUP(B390,Tot_res!C:V,14,FALSE)</f>
        <v>280389.30338828376</v>
      </c>
      <c r="P390" s="179">
        <f>VLOOKUP(B390,Tot_res!C:V,15,FALSE)</f>
        <v>645355.03778629284</v>
      </c>
      <c r="Q390" s="179">
        <f>VLOOKUP(B390,Tot_res!C:V,16,FALSE)</f>
        <v>144411.48263334803</v>
      </c>
      <c r="R390" s="179">
        <f>VLOOKUP(B390,Tot_res!C:V,17,FALSE)</f>
        <v>74245.058488635928</v>
      </c>
      <c r="S390" s="179">
        <f>VLOOKUP(B390,Tot_res!C:V,18,FALSE)</f>
        <v>354858.02266403195</v>
      </c>
      <c r="T390" s="179">
        <f>VLOOKUP(B390,Tot_res!C:V,19,FALSE)</f>
        <v>22246.527056320487</v>
      </c>
      <c r="U390" s="179">
        <f>VLOOKUP(B390,Tot_res!C:V,20,FALSE)</f>
        <v>10195.760034735313</v>
      </c>
      <c r="V390" s="122">
        <f t="shared" si="68"/>
        <v>4215648.9927753313</v>
      </c>
    </row>
    <row r="391" spans="1:22" ht="13.15">
      <c r="A391" s="355"/>
      <c r="B391" s="115" t="s">
        <v>872</v>
      </c>
      <c r="C391" s="334" t="str">
        <f>VLOOKUP(B391,Tot_res!C:D,2,FALSE)</f>
        <v>Prestaciones económicas contributivas, Mutuas</v>
      </c>
      <c r="D391" s="179">
        <f>VLOOKUP(B391,Tot_res!C:V,3,FALSE)</f>
        <v>400934.72257301194</v>
      </c>
      <c r="E391" s="179">
        <f>VLOOKUP(B391,Tot_res!C:V,4,FALSE)</f>
        <v>114356.0958485645</v>
      </c>
      <c r="F391" s="179">
        <f>VLOOKUP(B391,Tot_res!C:V,5,FALSE)</f>
        <v>81370.634761160531</v>
      </c>
      <c r="G391" s="179">
        <f>VLOOKUP(B391,Tot_res!C:V,6,FALSE)</f>
        <v>90007.355069052181</v>
      </c>
      <c r="H391" s="179">
        <f>VLOOKUP(B391,Tot_res!C:V,7,FALSE)</f>
        <v>123399.73296141505</v>
      </c>
      <c r="I391" s="179">
        <f>VLOOKUP(B391,Tot_res!C:V,8,FALSE)</f>
        <v>53034.373639575628</v>
      </c>
      <c r="J391" s="179">
        <f>VLOOKUP(B391,Tot_res!C:V,9,FALSE)</f>
        <v>167821.9697499653</v>
      </c>
      <c r="K391" s="179">
        <f>VLOOKUP(B391,Tot_res!C:V,10,FALSE)</f>
        <v>128812.25639067656</v>
      </c>
      <c r="L391" s="179">
        <f>VLOOKUP(B391,Tot_res!C:V,11,FALSE)</f>
        <v>680538.65445937403</v>
      </c>
      <c r="M391" s="179">
        <f>VLOOKUP(B391,Tot_res!C:V,12,FALSE)</f>
        <v>334827.97536455729</v>
      </c>
      <c r="N391" s="179">
        <f>VLOOKUP(B391,Tot_res!C:V,13,FALSE)</f>
        <v>45951.653970311105</v>
      </c>
      <c r="O391" s="179">
        <f>VLOOKUP(B391,Tot_res!C:V,14,FALSE)</f>
        <v>207132.952406786</v>
      </c>
      <c r="P391" s="179">
        <f>VLOOKUP(B391,Tot_res!C:V,15,FALSE)</f>
        <v>1060411.2189194192</v>
      </c>
      <c r="Q391" s="179">
        <f>VLOOKUP(B391,Tot_res!C:V,16,FALSE)</f>
        <v>106004.13868566001</v>
      </c>
      <c r="R391" s="179">
        <f>VLOOKUP(B391,Tot_res!C:V,17,FALSE)</f>
        <v>69539.982658326553</v>
      </c>
      <c r="S391" s="179">
        <f>VLOOKUP(B391,Tot_res!C:V,18,FALSE)</f>
        <v>224952.18978706011</v>
      </c>
      <c r="T391" s="179">
        <f>VLOOKUP(B391,Tot_res!C:V,19,FALSE)</f>
        <v>27253.274872538084</v>
      </c>
      <c r="U391" s="179">
        <f>VLOOKUP(B391,Tot_res!C:V,20,FALSE)</f>
        <v>6347.3112570391586</v>
      </c>
      <c r="V391" s="122">
        <f t="shared" si="68"/>
        <v>3922696.493374493</v>
      </c>
    </row>
    <row r="392" spans="1:22" ht="13.15">
      <c r="A392" s="355"/>
      <c r="B392" s="115" t="s">
        <v>874</v>
      </c>
      <c r="C392" s="334" t="str">
        <f>VLOOKUP(B392,Tot_res!C:D,2,FALSE)</f>
        <v>Pensiones no contributivas de la Seg Soc + AF03/3</v>
      </c>
      <c r="D392" s="179">
        <f>VLOOKUP(B392,Tot_res!C:V,3,FALSE)</f>
        <v>632770.81334723718</v>
      </c>
      <c r="E392" s="179">
        <f>VLOOKUP(B392,Tot_res!C:V,4,FALSE)</f>
        <v>42296.782293514974</v>
      </c>
      <c r="F392" s="179">
        <f>VLOOKUP(B392,Tot_res!C:V,5,FALSE)</f>
        <v>52722.580676626327</v>
      </c>
      <c r="G392" s="179">
        <f>VLOOKUP(B392,Tot_res!C:V,6,FALSE)</f>
        <v>42220.721617839503</v>
      </c>
      <c r="H392" s="179">
        <f>VLOOKUP(B392,Tot_res!C:V,7,FALSE)</f>
        <v>251192.59607947845</v>
      </c>
      <c r="I392" s="179">
        <f>VLOOKUP(B392,Tot_res!C:V,8,FALSE)</f>
        <v>34920.496489173194</v>
      </c>
      <c r="J392" s="179">
        <f>VLOOKUP(B392,Tot_res!C:V,9,FALSE)</f>
        <v>125452.52297822248</v>
      </c>
      <c r="K392" s="179">
        <f>VLOOKUP(B392,Tot_res!C:V,10,FALSE)</f>
        <v>113222.13599616992</v>
      </c>
      <c r="L392" s="179">
        <f>VLOOKUP(B392,Tot_res!C:V,11,FALSE)</f>
        <v>326443.17329640989</v>
      </c>
      <c r="M392" s="179">
        <f>VLOOKUP(B392,Tot_res!C:V,12,FALSE)</f>
        <v>266116.24352000694</v>
      </c>
      <c r="N392" s="179">
        <f>VLOOKUP(B392,Tot_res!C:V,13,FALSE)</f>
        <v>80540.432626592912</v>
      </c>
      <c r="O392" s="179">
        <f>VLOOKUP(B392,Tot_res!C:V,14,FALSE)</f>
        <v>254098.62257994423</v>
      </c>
      <c r="P392" s="179">
        <f>VLOOKUP(B392,Tot_res!C:V,15,FALSE)</f>
        <v>193333.81815457781</v>
      </c>
      <c r="Q392" s="179">
        <f>VLOOKUP(B392,Tot_res!C:V,16,FALSE)</f>
        <v>81122.464219355636</v>
      </c>
      <c r="R392" s="179">
        <f>VLOOKUP(B392,Tot_res!C:V,17,FALSE)</f>
        <v>13409.133830000002</v>
      </c>
      <c r="S392" s="179">
        <f>VLOOKUP(B392,Tot_res!C:V,18,FALSE)</f>
        <v>55157.698799999998</v>
      </c>
      <c r="T392" s="179">
        <f>VLOOKUP(B392,Tot_res!C:V,19,FALSE)</f>
        <v>9307.246980824566</v>
      </c>
      <c r="U392" s="179">
        <f>VLOOKUP(B392,Tot_res!C:V,20,FALSE)</f>
        <v>23016.519994025944</v>
      </c>
      <c r="V392" s="122">
        <f t="shared" si="68"/>
        <v>2597344.00348</v>
      </c>
    </row>
    <row r="393" spans="1:22" ht="13.15">
      <c r="A393" s="355"/>
      <c r="B393" s="115" t="s">
        <v>876</v>
      </c>
      <c r="C393" s="334" t="str">
        <f>VLOOKUP(B393,Tot_res!C:D,2,FALSE)</f>
        <v>Protección familiar y otras prestaciones no contributivas de la Seg Social</v>
      </c>
      <c r="D393" s="179">
        <f>VLOOKUP(B393,Tot_res!C:V,3,FALSE)</f>
        <v>285076.22786610969</v>
      </c>
      <c r="E393" s="179">
        <f>VLOOKUP(B393,Tot_res!C:V,4,FALSE)</f>
        <v>34795.800435000325</v>
      </c>
      <c r="F393" s="179">
        <f>VLOOKUP(B393,Tot_res!C:V,5,FALSE)</f>
        <v>37593.969602366633</v>
      </c>
      <c r="G393" s="179">
        <f>VLOOKUP(B393,Tot_res!C:V,6,FALSE)</f>
        <v>22988.141670928577</v>
      </c>
      <c r="H393" s="179">
        <f>VLOOKUP(B393,Tot_res!C:V,7,FALSE)</f>
        <v>74827.306548557608</v>
      </c>
      <c r="I393" s="179">
        <f>VLOOKUP(B393,Tot_res!C:V,8,FALSE)</f>
        <v>18665.847406326207</v>
      </c>
      <c r="J393" s="179">
        <f>VLOOKUP(B393,Tot_res!C:V,9,FALSE)</f>
        <v>87043.460501951427</v>
      </c>
      <c r="K393" s="179">
        <f>VLOOKUP(B393,Tot_res!C:V,10,FALSE)</f>
        <v>61084.365381620701</v>
      </c>
      <c r="L393" s="179">
        <f>VLOOKUP(B393,Tot_res!C:V,11,FALSE)</f>
        <v>183829.47991325794</v>
      </c>
      <c r="M393" s="179">
        <f>VLOOKUP(B393,Tot_res!C:V,12,FALSE)</f>
        <v>148796.98617826388</v>
      </c>
      <c r="N393" s="179">
        <f>VLOOKUP(B393,Tot_res!C:V,13,FALSE)</f>
        <v>40760.904785587387</v>
      </c>
      <c r="O393" s="179">
        <f>VLOOKUP(B393,Tot_res!C:V,14,FALSE)</f>
        <v>93105.622835482631</v>
      </c>
      <c r="P393" s="179">
        <f>VLOOKUP(B393,Tot_res!C:V,15,FALSE)</f>
        <v>150038.20281888224</v>
      </c>
      <c r="Q393" s="179">
        <f>VLOOKUP(B393,Tot_res!C:V,16,FALSE)</f>
        <v>58401.516635975473</v>
      </c>
      <c r="R393" s="179">
        <f>VLOOKUP(B393,Tot_res!C:V,17,FALSE)</f>
        <v>16543.71214926922</v>
      </c>
      <c r="S393" s="179">
        <f>VLOOKUP(B393,Tot_res!C:V,18,FALSE)</f>
        <v>59029.057936314595</v>
      </c>
      <c r="T393" s="179">
        <f>VLOOKUP(B393,Tot_res!C:V,19,FALSE)</f>
        <v>8572.0796225483155</v>
      </c>
      <c r="U393" s="179">
        <f>VLOOKUP(B393,Tot_res!C:V,20,FALSE)</f>
        <v>9734.1662815571362</v>
      </c>
      <c r="V393" s="122">
        <f t="shared" si="68"/>
        <v>1390886.8485699999</v>
      </c>
    </row>
    <row r="394" spans="1:22" ht="13.5" customHeight="1">
      <c r="A394" s="355"/>
      <c r="B394" s="115" t="s">
        <v>383</v>
      </c>
      <c r="C394" s="334" t="str">
        <f>VLOOKUP(B394,Tot_res!C:D,2,FALSE)</f>
        <v xml:space="preserve"> Admón. y Servicios Generales prestaciones economicas</v>
      </c>
      <c r="D394" s="179">
        <f>VLOOKUP(B394,Tot_res!C:V,3,FALSE)</f>
        <v>66261.650107966008</v>
      </c>
      <c r="E394" s="179">
        <f>VLOOKUP(B394,Tot_res!C:V,4,FALSE)</f>
        <v>12527.923663776355</v>
      </c>
      <c r="F394" s="179">
        <f>VLOOKUP(B394,Tot_res!C:V,5,FALSE)</f>
        <v>16044.342746988354</v>
      </c>
      <c r="G394" s="179">
        <f>VLOOKUP(B394,Tot_res!C:V,6,FALSE)</f>
        <v>6573.0339735432926</v>
      </c>
      <c r="H394" s="179">
        <f>VLOOKUP(B394,Tot_res!C:V,7,FALSE)</f>
        <v>11982.365734692119</v>
      </c>
      <c r="I394" s="179">
        <f>VLOOKUP(B394,Tot_res!C:V,8,FALSE)</f>
        <v>4829.1761580069806</v>
      </c>
      <c r="J394" s="179">
        <f>VLOOKUP(B394,Tot_res!C:V,9,FALSE)</f>
        <v>27681.911790086659</v>
      </c>
      <c r="K394" s="179">
        <f>VLOOKUP(B394,Tot_res!C:V,10,FALSE)</f>
        <v>17381.393961069014</v>
      </c>
      <c r="L394" s="179">
        <f>VLOOKUP(B394,Tot_res!C:V,11,FALSE)</f>
        <v>45643.855909915008</v>
      </c>
      <c r="M394" s="179">
        <f>VLOOKUP(B394,Tot_res!C:V,12,FALSE)</f>
        <v>33548.2062633475</v>
      </c>
      <c r="N394" s="179">
        <f>VLOOKUP(B394,Tot_res!C:V,13,FALSE)</f>
        <v>8472.0872003395598</v>
      </c>
      <c r="O394" s="179">
        <f>VLOOKUP(B394,Tot_res!C:V,14,FALSE)</f>
        <v>26886.594490512649</v>
      </c>
      <c r="P394" s="179">
        <f>VLOOKUP(B394,Tot_res!C:V,15,FALSE)</f>
        <v>39716.544392265045</v>
      </c>
      <c r="Q394" s="179">
        <f>VLOOKUP(B394,Tot_res!C:V,16,FALSE)</f>
        <v>9003.5659250341378</v>
      </c>
      <c r="R394" s="179">
        <f>VLOOKUP(B394,Tot_res!C:V,17,FALSE)</f>
        <v>4494.9242270244213</v>
      </c>
      <c r="S394" s="179">
        <f>VLOOKUP(B394,Tot_res!C:V,18,FALSE)</f>
        <v>19035.007216155904</v>
      </c>
      <c r="T394" s="179">
        <f>VLOOKUP(B394,Tot_res!C:V,19,FALSE)</f>
        <v>3030.9223532657215</v>
      </c>
      <c r="U394" s="179">
        <f>VLOOKUP(B394,Tot_res!C:V,20,FALSE)</f>
        <v>2159.2720660112727</v>
      </c>
      <c r="V394" s="122">
        <f t="shared" si="68"/>
        <v>355272.77817999996</v>
      </c>
    </row>
    <row r="395" spans="1:22" ht="13.15">
      <c r="A395" s="356"/>
      <c r="B395" s="115"/>
      <c r="C395" s="146"/>
      <c r="D395" s="105"/>
      <c r="E395" s="105"/>
      <c r="F395" s="105"/>
      <c r="G395" s="105"/>
      <c r="H395" s="105"/>
      <c r="I395" s="105"/>
      <c r="J395" s="105"/>
      <c r="K395" s="105"/>
      <c r="L395" s="105"/>
      <c r="M395" s="105"/>
      <c r="N395" s="105"/>
      <c r="O395" s="105"/>
      <c r="P395" s="105"/>
      <c r="Q395" s="105"/>
      <c r="R395" s="105"/>
      <c r="S395" s="105"/>
      <c r="T395" s="105"/>
      <c r="U395" s="105"/>
      <c r="V395" s="122"/>
    </row>
    <row r="396" spans="1:22" ht="13.15">
      <c r="A396" s="356"/>
      <c r="B396" s="115"/>
      <c r="C396" s="112" t="s">
        <v>4</v>
      </c>
      <c r="D396" s="114">
        <f>SUM(D397:D408)</f>
        <v>442871.82911028649</v>
      </c>
      <c r="E396" s="114">
        <f t="shared" ref="E396:U396" si="69">SUM(E397:E408)</f>
        <v>51392.314945598089</v>
      </c>
      <c r="F396" s="114">
        <f t="shared" si="69"/>
        <v>45859.599651161298</v>
      </c>
      <c r="G396" s="114">
        <f t="shared" si="69"/>
        <v>39588.181016590992</v>
      </c>
      <c r="H396" s="114">
        <f t="shared" si="69"/>
        <v>62801.963755071964</v>
      </c>
      <c r="I396" s="114">
        <f t="shared" si="69"/>
        <v>36117.084574319379</v>
      </c>
      <c r="J396" s="114">
        <f t="shared" si="69"/>
        <v>146594.2957235589</v>
      </c>
      <c r="K396" s="114">
        <f t="shared" si="69"/>
        <v>103248.99749923391</v>
      </c>
      <c r="L396" s="114">
        <f t="shared" si="69"/>
        <v>345215.87607416505</v>
      </c>
      <c r="M396" s="114">
        <f t="shared" si="69"/>
        <v>148195.79014154035</v>
      </c>
      <c r="N396" s="114">
        <f t="shared" si="69"/>
        <v>62809.467219964463</v>
      </c>
      <c r="O396" s="114">
        <f t="shared" si="69"/>
        <v>125241.25596135025</v>
      </c>
      <c r="P396" s="114">
        <f t="shared" si="69"/>
        <v>266005.15714569157</v>
      </c>
      <c r="Q396" s="114">
        <f t="shared" si="69"/>
        <v>82496.063849839149</v>
      </c>
      <c r="R396" s="114">
        <f t="shared" si="69"/>
        <v>24126.864967090907</v>
      </c>
      <c r="S396" s="114">
        <f t="shared" si="69"/>
        <v>119753.3274902636</v>
      </c>
      <c r="T396" s="114">
        <f t="shared" si="69"/>
        <v>18797.047265880654</v>
      </c>
      <c r="U396" s="114">
        <f t="shared" si="69"/>
        <v>21535.518663858849</v>
      </c>
      <c r="V396" s="126">
        <f>SUM(V397:V408)</f>
        <v>2142650.6350554661</v>
      </c>
    </row>
    <row r="397" spans="1:22" ht="13.15">
      <c r="A397" s="355"/>
      <c r="B397" s="119" t="s">
        <v>384</v>
      </c>
      <c r="C397" s="334" t="str">
        <f>VLOOKUP(B397,Tot_res!C:D,2,FALSE)</f>
        <v xml:space="preserve">Acciones en favor de los emigrantes </v>
      </c>
      <c r="D397" s="179">
        <f>VLOOKUP(B397,Tot_res!C:V,3,FALSE)</f>
        <v>12555.779595171394</v>
      </c>
      <c r="E397" s="179">
        <f>VLOOKUP(B397,Tot_res!C:V,4,FALSE)</f>
        <v>1992.3141592634502</v>
      </c>
      <c r="F397" s="179">
        <f>VLOOKUP(B397,Tot_res!C:V,5,FALSE)</f>
        <v>1587.8077429902944</v>
      </c>
      <c r="G397" s="179">
        <f>VLOOKUP(B397,Tot_res!C:V,6,FALSE)</f>
        <v>1651.3186810316859</v>
      </c>
      <c r="H397" s="179">
        <f>VLOOKUP(B397,Tot_res!C:V,7,FALSE)</f>
        <v>3148.5188773072105</v>
      </c>
      <c r="I397" s="179">
        <f>VLOOKUP(B397,Tot_res!C:V,8,FALSE)</f>
        <v>880.06874627778882</v>
      </c>
      <c r="J397" s="179">
        <f>VLOOKUP(B397,Tot_res!C:V,9,FALSE)</f>
        <v>3738.3188932840353</v>
      </c>
      <c r="K397" s="179">
        <f>VLOOKUP(B397,Tot_res!C:V,10,FALSE)</f>
        <v>3115.8036062708061</v>
      </c>
      <c r="L397" s="179">
        <f>VLOOKUP(B397,Tot_res!C:V,11,FALSE)</f>
        <v>11236.246020407139</v>
      </c>
      <c r="M397" s="179">
        <f>VLOOKUP(B397,Tot_res!C:V,12,FALSE)</f>
        <v>7543.2305277418418</v>
      </c>
      <c r="N397" s="179">
        <f>VLOOKUP(B397,Tot_res!C:V,13,FALSE)</f>
        <v>1642.7606016993875</v>
      </c>
      <c r="O397" s="179">
        <f>VLOOKUP(B397,Tot_res!C:V,14,FALSE)</f>
        <v>4111.0351758423358</v>
      </c>
      <c r="P397" s="179">
        <f>VLOOKUP(B397,Tot_res!C:V,15,FALSE)</f>
        <v>9653.9242448215809</v>
      </c>
      <c r="Q397" s="179">
        <f>VLOOKUP(B397,Tot_res!C:V,16,FALSE)</f>
        <v>2190.8586178636006</v>
      </c>
      <c r="R397" s="179">
        <f>VLOOKUP(B397,Tot_res!C:V,17,FALSE)</f>
        <v>958.13736491161262</v>
      </c>
      <c r="S397" s="179">
        <f>VLOOKUP(B397,Tot_res!C:V,18,FALSE)</f>
        <v>3265.6877799984436</v>
      </c>
      <c r="T397" s="179">
        <f>VLOOKUP(B397,Tot_res!C:V,19,FALSE)</f>
        <v>477.87256413797775</v>
      </c>
      <c r="U397" s="179">
        <f>VLOOKUP(B397,Tot_res!C:V,20,FALSE)</f>
        <v>251.47260097940676</v>
      </c>
      <c r="V397" s="122">
        <f t="shared" ref="V397:V408" si="70">SUM(D397:U397)</f>
        <v>70001.155800000008</v>
      </c>
    </row>
    <row r="398" spans="1:22" ht="13.15">
      <c r="A398" s="355"/>
      <c r="B398" s="119" t="s">
        <v>385</v>
      </c>
      <c r="C398" s="334" t="str">
        <f>VLOOKUP(B398,Tot_res!C:D,2,FALSE)</f>
        <v>Otros servicios sociales del estado + AF19/1</v>
      </c>
      <c r="D398" s="179">
        <f>VLOOKUP(B398,Tot_res!C:V,3,FALSE)</f>
        <v>76777.045095913316</v>
      </c>
      <c r="E398" s="179">
        <f>VLOOKUP(B398,Tot_res!C:V,4,FALSE)</f>
        <v>12282.141956664329</v>
      </c>
      <c r="F398" s="179">
        <f>VLOOKUP(B398,Tot_res!C:V,5,FALSE)</f>
        <v>9933.0000737773498</v>
      </c>
      <c r="G398" s="179">
        <f>VLOOKUP(B398,Tot_res!C:V,6,FALSE)</f>
        <v>9844.6745287734102</v>
      </c>
      <c r="H398" s="179">
        <f>VLOOKUP(B398,Tot_res!C:V,7,FALSE)</f>
        <v>18997.958632583461</v>
      </c>
      <c r="I398" s="179">
        <f>VLOOKUP(B398,Tot_res!C:V,8,FALSE)</f>
        <v>5434.4824715432023</v>
      </c>
      <c r="J398" s="179">
        <f>VLOOKUP(B398,Tot_res!C:V,9,FALSE)</f>
        <v>23479.983078648344</v>
      </c>
      <c r="K398" s="179">
        <f>VLOOKUP(B398,Tot_res!C:V,10,FALSE)</f>
        <v>19147.99835216915</v>
      </c>
      <c r="L398" s="179">
        <f>VLOOKUP(B398,Tot_res!C:V,11,FALSE)</f>
        <v>67338.153306763124</v>
      </c>
      <c r="M398" s="179">
        <f>VLOOKUP(B398,Tot_res!C:V,12,FALSE)</f>
        <v>45376.277269490558</v>
      </c>
      <c r="N398" s="179">
        <f>VLOOKUP(B398,Tot_res!C:V,13,FALSE)</f>
        <v>10334.78447693047</v>
      </c>
      <c r="O398" s="179">
        <f>VLOOKUP(B398,Tot_res!C:V,14,FALSE)</f>
        <v>25784.872825724411</v>
      </c>
      <c r="P398" s="179">
        <f>VLOOKUP(B398,Tot_res!C:V,15,FALSE)</f>
        <v>57624.058786734175</v>
      </c>
      <c r="Q398" s="179">
        <f>VLOOKUP(B398,Tot_res!C:V,16,FALSE)</f>
        <v>13224.443147868276</v>
      </c>
      <c r="R398" s="179">
        <f>VLOOKUP(B398,Tot_res!C:V,17,FALSE)</f>
        <v>5914.7222444993495</v>
      </c>
      <c r="S398" s="179">
        <f>VLOOKUP(B398,Tot_res!C:V,18,FALSE)</f>
        <v>20159.568829390493</v>
      </c>
      <c r="T398" s="179">
        <f>VLOOKUP(B398,Tot_res!C:V,19,FALSE)</f>
        <v>3188.8731955778549</v>
      </c>
      <c r="U398" s="179">
        <f>VLOOKUP(B398,Tot_res!C:V,20,FALSE)</f>
        <v>7284.3460807769643</v>
      </c>
      <c r="V398" s="122">
        <f t="shared" si="70"/>
        <v>432127.38435382827</v>
      </c>
    </row>
    <row r="399" spans="1:22" ht="13.15">
      <c r="A399" s="355"/>
      <c r="B399" s="119" t="s">
        <v>386</v>
      </c>
      <c r="C399" s="334" t="str">
        <f>VLOOKUP(B399,Tot_res!C:D,2,FALSE)</f>
        <v>Atención a la infancia y a las familias</v>
      </c>
      <c r="D399" s="179">
        <f>VLOOKUP(B399,Tot_res!C:V,3,FALSE)</f>
        <v>694.82801049480099</v>
      </c>
      <c r="E399" s="179">
        <f>VLOOKUP(B399,Tot_res!C:V,4,FALSE)</f>
        <v>110.25326408995062</v>
      </c>
      <c r="F399" s="179">
        <f>VLOOKUP(B399,Tot_res!C:V,5,FALSE)</f>
        <v>87.868163561461955</v>
      </c>
      <c r="G399" s="179">
        <f>VLOOKUP(B399,Tot_res!C:V,6,FALSE)</f>
        <v>91.382814196212607</v>
      </c>
      <c r="H399" s="179">
        <f>VLOOKUP(B399,Tot_res!C:V,7,FALSE)</f>
        <v>174.23681985991649</v>
      </c>
      <c r="I399" s="179">
        <f>VLOOKUP(B399,Tot_res!C:V,8,FALSE)</f>
        <v>48.702385338940992</v>
      </c>
      <c r="J399" s="179">
        <f>VLOOKUP(B399,Tot_res!C:V,9,FALSE)</f>
        <v>206.87593785212624</v>
      </c>
      <c r="K399" s="179">
        <f>VLOOKUP(B399,Tot_res!C:V,10,FALSE)</f>
        <v>172.4263797741599</v>
      </c>
      <c r="L399" s="179">
        <f>VLOOKUP(B399,Tot_res!C:V,11,FALSE)</f>
        <v>621.80595068681146</v>
      </c>
      <c r="M399" s="179">
        <f>VLOOKUP(B399,Tot_res!C:V,12,FALSE)</f>
        <v>417.43707115646964</v>
      </c>
      <c r="N399" s="179">
        <f>VLOOKUP(B399,Tot_res!C:V,13,FALSE)</f>
        <v>90.90921610610242</v>
      </c>
      <c r="O399" s="179">
        <f>VLOOKUP(B399,Tot_res!C:V,14,FALSE)</f>
        <v>227.50179474344949</v>
      </c>
      <c r="P399" s="179">
        <f>VLOOKUP(B399,Tot_res!C:V,15,FALSE)</f>
        <v>534.24137670245057</v>
      </c>
      <c r="Q399" s="179">
        <f>VLOOKUP(B399,Tot_res!C:V,16,FALSE)</f>
        <v>121.24057476375086</v>
      </c>
      <c r="R399" s="179">
        <f>VLOOKUP(B399,Tot_res!C:V,17,FALSE)</f>
        <v>53.022647777147384</v>
      </c>
      <c r="S399" s="179">
        <f>VLOOKUP(B399,Tot_res!C:V,18,FALSE)</f>
        <v>180.72086451295559</v>
      </c>
      <c r="T399" s="179">
        <f>VLOOKUP(B399,Tot_res!C:V,19,FALSE)</f>
        <v>26.445131542268655</v>
      </c>
      <c r="U399" s="179">
        <f>VLOOKUP(B399,Tot_res!C:V,20,FALSE)</f>
        <v>13.916316841024395</v>
      </c>
      <c r="V399" s="122">
        <f t="shared" si="70"/>
        <v>3873.8147199999999</v>
      </c>
    </row>
    <row r="400" spans="1:22" ht="13.15">
      <c r="A400" s="355"/>
      <c r="B400" s="119" t="s">
        <v>387</v>
      </c>
      <c r="C400" s="334" t="str">
        <f>VLOOKUP(B400,Tot_res!C:D,2,FALSE)</f>
        <v>Acciones en favor de los inmigrantes</v>
      </c>
      <c r="D400" s="179">
        <f>VLOOKUP(B400,Tot_res!C:V,3,FALSE)</f>
        <v>24150.711413573525</v>
      </c>
      <c r="E400" s="179">
        <f>VLOOKUP(B400,Tot_res!C:V,4,FALSE)</f>
        <v>1906.0928293022848</v>
      </c>
      <c r="F400" s="179">
        <f>VLOOKUP(B400,Tot_res!C:V,5,FALSE)</f>
        <v>1491.7085507518677</v>
      </c>
      <c r="G400" s="179">
        <f>VLOOKUP(B400,Tot_res!C:V,6,FALSE)</f>
        <v>1147.7649071649562</v>
      </c>
      <c r="H400" s="179">
        <f>VLOOKUP(B400,Tot_res!C:V,7,FALSE)</f>
        <v>6289.2887115148606</v>
      </c>
      <c r="I400" s="179">
        <f>VLOOKUP(B400,Tot_res!C:V,8,FALSE)</f>
        <v>492.98503591099819</v>
      </c>
      <c r="J400" s="179">
        <f>VLOOKUP(B400,Tot_res!C:V,9,FALSE)</f>
        <v>3226.7776625392275</v>
      </c>
      <c r="K400" s="179">
        <f>VLOOKUP(B400,Tot_res!C:V,10,FALSE)</f>
        <v>3071.3905450958036</v>
      </c>
      <c r="L400" s="179">
        <f>VLOOKUP(B400,Tot_res!C:V,11,FALSE)</f>
        <v>11376.347961959716</v>
      </c>
      <c r="M400" s="179">
        <f>VLOOKUP(B400,Tot_res!C:V,12,FALSE)</f>
        <v>6777.1903104336288</v>
      </c>
      <c r="N400" s="179">
        <f>VLOOKUP(B400,Tot_res!C:V,13,FALSE)</f>
        <v>870.09822644832229</v>
      </c>
      <c r="O400" s="179">
        <f>VLOOKUP(B400,Tot_res!C:V,14,FALSE)</f>
        <v>2588.904290312822</v>
      </c>
      <c r="P400" s="179">
        <f>VLOOKUP(B400,Tot_res!C:V,15,FALSE)</f>
        <v>11731.106732024069</v>
      </c>
      <c r="Q400" s="179">
        <f>VLOOKUP(B400,Tot_res!C:V,16,FALSE)</f>
        <v>4152.4616139888085</v>
      </c>
      <c r="R400" s="179">
        <f>VLOOKUP(B400,Tot_res!C:V,17,FALSE)</f>
        <v>817.04437768664855</v>
      </c>
      <c r="S400" s="179">
        <f>VLOOKUP(B400,Tot_res!C:V,18,FALSE)</f>
        <v>2330.4768105519997</v>
      </c>
      <c r="T400" s="179">
        <f>VLOOKUP(B400,Tot_res!C:V,19,FALSE)</f>
        <v>301.83057930927441</v>
      </c>
      <c r="U400" s="179">
        <f>VLOOKUP(B400,Tot_res!C:V,20,FALSE)</f>
        <v>6785.2056214311851</v>
      </c>
      <c r="V400" s="122">
        <f t="shared" si="70"/>
        <v>89507.386180000001</v>
      </c>
    </row>
    <row r="401" spans="1:22" ht="13.15">
      <c r="A401" s="355"/>
      <c r="B401" s="119" t="s">
        <v>388</v>
      </c>
      <c r="C401" s="334" t="str">
        <f>VLOOKUP(B401,Tot_res!C:D,2,FALSE)</f>
        <v>Promoción y servicios a la juventud</v>
      </c>
      <c r="D401" s="179">
        <f>VLOOKUP(B401,Tot_res!C:V,3,FALSE)</f>
        <v>3409.9378504092579</v>
      </c>
      <c r="E401" s="179">
        <f>VLOOKUP(B401,Tot_res!C:V,4,FALSE)</f>
        <v>714.26537181132039</v>
      </c>
      <c r="F401" s="179">
        <f>VLOOKUP(B401,Tot_res!C:V,5,FALSE)</f>
        <v>560.60464004666881</v>
      </c>
      <c r="G401" s="179">
        <f>VLOOKUP(B401,Tot_res!C:V,6,FALSE)</f>
        <v>356.932746905096</v>
      </c>
      <c r="H401" s="179">
        <f>VLOOKUP(B401,Tot_res!C:V,7,FALSE)</f>
        <v>1120.6222674023938</v>
      </c>
      <c r="I401" s="179">
        <f>VLOOKUP(B401,Tot_res!C:V,8,FALSE)</f>
        <v>339.11236063825447</v>
      </c>
      <c r="J401" s="179">
        <f>VLOOKUP(B401,Tot_res!C:V,9,FALSE)</f>
        <v>1508.1450515777678</v>
      </c>
      <c r="K401" s="179">
        <f>VLOOKUP(B401,Tot_res!C:V,10,FALSE)</f>
        <v>894.95629667217418</v>
      </c>
      <c r="L401" s="179">
        <f>VLOOKUP(B401,Tot_res!C:V,11,FALSE)</f>
        <v>3832.2491003043942</v>
      </c>
      <c r="M401" s="179">
        <f>VLOOKUP(B401,Tot_res!C:V,12,FALSE)</f>
        <v>2356.9703799409244</v>
      </c>
      <c r="N401" s="179">
        <f>VLOOKUP(B401,Tot_res!C:V,13,FALSE)</f>
        <v>617.28325635259694</v>
      </c>
      <c r="O401" s="179">
        <f>VLOOKUP(B401,Tot_res!C:V,14,FALSE)</f>
        <v>1681.307191164824</v>
      </c>
      <c r="P401" s="179">
        <f>VLOOKUP(B401,Tot_res!C:V,15,FALSE)</f>
        <v>3145.4721513755158</v>
      </c>
      <c r="Q401" s="179">
        <f>VLOOKUP(B401,Tot_res!C:V,16,FALSE)</f>
        <v>1032.2566989807065</v>
      </c>
      <c r="R401" s="179">
        <f>VLOOKUP(B401,Tot_res!C:V,17,FALSE)</f>
        <v>330.86184895442966</v>
      </c>
      <c r="S401" s="179">
        <f>VLOOKUP(B401,Tot_res!C:V,18,FALSE)</f>
        <v>687.67110083555804</v>
      </c>
      <c r="T401" s="179">
        <f>VLOOKUP(B401,Tot_res!C:V,19,FALSE)</f>
        <v>221.58646904150788</v>
      </c>
      <c r="U401" s="179">
        <f>VLOOKUP(B401,Tot_res!C:V,20,FALSE)</f>
        <v>176.3144575866078</v>
      </c>
      <c r="V401" s="122">
        <f t="shared" si="70"/>
        <v>22986.549239999997</v>
      </c>
    </row>
    <row r="402" spans="1:22" ht="13.15">
      <c r="A402" s="355"/>
      <c r="B402" s="115" t="s">
        <v>389</v>
      </c>
      <c r="C402" s="334" t="str">
        <f>VLOOKUP(B402,Tot_res!C:D,2,FALSE)</f>
        <v>Igualdad oportunidades entre mujeres y hombres</v>
      </c>
      <c r="D402" s="179">
        <f>VLOOKUP(B402,Tot_res!C:V,3,FALSE)</f>
        <v>2170.9741151415647</v>
      </c>
      <c r="E402" s="179">
        <f>VLOOKUP(B402,Tot_res!C:V,4,FALSE)</f>
        <v>484.42573659700224</v>
      </c>
      <c r="F402" s="179">
        <f>VLOOKUP(B402,Tot_res!C:V,5,FALSE)</f>
        <v>277.08863125479604</v>
      </c>
      <c r="G402" s="179">
        <f>VLOOKUP(B402,Tot_res!C:V,6,FALSE)</f>
        <v>234.37754308811731</v>
      </c>
      <c r="H402" s="179">
        <f>VLOOKUP(B402,Tot_res!C:V,7,FALSE)</f>
        <v>413.75596871106603</v>
      </c>
      <c r="I402" s="179">
        <f>VLOOKUP(B402,Tot_res!C:V,8,FALSE)</f>
        <v>474.76866632660688</v>
      </c>
      <c r="J402" s="179">
        <f>VLOOKUP(B402,Tot_res!C:V,9,FALSE)</f>
        <v>1116.7672446719168</v>
      </c>
      <c r="K402" s="179">
        <f>VLOOKUP(B402,Tot_res!C:V,10,FALSE)</f>
        <v>896.51026200642855</v>
      </c>
      <c r="L402" s="179">
        <f>VLOOKUP(B402,Tot_res!C:V,11,FALSE)</f>
        <v>2143.8000496779241</v>
      </c>
      <c r="M402" s="179">
        <f>VLOOKUP(B402,Tot_res!C:V,12,FALSE)</f>
        <v>1004.3599932326429</v>
      </c>
      <c r="N402" s="179">
        <f>VLOOKUP(B402,Tot_res!C:V,13,FALSE)</f>
        <v>157.45364535430383</v>
      </c>
      <c r="O402" s="179">
        <f>VLOOKUP(B402,Tot_res!C:V,14,FALSE)</f>
        <v>922.06748775340407</v>
      </c>
      <c r="P402" s="179">
        <f>VLOOKUP(B402,Tot_res!C:V,15,FALSE)</f>
        <v>2171.2623876568905</v>
      </c>
      <c r="Q402" s="179">
        <f>VLOOKUP(B402,Tot_res!C:V,16,FALSE)</f>
        <v>864.70626568554326</v>
      </c>
      <c r="R402" s="179">
        <f>VLOOKUP(B402,Tot_res!C:V,17,FALSE)</f>
        <v>224.96817365832936</v>
      </c>
      <c r="S402" s="179">
        <f>VLOOKUP(B402,Tot_res!C:V,18,FALSE)</f>
        <v>409.61661363678166</v>
      </c>
      <c r="T402" s="179">
        <f>VLOOKUP(B402,Tot_res!C:V,19,FALSE)</f>
        <v>245.85286806372523</v>
      </c>
      <c r="U402" s="179">
        <f>VLOOKUP(B402,Tot_res!C:V,20,FALSE)</f>
        <v>341.86240748296052</v>
      </c>
      <c r="V402" s="122">
        <f t="shared" si="70"/>
        <v>14554.618060000004</v>
      </c>
    </row>
    <row r="403" spans="1:22" ht="13.15">
      <c r="A403" s="355"/>
      <c r="B403" s="119" t="s">
        <v>390</v>
      </c>
      <c r="C403" s="334" t="str">
        <f>VLOOKUP(B403,Tot_res!C:D,2,FALSE)</f>
        <v>Actuaciones para la prevención integral de la violencia de género + AF19/2</v>
      </c>
      <c r="D403" s="179">
        <f>VLOOKUP(B403,Tot_res!C:V,3,FALSE)</f>
        <v>3043.7146285435983</v>
      </c>
      <c r="E403" s="179">
        <f>VLOOKUP(B403,Tot_res!C:V,4,FALSE)</f>
        <v>789.42137895836686</v>
      </c>
      <c r="F403" s="179">
        <f>VLOOKUP(B403,Tot_res!C:V,5,FALSE)</f>
        <v>464.20829325155466</v>
      </c>
      <c r="G403" s="179">
        <f>VLOOKUP(B403,Tot_res!C:V,6,FALSE)</f>
        <v>880.53767616583696</v>
      </c>
      <c r="H403" s="179">
        <f>VLOOKUP(B403,Tot_res!C:V,7,FALSE)</f>
        <v>1588.3140371973313</v>
      </c>
      <c r="I403" s="179">
        <f>VLOOKUP(B403,Tot_res!C:V,8,FALSE)</f>
        <v>439.28069291860481</v>
      </c>
      <c r="J403" s="179">
        <f>VLOOKUP(B403,Tot_res!C:V,9,FALSE)</f>
        <v>880.67640427453318</v>
      </c>
      <c r="K403" s="179">
        <f>VLOOKUP(B403,Tot_res!C:V,10,FALSE)</f>
        <v>704.98377647376446</v>
      </c>
      <c r="L403" s="179">
        <f>VLOOKUP(B403,Tot_res!C:V,11,FALSE)</f>
        <v>2150.2240653906929</v>
      </c>
      <c r="M403" s="179">
        <f>VLOOKUP(B403,Tot_res!C:V,12,FALSE)</f>
        <v>1686.2296831804069</v>
      </c>
      <c r="N403" s="179">
        <f>VLOOKUP(B403,Tot_res!C:V,13,FALSE)</f>
        <v>1240.7094745986356</v>
      </c>
      <c r="O403" s="179">
        <f>VLOOKUP(B403,Tot_res!C:V,14,FALSE)</f>
        <v>1501.5643670251698</v>
      </c>
      <c r="P403" s="179">
        <f>VLOOKUP(B403,Tot_res!C:V,15,FALSE)</f>
        <v>1856.7407972943131</v>
      </c>
      <c r="Q403" s="179">
        <f>VLOOKUP(B403,Tot_res!C:V,16,FALSE)</f>
        <v>664.6924430274521</v>
      </c>
      <c r="R403" s="179">
        <f>VLOOKUP(B403,Tot_res!C:V,17,FALSE)</f>
        <v>269.21858810204611</v>
      </c>
      <c r="S403" s="179">
        <f>VLOOKUP(B403,Tot_res!C:V,18,FALSE)</f>
        <v>917.59687651299384</v>
      </c>
      <c r="T403" s="179">
        <f>VLOOKUP(B403,Tot_res!C:V,19,FALSE)</f>
        <v>349.66400708347226</v>
      </c>
      <c r="U403" s="179">
        <f>VLOOKUP(B403,Tot_res!C:V,20,FALSE)</f>
        <v>241.23168090132611</v>
      </c>
      <c r="V403" s="122">
        <f t="shared" si="70"/>
        <v>19669.008870900099</v>
      </c>
    </row>
    <row r="404" spans="1:22" ht="13.15">
      <c r="A404" s="355"/>
      <c r="B404" s="115" t="s">
        <v>885</v>
      </c>
      <c r="C404" s="334" t="str">
        <f>VLOOKUP(B404,Tot_res!C:D,2,FALSE)</f>
        <v>Servicios Sociales Generales, neto de gasto directo del Estado en Ceuta y Melilla + AF19/3</v>
      </c>
      <c r="D404" s="179">
        <f>VLOOKUP(B404,Tot_res!C:V,3,FALSE)</f>
        <v>309517.29685015831</v>
      </c>
      <c r="E404" s="179">
        <f>VLOOKUP(B404,Tot_res!C:V,4,FALSE)</f>
        <v>31391.059188068051</v>
      </c>
      <c r="F404" s="179">
        <f>VLOOKUP(B404,Tot_res!C:V,5,FALSE)</f>
        <v>29105.906595671091</v>
      </c>
      <c r="G404" s="179">
        <f>VLOOKUP(B404,Tot_res!C:V,6,FALSE)</f>
        <v>23785.4050247056</v>
      </c>
      <c r="H404" s="179">
        <f>VLOOKUP(B404,Tot_res!C:V,7,FALSE)</f>
        <v>28761.865892660371</v>
      </c>
      <c r="I404" s="179">
        <f>VLOOKUP(B404,Tot_res!C:V,8,FALSE)</f>
        <v>26795.128206681988</v>
      </c>
      <c r="J404" s="179">
        <f>VLOOKUP(B404,Tot_res!C:V,9,FALSE)</f>
        <v>109569.09250024785</v>
      </c>
      <c r="K404" s="179">
        <f>VLOOKUP(B404,Tot_res!C:V,10,FALSE)</f>
        <v>73439.638045252766</v>
      </c>
      <c r="L404" s="179">
        <f>VLOOKUP(B404,Tot_res!C:V,11,FALSE)</f>
        <v>238288.79252646255</v>
      </c>
      <c r="M404" s="179">
        <f>VLOOKUP(B404,Tot_res!C:V,12,FALSE)</f>
        <v>78847.188923575653</v>
      </c>
      <c r="N404" s="179">
        <f>VLOOKUP(B404,Tot_res!C:V,13,FALSE)</f>
        <v>46633.155984207879</v>
      </c>
      <c r="O404" s="179">
        <f>VLOOKUP(B404,Tot_res!C:V,14,FALSE)</f>
        <v>85265.779211070912</v>
      </c>
      <c r="P404" s="179">
        <f>VLOOKUP(B404,Tot_res!C:V,15,FALSE)</f>
        <v>172504.60327741542</v>
      </c>
      <c r="Q404" s="179">
        <f>VLOOKUP(B404,Tot_res!C:V,16,FALSE)</f>
        <v>58073.073285349616</v>
      </c>
      <c r="R404" s="179">
        <f>VLOOKUP(B404,Tot_res!C:V,17,FALSE)</f>
        <v>14791.815979316911</v>
      </c>
      <c r="S404" s="179">
        <f>VLOOKUP(B404,Tot_res!C:V,18,FALSE)</f>
        <v>88385.117974539753</v>
      </c>
      <c r="T404" s="179">
        <f>VLOOKUP(B404,Tot_res!C:V,19,FALSE)</f>
        <v>13670.084354208813</v>
      </c>
      <c r="U404" s="179">
        <f>VLOOKUP(B404,Tot_res!C:V,20,FALSE)</f>
        <v>5719.3106663693561</v>
      </c>
      <c r="V404" s="122">
        <f t="shared" si="70"/>
        <v>1434544.314485963</v>
      </c>
    </row>
    <row r="405" spans="1:22" ht="13.15">
      <c r="A405" s="355"/>
      <c r="B405" s="115" t="s">
        <v>887</v>
      </c>
      <c r="C405" s="334" t="str">
        <f>VLOOKUP(B405,Tot_res!C:D,2,FALSE)</f>
        <v>Otros Servicios Sociales, ISM</v>
      </c>
      <c r="D405" s="179">
        <f>VLOOKUP(B405,Tot_res!C:V,3,FALSE)</f>
        <v>2.9731679255886183</v>
      </c>
      <c r="E405" s="179">
        <f>VLOOKUP(B405,Tot_res!C:V,4,FALSE)</f>
        <v>0</v>
      </c>
      <c r="F405" s="179">
        <f>VLOOKUP(B405,Tot_res!C:V,5,FALSE)</f>
        <v>4.1910921360707034</v>
      </c>
      <c r="G405" s="179">
        <f>VLOOKUP(B405,Tot_res!C:V,6,FALSE)</f>
        <v>0</v>
      </c>
      <c r="H405" s="179">
        <f>VLOOKUP(B405,Tot_res!C:V,7,FALSE)</f>
        <v>0</v>
      </c>
      <c r="I405" s="179">
        <f>VLOOKUP(B405,Tot_res!C:V,8,FALSE)</f>
        <v>0</v>
      </c>
      <c r="J405" s="179">
        <f>VLOOKUP(B405,Tot_res!C:V,9,FALSE)</f>
        <v>0</v>
      </c>
      <c r="K405" s="179">
        <f>VLOOKUP(B405,Tot_res!C:V,10,FALSE)</f>
        <v>0</v>
      </c>
      <c r="L405" s="179">
        <f>VLOOKUP(B405,Tot_res!C:V,11,FALSE)</f>
        <v>0</v>
      </c>
      <c r="M405" s="179">
        <f>VLOOKUP(B405,Tot_res!C:V,12,FALSE)</f>
        <v>4.8000542413117451</v>
      </c>
      <c r="N405" s="179">
        <f>VLOOKUP(B405,Tot_res!C:V,13,FALSE)</f>
        <v>0</v>
      </c>
      <c r="O405" s="179">
        <f>VLOOKUP(B405,Tot_res!C:V,14,FALSE)</f>
        <v>21.627538907687061</v>
      </c>
      <c r="P405" s="179">
        <f>VLOOKUP(B405,Tot_res!C:V,15,FALSE)</f>
        <v>74.018915045495703</v>
      </c>
      <c r="Q405" s="179">
        <f>VLOOKUP(B405,Tot_res!C:V,16,FALSE)</f>
        <v>0</v>
      </c>
      <c r="R405" s="179">
        <f>VLOOKUP(B405,Tot_res!C:V,17,FALSE)</f>
        <v>0</v>
      </c>
      <c r="S405" s="179">
        <f>VLOOKUP(B405,Tot_res!C:V,18,FALSE)</f>
        <v>13.513792396701042</v>
      </c>
      <c r="T405" s="179">
        <f>VLOOKUP(B405,Tot_res!C:V,19,FALSE)</f>
        <v>0</v>
      </c>
      <c r="U405" s="179">
        <f>VLOOKUP(B405,Tot_res!C:V,20,FALSE)</f>
        <v>513.32100934714515</v>
      </c>
      <c r="V405" s="122">
        <f t="shared" si="70"/>
        <v>634.44557000000009</v>
      </c>
    </row>
    <row r="406" spans="1:22" ht="13.15">
      <c r="A406" s="355"/>
      <c r="B406" s="115" t="s">
        <v>888</v>
      </c>
      <c r="C406" s="334" t="str">
        <f>VLOOKUP(B406,Tot_res!C:D,2,FALSE)</f>
        <v>Otros Servicios Sociales, Mutuas</v>
      </c>
      <c r="D406" s="179">
        <f>VLOOKUP(B406,Tot_res!C:V,3,FALSE)</f>
        <v>3373.7843234663274</v>
      </c>
      <c r="E406" s="179">
        <f>VLOOKUP(B406,Tot_res!C:V,4,FALSE)</f>
        <v>1269.7920332530036</v>
      </c>
      <c r="F406" s="179">
        <f>VLOOKUP(B406,Tot_res!C:V,5,FALSE)</f>
        <v>716.35574346253395</v>
      </c>
      <c r="G406" s="179">
        <f>VLOOKUP(B406,Tot_res!C:V,6,FALSE)</f>
        <v>581.5018197021717</v>
      </c>
      <c r="H406" s="179">
        <f>VLOOKUP(B406,Tot_res!C:V,7,FALSE)</f>
        <v>881.32465271556009</v>
      </c>
      <c r="I406" s="179">
        <f>VLOOKUP(B406,Tot_res!C:V,8,FALSE)</f>
        <v>182.21679540496248</v>
      </c>
      <c r="J406" s="179">
        <f>VLOOKUP(B406,Tot_res!C:V,9,FALSE)</f>
        <v>1379.8046471145651</v>
      </c>
      <c r="K406" s="179">
        <f>VLOOKUP(B406,Tot_res!C:V,10,FALSE)</f>
        <v>671.11712513720977</v>
      </c>
      <c r="L406" s="179">
        <f>VLOOKUP(B406,Tot_res!C:V,11,FALSE)</f>
        <v>4709.129928518787</v>
      </c>
      <c r="M406" s="179">
        <f>VLOOKUP(B406,Tot_res!C:V,12,FALSE)</f>
        <v>2298.0302154844057</v>
      </c>
      <c r="N406" s="179">
        <f>VLOOKUP(B406,Tot_res!C:V,13,FALSE)</f>
        <v>456.74874691947605</v>
      </c>
      <c r="O406" s="179">
        <f>VLOOKUP(B406,Tot_res!C:V,14,FALSE)</f>
        <v>1243.1487768816467</v>
      </c>
      <c r="P406" s="179">
        <f>VLOOKUP(B406,Tot_res!C:V,15,FALSE)</f>
        <v>4383.0960655729868</v>
      </c>
      <c r="Q406" s="179">
        <f>VLOOKUP(B406,Tot_res!C:V,16,FALSE)</f>
        <v>439.32673495144422</v>
      </c>
      <c r="R406" s="179">
        <f>VLOOKUP(B406,Tot_res!C:V,17,FALSE)</f>
        <v>433.07350201318917</v>
      </c>
      <c r="S406" s="179">
        <f>VLOOKUP(B406,Tot_res!C:V,18,FALSE)</f>
        <v>1416.8406028604118</v>
      </c>
      <c r="T406" s="179">
        <f>VLOOKUP(B406,Tot_res!C:V,19,FALSE)</f>
        <v>163.84351078085811</v>
      </c>
      <c r="U406" s="179">
        <f>VLOOKUP(B406,Tot_res!C:V,20,FALSE)</f>
        <v>3.1966608819096707</v>
      </c>
      <c r="V406" s="122">
        <f t="shared" si="70"/>
        <v>24602.331885121446</v>
      </c>
    </row>
    <row r="407" spans="1:22" ht="13.15">
      <c r="A407" s="355"/>
      <c r="B407" s="115" t="s">
        <v>890</v>
      </c>
      <c r="C407" s="334" t="str">
        <f>VLOOKUP(B407,Tot_res!C:D,2,FALSE)</f>
        <v>Admón.y Serv.Generales de Servicios Sociales, IMSERSO + AF19/4</v>
      </c>
      <c r="D407" s="179">
        <f>VLOOKUP(B407,Tot_res!C:V,3,FALSE)</f>
        <v>5560.4483448454439</v>
      </c>
      <c r="E407" s="179">
        <f>VLOOKUP(B407,Tot_res!C:V,4,FALSE)</f>
        <v>452.54902759032962</v>
      </c>
      <c r="F407" s="179">
        <f>VLOOKUP(B407,Tot_res!C:V,5,FALSE)</f>
        <v>482.32110264606661</v>
      </c>
      <c r="G407" s="179">
        <f>VLOOKUP(B407,Tot_res!C:V,6,FALSE)</f>
        <v>394.98120885628589</v>
      </c>
      <c r="H407" s="179">
        <f>VLOOKUP(B407,Tot_res!C:V,7,FALSE)</f>
        <v>1426.0778951197867</v>
      </c>
      <c r="I407" s="179">
        <f>VLOOKUP(B407,Tot_res!C:V,8,FALSE)</f>
        <v>387.95300689992047</v>
      </c>
      <c r="J407" s="179">
        <f>VLOOKUP(B407,Tot_res!C:V,9,FALSE)</f>
        <v>1487.8543033485314</v>
      </c>
      <c r="K407" s="179">
        <f>VLOOKUP(B407,Tot_res!C:V,10,FALSE)</f>
        <v>1134.1731103816453</v>
      </c>
      <c r="L407" s="179">
        <f>VLOOKUP(B407,Tot_res!C:V,11,FALSE)</f>
        <v>3519.1271639939059</v>
      </c>
      <c r="M407" s="179">
        <f>VLOOKUP(B407,Tot_res!C:V,12,FALSE)</f>
        <v>1884.0757130624945</v>
      </c>
      <c r="N407" s="179">
        <f>VLOOKUP(B407,Tot_res!C:V,13,FALSE)</f>
        <v>765.56359134728609</v>
      </c>
      <c r="O407" s="179">
        <f>VLOOKUP(B407,Tot_res!C:V,14,FALSE)</f>
        <v>1893.4473019236084</v>
      </c>
      <c r="P407" s="179">
        <f>VLOOKUP(B407,Tot_res!C:V,15,FALSE)</f>
        <v>2326.6324110487099</v>
      </c>
      <c r="Q407" s="179">
        <f>VLOOKUP(B407,Tot_res!C:V,16,FALSE)</f>
        <v>857.99506431209295</v>
      </c>
      <c r="R407" s="179">
        <f>VLOOKUP(B407,Tot_res!C:V,17,FALSE)</f>
        <v>334.00024017124065</v>
      </c>
      <c r="S407" s="179">
        <f>VLOOKUP(B407,Tot_res!C:V,18,FALSE)</f>
        <v>1138.3967923476043</v>
      </c>
      <c r="T407" s="179">
        <f>VLOOKUP(B407,Tot_res!C:V,19,FALSE)</f>
        <v>150.99458613490049</v>
      </c>
      <c r="U407" s="179">
        <f>VLOOKUP(B407,Tot_res!C:V,20,FALSE)</f>
        <v>205.3411612609633</v>
      </c>
      <c r="V407" s="122">
        <f t="shared" si="70"/>
        <v>24401.932025290818</v>
      </c>
    </row>
    <row r="408" spans="1:22" ht="13.15">
      <c r="A408" s="355"/>
      <c r="B408" s="115" t="s">
        <v>892</v>
      </c>
      <c r="C408" s="334" t="str">
        <f>VLOOKUP(B408,Tot_res!C:D,2,FALSE)</f>
        <v>ISM formación y servicios sociales + AF19/5</v>
      </c>
      <c r="D408" s="179">
        <f>VLOOKUP(B408,Tot_res!C:V,3,FALSE)</f>
        <v>1614.3357146433548</v>
      </c>
      <c r="E408" s="179">
        <f>VLOOKUP(B408,Tot_res!C:V,4,FALSE)</f>
        <v>0</v>
      </c>
      <c r="F408" s="179">
        <f>VLOOKUP(B408,Tot_res!C:V,5,FALSE)</f>
        <v>1148.5390216115516</v>
      </c>
      <c r="G408" s="179">
        <f>VLOOKUP(B408,Tot_res!C:V,6,FALSE)</f>
        <v>619.30406600161712</v>
      </c>
      <c r="H408" s="179">
        <f>VLOOKUP(B408,Tot_res!C:V,7,FALSE)</f>
        <v>0</v>
      </c>
      <c r="I408" s="179">
        <f>VLOOKUP(B408,Tot_res!C:V,8,FALSE)</f>
        <v>642.38620637810186</v>
      </c>
      <c r="J408" s="179">
        <f>VLOOKUP(B408,Tot_res!C:V,9,FALSE)</f>
        <v>0</v>
      </c>
      <c r="K408" s="179">
        <f>VLOOKUP(B408,Tot_res!C:V,10,FALSE)</f>
        <v>0</v>
      </c>
      <c r="L408" s="179">
        <f>VLOOKUP(B408,Tot_res!C:V,11,FALSE)</f>
        <v>0</v>
      </c>
      <c r="M408" s="179">
        <f>VLOOKUP(B408,Tot_res!C:V,12,FALSE)</f>
        <v>0</v>
      </c>
      <c r="N408" s="179">
        <f>VLOOKUP(B408,Tot_res!C:V,13,FALSE)</f>
        <v>0</v>
      </c>
      <c r="O408" s="179">
        <f>VLOOKUP(B408,Tot_res!C:V,14,FALSE)</f>
        <v>0</v>
      </c>
      <c r="P408" s="179">
        <f>VLOOKUP(B408,Tot_res!C:V,15,FALSE)</f>
        <v>0</v>
      </c>
      <c r="Q408" s="179">
        <f>VLOOKUP(B408,Tot_res!C:V,16,FALSE)</f>
        <v>875.00940304784979</v>
      </c>
      <c r="R408" s="179">
        <f>VLOOKUP(B408,Tot_res!C:V,17,FALSE)</f>
        <v>0</v>
      </c>
      <c r="S408" s="179">
        <f>VLOOKUP(B408,Tot_res!C:V,18,FALSE)</f>
        <v>848.11945267992417</v>
      </c>
      <c r="T408" s="179">
        <f>VLOOKUP(B408,Tot_res!C:V,19,FALSE)</f>
        <v>0</v>
      </c>
      <c r="U408" s="179">
        <f>VLOOKUP(B408,Tot_res!C:V,20,FALSE)</f>
        <v>0</v>
      </c>
      <c r="V408" s="122">
        <f t="shared" si="70"/>
        <v>5747.6938643623998</v>
      </c>
    </row>
    <row r="409" spans="1:22" ht="13.15">
      <c r="A409" s="364"/>
      <c r="B409" s="115"/>
      <c r="C409" s="142"/>
      <c r="D409" s="105"/>
      <c r="E409" s="105"/>
      <c r="F409" s="105"/>
      <c r="G409" s="105"/>
      <c r="H409" s="105"/>
      <c r="I409" s="105"/>
      <c r="J409" s="105"/>
      <c r="K409" s="105"/>
      <c r="L409" s="105"/>
      <c r="M409" s="105"/>
      <c r="N409" s="105"/>
      <c r="O409" s="105"/>
      <c r="P409" s="105"/>
      <c r="Q409" s="105"/>
      <c r="R409" s="105"/>
      <c r="S409" s="105"/>
      <c r="T409" s="105"/>
      <c r="U409" s="105"/>
      <c r="V409" s="122"/>
    </row>
    <row r="410" spans="1:22" ht="13.15">
      <c r="A410" s="364"/>
      <c r="B410" s="115"/>
      <c r="C410" s="117" t="s">
        <v>392</v>
      </c>
      <c r="D410" s="114">
        <f t="shared" ref="D410:V410" si="71">SUM(D411:D422)</f>
        <v>279845.46096195054</v>
      </c>
      <c r="E410" s="114">
        <f t="shared" si="71"/>
        <v>60158.58460515763</v>
      </c>
      <c r="F410" s="114">
        <f t="shared" si="71"/>
        <v>57981.594855672985</v>
      </c>
      <c r="G410" s="114">
        <f t="shared" si="71"/>
        <v>44958.070074227551</v>
      </c>
      <c r="H410" s="114">
        <f t="shared" si="71"/>
        <v>72131.260818667812</v>
      </c>
      <c r="I410" s="114">
        <f t="shared" si="71"/>
        <v>26541.427557661205</v>
      </c>
      <c r="J410" s="114">
        <f t="shared" si="71"/>
        <v>110494.892743424</v>
      </c>
      <c r="K410" s="114">
        <f t="shared" si="71"/>
        <v>72443.742701100826</v>
      </c>
      <c r="L410" s="114">
        <f t="shared" si="71"/>
        <v>317017.15645945503</v>
      </c>
      <c r="M410" s="114">
        <f t="shared" si="71"/>
        <v>201019.44977552257</v>
      </c>
      <c r="N410" s="114">
        <f t="shared" si="71"/>
        <v>37633.753441150955</v>
      </c>
      <c r="O410" s="114">
        <f t="shared" si="71"/>
        <v>130714.77216970982</v>
      </c>
      <c r="P410" s="114">
        <f t="shared" si="71"/>
        <v>274522.59955314</v>
      </c>
      <c r="Q410" s="114">
        <f t="shared" si="71"/>
        <v>50041.088360584719</v>
      </c>
      <c r="R410" s="114">
        <f t="shared" si="71"/>
        <v>27670.505694372012</v>
      </c>
      <c r="S410" s="114">
        <f t="shared" si="71"/>
        <v>109572.73278525876</v>
      </c>
      <c r="T410" s="114">
        <f t="shared" si="71"/>
        <v>13005.36421878522</v>
      </c>
      <c r="U410" s="114">
        <f t="shared" si="71"/>
        <v>8082.5238842049566</v>
      </c>
      <c r="V410" s="126">
        <f t="shared" si="71"/>
        <v>1893834.9806600467</v>
      </c>
    </row>
    <row r="411" spans="1:22" ht="13.15">
      <c r="A411" s="355"/>
      <c r="B411" s="119" t="s">
        <v>393</v>
      </c>
      <c r="C411" s="334" t="str">
        <f>VLOOKUP(B411,Tot_res!C:D,2,FALSE)</f>
        <v>Inspección y control de seguridad y protección social</v>
      </c>
      <c r="D411" s="179">
        <f>VLOOKUP(B411,Tot_res!C:V,3,FALSE)</f>
        <v>22115.143243011342</v>
      </c>
      <c r="E411" s="179">
        <f>VLOOKUP(B411,Tot_res!C:V,4,FALSE)</f>
        <v>5229.9500802448301</v>
      </c>
      <c r="F411" s="179">
        <f>VLOOKUP(B411,Tot_res!C:V,5,FALSE)</f>
        <v>3479.967347664342</v>
      </c>
      <c r="G411" s="179">
        <f>VLOOKUP(B411,Tot_res!C:V,6,FALSE)</f>
        <v>5143.5938094571093</v>
      </c>
      <c r="H411" s="179">
        <f>VLOOKUP(B411,Tot_res!C:V,7,FALSE)</f>
        <v>7212.1818610505279</v>
      </c>
      <c r="I411" s="179">
        <f>VLOOKUP(B411,Tot_res!C:V,8,FALSE)</f>
        <v>1904.1291771926544</v>
      </c>
      <c r="J411" s="179">
        <f>VLOOKUP(B411,Tot_res!C:V,9,FALSE)</f>
        <v>11016.399942564418</v>
      </c>
      <c r="K411" s="179">
        <f>VLOOKUP(B411,Tot_res!C:V,10,FALSE)</f>
        <v>5999.8135766830837</v>
      </c>
      <c r="L411" s="179">
        <f>VLOOKUP(B411,Tot_res!C:V,11,FALSE)</f>
        <v>262.59377657032383</v>
      </c>
      <c r="M411" s="179">
        <f>VLOOKUP(B411,Tot_res!C:V,12,FALSE)</f>
        <v>14309.355646913329</v>
      </c>
      <c r="N411" s="179">
        <f>VLOOKUP(B411,Tot_res!C:V,13,FALSE)</f>
        <v>3267.2836070793855</v>
      </c>
      <c r="O411" s="179">
        <f>VLOOKUP(B411,Tot_res!C:V,14,FALSE)</f>
        <v>8699.1623357440021</v>
      </c>
      <c r="P411" s="179">
        <f>VLOOKUP(B411,Tot_res!C:V,15,FALSE)</f>
        <v>20180.763970501492</v>
      </c>
      <c r="Q411" s="179">
        <f>VLOOKUP(B411,Tot_res!C:V,16,FALSE)</f>
        <v>3388.8722398494001</v>
      </c>
      <c r="R411" s="179">
        <f>VLOOKUP(B411,Tot_res!C:V,17,FALSE)</f>
        <v>1827.7215056337461</v>
      </c>
      <c r="S411" s="179">
        <f>VLOOKUP(B411,Tot_res!C:V,18,FALSE)</f>
        <v>4808.6188786834045</v>
      </c>
      <c r="T411" s="179">
        <f>VLOOKUP(B411,Tot_res!C:V,19,FALSE)</f>
        <v>866.59839884313089</v>
      </c>
      <c r="U411" s="179">
        <f>VLOOKUP(B411,Tot_res!C:V,20,FALSE)</f>
        <v>168.41929231345924</v>
      </c>
      <c r="V411" s="122">
        <f t="shared" ref="V411:V422" si="72">SUM(D411:U411)</f>
        <v>119880.56868999997</v>
      </c>
    </row>
    <row r="412" spans="1:22" ht="13.15">
      <c r="A412" s="355"/>
      <c r="B412" s="119" t="s">
        <v>394</v>
      </c>
      <c r="C412" s="334" t="str">
        <f>VLOOKUP(B412,Tot_res!C:D,2,FALSE)</f>
        <v>Dirección y servicios generales de seguridad social y protección social</v>
      </c>
      <c r="D412" s="179">
        <f>VLOOKUP(B412,Tot_res!C:V,3,FALSE)</f>
        <v>22769.188588167908</v>
      </c>
      <c r="E412" s="179">
        <f>VLOOKUP(B412,Tot_res!C:V,4,FALSE)</f>
        <v>3996.2452894580078</v>
      </c>
      <c r="F412" s="179">
        <f>VLOOKUP(B412,Tot_res!C:V,5,FALSE)</f>
        <v>3721.5796566451036</v>
      </c>
      <c r="G412" s="179">
        <f>VLOOKUP(B412,Tot_res!C:V,6,FALSE)</f>
        <v>2906.8983752820573</v>
      </c>
      <c r="H412" s="179">
        <f>VLOOKUP(B412,Tot_res!C:V,7,FALSE)</f>
        <v>5389.2486366902804</v>
      </c>
      <c r="I412" s="179">
        <f>VLOOKUP(B412,Tot_res!C:V,8,FALSE)</f>
        <v>1811.3347060486567</v>
      </c>
      <c r="J412" s="179">
        <f>VLOOKUP(B412,Tot_res!C:V,9,FALSE)</f>
        <v>7516.3122922684706</v>
      </c>
      <c r="K412" s="179">
        <f>VLOOKUP(B412,Tot_res!C:V,10,FALSE)</f>
        <v>5615.4947322498701</v>
      </c>
      <c r="L412" s="179">
        <f>VLOOKUP(B412,Tot_res!C:V,11,FALSE)</f>
        <v>22668.301756507943</v>
      </c>
      <c r="M412" s="179">
        <f>VLOOKUP(B412,Tot_res!C:V,12,FALSE)</f>
        <v>13776.49229436761</v>
      </c>
      <c r="N412" s="179">
        <f>VLOOKUP(B412,Tot_res!C:V,13,FALSE)</f>
        <v>3042.0138943480129</v>
      </c>
      <c r="O412" s="179">
        <f>VLOOKUP(B412,Tot_res!C:V,14,FALSE)</f>
        <v>8301.2289838760935</v>
      </c>
      <c r="P412" s="179">
        <f>VLOOKUP(B412,Tot_res!C:V,15,FALSE)</f>
        <v>18514.5844788008</v>
      </c>
      <c r="Q412" s="179">
        <f>VLOOKUP(B412,Tot_res!C:V,16,FALSE)</f>
        <v>3821.938093448437</v>
      </c>
      <c r="R412" s="179">
        <f>VLOOKUP(B412,Tot_res!C:V,17,FALSE)</f>
        <v>1921.9974596074283</v>
      </c>
      <c r="S412" s="179">
        <f>VLOOKUP(B412,Tot_res!C:V,18,FALSE)</f>
        <v>7239.6717068229564</v>
      </c>
      <c r="T412" s="179">
        <f>VLOOKUP(B412,Tot_res!C:V,19,FALSE)</f>
        <v>914.26170209462066</v>
      </c>
      <c r="U412" s="179">
        <f>VLOOKUP(B412,Tot_res!C:V,20,FALSE)</f>
        <v>507.84063331575203</v>
      </c>
      <c r="V412" s="122">
        <f t="shared" si="72"/>
        <v>134434.63328000001</v>
      </c>
    </row>
    <row r="413" spans="1:22" ht="13.15">
      <c r="A413" s="355"/>
      <c r="B413" s="115" t="s">
        <v>635</v>
      </c>
      <c r="C413" s="334" t="str">
        <f>VLOOKUP(B413,Tot_res!C:D,2,FALSE)</f>
        <v>Gestión de Cotización y Recaudación</v>
      </c>
      <c r="D413" s="179">
        <f>VLOOKUP(B413,Tot_res!C:V,3,FALSE)</f>
        <v>72775.527875724438</v>
      </c>
      <c r="E413" s="179">
        <f>VLOOKUP(B413,Tot_res!C:V,4,FALSE)</f>
        <v>14780.459952115352</v>
      </c>
      <c r="F413" s="179">
        <f>VLOOKUP(B413,Tot_res!C:V,5,FALSE)</f>
        <v>15051.42190129648</v>
      </c>
      <c r="G413" s="179">
        <f>VLOOKUP(B413,Tot_res!C:V,6,FALSE)</f>
        <v>9543.6671333937738</v>
      </c>
      <c r="H413" s="179">
        <f>VLOOKUP(B413,Tot_res!C:V,7,FALSE)</f>
        <v>16352.009714203634</v>
      </c>
      <c r="I413" s="179">
        <f>VLOOKUP(B413,Tot_res!C:V,8,FALSE)</f>
        <v>6720.2735221919802</v>
      </c>
      <c r="J413" s="179">
        <f>VLOOKUP(B413,Tot_res!C:V,9,FALSE)</f>
        <v>27568.834526432984</v>
      </c>
      <c r="K413" s="179">
        <f>VLOOKUP(B413,Tot_res!C:V,10,FALSE)</f>
        <v>18623.310087026959</v>
      </c>
      <c r="L413" s="179">
        <f>VLOOKUP(B413,Tot_res!C:V,11,FALSE)</f>
        <v>83416.827372014552</v>
      </c>
      <c r="M413" s="179">
        <f>VLOOKUP(B413,Tot_res!C:V,12,FALSE)</f>
        <v>46345.369595195436</v>
      </c>
      <c r="N413" s="179">
        <f>VLOOKUP(B413,Tot_res!C:V,13,FALSE)</f>
        <v>9825.6626740322772</v>
      </c>
      <c r="O413" s="179">
        <f>VLOOKUP(B413,Tot_res!C:V,14,FALSE)</f>
        <v>30112.313109679435</v>
      </c>
      <c r="P413" s="179">
        <f>VLOOKUP(B413,Tot_res!C:V,15,FALSE)</f>
        <v>66564.613899486256</v>
      </c>
      <c r="Q413" s="179">
        <f>VLOOKUP(B413,Tot_res!C:V,16,FALSE)</f>
        <v>12290.255638893965</v>
      </c>
      <c r="R413" s="179">
        <f>VLOOKUP(B413,Tot_res!C:V,17,FALSE)</f>
        <v>7182.9470399441725</v>
      </c>
      <c r="S413" s="179">
        <f>VLOOKUP(B413,Tot_res!C:V,18,FALSE)</f>
        <v>28865.468362320069</v>
      </c>
      <c r="T413" s="179">
        <f>VLOOKUP(B413,Tot_res!C:V,19,FALSE)</f>
        <v>3257.7072378796911</v>
      </c>
      <c r="U413" s="179">
        <f>VLOOKUP(B413,Tot_res!C:V,20,FALSE)</f>
        <v>1219.2726881686795</v>
      </c>
      <c r="V413" s="122">
        <f t="shared" si="72"/>
        <v>470495.94233000017</v>
      </c>
    </row>
    <row r="414" spans="1:22" ht="13.15">
      <c r="A414" s="355"/>
      <c r="B414" s="115" t="s">
        <v>999</v>
      </c>
      <c r="C414" s="334" t="str">
        <f>VLOOKUP(B414,Tot_res!C:D,2,FALSE)</f>
        <v>Gestión Financiera, neta de aportación al Fondo de Reserva</v>
      </c>
      <c r="D414" s="179">
        <f>VLOOKUP(B414,Tot_res!C:V,3,FALSE)</f>
        <v>6748.1327007115033</v>
      </c>
      <c r="E414" s="179">
        <f>VLOOKUP(B414,Tot_res!C:V,4,FALSE)</f>
        <v>1318.5164638054182</v>
      </c>
      <c r="F414" s="179">
        <f>VLOOKUP(B414,Tot_res!C:V,5,FALSE)</f>
        <v>1445.8458691566343</v>
      </c>
      <c r="G414" s="179">
        <f>VLOOKUP(B414,Tot_res!C:V,6,FALSE)</f>
        <v>809.44791894904722</v>
      </c>
      <c r="H414" s="179">
        <f>VLOOKUP(B414,Tot_res!C:V,7,FALSE)</f>
        <v>1446.7200846335859</v>
      </c>
      <c r="I414" s="179">
        <f>VLOOKUP(B414,Tot_res!C:V,8,FALSE)</f>
        <v>618.1857232454937</v>
      </c>
      <c r="J414" s="179">
        <f>VLOOKUP(B414,Tot_res!C:V,9,FALSE)</f>
        <v>2519.4527794046244</v>
      </c>
      <c r="K414" s="179">
        <f>VLOOKUP(B414,Tot_res!C:V,10,FALSE)</f>
        <v>1635.46263259937</v>
      </c>
      <c r="L414" s="179">
        <f>VLOOKUP(B414,Tot_res!C:V,11,FALSE)</f>
        <v>7514.6588895349378</v>
      </c>
      <c r="M414" s="179">
        <f>VLOOKUP(B414,Tot_res!C:V,12,FALSE)</f>
        <v>4058.9139484308398</v>
      </c>
      <c r="N414" s="179">
        <f>VLOOKUP(B414,Tot_res!C:V,13,FALSE)</f>
        <v>931.38324321081075</v>
      </c>
      <c r="O414" s="179">
        <f>VLOOKUP(B414,Tot_res!C:V,14,FALSE)</f>
        <v>2784.1119086764184</v>
      </c>
      <c r="P414" s="179">
        <f>VLOOKUP(B414,Tot_res!C:V,15,FALSE)</f>
        <v>5665.01178297142</v>
      </c>
      <c r="Q414" s="179">
        <f>VLOOKUP(B414,Tot_res!C:V,16,FALSE)</f>
        <v>1051.1187975777282</v>
      </c>
      <c r="R414" s="179">
        <f>VLOOKUP(B414,Tot_res!C:V,17,FALSE)</f>
        <v>630.36271776953367</v>
      </c>
      <c r="S414" s="179">
        <f>VLOOKUP(B414,Tot_res!C:V,18,FALSE)</f>
        <v>2637.8670451611652</v>
      </c>
      <c r="T414" s="179">
        <f>VLOOKUP(B414,Tot_res!C:V,19,FALSE)</f>
        <v>285.86126462553437</v>
      </c>
      <c r="U414" s="179">
        <f>VLOOKUP(B414,Tot_res!C:V,20,FALSE)</f>
        <v>172.04425953593986</v>
      </c>
      <c r="V414" s="122">
        <f t="shared" si="72"/>
        <v>42273.098030000001</v>
      </c>
    </row>
    <row r="415" spans="1:22" ht="13.15">
      <c r="A415" s="355"/>
      <c r="B415" s="115" t="s">
        <v>1000</v>
      </c>
      <c r="C415" s="334" t="str">
        <f>VLOOKUP(B415,Tot_res!C:D,2,FALSE)</f>
        <v>Gestión del Patrimonio, TGSS</v>
      </c>
      <c r="D415" s="179">
        <f>VLOOKUP(B415,Tot_res!C:V,3,FALSE)</f>
        <v>1362.2664097502284</v>
      </c>
      <c r="E415" s="179">
        <f>VLOOKUP(B415,Tot_res!C:V,4,FALSE)</f>
        <v>296.96469964576789</v>
      </c>
      <c r="F415" s="179">
        <f>VLOOKUP(B415,Tot_res!C:V,5,FALSE)</f>
        <v>344.22406854203234</v>
      </c>
      <c r="G415" s="179">
        <f>VLOOKUP(B415,Tot_res!C:V,6,FALSE)</f>
        <v>162.0881064521862</v>
      </c>
      <c r="H415" s="179">
        <f>VLOOKUP(B415,Tot_res!C:V,7,FALSE)</f>
        <v>278.6696147042295</v>
      </c>
      <c r="I415" s="179">
        <f>VLOOKUP(B415,Tot_res!C:V,8,FALSE)</f>
        <v>140.57459399693602</v>
      </c>
      <c r="J415" s="179">
        <f>VLOOKUP(B415,Tot_res!C:V,9,FALSE)</f>
        <v>576.91652467056588</v>
      </c>
      <c r="K415" s="179">
        <f>VLOOKUP(B415,Tot_res!C:V,10,FALSE)</f>
        <v>334.44942154931664</v>
      </c>
      <c r="L415" s="179">
        <f>VLOOKUP(B415,Tot_res!C:V,11,FALSE)</f>
        <v>1673.6716555734642</v>
      </c>
      <c r="M415" s="179">
        <f>VLOOKUP(B415,Tot_res!C:V,12,FALSE)</f>
        <v>854.1586238620032</v>
      </c>
      <c r="N415" s="179">
        <f>VLOOKUP(B415,Tot_res!C:V,13,FALSE)</f>
        <v>186.42221222165958</v>
      </c>
      <c r="O415" s="179">
        <f>VLOOKUP(B415,Tot_res!C:V,14,FALSE)</f>
        <v>631.33137603230523</v>
      </c>
      <c r="P415" s="179">
        <f>VLOOKUP(B415,Tot_res!C:V,15,FALSE)</f>
        <v>1229.6385789925437</v>
      </c>
      <c r="Q415" s="179">
        <f>VLOOKUP(B415,Tot_res!C:V,16,FALSE)</f>
        <v>216.77564457736619</v>
      </c>
      <c r="R415" s="179">
        <f>VLOOKUP(B415,Tot_res!C:V,17,FALSE)</f>
        <v>139.481871708672</v>
      </c>
      <c r="S415" s="179">
        <f>VLOOKUP(B415,Tot_res!C:V,18,FALSE)</f>
        <v>627.23084189108727</v>
      </c>
      <c r="T415" s="179">
        <f>VLOOKUP(B415,Tot_res!C:V,19,FALSE)</f>
        <v>62.438553349978598</v>
      </c>
      <c r="U415" s="179">
        <f>VLOOKUP(B415,Tot_res!C:V,20,FALSE)</f>
        <v>36.0008524796581</v>
      </c>
      <c r="V415" s="122">
        <f t="shared" si="72"/>
        <v>9153.3036500000017</v>
      </c>
    </row>
    <row r="416" spans="1:22" ht="13.15">
      <c r="A416" s="355"/>
      <c r="B416" s="115" t="s">
        <v>396</v>
      </c>
      <c r="C416" s="334" t="str">
        <f>VLOOKUP(B416,Tot_res!C:D,2,FALSE)</f>
        <v xml:space="preserve"> Sistema Integrado de Informática de la Seguridad Social</v>
      </c>
      <c r="D416" s="179">
        <f>VLOOKUP(B416,Tot_res!C:V,3,FALSE)</f>
        <v>33881.114931294956</v>
      </c>
      <c r="E416" s="179">
        <f>VLOOKUP(B416,Tot_res!C:V,4,FALSE)</f>
        <v>7385.8498214607844</v>
      </c>
      <c r="F416" s="179">
        <f>VLOOKUP(B416,Tot_res!C:V,5,FALSE)</f>
        <v>8561.2440745190997</v>
      </c>
      <c r="G416" s="179">
        <f>VLOOKUP(B416,Tot_res!C:V,6,FALSE)</f>
        <v>4031.3155520801552</v>
      </c>
      <c r="H416" s="179">
        <f>VLOOKUP(B416,Tot_res!C:V,7,FALSE)</f>
        <v>6930.8302517602324</v>
      </c>
      <c r="I416" s="179">
        <f>VLOOKUP(B416,Tot_res!C:V,8,FALSE)</f>
        <v>3496.2500297600232</v>
      </c>
      <c r="J416" s="179">
        <f>VLOOKUP(B416,Tot_res!C:V,9,FALSE)</f>
        <v>14348.570102165679</v>
      </c>
      <c r="K416" s="179">
        <f>VLOOKUP(B416,Tot_res!C:V,10,FALSE)</f>
        <v>8318.1374869950341</v>
      </c>
      <c r="L416" s="179">
        <f>VLOOKUP(B416,Tot_res!C:V,11,FALSE)</f>
        <v>41626.117559583872</v>
      </c>
      <c r="M416" s="179">
        <f>VLOOKUP(B416,Tot_res!C:V,12,FALSE)</f>
        <v>21243.896419593428</v>
      </c>
      <c r="N416" s="179">
        <f>VLOOKUP(B416,Tot_res!C:V,13,FALSE)</f>
        <v>4636.5324380173051</v>
      </c>
      <c r="O416" s="179">
        <f>VLOOKUP(B416,Tot_res!C:V,14,FALSE)</f>
        <v>15701.929342150503</v>
      </c>
      <c r="P416" s="179">
        <f>VLOOKUP(B416,Tot_res!C:V,15,FALSE)</f>
        <v>30582.509941237724</v>
      </c>
      <c r="Q416" s="179">
        <f>VLOOKUP(B416,Tot_res!C:V,16,FALSE)</f>
        <v>5391.4568220014489</v>
      </c>
      <c r="R416" s="179">
        <f>VLOOKUP(B416,Tot_res!C:V,17,FALSE)</f>
        <v>3469.0727836856308</v>
      </c>
      <c r="S416" s="179">
        <f>VLOOKUP(B416,Tot_res!C:V,18,FALSE)</f>
        <v>15599.944394475122</v>
      </c>
      <c r="T416" s="179">
        <f>VLOOKUP(B416,Tot_res!C:V,19,FALSE)</f>
        <v>1552.9178338782438</v>
      </c>
      <c r="U416" s="179">
        <f>VLOOKUP(B416,Tot_res!C:V,20,FALSE)</f>
        <v>895.38214534081635</v>
      </c>
      <c r="V416" s="122">
        <f t="shared" si="72"/>
        <v>227653.07193000009</v>
      </c>
    </row>
    <row r="417" spans="1:22" ht="13.15">
      <c r="A417" s="355"/>
      <c r="B417" s="115" t="s">
        <v>1001</v>
      </c>
      <c r="C417" s="334" t="str">
        <f>VLOOKUP(B417,Tot_res!C:D,2,FALSE)</f>
        <v xml:space="preserve"> Admón. y Servic. Generales, TGSS e ISM</v>
      </c>
      <c r="D417" s="179">
        <f>VLOOKUP(B417,Tot_res!C:V,3,FALSE)</f>
        <v>40610.111560648445</v>
      </c>
      <c r="E417" s="179">
        <f>VLOOKUP(B417,Tot_res!C:V,4,FALSE)</f>
        <v>8106.6707305524233</v>
      </c>
      <c r="F417" s="179">
        <f>VLOOKUP(B417,Tot_res!C:V,5,FALSE)</f>
        <v>10103.228276560538</v>
      </c>
      <c r="G417" s="179">
        <f>VLOOKUP(B417,Tot_res!C:V,6,FALSE)</f>
        <v>5752.8486648002436</v>
      </c>
      <c r="H417" s="179">
        <f>VLOOKUP(B417,Tot_res!C:V,7,FALSE)</f>
        <v>9618.5578476959636</v>
      </c>
      <c r="I417" s="179">
        <f>VLOOKUP(B417,Tot_res!C:V,8,FALSE)</f>
        <v>4293.7663437241436</v>
      </c>
      <c r="J417" s="179">
        <f>VLOOKUP(B417,Tot_res!C:V,9,FALSE)</f>
        <v>14605.229797233265</v>
      </c>
      <c r="K417" s="179">
        <f>VLOOKUP(B417,Tot_res!C:V,10,FALSE)</f>
        <v>8529.2710749555117</v>
      </c>
      <c r="L417" s="179">
        <f>VLOOKUP(B417,Tot_res!C:V,11,FALSE)</f>
        <v>34763.801509128018</v>
      </c>
      <c r="M417" s="179">
        <f>VLOOKUP(B417,Tot_res!C:V,12,FALSE)</f>
        <v>23526.168527346232</v>
      </c>
      <c r="N417" s="179">
        <f>VLOOKUP(B417,Tot_res!C:V,13,FALSE)</f>
        <v>5586.6799538169817</v>
      </c>
      <c r="O417" s="179">
        <f>VLOOKUP(B417,Tot_res!C:V,14,FALSE)</f>
        <v>23000.810652145603</v>
      </c>
      <c r="P417" s="179">
        <f>VLOOKUP(B417,Tot_res!C:V,15,FALSE)</f>
        <v>23995.37553217154</v>
      </c>
      <c r="Q417" s="179">
        <f>VLOOKUP(B417,Tot_res!C:V,16,FALSE)</f>
        <v>5889.3508700253587</v>
      </c>
      <c r="R417" s="179">
        <f>VLOOKUP(B417,Tot_res!C:V,17,FALSE)</f>
        <v>3009.7347436038353</v>
      </c>
      <c r="S417" s="179">
        <f>VLOOKUP(B417,Tot_res!C:V,18,FALSE)</f>
        <v>16217.391495875854</v>
      </c>
      <c r="T417" s="179">
        <f>VLOOKUP(B417,Tot_res!C:V,19,FALSE)</f>
        <v>1472.877875448572</v>
      </c>
      <c r="U417" s="179">
        <f>VLOOKUP(B417,Tot_res!C:V,20,FALSE)</f>
        <v>2648.4267442674827</v>
      </c>
      <c r="V417" s="122">
        <f t="shared" si="72"/>
        <v>241730.30220000003</v>
      </c>
    </row>
    <row r="418" spans="1:22" ht="13.15">
      <c r="A418" s="355"/>
      <c r="B418" s="115" t="s">
        <v>1002</v>
      </c>
      <c r="C418" s="334" t="str">
        <f>VLOOKUP(B418,Tot_res!C:D,2,FALSE)</f>
        <v>Admón. y Servic. Generales, Mutuas</v>
      </c>
      <c r="D418" s="179">
        <f>VLOOKUP(B418,Tot_res!C:V,3,FALSE)</f>
        <v>67906.351440508122</v>
      </c>
      <c r="E418" s="179">
        <f>VLOOKUP(B418,Tot_res!C:V,4,FALSE)</f>
        <v>16498.285877004739</v>
      </c>
      <c r="F418" s="179">
        <f>VLOOKUP(B418,Tot_res!C:V,5,FALSE)</f>
        <v>12323.325066321573</v>
      </c>
      <c r="G418" s="179">
        <f>VLOOKUP(B418,Tot_res!C:V,6,FALSE)</f>
        <v>15218.758360506208</v>
      </c>
      <c r="H418" s="179">
        <f>VLOOKUP(B418,Tot_res!C:V,7,FALSE)</f>
        <v>22514.230299183208</v>
      </c>
      <c r="I418" s="179">
        <f>VLOOKUP(B418,Tot_res!C:V,8,FALSE)</f>
        <v>6351.8795043251657</v>
      </c>
      <c r="J418" s="179">
        <f>VLOOKUP(B418,Tot_res!C:V,9,FALSE)</f>
        <v>27397.731211903741</v>
      </c>
      <c r="K418" s="179">
        <f>VLOOKUP(B418,Tot_res!C:V,10,FALSE)</f>
        <v>20520.835352404461</v>
      </c>
      <c r="L418" s="179">
        <f>VLOOKUP(B418,Tot_res!C:V,11,FALSE)</f>
        <v>93065.531967803443</v>
      </c>
      <c r="M418" s="179">
        <f>VLOOKUP(B418,Tot_res!C:V,12,FALSE)</f>
        <v>69583.073597056602</v>
      </c>
      <c r="N418" s="179">
        <f>VLOOKUP(B418,Tot_res!C:V,13,FALSE)</f>
        <v>8559.7263705012883</v>
      </c>
      <c r="O418" s="179">
        <f>VLOOKUP(B418,Tot_res!C:V,14,FALSE)</f>
        <v>36071.983742231008</v>
      </c>
      <c r="P418" s="179">
        <f>VLOOKUP(B418,Tot_res!C:V,15,FALSE)</f>
        <v>97249.389846296282</v>
      </c>
      <c r="Q418" s="179">
        <f>VLOOKUP(B418,Tot_res!C:V,16,FALSE)</f>
        <v>16133.075422216927</v>
      </c>
      <c r="R418" s="179">
        <f>VLOOKUP(B418,Tot_res!C:V,17,FALSE)</f>
        <v>8293.5206525266221</v>
      </c>
      <c r="S418" s="179">
        <f>VLOOKUP(B418,Tot_res!C:V,18,FALSE)</f>
        <v>28199.789951944709</v>
      </c>
      <c r="T418" s="179">
        <f>VLOOKUP(B418,Tot_res!C:V,19,FALSE)</f>
        <v>4057.4653979713967</v>
      </c>
      <c r="U418" s="179">
        <f>VLOOKUP(B418,Tot_res!C:V,20,FALSE)</f>
        <v>2126.5306529516993</v>
      </c>
      <c r="V418" s="122">
        <f t="shared" si="72"/>
        <v>552071.48471365718</v>
      </c>
    </row>
    <row r="419" spans="1:22" ht="13.15">
      <c r="A419" s="355"/>
      <c r="B419" s="115" t="s">
        <v>397</v>
      </c>
      <c r="C419" s="334" t="str">
        <f>VLOOKUP(B419,Tot_res!C:D,2,FALSE)</f>
        <v xml:space="preserve"> Control Interno y Contabilidad</v>
      </c>
      <c r="D419" s="179">
        <f>VLOOKUP(B419,Tot_res!C:V,3,FALSE)</f>
        <v>11381.449080707622</v>
      </c>
      <c r="E419" s="179">
        <f>VLOOKUP(B419,Tot_res!C:V,4,FALSE)</f>
        <v>2481.0775510537933</v>
      </c>
      <c r="F419" s="179">
        <f>VLOOKUP(B419,Tot_res!C:V,5,FALSE)</f>
        <v>2875.9196295410929</v>
      </c>
      <c r="G419" s="179">
        <f>VLOOKUP(B419,Tot_res!C:V,6,FALSE)</f>
        <v>1354.2120079963784</v>
      </c>
      <c r="H419" s="179">
        <f>VLOOKUP(B419,Tot_res!C:V,7,FALSE)</f>
        <v>2328.2259676931512</v>
      </c>
      <c r="I419" s="179">
        <f>VLOOKUP(B419,Tot_res!C:V,8,FALSE)</f>
        <v>1174.4711402747016</v>
      </c>
      <c r="J419" s="179">
        <f>VLOOKUP(B419,Tot_res!C:V,9,FALSE)</f>
        <v>4820.016116055267</v>
      </c>
      <c r="K419" s="179">
        <f>VLOOKUP(B419,Tot_res!C:V,10,FALSE)</f>
        <v>2794.2545115926268</v>
      </c>
      <c r="L419" s="179">
        <f>VLOOKUP(B419,Tot_res!C:V,11,FALSE)</f>
        <v>13983.174355173016</v>
      </c>
      <c r="M419" s="179">
        <f>VLOOKUP(B419,Tot_res!C:V,12,FALSE)</f>
        <v>7136.3154921474816</v>
      </c>
      <c r="N419" s="179">
        <f>VLOOKUP(B419,Tot_res!C:V,13,FALSE)</f>
        <v>1557.5183390910393</v>
      </c>
      <c r="O419" s="179">
        <f>VLOOKUP(B419,Tot_res!C:V,14,FALSE)</f>
        <v>5274.6407442302088</v>
      </c>
      <c r="P419" s="179">
        <f>VLOOKUP(B419,Tot_res!C:V,15,FALSE)</f>
        <v>10273.371474411755</v>
      </c>
      <c r="Q419" s="179">
        <f>VLOOKUP(B419,Tot_res!C:V,16,FALSE)</f>
        <v>1811.1148766761648</v>
      </c>
      <c r="R419" s="179">
        <f>VLOOKUP(B419,Tot_res!C:V,17,FALSE)</f>
        <v>1165.341675586872</v>
      </c>
      <c r="S419" s="179">
        <f>VLOOKUP(B419,Tot_res!C:V,18,FALSE)</f>
        <v>5240.3816446899564</v>
      </c>
      <c r="T419" s="179">
        <f>VLOOKUP(B419,Tot_res!C:V,19,FALSE)</f>
        <v>521.66096920507925</v>
      </c>
      <c r="U419" s="179">
        <f>VLOOKUP(B419,Tot_res!C:V,20,FALSE)</f>
        <v>300.77954387381658</v>
      </c>
      <c r="V419" s="122">
        <f t="shared" si="72"/>
        <v>76473.925120000014</v>
      </c>
    </row>
    <row r="420" spans="1:22" ht="13.15">
      <c r="A420" s="355"/>
      <c r="B420" s="115" t="s">
        <v>398</v>
      </c>
      <c r="C420" s="334" t="str">
        <f>VLOOKUP(B420,Tot_res!C:D,2,FALSE)</f>
        <v xml:space="preserve"> Direcc. y Coord. Asist.Jurídica Admón. de la Seg.Soc.</v>
      </c>
      <c r="D420" s="179">
        <f>VLOOKUP(B420,Tot_res!C:V,3,FALSE)</f>
        <v>296.17513142593896</v>
      </c>
      <c r="E420" s="179">
        <f>VLOOKUP(B420,Tot_res!C:V,4,FALSE)</f>
        <v>64.564139816510703</v>
      </c>
      <c r="F420" s="179">
        <f>VLOOKUP(B420,Tot_res!C:V,5,FALSE)</f>
        <v>74.838965426080293</v>
      </c>
      <c r="G420" s="179">
        <f>VLOOKUP(B420,Tot_res!C:V,6,FALSE)</f>
        <v>35.240145310387433</v>
      </c>
      <c r="H420" s="179">
        <f>VLOOKUP(B420,Tot_res!C:V,7,FALSE)</f>
        <v>60.586541052989588</v>
      </c>
      <c r="I420" s="179">
        <f>VLOOKUP(B420,Tot_res!C:V,8,FALSE)</f>
        <v>30.562816901449008</v>
      </c>
      <c r="J420" s="179">
        <f>VLOOKUP(B420,Tot_res!C:V,9,FALSE)</f>
        <v>125.42945072500872</v>
      </c>
      <c r="K420" s="179">
        <f>VLOOKUP(B420,Tot_res!C:V,10,FALSE)</f>
        <v>72.713825044588717</v>
      </c>
      <c r="L420" s="179">
        <f>VLOOKUP(B420,Tot_res!C:V,11,FALSE)</f>
        <v>363.87884117632046</v>
      </c>
      <c r="M420" s="179">
        <f>VLOOKUP(B420,Tot_res!C:V,12,FALSE)</f>
        <v>185.70563060958978</v>
      </c>
      <c r="N420" s="179">
        <f>VLOOKUP(B420,Tot_res!C:V,13,FALSE)</f>
        <v>40.530708832193653</v>
      </c>
      <c r="O420" s="179">
        <f>VLOOKUP(B420,Tot_res!C:V,14,FALSE)</f>
        <v>137.25997494423325</v>
      </c>
      <c r="P420" s="179">
        <f>VLOOKUP(B420,Tot_res!C:V,15,FALSE)</f>
        <v>267.34004827021715</v>
      </c>
      <c r="Q420" s="179">
        <f>VLOOKUP(B420,Tot_res!C:V,16,FALSE)</f>
        <v>47.129955317929181</v>
      </c>
      <c r="R420" s="179">
        <f>VLOOKUP(B420,Tot_res!C:V,17,FALSE)</f>
        <v>30.32524430549989</v>
      </c>
      <c r="S420" s="179">
        <f>VLOOKUP(B420,Tot_res!C:V,18,FALSE)</f>
        <v>136.36846339443701</v>
      </c>
      <c r="T420" s="179">
        <f>VLOOKUP(B420,Tot_res!C:V,19,FALSE)</f>
        <v>13.574985488973526</v>
      </c>
      <c r="U420" s="179">
        <f>VLOOKUP(B420,Tot_res!C:V,20,FALSE)</f>
        <v>7.8270719576529517</v>
      </c>
      <c r="V420" s="122">
        <f t="shared" si="72"/>
        <v>1990.0519399999998</v>
      </c>
    </row>
    <row r="421" spans="1:22" ht="13.15">
      <c r="A421" s="355"/>
      <c r="B421" s="115" t="s">
        <v>399</v>
      </c>
      <c r="C421" s="334" t="str">
        <f>VLOOKUP(B421,Tot_res!C:D,2,FALSE)</f>
        <v>Autorizaciones iniciales trabajo</v>
      </c>
      <c r="D421" s="179">
        <f>VLOOKUP(B421,Tot_res!C:V,3,FALSE)</f>
        <v>0</v>
      </c>
      <c r="E421" s="179">
        <f>VLOOKUP(B421,Tot_res!C:V,4,FALSE)</f>
        <v>0</v>
      </c>
      <c r="F421" s="179">
        <f>VLOOKUP(B421,Tot_res!C:V,5,FALSE)</f>
        <v>0</v>
      </c>
      <c r="G421" s="179">
        <f>VLOOKUP(B421,Tot_res!C:V,6,FALSE)</f>
        <v>0</v>
      </c>
      <c r="H421" s="179">
        <f>VLOOKUP(B421,Tot_res!C:V,7,FALSE)</f>
        <v>0</v>
      </c>
      <c r="I421" s="179">
        <f>VLOOKUP(B421,Tot_res!C:V,8,FALSE)</f>
        <v>0</v>
      </c>
      <c r="J421" s="179">
        <f>VLOOKUP(B421,Tot_res!C:V,9,FALSE)</f>
        <v>0</v>
      </c>
      <c r="K421" s="179">
        <f>VLOOKUP(B421,Tot_res!C:V,10,FALSE)</f>
        <v>0</v>
      </c>
      <c r="L421" s="179">
        <f>VLOOKUP(B421,Tot_res!C:V,11,FALSE)</f>
        <v>3567.7391105757997</v>
      </c>
      <c r="M421" s="179">
        <f>VLOOKUP(B421,Tot_res!C:V,12,FALSE)</f>
        <v>0</v>
      </c>
      <c r="N421" s="179">
        <f>VLOOKUP(B421,Tot_res!C:V,13,FALSE)</f>
        <v>0</v>
      </c>
      <c r="O421" s="179">
        <f>VLOOKUP(B421,Tot_res!C:V,14,FALSE)</f>
        <v>0</v>
      </c>
      <c r="P421" s="179">
        <f>VLOOKUP(B421,Tot_res!C:V,15,FALSE)</f>
        <v>0</v>
      </c>
      <c r="Q421" s="179">
        <f>VLOOKUP(B421,Tot_res!C:V,16,FALSE)</f>
        <v>0</v>
      </c>
      <c r="R421" s="179">
        <f>VLOOKUP(B421,Tot_res!C:V,17,FALSE)</f>
        <v>0</v>
      </c>
      <c r="S421" s="179">
        <f>VLOOKUP(B421,Tot_res!C:V,18,FALSE)</f>
        <v>0</v>
      </c>
      <c r="T421" s="179">
        <f>VLOOKUP(B421,Tot_res!C:V,19,FALSE)</f>
        <v>0</v>
      </c>
      <c r="U421" s="179">
        <f>VLOOKUP(B421,Tot_res!C:V,20,FALSE)</f>
        <v>0</v>
      </c>
      <c r="V421" s="122">
        <f t="shared" si="72"/>
        <v>3567.7391105757997</v>
      </c>
    </row>
    <row r="422" spans="1:22" ht="13.15">
      <c r="A422" s="355"/>
      <c r="B422" s="115" t="s">
        <v>400</v>
      </c>
      <c r="C422" s="334" t="str">
        <f>VLOOKUP(B422,Tot_res!C:D,2,FALSE)</f>
        <v xml:space="preserve"> Inspección de trabajo</v>
      </c>
      <c r="D422" s="179">
        <f>VLOOKUP(B422,Tot_res!C:V,3,FALSE)</f>
        <v>0</v>
      </c>
      <c r="E422" s="179">
        <f>VLOOKUP(B422,Tot_res!C:V,4,FALSE)</f>
        <v>0</v>
      </c>
      <c r="F422" s="179">
        <f>VLOOKUP(B422,Tot_res!C:V,5,FALSE)</f>
        <v>0</v>
      </c>
      <c r="G422" s="179">
        <f>VLOOKUP(B422,Tot_res!C:V,6,FALSE)</f>
        <v>0</v>
      </c>
      <c r="H422" s="179">
        <f>VLOOKUP(B422,Tot_res!C:V,7,FALSE)</f>
        <v>0</v>
      </c>
      <c r="I422" s="179">
        <f>VLOOKUP(B422,Tot_res!C:V,8,FALSE)</f>
        <v>0</v>
      </c>
      <c r="J422" s="179">
        <f>VLOOKUP(B422,Tot_res!C:V,9,FALSE)</f>
        <v>0</v>
      </c>
      <c r="K422" s="179">
        <f>VLOOKUP(B422,Tot_res!C:V,10,FALSE)</f>
        <v>0</v>
      </c>
      <c r="L422" s="179">
        <f>VLOOKUP(B422,Tot_res!C:V,11,FALSE)</f>
        <v>14110.859665813303</v>
      </c>
      <c r="M422" s="179">
        <f>VLOOKUP(B422,Tot_res!C:V,12,FALSE)</f>
        <v>0</v>
      </c>
      <c r="N422" s="179">
        <f>VLOOKUP(B422,Tot_res!C:V,13,FALSE)</f>
        <v>0</v>
      </c>
      <c r="O422" s="179">
        <f>VLOOKUP(B422,Tot_res!C:V,14,FALSE)</f>
        <v>0</v>
      </c>
      <c r="P422" s="179">
        <f>VLOOKUP(B422,Tot_res!C:V,15,FALSE)</f>
        <v>0</v>
      </c>
      <c r="Q422" s="179">
        <f>VLOOKUP(B422,Tot_res!C:V,16,FALSE)</f>
        <v>0</v>
      </c>
      <c r="R422" s="179">
        <f>VLOOKUP(B422,Tot_res!C:V,17,FALSE)</f>
        <v>0</v>
      </c>
      <c r="S422" s="179">
        <f>VLOOKUP(B422,Tot_res!C:V,18,FALSE)</f>
        <v>0</v>
      </c>
      <c r="T422" s="179">
        <f>VLOOKUP(B422,Tot_res!C:V,19,FALSE)</f>
        <v>0</v>
      </c>
      <c r="U422" s="179">
        <f>VLOOKUP(B422,Tot_res!C:V,20,FALSE)</f>
        <v>0</v>
      </c>
      <c r="V422" s="122">
        <f t="shared" si="72"/>
        <v>14110.859665813303</v>
      </c>
    </row>
    <row r="423" spans="1:22" ht="13.15">
      <c r="A423" s="356"/>
      <c r="B423" s="119"/>
      <c r="C423" s="102"/>
      <c r="D423" s="105"/>
      <c r="E423" s="105"/>
      <c r="F423" s="105"/>
      <c r="G423" s="105"/>
      <c r="H423" s="105"/>
      <c r="I423" s="105"/>
      <c r="J423" s="105"/>
      <c r="K423" s="105"/>
      <c r="L423" s="105"/>
      <c r="M423" s="105"/>
      <c r="N423" s="105"/>
      <c r="O423" s="105"/>
      <c r="P423" s="105"/>
      <c r="Q423" s="105"/>
      <c r="R423" s="105"/>
      <c r="S423" s="105"/>
      <c r="T423" s="105"/>
      <c r="U423" s="105"/>
      <c r="V423" s="122"/>
    </row>
    <row r="424" spans="1:22" ht="13.15">
      <c r="A424" s="356"/>
      <c r="B424" s="115"/>
      <c r="C424" s="102"/>
      <c r="D424" s="105"/>
      <c r="E424" s="105"/>
      <c r="F424" s="105"/>
      <c r="G424" s="105"/>
      <c r="H424" s="105"/>
      <c r="I424" s="105"/>
      <c r="J424" s="105"/>
      <c r="K424" s="105"/>
      <c r="L424" s="105"/>
      <c r="M424" s="105"/>
      <c r="N424" s="105"/>
      <c r="O424" s="105"/>
      <c r="P424" s="105"/>
      <c r="Q424" s="105"/>
      <c r="R424" s="105"/>
      <c r="S424" s="105"/>
      <c r="T424" s="105"/>
      <c r="U424" s="105"/>
      <c r="V424" s="122"/>
    </row>
    <row r="425" spans="1:22" ht="13.15">
      <c r="A425" s="356"/>
      <c r="B425" s="115"/>
      <c r="C425" s="134" t="s">
        <v>65</v>
      </c>
      <c r="D425" s="111">
        <f t="shared" ref="D425:V425" si="73">D427+D438+D450</f>
        <v>2631179.1409130003</v>
      </c>
      <c r="E425" s="111">
        <f t="shared" si="73"/>
        <v>763099.71872070711</v>
      </c>
      <c r="F425" s="111">
        <f t="shared" si="73"/>
        <v>312802.22074164404</v>
      </c>
      <c r="G425" s="111">
        <f t="shared" si="73"/>
        <v>194040.17494674359</v>
      </c>
      <c r="H425" s="111">
        <f t="shared" si="73"/>
        <v>655158.88512679143</v>
      </c>
      <c r="I425" s="111">
        <f t="shared" si="73"/>
        <v>184742.50543253819</v>
      </c>
      <c r="J425" s="111">
        <f t="shared" si="73"/>
        <v>1905857.8068644665</v>
      </c>
      <c r="K425" s="111">
        <f t="shared" si="73"/>
        <v>1659237.540780836</v>
      </c>
      <c r="L425" s="111">
        <f t="shared" si="73"/>
        <v>1550989.3215462873</v>
      </c>
      <c r="M425" s="111">
        <f t="shared" si="73"/>
        <v>923019.23072892753</v>
      </c>
      <c r="N425" s="111">
        <f t="shared" si="73"/>
        <v>914511.75565810595</v>
      </c>
      <c r="O425" s="111">
        <f t="shared" si="73"/>
        <v>1001187.8373810835</v>
      </c>
      <c r="P425" s="111">
        <f t="shared" si="73"/>
        <v>1028994.9553144411</v>
      </c>
      <c r="Q425" s="111">
        <f t="shared" si="73"/>
        <v>411572.1263507352</v>
      </c>
      <c r="R425" s="111">
        <f t="shared" si="73"/>
        <v>242355.32993659639</v>
      </c>
      <c r="S425" s="111">
        <f t="shared" si="73"/>
        <v>540698.95529753761</v>
      </c>
      <c r="T425" s="111">
        <f t="shared" si="73"/>
        <v>111587.90726747781</v>
      </c>
      <c r="U425" s="111">
        <f t="shared" si="73"/>
        <v>90828.553025898771</v>
      </c>
      <c r="V425" s="125">
        <f t="shared" si="73"/>
        <v>15121863.966033816</v>
      </c>
    </row>
    <row r="426" spans="1:22" ht="13.15">
      <c r="A426" s="356"/>
      <c r="B426" s="115"/>
      <c r="C426" s="134"/>
      <c r="D426" s="105"/>
      <c r="E426" s="105"/>
      <c r="F426" s="105"/>
      <c r="G426" s="105"/>
      <c r="H426" s="105"/>
      <c r="I426" s="105"/>
      <c r="J426" s="105"/>
      <c r="K426" s="105"/>
      <c r="L426" s="105"/>
      <c r="M426" s="105"/>
      <c r="N426" s="105"/>
      <c r="O426" s="105"/>
      <c r="P426" s="105"/>
      <c r="Q426" s="105"/>
      <c r="R426" s="105"/>
      <c r="S426" s="105"/>
      <c r="T426" s="105"/>
      <c r="U426" s="105"/>
      <c r="V426" s="122"/>
    </row>
    <row r="427" spans="1:22" ht="13.15">
      <c r="A427" s="356"/>
      <c r="B427" s="115"/>
      <c r="C427" s="128" t="s">
        <v>82</v>
      </c>
      <c r="D427" s="114">
        <f t="shared" ref="D427:V427" si="74">SUM(D428:D436)</f>
        <v>948303.39367654687</v>
      </c>
      <c r="E427" s="114">
        <f t="shared" si="74"/>
        <v>117388.3098014693</v>
      </c>
      <c r="F427" s="114">
        <f t="shared" si="74"/>
        <v>113146.34466930963</v>
      </c>
      <c r="G427" s="114">
        <f t="shared" si="74"/>
        <v>85858.711656076717</v>
      </c>
      <c r="H427" s="114">
        <f t="shared" si="74"/>
        <v>232646.61015269058</v>
      </c>
      <c r="I427" s="114">
        <f t="shared" si="74"/>
        <v>55269.886038831581</v>
      </c>
      <c r="J427" s="114">
        <f t="shared" si="74"/>
        <v>221987.37198143415</v>
      </c>
      <c r="K427" s="114">
        <f t="shared" si="74"/>
        <v>180307.38316556325</v>
      </c>
      <c r="L427" s="114">
        <f t="shared" si="74"/>
        <v>644233.49916748703</v>
      </c>
      <c r="M427" s="114">
        <f t="shared" si="74"/>
        <v>423723.89580435993</v>
      </c>
      <c r="N427" s="114">
        <f t="shared" si="74"/>
        <v>153428.222187223</v>
      </c>
      <c r="O427" s="114">
        <f t="shared" si="74"/>
        <v>278610.19182969339</v>
      </c>
      <c r="P427" s="114">
        <f t="shared" si="74"/>
        <v>634674.94999660004</v>
      </c>
      <c r="Q427" s="114">
        <f t="shared" si="74"/>
        <v>132627.60826598023</v>
      </c>
      <c r="R427" s="114">
        <f t="shared" si="74"/>
        <v>56675.310672764601</v>
      </c>
      <c r="S427" s="114">
        <f t="shared" si="74"/>
        <v>262367.32638609066</v>
      </c>
      <c r="T427" s="114">
        <f t="shared" si="74"/>
        <v>26053.000497531775</v>
      </c>
      <c r="U427" s="114">
        <f t="shared" si="74"/>
        <v>85252.905556123471</v>
      </c>
      <c r="V427" s="126">
        <f t="shared" si="74"/>
        <v>4652554.9215057753</v>
      </c>
    </row>
    <row r="428" spans="1:22" ht="13.15">
      <c r="A428" s="355"/>
      <c r="B428" s="119" t="s">
        <v>401</v>
      </c>
      <c r="C428" s="334" t="str">
        <f>VLOOKUP(B428,Tot_res!C:D,2,FALSE)</f>
        <v>Fomento de la inserción y estabilidad laboral+ AF20/1</v>
      </c>
      <c r="D428" s="179">
        <f>VLOOKUP(B428,Tot_res!C:V,3,FALSE)</f>
        <v>908958.35176597175</v>
      </c>
      <c r="E428" s="179">
        <f>VLOOKUP(B428,Tot_res!C:V,4,FALSE)</f>
        <v>111965.80191662149</v>
      </c>
      <c r="F428" s="179">
        <f>VLOOKUP(B428,Tot_res!C:V,5,FALSE)</f>
        <v>105933.24595604096</v>
      </c>
      <c r="G428" s="179">
        <f>VLOOKUP(B428,Tot_res!C:V,6,FALSE)</f>
        <v>79547.476310398721</v>
      </c>
      <c r="H428" s="179">
        <f>VLOOKUP(B428,Tot_res!C:V,7,FALSE)</f>
        <v>222015.87279637565</v>
      </c>
      <c r="I428" s="179">
        <f>VLOOKUP(B428,Tot_res!C:V,8,FALSE)</f>
        <v>52869.922198614739</v>
      </c>
      <c r="J428" s="179">
        <f>VLOOKUP(B428,Tot_res!C:V,9,FALSE)</f>
        <v>213523.62186598376</v>
      </c>
      <c r="K428" s="179">
        <f>VLOOKUP(B428,Tot_res!C:V,10,FALSE)</f>
        <v>174822.58847722632</v>
      </c>
      <c r="L428" s="179">
        <f>VLOOKUP(B428,Tot_res!C:V,11,FALSE)</f>
        <v>610539.49382925942</v>
      </c>
      <c r="M428" s="179">
        <f>VLOOKUP(B428,Tot_res!C:V,12,FALSE)</f>
        <v>405075.49569061707</v>
      </c>
      <c r="N428" s="179">
        <f>VLOOKUP(B428,Tot_res!C:V,13,FALSE)</f>
        <v>150155.01583186261</v>
      </c>
      <c r="O428" s="179">
        <f>VLOOKUP(B428,Tot_res!C:V,14,FALSE)</f>
        <v>250136.10215266136</v>
      </c>
      <c r="P428" s="179">
        <f>VLOOKUP(B428,Tot_res!C:V,15,FALSE)</f>
        <v>604245.54884358135</v>
      </c>
      <c r="Q428" s="179">
        <f>VLOOKUP(B428,Tot_res!C:V,16,FALSE)</f>
        <v>127175.20045046891</v>
      </c>
      <c r="R428" s="179">
        <f>VLOOKUP(B428,Tot_res!C:V,17,FALSE)</f>
        <v>54171.315455828211</v>
      </c>
      <c r="S428" s="179">
        <f>VLOOKUP(B428,Tot_res!C:V,18,FALSE)</f>
        <v>249603.35811047611</v>
      </c>
      <c r="T428" s="179">
        <f>VLOOKUP(B428,Tot_res!C:V,19,FALSE)</f>
        <v>24708.963423410281</v>
      </c>
      <c r="U428" s="179">
        <f>VLOOKUP(B428,Tot_res!C:V,20,FALSE)</f>
        <v>84696.00262687575</v>
      </c>
      <c r="V428" s="122">
        <f t="shared" ref="V428:V436" si="75">SUM(D428:U428)</f>
        <v>4430143.3777022744</v>
      </c>
    </row>
    <row r="429" spans="1:22" ht="13.15">
      <c r="A429" s="355"/>
      <c r="B429" s="119" t="s">
        <v>402</v>
      </c>
      <c r="C429" s="334" t="str">
        <f>VLOOKUP(B429,Tot_res!C:D,2,FALSE)</f>
        <v>Desarrollo de la economía social y del Fondo Social Europeo</v>
      </c>
      <c r="D429" s="179">
        <f>VLOOKUP(B429,Tot_res!C:V,3,FALSE)</f>
        <v>1303.124422336705</v>
      </c>
      <c r="E429" s="179">
        <f>VLOOKUP(B429,Tot_res!C:V,4,FALSE)</f>
        <v>125.73834268247812</v>
      </c>
      <c r="F429" s="179">
        <f>VLOOKUP(B429,Tot_res!C:V,5,FALSE)</f>
        <v>96.39228891012236</v>
      </c>
      <c r="G429" s="179">
        <f>VLOOKUP(B429,Tot_res!C:V,6,FALSE)</f>
        <v>41.479891065284903</v>
      </c>
      <c r="H429" s="179">
        <f>VLOOKUP(B429,Tot_res!C:V,7,FALSE)</f>
        <v>110.05739320966714</v>
      </c>
      <c r="I429" s="179">
        <f>VLOOKUP(B429,Tot_res!C:V,8,FALSE)</f>
        <v>36.382128752121382</v>
      </c>
      <c r="J429" s="179">
        <f>VLOOKUP(B429,Tot_res!C:V,9,FALSE)</f>
        <v>224.33728473307892</v>
      </c>
      <c r="K429" s="179">
        <f>VLOOKUP(B429,Tot_res!C:V,10,FALSE)</f>
        <v>232.47556178610103</v>
      </c>
      <c r="L429" s="179">
        <f>VLOOKUP(B429,Tot_res!C:V,11,FALSE)</f>
        <v>630.40907846024982</v>
      </c>
      <c r="M429" s="179">
        <f>VLOOKUP(B429,Tot_res!C:V,12,FALSE)</f>
        <v>1002.3662578503126</v>
      </c>
      <c r="N429" s="179">
        <f>VLOOKUP(B429,Tot_res!C:V,13,FALSE)</f>
        <v>118.95424834937077</v>
      </c>
      <c r="O429" s="179">
        <f>VLOOKUP(B429,Tot_res!C:V,14,FALSE)</f>
        <v>187.62360058062822</v>
      </c>
      <c r="P429" s="179">
        <f>VLOOKUP(B429,Tot_res!C:V,15,FALSE)</f>
        <v>405.55334527963367</v>
      </c>
      <c r="Q429" s="179">
        <f>VLOOKUP(B429,Tot_res!C:V,16,FALSE)</f>
        <v>320.30119295607426</v>
      </c>
      <c r="R429" s="179">
        <f>VLOOKUP(B429,Tot_res!C:V,17,FALSE)</f>
        <v>142.7179616419125</v>
      </c>
      <c r="S429" s="179">
        <f>VLOOKUP(B429,Tot_res!C:V,18,FALSE)</f>
        <v>582.77308634058693</v>
      </c>
      <c r="T429" s="179">
        <f>VLOOKUP(B429,Tot_res!C:V,19,FALSE)</f>
        <v>20.972543052634705</v>
      </c>
      <c r="U429" s="179">
        <f>VLOOKUP(B429,Tot_res!C:V,20,FALSE)</f>
        <v>8.8774720130376092</v>
      </c>
      <c r="V429" s="122">
        <f t="shared" si="75"/>
        <v>5590.5361000000003</v>
      </c>
    </row>
    <row r="430" spans="1:22" ht="13.15">
      <c r="A430" s="355"/>
      <c r="B430" s="115" t="s">
        <v>403</v>
      </c>
      <c r="C430" s="334" t="str">
        <f>VLOOKUP(B430,Tot_res!C:D,2,FALSE)</f>
        <v>Regulación y protección de la propiedad industrial</v>
      </c>
      <c r="D430" s="179">
        <f>VLOOKUP(B430,Tot_res!C:V,3,FALSE)</f>
        <v>5332.7339409755768</v>
      </c>
      <c r="E430" s="179">
        <f>VLOOKUP(B430,Tot_res!C:V,4,FALSE)</f>
        <v>1256.695581370574</v>
      </c>
      <c r="F430" s="179">
        <f>VLOOKUP(B430,Tot_res!C:V,5,FALSE)</f>
        <v>797.27455602013913</v>
      </c>
      <c r="G430" s="179">
        <f>VLOOKUP(B430,Tot_res!C:V,6,FALSE)</f>
        <v>994.2440203110616</v>
      </c>
      <c r="H430" s="179">
        <f>VLOOKUP(B430,Tot_res!C:V,7,FALSE)</f>
        <v>1538.6657725715061</v>
      </c>
      <c r="I430" s="179">
        <f>VLOOKUP(B430,Tot_res!C:V,8,FALSE)</f>
        <v>452.40900862166052</v>
      </c>
      <c r="J430" s="179">
        <f>VLOOKUP(B430,Tot_res!C:V,9,FALSE)</f>
        <v>2005.1650387187094</v>
      </c>
      <c r="K430" s="179">
        <f>VLOOKUP(B430,Tot_res!C:V,10,FALSE)</f>
        <v>1420.8586808610282</v>
      </c>
      <c r="L430" s="179">
        <f>VLOOKUP(B430,Tot_res!C:V,11,FALSE)</f>
        <v>7475.4286681211906</v>
      </c>
      <c r="M430" s="179">
        <f>VLOOKUP(B430,Tot_res!C:V,12,FALSE)</f>
        <v>3690.8758697398748</v>
      </c>
      <c r="N430" s="179">
        <f>VLOOKUP(B430,Tot_res!C:V,13,FALSE)</f>
        <v>648.03813779557561</v>
      </c>
      <c r="O430" s="179">
        <f>VLOOKUP(B430,Tot_res!C:V,14,FALSE)</f>
        <v>2074.0198683958479</v>
      </c>
      <c r="P430" s="179">
        <f>VLOOKUP(B430,Tot_res!C:V,15,FALSE)</f>
        <v>7459.4753979743782</v>
      </c>
      <c r="Q430" s="179">
        <f>VLOOKUP(B430,Tot_res!C:V,16,FALSE)</f>
        <v>1025.634921180128</v>
      </c>
      <c r="R430" s="179">
        <f>VLOOKUP(B430,Tot_res!C:V,17,FALSE)</f>
        <v>671.61363664151554</v>
      </c>
      <c r="S430" s="179">
        <f>VLOOKUP(B430,Tot_res!C:V,18,FALSE)</f>
        <v>2405.6502606737604</v>
      </c>
      <c r="T430" s="179">
        <f>VLOOKUP(B430,Tot_res!C:V,19,FALSE)</f>
        <v>291.55105530399368</v>
      </c>
      <c r="U430" s="179">
        <f>VLOOKUP(B430,Tot_res!C:V,20,FALSE)</f>
        <v>114.27126472348198</v>
      </c>
      <c r="V430" s="122">
        <f t="shared" si="75"/>
        <v>39654.605680000001</v>
      </c>
    </row>
    <row r="431" spans="1:22" ht="13.15">
      <c r="A431" s="355"/>
      <c r="B431" s="115" t="s">
        <v>404</v>
      </c>
      <c r="C431" s="334" t="str">
        <f>VLOOKUP(B431,Tot_res!C:D,2,FALSE)</f>
        <v>Apoyo a la pequeña y mediana empresa</v>
      </c>
      <c r="D431" s="179">
        <f>VLOOKUP(B431,Tot_res!C:V,3,FALSE)</f>
        <v>6960.4742272455023</v>
      </c>
      <c r="E431" s="179">
        <f>VLOOKUP(B431,Tot_res!C:V,4,FALSE)</f>
        <v>1384.1080519844065</v>
      </c>
      <c r="F431" s="179">
        <f>VLOOKUP(B431,Tot_res!C:V,5,FALSE)</f>
        <v>893.14056061349925</v>
      </c>
      <c r="G431" s="179">
        <f>VLOOKUP(B431,Tot_res!C:V,6,FALSE)</f>
        <v>1280.762456387587</v>
      </c>
      <c r="H431" s="179">
        <f>VLOOKUP(B431,Tot_res!C:V,7,FALSE)</f>
        <v>2076.1441057753473</v>
      </c>
      <c r="I431" s="179">
        <f>VLOOKUP(B431,Tot_res!C:V,8,FALSE)</f>
        <v>547.91198948263332</v>
      </c>
      <c r="J431" s="179">
        <f>VLOOKUP(B431,Tot_res!C:V,9,FALSE)</f>
        <v>2174.9896020940128</v>
      </c>
      <c r="K431" s="179">
        <f>VLOOKUP(B431,Tot_res!C:V,10,FALSE)</f>
        <v>1690.2189237880291</v>
      </c>
      <c r="L431" s="179">
        <f>VLOOKUP(B431,Tot_res!C:V,11,FALSE)</f>
        <v>8947.2648575231833</v>
      </c>
      <c r="M431" s="179">
        <f>VLOOKUP(B431,Tot_res!C:V,12,FALSE)</f>
        <v>4686.9807485554566</v>
      </c>
      <c r="N431" s="179">
        <f>VLOOKUP(B431,Tot_res!C:V,13,FALSE)</f>
        <v>884.67214080072597</v>
      </c>
      <c r="O431" s="179">
        <f>VLOOKUP(B431,Tot_res!C:V,14,FALSE)</f>
        <v>2571.1033387710258</v>
      </c>
      <c r="P431" s="179">
        <f>VLOOKUP(B431,Tot_res!C:V,15,FALSE)</f>
        <v>7395.777429478354</v>
      </c>
      <c r="Q431" s="179">
        <f>VLOOKUP(B431,Tot_res!C:V,16,FALSE)</f>
        <v>1458.9559327829049</v>
      </c>
      <c r="R431" s="179">
        <f>VLOOKUP(B431,Tot_res!C:V,17,FALSE)</f>
        <v>734.72636246382683</v>
      </c>
      <c r="S431" s="179">
        <f>VLOOKUP(B431,Tot_res!C:V,18,FALSE)</f>
        <v>2515.0517401135903</v>
      </c>
      <c r="T431" s="179">
        <f>VLOOKUP(B431,Tot_res!C:V,19,FALSE)</f>
        <v>349.37315233648866</v>
      </c>
      <c r="U431" s="179">
        <f>VLOOKUP(B431,Tot_res!C:V,20,FALSE)</f>
        <v>105.96859980341937</v>
      </c>
      <c r="V431" s="122">
        <f t="shared" si="75"/>
        <v>46657.624219999991</v>
      </c>
    </row>
    <row r="432" spans="1:22" ht="13.15">
      <c r="A432" s="355"/>
      <c r="B432" s="115" t="s">
        <v>405</v>
      </c>
      <c r="C432" s="334" t="str">
        <f>VLOOKUP(B432,Tot_res!C:D,2,FALSE)</f>
        <v>Administración de las relaciones laborales y condiciones de trabajo</v>
      </c>
      <c r="D432" s="179">
        <f>VLOOKUP(B432,Tot_res!C:V,3,FALSE)</f>
        <v>4056.392881240582</v>
      </c>
      <c r="E432" s="179">
        <f>VLOOKUP(B432,Tot_res!C:V,4,FALSE)</f>
        <v>847.54459592061164</v>
      </c>
      <c r="F432" s="179">
        <f>VLOOKUP(B432,Tot_res!C:V,5,FALSE)</f>
        <v>2601.5399470794441</v>
      </c>
      <c r="G432" s="179">
        <f>VLOOKUP(B432,Tot_res!C:V,6,FALSE)</f>
        <v>1108.3231649111099</v>
      </c>
      <c r="H432" s="179">
        <f>VLOOKUP(B432,Tot_res!C:V,7,FALSE)</f>
        <v>1396.2528151909369</v>
      </c>
      <c r="I432" s="179">
        <f>VLOOKUP(B432,Tot_res!C:V,8,FALSE)</f>
        <v>327.93741193213771</v>
      </c>
      <c r="J432" s="179">
        <f>VLOOKUP(B432,Tot_res!C:V,9,FALSE)</f>
        <v>1437.4938457834812</v>
      </c>
      <c r="K432" s="179">
        <f>VLOOKUP(B432,Tot_res!C:V,10,FALSE)</f>
        <v>1035.6187447469918</v>
      </c>
      <c r="L432" s="179">
        <f>VLOOKUP(B432,Tot_res!C:V,11,FALSE)</f>
        <v>5592.8378859753757</v>
      </c>
      <c r="M432" s="179">
        <f>VLOOKUP(B432,Tot_res!C:V,12,FALSE)</f>
        <v>3257.7397627927025</v>
      </c>
      <c r="N432" s="179">
        <f>VLOOKUP(B432,Tot_res!C:V,13,FALSE)</f>
        <v>516.52071422911285</v>
      </c>
      <c r="O432" s="179">
        <f>VLOOKUP(B432,Tot_res!C:V,14,FALSE)</f>
        <v>3140.7285742675699</v>
      </c>
      <c r="P432" s="179">
        <f>VLOOKUP(B432,Tot_res!C:V,15,FALSE)</f>
        <v>9044.8550559483883</v>
      </c>
      <c r="Q432" s="179">
        <f>VLOOKUP(B432,Tot_res!C:V,16,FALSE)</f>
        <v>828.56280690053973</v>
      </c>
      <c r="R432" s="179">
        <f>VLOOKUP(B432,Tot_res!C:V,17,FALSE)</f>
        <v>431.08523562341168</v>
      </c>
      <c r="S432" s="179">
        <f>VLOOKUP(B432,Tot_res!C:V,18,FALSE)</f>
        <v>1491.6908346993143</v>
      </c>
      <c r="T432" s="179">
        <f>VLOOKUP(B432,Tot_res!C:V,19,FALSE)</f>
        <v>194.75624181569776</v>
      </c>
      <c r="U432" s="179">
        <f>VLOOKUP(B432,Tot_res!C:V,20,FALSE)</f>
        <v>84.8983509425953</v>
      </c>
      <c r="V432" s="122">
        <f t="shared" si="75"/>
        <v>37394.778870000002</v>
      </c>
    </row>
    <row r="433" spans="1:22" ht="13.15">
      <c r="A433" s="355"/>
      <c r="B433" s="115" t="s">
        <v>900</v>
      </c>
      <c r="C433" s="334" t="str">
        <f>VLOOKUP(B433,Tot_res!C:D,2,FALSE)</f>
        <v xml:space="preserve"> Previsión y política económica, subvenciones a préstamos ICO </v>
      </c>
      <c r="D433" s="179">
        <f>VLOOKUP(B433,Tot_res!C:V,3,FALSE)</f>
        <v>4159.479941606076</v>
      </c>
      <c r="E433" s="179">
        <f>VLOOKUP(B433,Tot_res!C:V,4,FALSE)</f>
        <v>980.21017385683012</v>
      </c>
      <c r="F433" s="179">
        <f>VLOOKUP(B433,Tot_res!C:V,5,FALSE)</f>
        <v>621.86629980493274</v>
      </c>
      <c r="G433" s="179">
        <f>VLOOKUP(B433,Tot_res!C:V,6,FALSE)</f>
        <v>775.5005416206991</v>
      </c>
      <c r="H433" s="179">
        <f>VLOOKUP(B433,Tot_res!C:V,7,FALSE)</f>
        <v>1200.1441453267335</v>
      </c>
      <c r="I433" s="179">
        <f>VLOOKUP(B433,Tot_res!C:V,8,FALSE)</f>
        <v>352.87457007829482</v>
      </c>
      <c r="J433" s="179">
        <f>VLOOKUP(B433,Tot_res!C:V,9,FALSE)</f>
        <v>1564.0089774729006</v>
      </c>
      <c r="K433" s="179">
        <f>VLOOKUP(B433,Tot_res!C:V,10,FALSE)</f>
        <v>1105.6227771547917</v>
      </c>
      <c r="L433" s="179">
        <f>VLOOKUP(B433,Tot_res!C:V,11,FALSE)</f>
        <v>5830.7607212575031</v>
      </c>
      <c r="M433" s="179">
        <f>VLOOKUP(B433,Tot_res!C:V,12,FALSE)</f>
        <v>2877.86665303979</v>
      </c>
      <c r="N433" s="179">
        <f>VLOOKUP(B433,Tot_res!C:V,13,FALSE)</f>
        <v>505.46336370633429</v>
      </c>
      <c r="O433" s="179">
        <f>VLOOKUP(B433,Tot_res!C:V,14,FALSE)</f>
        <v>1617.7150663373989</v>
      </c>
      <c r="P433" s="179">
        <f>VLOOKUP(B433,Tot_res!C:V,15,FALSE)</f>
        <v>5817.7286957575425</v>
      </c>
      <c r="Q433" s="179">
        <f>VLOOKUP(B433,Tot_res!C:V,16,FALSE)</f>
        <v>799.98513506920335</v>
      </c>
      <c r="R433" s="179">
        <f>VLOOKUP(B433,Tot_res!C:V,17,FALSE)</f>
        <v>523.85202056572837</v>
      </c>
      <c r="S433" s="179">
        <f>VLOOKUP(B433,Tot_res!C:V,18,FALSE)</f>
        <v>1876.383505448498</v>
      </c>
      <c r="T433" s="179">
        <f>VLOOKUP(B433,Tot_res!C:V,19,FALSE)</f>
        <v>227.40695108993054</v>
      </c>
      <c r="U433" s="179">
        <f>VLOOKUP(B433,Tot_res!C:V,20,FALSE)</f>
        <v>89.130460806812295</v>
      </c>
      <c r="V433" s="122">
        <f t="shared" si="75"/>
        <v>30926.000000000004</v>
      </c>
    </row>
    <row r="434" spans="1:22" ht="13.15">
      <c r="A434" s="355"/>
      <c r="B434" s="115" t="s">
        <v>902</v>
      </c>
      <c r="C434" s="334" t="str">
        <f>VLOOKUP(B434,Tot_res!C:D,2,FALSE)</f>
        <v>Otros Servicios Sociales, formación y gestión del empleo y del desempleo, ISM</v>
      </c>
      <c r="D434" s="179">
        <f>VLOOKUP(B434,Tot_res!C:V,3,FALSE)</f>
        <v>2874.6522218090904</v>
      </c>
      <c r="E434" s="179">
        <f>VLOOKUP(B434,Tot_res!C:V,4,FALSE)</f>
        <v>0</v>
      </c>
      <c r="F434" s="179">
        <f>VLOOKUP(B434,Tot_res!C:V,5,FALSE)</f>
        <v>215.69530774934543</v>
      </c>
      <c r="G434" s="179">
        <f>VLOOKUP(B434,Tot_res!C:V,6,FALSE)</f>
        <v>209.05086985272351</v>
      </c>
      <c r="H434" s="179">
        <f>VLOOKUP(B434,Tot_res!C:V,7,FALSE)</f>
        <v>1920.9655867927063</v>
      </c>
      <c r="I434" s="179">
        <f>VLOOKUP(B434,Tot_res!C:V,8,FALSE)</f>
        <v>147.20088737144366</v>
      </c>
      <c r="J434" s="179">
        <f>VLOOKUP(B434,Tot_res!C:V,9,FALSE)</f>
        <v>0</v>
      </c>
      <c r="K434" s="179">
        <f>VLOOKUP(B434,Tot_res!C:V,10,FALSE)</f>
        <v>0</v>
      </c>
      <c r="L434" s="179">
        <f>VLOOKUP(B434,Tot_res!C:V,11,FALSE)</f>
        <v>249.37166691373397</v>
      </c>
      <c r="M434" s="179">
        <f>VLOOKUP(B434,Tot_res!C:V,12,FALSE)</f>
        <v>718.65069861760503</v>
      </c>
      <c r="N434" s="179">
        <f>VLOOKUP(B434,Tot_res!C:V,13,FALSE)</f>
        <v>0</v>
      </c>
      <c r="O434" s="179">
        <f>VLOOKUP(B434,Tot_res!C:V,14,FALSE)</f>
        <v>4082.9431360092262</v>
      </c>
      <c r="P434" s="179">
        <f>VLOOKUP(B434,Tot_res!C:V,15,FALSE)</f>
        <v>306.01122858036922</v>
      </c>
      <c r="Q434" s="179">
        <f>VLOOKUP(B434,Tot_res!C:V,16,FALSE)</f>
        <v>201.7965092697527</v>
      </c>
      <c r="R434" s="179">
        <f>VLOOKUP(B434,Tot_res!C:V,17,FALSE)</f>
        <v>0</v>
      </c>
      <c r="S434" s="179">
        <f>VLOOKUP(B434,Tot_res!C:V,18,FALSE)</f>
        <v>438.44570607562741</v>
      </c>
      <c r="T434" s="179">
        <f>VLOOKUP(B434,Tot_res!C:V,19,FALSE)</f>
        <v>0</v>
      </c>
      <c r="U434" s="179">
        <f>VLOOKUP(B434,Tot_res!C:V,20,FALSE)</f>
        <v>153.75678095837611</v>
      </c>
      <c r="V434" s="122">
        <f t="shared" si="75"/>
        <v>11518.540599999998</v>
      </c>
    </row>
    <row r="435" spans="1:22" ht="13.15">
      <c r="A435" s="355"/>
      <c r="B435" s="115" t="s">
        <v>903</v>
      </c>
      <c r="C435" s="334" t="str">
        <f>VLOOKUP(B435,Tot_res!C:D,2,FALSE)</f>
        <v>ISM, formación  + AF20/2</v>
      </c>
      <c r="D435" s="179">
        <f>VLOOKUP(B435,Tot_res!C:V,3,FALSE)</f>
        <v>12107.463360735046</v>
      </c>
      <c r="E435" s="179">
        <f>VLOOKUP(B435,Tot_res!C:V,4,FALSE)</f>
        <v>0</v>
      </c>
      <c r="F435" s="179">
        <f>VLOOKUP(B435,Tot_res!C:V,5,FALSE)</f>
        <v>1987.1897530911774</v>
      </c>
      <c r="G435" s="179">
        <f>VLOOKUP(B435,Tot_res!C:V,6,FALSE)</f>
        <v>1273.3466579491665</v>
      </c>
      <c r="H435" s="179">
        <f>VLOOKUP(B435,Tot_res!C:V,7,FALSE)</f>
        <v>1397.3444869895138</v>
      </c>
      <c r="I435" s="179">
        <f>VLOOKUP(B435,Tot_res!C:V,8,FALSE)</f>
        <v>166.06179791119425</v>
      </c>
      <c r="J435" s="179">
        <f>VLOOKUP(B435,Tot_res!C:V,9,FALSE)</f>
        <v>0</v>
      </c>
      <c r="K435" s="179">
        <f>VLOOKUP(B435,Tot_res!C:V,10,FALSE)</f>
        <v>0</v>
      </c>
      <c r="L435" s="179">
        <f>VLOOKUP(B435,Tot_res!C:V,11,FALSE)</f>
        <v>2283.6873474072618</v>
      </c>
      <c r="M435" s="179">
        <f>VLOOKUP(B435,Tot_res!C:V,12,FALSE)</f>
        <v>2413.9201231470661</v>
      </c>
      <c r="N435" s="179">
        <f>VLOOKUP(B435,Tot_res!C:V,13,FALSE)</f>
        <v>0</v>
      </c>
      <c r="O435" s="179">
        <f>VLOOKUP(B435,Tot_res!C:V,14,FALSE)</f>
        <v>13601.187513033226</v>
      </c>
      <c r="P435" s="179">
        <f>VLOOKUP(B435,Tot_res!C:V,15,FALSE)</f>
        <v>0</v>
      </c>
      <c r="Q435" s="179">
        <f>VLOOKUP(B435,Tot_res!C:V,16,FALSE)</f>
        <v>106.30235087006959</v>
      </c>
      <c r="R435" s="179">
        <f>VLOOKUP(B435,Tot_res!C:V,17,FALSE)</f>
        <v>0</v>
      </c>
      <c r="S435" s="179">
        <f>VLOOKUP(B435,Tot_res!C:V,18,FALSE)</f>
        <v>2569.8326878751673</v>
      </c>
      <c r="T435" s="179">
        <f>VLOOKUP(B435,Tot_res!C:V,19,FALSE)</f>
        <v>0</v>
      </c>
      <c r="U435" s="179">
        <f>VLOOKUP(B435,Tot_res!C:V,20,FALSE)</f>
        <v>0</v>
      </c>
      <c r="V435" s="122">
        <f t="shared" si="75"/>
        <v>37906.336079008892</v>
      </c>
    </row>
    <row r="436" spans="1:22" ht="13.15">
      <c r="A436" s="355"/>
      <c r="B436" s="115" t="s">
        <v>406</v>
      </c>
      <c r="C436" s="334" t="str">
        <f>VLOOKUP(B436,Tot_res!C:D,2,FALSE)</f>
        <v>Gestión de la formación continua + AF20/3</v>
      </c>
      <c r="D436" s="179">
        <f>VLOOKUP(B436,Tot_res!C:V,3,FALSE)</f>
        <v>2550.7209146263817</v>
      </c>
      <c r="E436" s="179">
        <f>VLOOKUP(B436,Tot_res!C:V,4,FALSE)</f>
        <v>828.21113903289495</v>
      </c>
      <c r="F436" s="179">
        <f>VLOOKUP(B436,Tot_res!C:V,5,FALSE)</f>
        <v>0</v>
      </c>
      <c r="G436" s="179">
        <f>VLOOKUP(B436,Tot_res!C:V,6,FALSE)</f>
        <v>628.5277435803647</v>
      </c>
      <c r="H436" s="179">
        <f>VLOOKUP(B436,Tot_res!C:V,7,FALSE)</f>
        <v>991.16305045849469</v>
      </c>
      <c r="I436" s="179">
        <f>VLOOKUP(B436,Tot_res!C:V,8,FALSE)</f>
        <v>369.18604606735295</v>
      </c>
      <c r="J436" s="179">
        <f>VLOOKUP(B436,Tot_res!C:V,9,FALSE)</f>
        <v>1057.7553666482088</v>
      </c>
      <c r="K436" s="179">
        <f>VLOOKUP(B436,Tot_res!C:V,10,FALSE)</f>
        <v>0</v>
      </c>
      <c r="L436" s="179">
        <f>VLOOKUP(B436,Tot_res!C:V,11,FALSE)</f>
        <v>2684.2451125690905</v>
      </c>
      <c r="M436" s="179">
        <f>VLOOKUP(B436,Tot_res!C:V,12,FALSE)</f>
        <v>0</v>
      </c>
      <c r="N436" s="179">
        <f>VLOOKUP(B436,Tot_res!C:V,13,FALSE)</f>
        <v>599.55775047930115</v>
      </c>
      <c r="O436" s="179">
        <f>VLOOKUP(B436,Tot_res!C:V,14,FALSE)</f>
        <v>1198.7685796371138</v>
      </c>
      <c r="P436" s="179">
        <f>VLOOKUP(B436,Tot_res!C:V,15,FALSE)</f>
        <v>0</v>
      </c>
      <c r="Q436" s="179">
        <f>VLOOKUP(B436,Tot_res!C:V,16,FALSE)</f>
        <v>710.86896648266736</v>
      </c>
      <c r="R436" s="179">
        <f>VLOOKUP(B436,Tot_res!C:V,17,FALSE)</f>
        <v>0</v>
      </c>
      <c r="S436" s="179">
        <f>VLOOKUP(B436,Tot_res!C:V,18,FALSE)</f>
        <v>884.14045438799735</v>
      </c>
      <c r="T436" s="179">
        <f>VLOOKUP(B436,Tot_res!C:V,19,FALSE)</f>
        <v>259.97713052274935</v>
      </c>
      <c r="U436" s="179">
        <f>VLOOKUP(B436,Tot_res!C:V,20,FALSE)</f>
        <v>0</v>
      </c>
      <c r="V436" s="122">
        <f t="shared" si="75"/>
        <v>12763.122254492619</v>
      </c>
    </row>
    <row r="437" spans="1:22" ht="13.15">
      <c r="A437" s="356"/>
      <c r="B437" s="115"/>
      <c r="C437" s="138"/>
      <c r="D437" s="122"/>
      <c r="E437" s="122"/>
      <c r="F437" s="122"/>
      <c r="G437" s="122"/>
      <c r="H437" s="122"/>
      <c r="I437" s="122"/>
      <c r="J437" s="122"/>
      <c r="K437" s="122"/>
      <c r="L437" s="122"/>
      <c r="M437" s="122"/>
      <c r="N437" s="122"/>
      <c r="O437" s="122"/>
      <c r="P437" s="122"/>
      <c r="Q437" s="122"/>
      <c r="R437" s="122"/>
      <c r="S437" s="122"/>
      <c r="T437" s="122"/>
      <c r="U437" s="122"/>
      <c r="V437" s="122"/>
    </row>
    <row r="438" spans="1:22" ht="13.15">
      <c r="A438" s="356"/>
      <c r="B438" s="115"/>
      <c r="C438" s="128" t="s">
        <v>75</v>
      </c>
      <c r="D438" s="114">
        <f t="shared" ref="D438:U438" si="76">SUM(D439:D448)</f>
        <v>1306185.5258179603</v>
      </c>
      <c r="E438" s="114">
        <f t="shared" si="76"/>
        <v>545924.02995125542</v>
      </c>
      <c r="F438" s="114">
        <f t="shared" si="76"/>
        <v>105328.27927664325</v>
      </c>
      <c r="G438" s="114">
        <f t="shared" si="76"/>
        <v>41320.413333529737</v>
      </c>
      <c r="H438" s="114">
        <f t="shared" si="76"/>
        <v>325212.31057374785</v>
      </c>
      <c r="I438" s="114">
        <f t="shared" si="76"/>
        <v>84946.369971324108</v>
      </c>
      <c r="J438" s="114">
        <f t="shared" si="76"/>
        <v>1550115.8348402809</v>
      </c>
      <c r="K438" s="114">
        <f t="shared" si="76"/>
        <v>1372173.2978472975</v>
      </c>
      <c r="L438" s="114">
        <f t="shared" si="76"/>
        <v>407138.41885116446</v>
      </c>
      <c r="M438" s="114">
        <f t="shared" si="76"/>
        <v>242962.58681514623</v>
      </c>
      <c r="N438" s="114">
        <f t="shared" si="76"/>
        <v>718287.08531971998</v>
      </c>
      <c r="O438" s="114">
        <f t="shared" si="76"/>
        <v>486024.66268113611</v>
      </c>
      <c r="P438" s="114">
        <f t="shared" si="76"/>
        <v>63498.420045094477</v>
      </c>
      <c r="Q438" s="114">
        <f t="shared" si="76"/>
        <v>192123.09321698584</v>
      </c>
      <c r="R438" s="114">
        <f t="shared" si="76"/>
        <v>134822.25493673951</v>
      </c>
      <c r="S438" s="114">
        <f t="shared" si="76"/>
        <v>87039.657060658457</v>
      </c>
      <c r="T438" s="114">
        <f t="shared" si="76"/>
        <v>67684.699013142599</v>
      </c>
      <c r="U438" s="114">
        <f t="shared" si="76"/>
        <v>1459.3212962109142</v>
      </c>
      <c r="V438" s="126">
        <f>SUM(V439:V448)</f>
        <v>7732246.2608480379</v>
      </c>
    </row>
    <row r="439" spans="1:22" ht="13.15">
      <c r="A439" s="355"/>
      <c r="B439" s="115" t="s">
        <v>482</v>
      </c>
      <c r="C439" s="334" t="str">
        <f>VLOOKUP(B439,Tot_res!C:D,2,FALSE)</f>
        <v>Competitividad y calidad de la producción y los mercados agrarios + AF22/1</v>
      </c>
      <c r="D439" s="179">
        <f>VLOOKUP(B439,Tot_res!C:V,3,FALSE)</f>
        <v>7163.5564749463047</v>
      </c>
      <c r="E439" s="179">
        <f>VLOOKUP(B439,Tot_res!C:V,4,FALSE)</f>
        <v>3639.6853141829711</v>
      </c>
      <c r="F439" s="179">
        <f>VLOOKUP(B439,Tot_res!C:V,5,FALSE)</f>
        <v>611.81353288925175</v>
      </c>
      <c r="G439" s="179">
        <f>VLOOKUP(B439,Tot_res!C:V,6,FALSE)</f>
        <v>783.32563162031352</v>
      </c>
      <c r="H439" s="179">
        <f>VLOOKUP(B439,Tot_res!C:V,7,FALSE)</f>
        <v>500.16087365208148</v>
      </c>
      <c r="I439" s="179">
        <f>VLOOKUP(B439,Tot_res!C:V,8,FALSE)</f>
        <v>688.96844952537595</v>
      </c>
      <c r="J439" s="179">
        <f>VLOOKUP(B439,Tot_res!C:V,9,FALSE)</f>
        <v>3406.4086348794563</v>
      </c>
      <c r="K439" s="179">
        <f>VLOOKUP(B439,Tot_res!C:V,10,FALSE)</f>
        <v>3539.4306665388171</v>
      </c>
      <c r="L439" s="179">
        <f>VLOOKUP(B439,Tot_res!C:V,11,FALSE)</f>
        <v>2832.4478688035106</v>
      </c>
      <c r="M439" s="179">
        <f>VLOOKUP(B439,Tot_res!C:V,12,FALSE)</f>
        <v>2793.6440677797027</v>
      </c>
      <c r="N439" s="179">
        <f>VLOOKUP(B439,Tot_res!C:V,13,FALSE)</f>
        <v>1902.2600592139245</v>
      </c>
      <c r="O439" s="179">
        <f>VLOOKUP(B439,Tot_res!C:V,14,FALSE)</f>
        <v>1802.4965630619804</v>
      </c>
      <c r="P439" s="179">
        <f>VLOOKUP(B439,Tot_res!C:V,15,FALSE)</f>
        <v>435.01545800588701</v>
      </c>
      <c r="Q439" s="179">
        <f>VLOOKUP(B439,Tot_res!C:V,16,FALSE)</f>
        <v>2356.735010444876</v>
      </c>
      <c r="R439" s="179">
        <f>VLOOKUP(B439,Tot_res!C:V,17,FALSE)</f>
        <v>480.23866292280843</v>
      </c>
      <c r="S439" s="179">
        <f>VLOOKUP(B439,Tot_res!C:V,18,FALSE)</f>
        <v>1636.8316177028355</v>
      </c>
      <c r="T439" s="179">
        <f>VLOOKUP(B439,Tot_res!C:V,19,FALSE)</f>
        <v>513.03734705525426</v>
      </c>
      <c r="U439" s="179">
        <f>VLOOKUP(B439,Tot_res!C:V,20,FALSE)</f>
        <v>0</v>
      </c>
      <c r="V439" s="122">
        <f t="shared" ref="V439:V448" si="77">SUM(D439:U439)</f>
        <v>35086.056233225339</v>
      </c>
    </row>
    <row r="440" spans="1:22" ht="13.15">
      <c r="A440" s="355"/>
      <c r="B440" s="115" t="s">
        <v>484</v>
      </c>
      <c r="C440" s="334" t="str">
        <f>VLOOKUP(B440,Tot_res!C:D,2,FALSE)</f>
        <v>Competitividad y calidad de la sanidad agraria + AF22/2</v>
      </c>
      <c r="D440" s="179">
        <f>VLOOKUP(B440,Tot_res!C:V,3,FALSE)</f>
        <v>4831.3575222016916</v>
      </c>
      <c r="E440" s="179">
        <f>VLOOKUP(B440,Tot_res!C:V,4,FALSE)</f>
        <v>4539.6648193650453</v>
      </c>
      <c r="F440" s="179">
        <f>VLOOKUP(B440,Tot_res!C:V,5,FALSE)</f>
        <v>1131.5855010609605</v>
      </c>
      <c r="G440" s="179">
        <f>VLOOKUP(B440,Tot_res!C:V,6,FALSE)</f>
        <v>348.50884444743184</v>
      </c>
      <c r="H440" s="179">
        <f>VLOOKUP(B440,Tot_res!C:V,7,FALSE)</f>
        <v>433.29075743691311</v>
      </c>
      <c r="I440" s="179">
        <f>VLOOKUP(B440,Tot_res!C:V,8,FALSE)</f>
        <v>875.41400287448516</v>
      </c>
      <c r="J440" s="179">
        <f>VLOOKUP(B440,Tot_res!C:V,9,FALSE)</f>
        <v>6391.7470411561235</v>
      </c>
      <c r="K440" s="179">
        <f>VLOOKUP(B440,Tot_res!C:V,10,FALSE)</f>
        <v>3001.9704703598641</v>
      </c>
      <c r="L440" s="179">
        <f>VLOOKUP(B440,Tot_res!C:V,11,FALSE)</f>
        <v>6043.7823078408501</v>
      </c>
      <c r="M440" s="179">
        <f>VLOOKUP(B440,Tot_res!C:V,12,FALSE)</f>
        <v>2739.3659500627814</v>
      </c>
      <c r="N440" s="179">
        <f>VLOOKUP(B440,Tot_res!C:V,13,FALSE)</f>
        <v>2874.9571138265401</v>
      </c>
      <c r="O440" s="179">
        <f>VLOOKUP(B440,Tot_res!C:V,14,FALSE)</f>
        <v>5993.2011473627554</v>
      </c>
      <c r="P440" s="179">
        <f>VLOOKUP(B440,Tot_res!C:V,15,FALSE)</f>
        <v>924.96678649494447</v>
      </c>
      <c r="Q440" s="179">
        <f>VLOOKUP(B440,Tot_res!C:V,16,FALSE)</f>
        <v>1178.2752733925904</v>
      </c>
      <c r="R440" s="179">
        <f>VLOOKUP(B440,Tot_res!C:V,17,FALSE)</f>
        <v>611.65473455660481</v>
      </c>
      <c r="S440" s="179">
        <f>VLOOKUP(B440,Tot_res!C:V,18,FALSE)</f>
        <v>2084.7463687046179</v>
      </c>
      <c r="T440" s="179">
        <f>VLOOKUP(B440,Tot_res!C:V,19,FALSE)</f>
        <v>227.73248778298213</v>
      </c>
      <c r="U440" s="179">
        <f>VLOOKUP(B440,Tot_res!C:V,20,FALSE)</f>
        <v>455.04390999999998</v>
      </c>
      <c r="V440" s="122">
        <f t="shared" si="77"/>
        <v>44687.265038927188</v>
      </c>
    </row>
    <row r="441" spans="1:22" ht="13.15">
      <c r="A441" s="355"/>
      <c r="B441" s="115" t="s">
        <v>407</v>
      </c>
      <c r="C441" s="334" t="str">
        <f>VLOOKUP(B441,Tot_res!C:D,2,FALSE)</f>
        <v>Regulación de los mercados agrarios</v>
      </c>
      <c r="D441" s="179">
        <f>VLOOKUP(B441,Tot_res!C:V,3,FALSE)</f>
        <v>1090932.8241794615</v>
      </c>
      <c r="E441" s="179">
        <f>VLOOKUP(B441,Tot_res!C:V,4,FALSE)</f>
        <v>462300.8463680938</v>
      </c>
      <c r="F441" s="179">
        <f>VLOOKUP(B441,Tot_res!C:V,5,FALSE)</f>
        <v>59037.846745451199</v>
      </c>
      <c r="G441" s="179">
        <f>VLOOKUP(B441,Tot_res!C:V,6,FALSE)</f>
        <v>27305.671098127143</v>
      </c>
      <c r="H441" s="179">
        <f>VLOOKUP(B441,Tot_res!C:V,7,FALSE)</f>
        <v>304488.11303036776</v>
      </c>
      <c r="I441" s="179">
        <f>VLOOKUP(B441,Tot_res!C:V,8,FALSE)</f>
        <v>58762.145714293794</v>
      </c>
      <c r="J441" s="179">
        <f>VLOOKUP(B441,Tot_res!C:V,9,FALSE)</f>
        <v>1365568.8878774042</v>
      </c>
      <c r="K441" s="179">
        <f>VLOOKUP(B441,Tot_res!C:V,10,FALSE)</f>
        <v>1125568.7739788669</v>
      </c>
      <c r="L441" s="179">
        <f>VLOOKUP(B441,Tot_res!C:V,11,FALSE)</f>
        <v>308394.53963106003</v>
      </c>
      <c r="M441" s="179">
        <f>VLOOKUP(B441,Tot_res!C:V,12,FALSE)</f>
        <v>169794.23000624578</v>
      </c>
      <c r="N441" s="179">
        <f>VLOOKUP(B441,Tot_res!C:V,13,FALSE)</f>
        <v>545187.70854182716</v>
      </c>
      <c r="O441" s="179">
        <f>VLOOKUP(B441,Tot_res!C:V,14,FALSE)</f>
        <v>289468.59380708041</v>
      </c>
      <c r="P441" s="179">
        <f>VLOOKUP(B441,Tot_res!C:V,15,FALSE)</f>
        <v>42524.512153834214</v>
      </c>
      <c r="Q441" s="179">
        <f>VLOOKUP(B441,Tot_res!C:V,16,FALSE)</f>
        <v>135256.61879597115</v>
      </c>
      <c r="R441" s="179">
        <f>VLOOKUP(B441,Tot_res!C:V,17,FALSE)</f>
        <v>111739.90301263549</v>
      </c>
      <c r="S441" s="179">
        <f>VLOOKUP(B441,Tot_res!C:V,18,FALSE)</f>
        <v>54857.028172757593</v>
      </c>
      <c r="T441" s="179">
        <f>VLOOKUP(B441,Tot_res!C:V,19,FALSE)</f>
        <v>45980.953976520694</v>
      </c>
      <c r="U441" s="179">
        <f>VLOOKUP(B441,Tot_res!C:V,20,FALSE)</f>
        <v>0</v>
      </c>
      <c r="V441" s="122">
        <f t="shared" si="77"/>
        <v>6197169.197089999</v>
      </c>
    </row>
    <row r="442" spans="1:22" ht="13.15">
      <c r="A442" s="355"/>
      <c r="B442" s="115" t="s">
        <v>408</v>
      </c>
      <c r="C442" s="334" t="str">
        <f>VLOOKUP(B442,Tot_res!C:D,2,FALSE)</f>
        <v>Competitividad industria agroalimentaria y calidad alimentaria + AF22/3</v>
      </c>
      <c r="D442" s="179">
        <f>VLOOKUP(B442,Tot_res!C:V,3,FALSE)</f>
        <v>2521.3603113600934</v>
      </c>
      <c r="E442" s="179">
        <f>VLOOKUP(B442,Tot_res!C:V,4,FALSE)</f>
        <v>723.59194639475038</v>
      </c>
      <c r="F442" s="179">
        <f>VLOOKUP(B442,Tot_res!C:V,5,FALSE)</f>
        <v>300.30152015655619</v>
      </c>
      <c r="G442" s="179">
        <f>VLOOKUP(B442,Tot_res!C:V,6,FALSE)</f>
        <v>60.766268576712193</v>
      </c>
      <c r="H442" s="179">
        <f>VLOOKUP(B442,Tot_res!C:V,7,FALSE)</f>
        <v>354.57881473810062</v>
      </c>
      <c r="I442" s="179">
        <f>VLOOKUP(B442,Tot_res!C:V,8,FALSE)</f>
        <v>447.54209821765471</v>
      </c>
      <c r="J442" s="179">
        <f>VLOOKUP(B442,Tot_res!C:V,9,FALSE)</f>
        <v>2143.6852059596331</v>
      </c>
      <c r="K442" s="179">
        <f>VLOOKUP(B442,Tot_res!C:V,10,FALSE)</f>
        <v>1700.7437887091787</v>
      </c>
      <c r="L442" s="179">
        <f>VLOOKUP(B442,Tot_res!C:V,11,FALSE)</f>
        <v>5635.0544477381209</v>
      </c>
      <c r="M442" s="179">
        <f>VLOOKUP(B442,Tot_res!C:V,12,FALSE)</f>
        <v>1753.6758261011182</v>
      </c>
      <c r="N442" s="179">
        <f>VLOOKUP(B442,Tot_res!C:V,13,FALSE)</f>
        <v>716.35798365269738</v>
      </c>
      <c r="O442" s="179">
        <f>VLOOKUP(B442,Tot_res!C:V,14,FALSE)</f>
        <v>2313.6061842104164</v>
      </c>
      <c r="P442" s="179">
        <f>VLOOKUP(B442,Tot_res!C:V,15,FALSE)</f>
        <v>4743.4382617999372</v>
      </c>
      <c r="Q442" s="179">
        <f>VLOOKUP(B442,Tot_res!C:V,16,FALSE)</f>
        <v>891.2404692914655</v>
      </c>
      <c r="R442" s="179">
        <f>VLOOKUP(B442,Tot_res!C:V,17,FALSE)</f>
        <v>359.89807235920398</v>
      </c>
      <c r="S442" s="179">
        <f>VLOOKUP(B442,Tot_res!C:V,18,FALSE)</f>
        <v>1226.6662171732232</v>
      </c>
      <c r="T442" s="179">
        <f>VLOOKUP(B442,Tot_res!C:V,19,FALSE)</f>
        <v>401.51049576349226</v>
      </c>
      <c r="U442" s="179">
        <f>VLOOKUP(B442,Tot_res!C:V,20,FALSE)</f>
        <v>0</v>
      </c>
      <c r="V442" s="122">
        <f t="shared" si="77"/>
        <v>26294.017912202355</v>
      </c>
    </row>
    <row r="443" spans="1:22" ht="13.15">
      <c r="A443" s="355"/>
      <c r="B443" s="115" t="s">
        <v>409</v>
      </c>
      <c r="C443" s="334" t="str">
        <f>VLOOKUP(B443,Tot_res!C:D,2,FALSE)</f>
        <v>Desarrollo del medio rural  + AF22/4</v>
      </c>
      <c r="D443" s="179">
        <f>VLOOKUP(B443,Tot_res!C:V,3,FALSE)</f>
        <v>112918.18634987733</v>
      </c>
      <c r="E443" s="179">
        <f>VLOOKUP(B443,Tot_res!C:V,4,FALSE)</f>
        <v>54169.036235063453</v>
      </c>
      <c r="F443" s="179">
        <f>VLOOKUP(B443,Tot_res!C:V,5,FALSE)</f>
        <v>39391.108841557718</v>
      </c>
      <c r="G443" s="179">
        <f>VLOOKUP(B443,Tot_res!C:V,6,FALSE)</f>
        <v>9281.5117161210892</v>
      </c>
      <c r="H443" s="179">
        <f>VLOOKUP(B443,Tot_res!C:V,7,FALSE)</f>
        <v>6288.1539296959472</v>
      </c>
      <c r="I443" s="179">
        <f>VLOOKUP(B443,Tot_res!C:V,8,FALSE)</f>
        <v>19785.82650293547</v>
      </c>
      <c r="J443" s="179">
        <f>VLOOKUP(B443,Tot_res!C:V,9,FALSE)</f>
        <v>141102.60612303112</v>
      </c>
      <c r="K443" s="179">
        <f>VLOOKUP(B443,Tot_res!C:V,10,FALSE)</f>
        <v>204462.6784401779</v>
      </c>
      <c r="L443" s="179">
        <f>VLOOKUP(B443,Tot_res!C:V,11,FALSE)</f>
        <v>54724.672344186831</v>
      </c>
      <c r="M443" s="179">
        <f>VLOOKUP(B443,Tot_res!C:V,12,FALSE)</f>
        <v>40377.278847936999</v>
      </c>
      <c r="N443" s="179">
        <f>VLOOKUP(B443,Tot_res!C:V,13,FALSE)</f>
        <v>154123.22740857711</v>
      </c>
      <c r="O443" s="179">
        <f>VLOOKUP(B443,Tot_res!C:V,14,FALSE)</f>
        <v>116101.46958313452</v>
      </c>
      <c r="P443" s="179">
        <f>VLOOKUP(B443,Tot_res!C:V,15,FALSE)</f>
        <v>7607.0449091620749</v>
      </c>
      <c r="Q443" s="179">
        <f>VLOOKUP(B443,Tot_res!C:V,16,FALSE)</f>
        <v>36774.74446006686</v>
      </c>
      <c r="R443" s="179">
        <f>VLOOKUP(B443,Tot_res!C:V,17,FALSE)</f>
        <v>15267.744794995691</v>
      </c>
      <c r="S443" s="179">
        <f>VLOOKUP(B443,Tot_res!C:V,18,FALSE)</f>
        <v>19082.270339698294</v>
      </c>
      <c r="T443" s="179">
        <f>VLOOKUP(B443,Tot_res!C:V,19,FALSE)</f>
        <v>11670.304989217968</v>
      </c>
      <c r="U443" s="179">
        <f>VLOOKUP(B443,Tot_res!C:V,20,FALSE)</f>
        <v>0</v>
      </c>
      <c r="V443" s="122">
        <f t="shared" si="77"/>
        <v>1043127.8658154365</v>
      </c>
    </row>
    <row r="444" spans="1:22" ht="13.15">
      <c r="A444" s="355"/>
      <c r="B444" s="115" t="s">
        <v>411</v>
      </c>
      <c r="C444" s="334" t="str">
        <f>VLOOKUP(B444,Tot_res!C:D,2,FALSE)</f>
        <v>Programa de desarrollo rural sostenible</v>
      </c>
      <c r="D444" s="179">
        <f>VLOOKUP(B444,Tot_res!C:V,3,FALSE)</f>
        <v>0</v>
      </c>
      <c r="E444" s="179">
        <f>VLOOKUP(B444,Tot_res!C:V,4,FALSE)</f>
        <v>0</v>
      </c>
      <c r="F444" s="179">
        <f>VLOOKUP(B444,Tot_res!C:V,5,FALSE)</f>
        <v>0</v>
      </c>
      <c r="G444" s="179">
        <f>VLOOKUP(B444,Tot_res!C:V,6,FALSE)</f>
        <v>0</v>
      </c>
      <c r="H444" s="179">
        <f>VLOOKUP(B444,Tot_res!C:V,7,FALSE)</f>
        <v>0</v>
      </c>
      <c r="I444" s="179">
        <f>VLOOKUP(B444,Tot_res!C:V,8,FALSE)</f>
        <v>0</v>
      </c>
      <c r="J444" s="179">
        <f>VLOOKUP(B444,Tot_res!C:V,9,FALSE)</f>
        <v>500</v>
      </c>
      <c r="K444" s="179">
        <f>VLOOKUP(B444,Tot_res!C:V,10,FALSE)</f>
        <v>0</v>
      </c>
      <c r="L444" s="179">
        <f>VLOOKUP(B444,Tot_res!C:V,11,FALSE)</f>
        <v>0</v>
      </c>
      <c r="M444" s="179">
        <f>VLOOKUP(B444,Tot_res!C:V,12,FALSE)</f>
        <v>0</v>
      </c>
      <c r="N444" s="179">
        <f>VLOOKUP(B444,Tot_res!C:V,13,FALSE)</f>
        <v>0</v>
      </c>
      <c r="O444" s="179">
        <f>VLOOKUP(B444,Tot_res!C:V,14,FALSE)</f>
        <v>17014</v>
      </c>
      <c r="P444" s="179">
        <f>VLOOKUP(B444,Tot_res!C:V,15,FALSE)</f>
        <v>0</v>
      </c>
      <c r="Q444" s="179">
        <f>VLOOKUP(B444,Tot_res!C:V,16,FALSE)</f>
        <v>0</v>
      </c>
      <c r="R444" s="179">
        <f>VLOOKUP(B444,Tot_res!C:V,17,FALSE)</f>
        <v>0</v>
      </c>
      <c r="S444" s="179">
        <f>VLOOKUP(B444,Tot_res!C:V,18,FALSE)</f>
        <v>0</v>
      </c>
      <c r="T444" s="179">
        <f>VLOOKUP(B444,Tot_res!C:V,19,FALSE)</f>
        <v>2625</v>
      </c>
      <c r="U444" s="179">
        <f>VLOOKUP(B444,Tot_res!C:V,20,FALSE)</f>
        <v>0</v>
      </c>
      <c r="V444" s="122">
        <f t="shared" si="77"/>
        <v>20139</v>
      </c>
    </row>
    <row r="445" spans="1:22" ht="13.15">
      <c r="A445" s="355"/>
      <c r="B445" s="115" t="s">
        <v>412</v>
      </c>
      <c r="C445" s="334" t="str">
        <f>VLOOKUP(B445,Tot_res!C:D,2,FALSE)</f>
        <v>Protección de los recursos pesqueros y desarrollo sostenible</v>
      </c>
      <c r="D445" s="179">
        <f>VLOOKUP(B445,Tot_res!C:V,3,FALSE)</f>
        <v>1951.4378789216512</v>
      </c>
      <c r="E445" s="179">
        <f>VLOOKUP(B445,Tot_res!C:V,4,FALSE)</f>
        <v>0.65768248206314672</v>
      </c>
      <c r="F445" s="179">
        <f>VLOOKUP(B445,Tot_res!C:V,5,FALSE)</f>
        <v>412.71141660134037</v>
      </c>
      <c r="G445" s="179">
        <f>VLOOKUP(B445,Tot_res!C:V,6,FALSE)</f>
        <v>583.89431628786986</v>
      </c>
      <c r="H445" s="179">
        <f>VLOOKUP(B445,Tot_res!C:V,7,FALSE)</f>
        <v>665.55030196879125</v>
      </c>
      <c r="I445" s="179">
        <f>VLOOKUP(B445,Tot_res!C:V,8,FALSE)</f>
        <v>344.78221166824676</v>
      </c>
      <c r="J445" s="179">
        <f>VLOOKUP(B445,Tot_res!C:V,9,FALSE)</f>
        <v>3.1318213431578417</v>
      </c>
      <c r="K445" s="179">
        <f>VLOOKUP(B445,Tot_res!C:V,10,FALSE)</f>
        <v>1.127455683536823</v>
      </c>
      <c r="L445" s="179">
        <f>VLOOKUP(B445,Tot_res!C:V,11,FALSE)</f>
        <v>993.69475274116348</v>
      </c>
      <c r="M445" s="179">
        <f>VLOOKUP(B445,Tot_res!C:V,12,FALSE)</f>
        <v>695.25985382579927</v>
      </c>
      <c r="N445" s="179">
        <f>VLOOKUP(B445,Tot_res!C:V,13,FALSE)</f>
        <v>0.75163712235788194</v>
      </c>
      <c r="O445" s="179">
        <f>VLOOKUP(B445,Tot_res!C:V,14,FALSE)</f>
        <v>5531.2577013432328</v>
      </c>
      <c r="P445" s="179">
        <f>VLOOKUP(B445,Tot_res!C:V,15,FALSE)</f>
        <v>113.79003790446254</v>
      </c>
      <c r="Q445" s="179">
        <f>VLOOKUP(B445,Tot_res!C:V,16,FALSE)</f>
        <v>204.03816050673336</v>
      </c>
      <c r="R445" s="179">
        <f>VLOOKUP(B445,Tot_res!C:V,17,FALSE)</f>
        <v>0.37581856117894097</v>
      </c>
      <c r="S445" s="179">
        <f>VLOOKUP(B445,Tot_res!C:V,18,FALSE)</f>
        <v>980.6799273995648</v>
      </c>
      <c r="T445" s="179">
        <f>VLOOKUP(B445,Tot_res!C:V,19,FALSE)</f>
        <v>828.6799273995648</v>
      </c>
      <c r="U445" s="179">
        <f>VLOOKUP(B445,Tot_res!C:V,20,FALSE)</f>
        <v>25.273798239283781</v>
      </c>
      <c r="V445" s="122">
        <f t="shared" si="77"/>
        <v>13337.0947</v>
      </c>
    </row>
    <row r="446" spans="1:22" ht="13.15">
      <c r="A446" s="355"/>
      <c r="B446" s="115" t="s">
        <v>413</v>
      </c>
      <c r="C446" s="334" t="str">
        <f>VLOOKUP(B446,Tot_res!C:D,2,FALSE)</f>
        <v>Mejora de estructuras y mercados pesqueros</v>
      </c>
      <c r="D446" s="179">
        <f>VLOOKUP(B446,Tot_res!C:V,3,FALSE)</f>
        <v>9187.5703877189881</v>
      </c>
      <c r="E446" s="179">
        <f>VLOOKUP(B446,Tot_res!C:V,4,FALSE)</f>
        <v>89.866507284216169</v>
      </c>
      <c r="F446" s="179">
        <f>VLOOKUP(B446,Tot_res!C:V,5,FALSE)</f>
        <v>705.83801196698016</v>
      </c>
      <c r="G446" s="179">
        <f>VLOOKUP(B446,Tot_res!C:V,6,FALSE)</f>
        <v>379.0381825637952</v>
      </c>
      <c r="H446" s="179">
        <f>VLOOKUP(B446,Tot_res!C:V,7,FALSE)</f>
        <v>4140.5156058776565</v>
      </c>
      <c r="I446" s="179">
        <f>VLOOKUP(B446,Tot_res!C:V,8,FALSE)</f>
        <v>1456.8945734420329</v>
      </c>
      <c r="J446" s="179">
        <f>VLOOKUP(B446,Tot_res!C:V,9,FALSE)</f>
        <v>164.89309542078314</v>
      </c>
      <c r="K446" s="179">
        <f>VLOOKUP(B446,Tot_res!C:V,10,FALSE)</f>
        <v>59.267788546338892</v>
      </c>
      <c r="L446" s="179">
        <f>VLOOKUP(B446,Tot_res!C:V,11,FALSE)</f>
        <v>1825.1115589616902</v>
      </c>
      <c r="M446" s="179">
        <f>VLOOKUP(B446,Tot_res!C:V,12,FALSE)</f>
        <v>1213.0140722484025</v>
      </c>
      <c r="N446" s="179">
        <f>VLOOKUP(B446,Tot_res!C:V,13,FALSE)</f>
        <v>28.485293719945819</v>
      </c>
      <c r="O446" s="179">
        <f>VLOOKUP(B446,Tot_res!C:V,14,FALSE)</f>
        <v>18937.946437519837</v>
      </c>
      <c r="P446" s="179">
        <f>VLOOKUP(B446,Tot_res!C:V,15,FALSE)</f>
        <v>172.46126706292671</v>
      </c>
      <c r="Q446" s="179">
        <f>VLOOKUP(B446,Tot_res!C:V,16,FALSE)</f>
        <v>1812.8582851528463</v>
      </c>
      <c r="R446" s="179">
        <f>VLOOKUP(B446,Tot_res!C:V,17,FALSE)</f>
        <v>40.109131318568878</v>
      </c>
      <c r="S446" s="179">
        <f>VLOOKUP(B446,Tot_res!C:V,18,FALSE)</f>
        <v>1229.5998642369516</v>
      </c>
      <c r="T446" s="179">
        <f>VLOOKUP(B446,Tot_res!C:V,19,FALSE)</f>
        <v>1230.2890245688857</v>
      </c>
      <c r="U446" s="179">
        <f>VLOOKUP(B446,Tot_res!C:V,20,FALSE)</f>
        <v>831.45208238915325</v>
      </c>
      <c r="V446" s="122">
        <f t="shared" si="77"/>
        <v>43505.211169999995</v>
      </c>
    </row>
    <row r="447" spans="1:22" ht="13.15">
      <c r="A447" s="355"/>
      <c r="B447" s="115" t="s">
        <v>415</v>
      </c>
      <c r="C447" s="334" t="str">
        <f>VLOOKUP(B447,Tot_res!C:D,2,FALSE)</f>
        <v>Previsión de riesgos en las producciones agrarias y pesqueras</v>
      </c>
      <c r="D447" s="179">
        <f>VLOOKUP(B447,Tot_res!C:V,3,FALSE)</f>
        <v>64448.202999380068</v>
      </c>
      <c r="E447" s="179">
        <f>VLOOKUP(B447,Tot_res!C:V,4,FALSE)</f>
        <v>17110.610852078633</v>
      </c>
      <c r="F447" s="179">
        <f>VLOOKUP(B447,Tot_res!C:V,5,FALSE)</f>
        <v>2531.050292936708</v>
      </c>
      <c r="G447" s="179">
        <f>VLOOKUP(B447,Tot_res!C:V,6,FALSE)</f>
        <v>932.18438598159639</v>
      </c>
      <c r="H447" s="179">
        <f>VLOOKUP(B447,Tot_res!C:V,7,FALSE)</f>
        <v>5543.8886410565265</v>
      </c>
      <c r="I447" s="179">
        <f>VLOOKUP(B447,Tot_res!C:V,8,FALSE)</f>
        <v>1519.1229843161941</v>
      </c>
      <c r="J447" s="179">
        <f>VLOOKUP(B447,Tot_res!C:V,9,FALSE)</f>
        <v>22084.673807231055</v>
      </c>
      <c r="K447" s="179">
        <f>VLOOKUP(B447,Tot_res!C:V,10,FALSE)</f>
        <v>26730.639990357751</v>
      </c>
      <c r="L447" s="179">
        <f>VLOOKUP(B447,Tot_res!C:V,11,FALSE)</f>
        <v>19739.30222448425</v>
      </c>
      <c r="M447" s="179">
        <f>VLOOKUP(B447,Tot_res!C:V,12,FALSE)</f>
        <v>18946.295638965825</v>
      </c>
      <c r="N447" s="179">
        <f>VLOOKUP(B447,Tot_res!C:V,13,FALSE)</f>
        <v>9243.1840329004954</v>
      </c>
      <c r="O447" s="179">
        <f>VLOOKUP(B447,Tot_res!C:V,14,FALSE)</f>
        <v>24437.329208718049</v>
      </c>
      <c r="P447" s="179">
        <f>VLOOKUP(B447,Tot_res!C:V,15,FALSE)</f>
        <v>1629.4092063563673</v>
      </c>
      <c r="Q447" s="179">
        <f>VLOOKUP(B447,Tot_res!C:V,16,FALSE)</f>
        <v>11721.956905585408</v>
      </c>
      <c r="R447" s="179">
        <f>VLOOKUP(B447,Tot_res!C:V,17,FALSE)</f>
        <v>5336.2772424667828</v>
      </c>
      <c r="S447" s="179">
        <f>VLOOKUP(B447,Tot_res!C:V,18,FALSE)</f>
        <v>4036.995612617608</v>
      </c>
      <c r="T447" s="179">
        <f>VLOOKUP(B447,Tot_res!C:V,19,FALSE)</f>
        <v>3701.6420992447747</v>
      </c>
      <c r="U447" s="179">
        <f>VLOOKUP(B447,Tot_res!C:V,20,FALSE)</f>
        <v>32.4206653219006</v>
      </c>
      <c r="V447" s="122">
        <f t="shared" si="77"/>
        <v>239725.18679000001</v>
      </c>
    </row>
    <row r="448" spans="1:22" ht="13.15">
      <c r="A448" s="355"/>
      <c r="B448" s="115" t="s">
        <v>909</v>
      </c>
      <c r="C448" s="334" t="str">
        <f>VLOOKUP(B448,Tot_res!C:D,2,FALSE)</f>
        <v>Direc. y serv. grales. de agric., aliment. y medio amb., Medio Rural y Marino</v>
      </c>
      <c r="D448" s="179">
        <f>VLOOKUP(B448,Tot_res!C:V,3,FALSE)</f>
        <v>12231.02971409278</v>
      </c>
      <c r="E448" s="179">
        <f>VLOOKUP(B448,Tot_res!C:V,4,FALSE)</f>
        <v>3350.0702263105741</v>
      </c>
      <c r="F448" s="179">
        <f>VLOOKUP(B448,Tot_res!C:V,5,FALSE)</f>
        <v>1206.0234140225532</v>
      </c>
      <c r="G448" s="179">
        <f>VLOOKUP(B448,Tot_res!C:V,6,FALSE)</f>
        <v>1645.5128898037781</v>
      </c>
      <c r="H448" s="179">
        <f>VLOOKUP(B448,Tot_res!C:V,7,FALSE)</f>
        <v>2798.0586189540568</v>
      </c>
      <c r="I448" s="179">
        <f>VLOOKUP(B448,Tot_res!C:V,8,FALSE)</f>
        <v>1065.6734340508581</v>
      </c>
      <c r="J448" s="179">
        <f>VLOOKUP(B448,Tot_res!C:V,9,FALSE)</f>
        <v>8749.8012338552617</v>
      </c>
      <c r="K448" s="179">
        <f>VLOOKUP(B448,Tot_res!C:V,10,FALSE)</f>
        <v>7108.6652680574061</v>
      </c>
      <c r="L448" s="179">
        <f>VLOOKUP(B448,Tot_res!C:V,11,FALSE)</f>
        <v>6949.8137153480984</v>
      </c>
      <c r="M448" s="179">
        <f>VLOOKUP(B448,Tot_res!C:V,12,FALSE)</f>
        <v>4649.8225519798161</v>
      </c>
      <c r="N448" s="179">
        <f>VLOOKUP(B448,Tot_res!C:V,13,FALSE)</f>
        <v>4210.1532488797184</v>
      </c>
      <c r="O448" s="179">
        <f>VLOOKUP(B448,Tot_res!C:V,14,FALSE)</f>
        <v>4424.762048704938</v>
      </c>
      <c r="P448" s="179">
        <f>VLOOKUP(B448,Tot_res!C:V,15,FALSE)</f>
        <v>5347.7819644736574</v>
      </c>
      <c r="Q448" s="179">
        <f>VLOOKUP(B448,Tot_res!C:V,16,FALSE)</f>
        <v>1926.6258565738869</v>
      </c>
      <c r="R448" s="179">
        <f>VLOOKUP(B448,Tot_res!C:V,17,FALSE)</f>
        <v>986.05346692315561</v>
      </c>
      <c r="S448" s="179">
        <f>VLOOKUP(B448,Tot_res!C:V,18,FALSE)</f>
        <v>1904.8389403677538</v>
      </c>
      <c r="T448" s="179">
        <f>VLOOKUP(B448,Tot_res!C:V,19,FALSE)</f>
        <v>505.54866558899943</v>
      </c>
      <c r="U448" s="179">
        <f>VLOOKUP(B448,Tot_res!C:V,20,FALSE)</f>
        <v>115.13084026057656</v>
      </c>
      <c r="V448" s="122">
        <f t="shared" si="77"/>
        <v>69175.366098247876</v>
      </c>
    </row>
    <row r="449" spans="1:22" ht="13.15">
      <c r="A449" s="356"/>
      <c r="B449" s="115"/>
      <c r="C449" s="129"/>
      <c r="D449" s="105"/>
      <c r="E449" s="105"/>
      <c r="F449" s="105"/>
      <c r="G449" s="105"/>
      <c r="H449" s="105"/>
      <c r="I449" s="105"/>
      <c r="J449" s="105"/>
      <c r="K449" s="105"/>
      <c r="L449" s="105"/>
      <c r="M449" s="105"/>
      <c r="N449" s="105"/>
      <c r="O449" s="105"/>
      <c r="P449" s="105"/>
      <c r="Q449" s="105"/>
      <c r="R449" s="105"/>
      <c r="S449" s="105"/>
      <c r="T449" s="105"/>
      <c r="U449" s="105"/>
      <c r="V449" s="122"/>
    </row>
    <row r="450" spans="1:22" ht="13.15">
      <c r="A450" s="356"/>
      <c r="B450" s="115"/>
      <c r="C450" s="128" t="s">
        <v>113</v>
      </c>
      <c r="D450" s="114">
        <f t="shared" ref="D450:V450" si="78">SUM(D451:D467)</f>
        <v>376690.22141849319</v>
      </c>
      <c r="E450" s="114">
        <f t="shared" si="78"/>
        <v>99787.378967982368</v>
      </c>
      <c r="F450" s="114">
        <f t="shared" si="78"/>
        <v>94327.596795691119</v>
      </c>
      <c r="G450" s="114">
        <f t="shared" si="78"/>
        <v>66861.049957137133</v>
      </c>
      <c r="H450" s="114">
        <f t="shared" si="78"/>
        <v>97299.964400353041</v>
      </c>
      <c r="I450" s="114">
        <f t="shared" si="78"/>
        <v>44526.249422382512</v>
      </c>
      <c r="J450" s="114">
        <f t="shared" si="78"/>
        <v>133754.60004275155</v>
      </c>
      <c r="K450" s="114">
        <f t="shared" si="78"/>
        <v>106756.8597679752</v>
      </c>
      <c r="L450" s="114">
        <f t="shared" si="78"/>
        <v>499617.40352763579</v>
      </c>
      <c r="M450" s="114">
        <f t="shared" si="78"/>
        <v>256332.74810942137</v>
      </c>
      <c r="N450" s="114">
        <f t="shared" si="78"/>
        <v>42796.448151162964</v>
      </c>
      <c r="O450" s="114">
        <f t="shared" si="78"/>
        <v>236552.98287025391</v>
      </c>
      <c r="P450" s="114">
        <f t="shared" si="78"/>
        <v>330821.58527274668</v>
      </c>
      <c r="Q450" s="114">
        <f t="shared" si="78"/>
        <v>86821.42486776915</v>
      </c>
      <c r="R450" s="114">
        <f t="shared" si="78"/>
        <v>50857.764327092278</v>
      </c>
      <c r="S450" s="114">
        <f t="shared" si="78"/>
        <v>191291.97185078845</v>
      </c>
      <c r="T450" s="114">
        <f t="shared" si="78"/>
        <v>17850.207756803447</v>
      </c>
      <c r="U450" s="114">
        <f t="shared" si="78"/>
        <v>4116.3261735643873</v>
      </c>
      <c r="V450" s="126">
        <f t="shared" si="78"/>
        <v>2737062.7836800036</v>
      </c>
    </row>
    <row r="451" spans="1:22" ht="13.15">
      <c r="A451" s="355"/>
      <c r="B451" s="115" t="s">
        <v>417</v>
      </c>
      <c r="C451" s="334" t="str">
        <f>VLOOKUP(B451,Tot_res!C:D,2,FALSE)</f>
        <v>Dirección y servicios generales de industria y energía</v>
      </c>
      <c r="D451" s="179">
        <f>VLOOKUP(B451,Tot_res!C:V,3,FALSE)</f>
        <v>5763.5526816201827</v>
      </c>
      <c r="E451" s="179">
        <f>VLOOKUP(B451,Tot_res!C:V,4,FALSE)</f>
        <v>1895.7380008646373</v>
      </c>
      <c r="F451" s="179">
        <f>VLOOKUP(B451,Tot_res!C:V,5,FALSE)</f>
        <v>1473.148606571026</v>
      </c>
      <c r="G451" s="179">
        <f>VLOOKUP(B451,Tot_res!C:V,6,FALSE)</f>
        <v>775.27382981761195</v>
      </c>
      <c r="H451" s="179">
        <f>VLOOKUP(B451,Tot_res!C:V,7,FALSE)</f>
        <v>5248.4665019655322</v>
      </c>
      <c r="I451" s="179">
        <f>VLOOKUP(B451,Tot_res!C:V,8,FALSE)</f>
        <v>744.38342726173937</v>
      </c>
      <c r="J451" s="179">
        <f>VLOOKUP(B451,Tot_res!C:V,9,FALSE)</f>
        <v>2671.6697172961553</v>
      </c>
      <c r="K451" s="179">
        <f>VLOOKUP(B451,Tot_res!C:V,10,FALSE)</f>
        <v>2240.061615109591</v>
      </c>
      <c r="L451" s="179">
        <f>VLOOKUP(B451,Tot_res!C:V,11,FALSE)</f>
        <v>9422.7736057639213</v>
      </c>
      <c r="M451" s="179">
        <f>VLOOKUP(B451,Tot_res!C:V,12,FALSE)</f>
        <v>4524.143830138717</v>
      </c>
      <c r="N451" s="179">
        <f>VLOOKUP(B451,Tot_res!C:V,13,FALSE)</f>
        <v>723.82604498907767</v>
      </c>
      <c r="O451" s="179">
        <f>VLOOKUP(B451,Tot_res!C:V,14,FALSE)</f>
        <v>3592.3313931090156</v>
      </c>
      <c r="P451" s="179">
        <f>VLOOKUP(B451,Tot_res!C:V,15,FALSE)</f>
        <v>17422.116076765706</v>
      </c>
      <c r="Q451" s="179">
        <f>VLOOKUP(B451,Tot_res!C:V,16,FALSE)</f>
        <v>1427.6286740852318</v>
      </c>
      <c r="R451" s="179">
        <f>VLOOKUP(B451,Tot_res!C:V,17,FALSE)</f>
        <v>1171.4909483140589</v>
      </c>
      <c r="S451" s="179">
        <f>VLOOKUP(B451,Tot_res!C:V,18,FALSE)</f>
        <v>3876.787242512265</v>
      </c>
      <c r="T451" s="179">
        <f>VLOOKUP(B451,Tot_res!C:V,19,FALSE)</f>
        <v>468.08992508083946</v>
      </c>
      <c r="U451" s="179">
        <f>VLOOKUP(B451,Tot_res!C:V,20,FALSE)</f>
        <v>80.15517873469409</v>
      </c>
      <c r="V451" s="122">
        <f t="shared" ref="V451:V467" si="79">SUM(D451:U451)</f>
        <v>63521.637299999988</v>
      </c>
    </row>
    <row r="452" spans="1:22" ht="13.15">
      <c r="A452" s="355"/>
      <c r="B452" s="115" t="s">
        <v>418</v>
      </c>
      <c r="C452" s="334" t="str">
        <f>VLOOKUP(B452,Tot_res!C:D,2,FALSE)</f>
        <v>Calidad y seguridad industrial</v>
      </c>
      <c r="D452" s="179">
        <f>VLOOKUP(B452,Tot_res!C:V,3,FALSE)</f>
        <v>496.92855281292071</v>
      </c>
      <c r="E452" s="179">
        <f>VLOOKUP(B452,Tot_res!C:V,4,FALSE)</f>
        <v>127.6026990592011</v>
      </c>
      <c r="F452" s="179">
        <f>VLOOKUP(B452,Tot_res!C:V,5,FALSE)</f>
        <v>86.24371203644111</v>
      </c>
      <c r="G452" s="179">
        <f>VLOOKUP(B452,Tot_res!C:V,6,FALSE)</f>
        <v>60.344403460026264</v>
      </c>
      <c r="H452" s="179">
        <f>VLOOKUP(B452,Tot_res!C:V,7,FALSE)</f>
        <v>113.48628390429324</v>
      </c>
      <c r="I452" s="179">
        <f>VLOOKUP(B452,Tot_res!C:V,8,FALSE)</f>
        <v>47.574631966307649</v>
      </c>
      <c r="J452" s="179">
        <f>VLOOKUP(B452,Tot_res!C:V,9,FALSE)</f>
        <v>209.46289836499969</v>
      </c>
      <c r="K452" s="179">
        <f>VLOOKUP(B452,Tot_res!C:V,10,FALSE)</f>
        <v>162.75398172355074</v>
      </c>
      <c r="L452" s="179">
        <f>VLOOKUP(B452,Tot_res!C:V,11,FALSE)</f>
        <v>690.40363496237501</v>
      </c>
      <c r="M452" s="179">
        <f>VLOOKUP(B452,Tot_res!C:V,12,FALSE)</f>
        <v>370.37574858954906</v>
      </c>
      <c r="N452" s="179">
        <f>VLOOKUP(B452,Tot_res!C:V,13,FALSE)</f>
        <v>66.779409077073538</v>
      </c>
      <c r="O452" s="179">
        <f>VLOOKUP(B452,Tot_res!C:V,14,FALSE)</f>
        <v>215.14600207388344</v>
      </c>
      <c r="P452" s="179">
        <f>VLOOKUP(B452,Tot_res!C:V,15,FALSE)</f>
        <v>461.90403974728707</v>
      </c>
      <c r="Q452" s="179">
        <f>VLOOKUP(B452,Tot_res!C:V,16,FALSE)</f>
        <v>105.94814117621196</v>
      </c>
      <c r="R452" s="179">
        <f>VLOOKUP(B452,Tot_res!C:V,17,FALSE)</f>
        <v>80.043090957452847</v>
      </c>
      <c r="S452" s="179">
        <f>VLOOKUP(B452,Tot_res!C:V,18,FALSE)</f>
        <v>255.94736434170548</v>
      </c>
      <c r="T452" s="179">
        <f>VLOOKUP(B452,Tot_res!C:V,19,FALSE)</f>
        <v>35.087358319667622</v>
      </c>
      <c r="U452" s="179">
        <f>VLOOKUP(B452,Tot_res!C:V,20,FALSE)</f>
        <v>8.2284674270534168</v>
      </c>
      <c r="V452" s="122">
        <f t="shared" si="79"/>
        <v>3594.260420000001</v>
      </c>
    </row>
    <row r="453" spans="1:22" ht="13.15">
      <c r="A453" s="355"/>
      <c r="B453" s="115" t="s">
        <v>419</v>
      </c>
      <c r="C453" s="334" t="str">
        <f>VLOOKUP(B453,Tot_res!C:D,2,FALSE)</f>
        <v>Desarrollo industrial</v>
      </c>
      <c r="D453" s="179">
        <f>VLOOKUP(B453,Tot_res!C:V,3,FALSE)</f>
        <v>991.89022821313597</v>
      </c>
      <c r="E453" s="179">
        <f>VLOOKUP(B453,Tot_res!C:V,4,FALSE)</f>
        <v>434.3669110137576</v>
      </c>
      <c r="F453" s="179">
        <f>VLOOKUP(B453,Tot_res!C:V,5,FALSE)</f>
        <v>258.3905762764042</v>
      </c>
      <c r="G453" s="179">
        <f>VLOOKUP(B453,Tot_res!C:V,6,FALSE)</f>
        <v>101.98284896654991</v>
      </c>
      <c r="H453" s="179">
        <f>VLOOKUP(B453,Tot_res!C:V,7,FALSE)</f>
        <v>185.52468914837181</v>
      </c>
      <c r="I453" s="179">
        <f>VLOOKUP(B453,Tot_res!C:V,8,FALSE)</f>
        <v>141.92545519400352</v>
      </c>
      <c r="J453" s="179">
        <f>VLOOKUP(B453,Tot_res!C:V,9,FALSE)</f>
        <v>644.77878320650427</v>
      </c>
      <c r="K453" s="179">
        <f>VLOOKUP(B453,Tot_res!C:V,10,FALSE)</f>
        <v>470.20565415719182</v>
      </c>
      <c r="L453" s="179">
        <f>VLOOKUP(B453,Tot_res!C:V,11,FALSE)</f>
        <v>2283.562430416549</v>
      </c>
      <c r="M453" s="179">
        <f>VLOOKUP(B453,Tot_res!C:V,12,FALSE)</f>
        <v>1004.0125634900087</v>
      </c>
      <c r="N453" s="179">
        <f>VLOOKUP(B453,Tot_res!C:V,13,FALSE)</f>
        <v>139.79091128024626</v>
      </c>
      <c r="O453" s="179">
        <f>VLOOKUP(B453,Tot_res!C:V,14,FALSE)</f>
        <v>622.70321047488312</v>
      </c>
      <c r="P453" s="179">
        <f>VLOOKUP(B453,Tot_res!C:V,15,FALSE)</f>
        <v>1216.1599929077886</v>
      </c>
      <c r="Q453" s="179">
        <f>VLOOKUP(B453,Tot_res!C:V,16,FALSE)</f>
        <v>282.37961130989936</v>
      </c>
      <c r="R453" s="179">
        <f>VLOOKUP(B453,Tot_res!C:V,17,FALSE)</f>
        <v>315.00465077018606</v>
      </c>
      <c r="S453" s="179">
        <f>VLOOKUP(B453,Tot_res!C:V,18,FALSE)</f>
        <v>977.81220512434777</v>
      </c>
      <c r="T453" s="179">
        <f>VLOOKUP(B453,Tot_res!C:V,19,FALSE)</f>
        <v>129.64372812697465</v>
      </c>
      <c r="U453" s="179">
        <f>VLOOKUP(B453,Tot_res!C:V,20,FALSE)</f>
        <v>10.069959923195974</v>
      </c>
      <c r="V453" s="122">
        <f t="shared" si="79"/>
        <v>10210.20441</v>
      </c>
    </row>
    <row r="454" spans="1:22" ht="13.15">
      <c r="A454" s="355"/>
      <c r="B454" s="115" t="s">
        <v>420</v>
      </c>
      <c r="C454" s="334" t="str">
        <f>VLOOKUP(B454,Tot_res!C:D,2,FALSE)</f>
        <v>Reconversión y reindustrialización</v>
      </c>
      <c r="D454" s="179">
        <f>VLOOKUP(B454,Tot_res!C:V,3,FALSE)</f>
        <v>21327.622269046635</v>
      </c>
      <c r="E454" s="179">
        <f>VLOOKUP(B454,Tot_res!C:V,4,FALSE)</f>
        <v>60.849904469077153</v>
      </c>
      <c r="F454" s="179">
        <f>VLOOKUP(B454,Tot_res!C:V,5,FALSE)</f>
        <v>2569.6037693666622</v>
      </c>
      <c r="G454" s="179">
        <f>VLOOKUP(B454,Tot_res!C:V,6,FALSE)</f>
        <v>7133.4396858572136</v>
      </c>
      <c r="H454" s="179">
        <f>VLOOKUP(B454,Tot_res!C:V,7,FALSE)</f>
        <v>6296.1801044307031</v>
      </c>
      <c r="I454" s="179">
        <f>VLOOKUP(B454,Tot_res!C:V,8,FALSE)</f>
        <v>3591.4314774664554</v>
      </c>
      <c r="J454" s="179">
        <f>VLOOKUP(B454,Tot_res!C:V,9,FALSE)</f>
        <v>192.78111327371346</v>
      </c>
      <c r="K454" s="179">
        <f>VLOOKUP(B454,Tot_res!C:V,10,FALSE)</f>
        <v>462.5669729109494</v>
      </c>
      <c r="L454" s="179">
        <f>VLOOKUP(B454,Tot_res!C:V,11,FALSE)</f>
        <v>15205.038938799997</v>
      </c>
      <c r="M454" s="179">
        <f>VLOOKUP(B454,Tot_res!C:V,12,FALSE)</f>
        <v>3828.8305831901539</v>
      </c>
      <c r="N454" s="179">
        <f>VLOOKUP(B454,Tot_res!C:V,13,FALSE)</f>
        <v>148.62454542889643</v>
      </c>
      <c r="O454" s="179">
        <f>VLOOKUP(B454,Tot_res!C:V,14,FALSE)</f>
        <v>50930.618296919682</v>
      </c>
      <c r="P454" s="179">
        <f>VLOOKUP(B454,Tot_res!C:V,15,FALSE)</f>
        <v>2373.6847690238237</v>
      </c>
      <c r="Q454" s="179">
        <f>VLOOKUP(B454,Tot_res!C:V,16,FALSE)</f>
        <v>10139.855762413479</v>
      </c>
      <c r="R454" s="179">
        <f>VLOOKUP(B454,Tot_res!C:V,17,FALSE)</f>
        <v>6.4619367577781048</v>
      </c>
      <c r="S454" s="179">
        <f>VLOOKUP(B454,Tot_res!C:V,18,FALSE)</f>
        <v>13079.203194675521</v>
      </c>
      <c r="T454" s="179">
        <f>VLOOKUP(B454,Tot_res!C:V,19,FALSE)</f>
        <v>51.15699933241001</v>
      </c>
      <c r="U454" s="179">
        <f>VLOOKUP(B454,Tot_res!C:V,20,FALSE)</f>
        <v>96.390556636856743</v>
      </c>
      <c r="V454" s="122">
        <f t="shared" si="79"/>
        <v>137494.34088</v>
      </c>
    </row>
    <row r="455" spans="1:22" ht="13.15">
      <c r="A455" s="355"/>
      <c r="B455" s="115" t="s">
        <v>915</v>
      </c>
      <c r="C455" s="334" t="str">
        <f>VLOOKUP(B455,Tot_res!C:D,2,FALSE)</f>
        <v xml:space="preserve"> Explotación minera. Parte ejecutada por la Dirección Gral. De Política Energética y Minas.  </v>
      </c>
      <c r="D455" s="179">
        <f>VLOOKUP(B455,Tot_res!C:V,3,FALSE)</f>
        <v>542.67128765615541</v>
      </c>
      <c r="E455" s="179">
        <f>VLOOKUP(B455,Tot_res!C:V,4,FALSE)</f>
        <v>237.78631035893684</v>
      </c>
      <c r="F455" s="179">
        <f>VLOOKUP(B455,Tot_res!C:V,5,FALSE)</f>
        <v>561.29878542988774</v>
      </c>
      <c r="G455" s="179">
        <f>VLOOKUP(B455,Tot_res!C:V,6,FALSE)</f>
        <v>9.0867212463221332</v>
      </c>
      <c r="H455" s="179">
        <f>VLOOKUP(B455,Tot_res!C:V,7,FALSE)</f>
        <v>0</v>
      </c>
      <c r="I455" s="179">
        <f>VLOOKUP(B455,Tot_res!C:V,8,FALSE)</f>
        <v>3.4666682579296442</v>
      </c>
      <c r="J455" s="179">
        <f>VLOOKUP(B455,Tot_res!C:V,9,FALSE)</f>
        <v>926.27609003025339</v>
      </c>
      <c r="K455" s="179">
        <f>VLOOKUP(B455,Tot_res!C:V,10,FALSE)</f>
        <v>139.36159790111785</v>
      </c>
      <c r="L455" s="179">
        <f>VLOOKUP(B455,Tot_res!C:V,11,FALSE)</f>
        <v>174.72115056030839</v>
      </c>
      <c r="M455" s="179">
        <f>VLOOKUP(B455,Tot_res!C:V,12,FALSE)</f>
        <v>453.6458304490929</v>
      </c>
      <c r="N455" s="179">
        <f>VLOOKUP(B455,Tot_res!C:V,13,FALSE)</f>
        <v>186.56122383484328</v>
      </c>
      <c r="O455" s="179">
        <f>VLOOKUP(B455,Tot_res!C:V,14,FALSE)</f>
        <v>466.30288287516521</v>
      </c>
      <c r="P455" s="179">
        <f>VLOOKUP(B455,Tot_res!C:V,15,FALSE)</f>
        <v>85.995035910071138</v>
      </c>
      <c r="Q455" s="179">
        <f>VLOOKUP(B455,Tot_res!C:V,16,FALSE)</f>
        <v>89.889264637226333</v>
      </c>
      <c r="R455" s="179">
        <f>VLOOKUP(B455,Tot_res!C:V,17,FALSE)</f>
        <v>0</v>
      </c>
      <c r="S455" s="179">
        <f>VLOOKUP(B455,Tot_res!C:V,18,FALSE)</f>
        <v>44.756150852688975</v>
      </c>
      <c r="T455" s="179">
        <f>VLOOKUP(B455,Tot_res!C:V,19,FALSE)</f>
        <v>0</v>
      </c>
      <c r="U455" s="179">
        <f>VLOOKUP(B455,Tot_res!C:V,20,FALSE)</f>
        <v>0</v>
      </c>
      <c r="V455" s="122">
        <f t="shared" si="79"/>
        <v>3921.8189999999995</v>
      </c>
    </row>
    <row r="456" spans="1:22" ht="13.15">
      <c r="A456" s="355"/>
      <c r="B456" s="115" t="s">
        <v>421</v>
      </c>
      <c r="C456" s="334" t="str">
        <f>VLOOKUP(B456,Tot_res!C:D,2,FALSE)</f>
        <v>Seguridad nuclear y protección radiológica</v>
      </c>
      <c r="D456" s="179">
        <f>VLOOKUP(B456,Tot_res!C:V,3,FALSE)</f>
        <v>7137.3978761845492</v>
      </c>
      <c r="E456" s="179">
        <f>VLOOKUP(B456,Tot_res!C:V,4,FALSE)</f>
        <v>1132.5412923374308</v>
      </c>
      <c r="F456" s="179">
        <f>VLOOKUP(B456,Tot_res!C:V,5,FALSE)</f>
        <v>902.59752703580432</v>
      </c>
      <c r="G456" s="179">
        <f>VLOOKUP(B456,Tot_res!C:V,6,FALSE)</f>
        <v>938.70064837965469</v>
      </c>
      <c r="H456" s="179">
        <f>VLOOKUP(B456,Tot_res!C:V,7,FALSE)</f>
        <v>1789.7918466696919</v>
      </c>
      <c r="I456" s="179">
        <f>VLOOKUP(B456,Tot_res!C:V,8,FALSE)</f>
        <v>500.27963241686263</v>
      </c>
      <c r="J456" s="179">
        <f>VLOOKUP(B456,Tot_res!C:V,9,FALSE)</f>
        <v>2125.0667174571272</v>
      </c>
      <c r="K456" s="179">
        <f>VLOOKUP(B456,Tot_res!C:V,10,FALSE)</f>
        <v>1771.1946815757913</v>
      </c>
      <c r="L456" s="179">
        <f>VLOOKUP(B456,Tot_res!C:V,11,FALSE)</f>
        <v>6387.3021881638297</v>
      </c>
      <c r="M456" s="179">
        <f>VLOOKUP(B456,Tot_res!C:V,12,FALSE)</f>
        <v>4287.9884231943743</v>
      </c>
      <c r="N456" s="179">
        <f>VLOOKUP(B456,Tot_res!C:V,13,FALSE)</f>
        <v>933.8357639025445</v>
      </c>
      <c r="O456" s="179">
        <f>VLOOKUP(B456,Tot_res!C:V,14,FALSE)</f>
        <v>2336.9392167620736</v>
      </c>
      <c r="P456" s="179">
        <f>VLOOKUP(B456,Tot_res!C:V,15,FALSE)</f>
        <v>5487.8231876843893</v>
      </c>
      <c r="Q456" s="179">
        <f>VLOOKUP(B456,Tot_res!C:V,16,FALSE)</f>
        <v>1245.4049171246882</v>
      </c>
      <c r="R456" s="179">
        <f>VLOOKUP(B456,Tot_res!C:V,17,FALSE)</f>
        <v>544.65814261689843</v>
      </c>
      <c r="S456" s="179">
        <f>VLOOKUP(B456,Tot_res!C:V,18,FALSE)</f>
        <v>1856.3971156523437</v>
      </c>
      <c r="T456" s="179">
        <f>VLOOKUP(B456,Tot_res!C:V,19,FALSE)</f>
        <v>271.64913166180088</v>
      </c>
      <c r="U456" s="179">
        <f>VLOOKUP(B456,Tot_res!C:V,20,FALSE)</f>
        <v>142.95090118014465</v>
      </c>
      <c r="V456" s="122">
        <f t="shared" si="79"/>
        <v>39792.519209999984</v>
      </c>
    </row>
    <row r="457" spans="1:22" ht="26.3">
      <c r="A457" s="355"/>
      <c r="B457" s="115" t="s">
        <v>1190</v>
      </c>
      <c r="C457" s="334" t="str">
        <f>VLOOKUP(B457,Tot_res!C:D,2,FALSE)</f>
        <v>Normativa y desarrollo energético, neto de subvenciones a sistemas eléctricos insulares y extrapeninsulares</v>
      </c>
      <c r="D457" s="179">
        <f>VLOOKUP(B457,Tot_res!C:V,3,FALSE)</f>
        <v>276923.15739555989</v>
      </c>
      <c r="E457" s="179">
        <f>VLOOKUP(B457,Tot_res!C:V,4,FALSE)</f>
        <v>73998.818779105626</v>
      </c>
      <c r="F457" s="179">
        <f>VLOOKUP(B457,Tot_res!C:V,5,FALSE)</f>
        <v>75798.83717579575</v>
      </c>
      <c r="G457" s="179">
        <f>VLOOKUP(B457,Tot_res!C:V,6,FALSE)</f>
        <v>43027.022707515855</v>
      </c>
      <c r="H457" s="179">
        <f>VLOOKUP(B457,Tot_res!C:V,7,FALSE)</f>
        <v>64330.620813301364</v>
      </c>
      <c r="I457" s="179">
        <f>VLOOKUP(B457,Tot_res!C:V,8,FALSE)</f>
        <v>32687.357913510928</v>
      </c>
      <c r="J457" s="179">
        <f>VLOOKUP(B457,Tot_res!C:V,9,FALSE)</f>
        <v>100521.28973859272</v>
      </c>
      <c r="K457" s="179">
        <f>VLOOKUP(B457,Tot_res!C:V,10,FALSE)</f>
        <v>85025.106403645899</v>
      </c>
      <c r="L457" s="179">
        <f>VLOOKUP(B457,Tot_res!C:V,11,FALSE)</f>
        <v>343572.5237365131</v>
      </c>
      <c r="M457" s="179">
        <f>VLOOKUP(B457,Tot_res!C:V,12,FALSE)</f>
        <v>190702.41497869045</v>
      </c>
      <c r="N457" s="179">
        <f>VLOOKUP(B457,Tot_res!C:V,13,FALSE)</f>
        <v>34465.267374085081</v>
      </c>
      <c r="O457" s="179">
        <f>VLOOKUP(B457,Tot_res!C:V,14,FALSE)</f>
        <v>143248.53966814815</v>
      </c>
      <c r="P457" s="179">
        <f>VLOOKUP(B457,Tot_res!C:V,15,FALSE)</f>
        <v>226828.55535177354</v>
      </c>
      <c r="Q457" s="179">
        <f>VLOOKUP(B457,Tot_res!C:V,16,FALSE)</f>
        <v>58106.609241108723</v>
      </c>
      <c r="R457" s="179">
        <f>VLOOKUP(B457,Tot_res!C:V,17,FALSE)</f>
        <v>35280.681359121118</v>
      </c>
      <c r="S457" s="179">
        <f>VLOOKUP(B457,Tot_res!C:V,18,FALSE)</f>
        <v>125304.58471517148</v>
      </c>
      <c r="T457" s="179">
        <f>VLOOKUP(B457,Tot_res!C:V,19,FALSE)</f>
        <v>12518.596860938773</v>
      </c>
      <c r="U457" s="179">
        <f>VLOOKUP(B457,Tot_res!C:V,20,FALSE)</f>
        <v>3101.7186497462035</v>
      </c>
      <c r="V457" s="122">
        <f t="shared" si="79"/>
        <v>1925441.7028623242</v>
      </c>
    </row>
    <row r="458" spans="1:22" ht="13.15">
      <c r="A458" s="355"/>
      <c r="B458" s="115" t="s">
        <v>422</v>
      </c>
      <c r="C458" s="334" t="str">
        <f>VLOOKUP(B458,Tot_res!C:D,2,FALSE)</f>
        <v>Promoción comercial e internacionalización de la empresa</v>
      </c>
      <c r="D458" s="179">
        <f>VLOOKUP(B458,Tot_res!C:V,3,FALSE)</f>
        <v>18716.605738082711</v>
      </c>
      <c r="E458" s="179">
        <f>VLOOKUP(B458,Tot_res!C:V,4,FALSE)</f>
        <v>6352.5780281303496</v>
      </c>
      <c r="F458" s="179">
        <f>VLOOKUP(B458,Tot_res!C:V,5,FALSE)</f>
        <v>2753.6579906762659</v>
      </c>
      <c r="G458" s="179">
        <f>VLOOKUP(B458,Tot_res!C:V,6,FALSE)</f>
        <v>597.54179182003816</v>
      </c>
      <c r="H458" s="179">
        <f>VLOOKUP(B458,Tot_res!C:V,7,FALSE)</f>
        <v>1876.5392707855165</v>
      </c>
      <c r="I458" s="179">
        <f>VLOOKUP(B458,Tot_res!C:V,8,FALSE)</f>
        <v>1760.6500553494138</v>
      </c>
      <c r="J458" s="179">
        <f>VLOOKUP(B458,Tot_res!C:V,9,FALSE)</f>
        <v>8791.3590420544861</v>
      </c>
      <c r="K458" s="179">
        <f>VLOOKUP(B458,Tot_res!C:V,10,FALSE)</f>
        <v>3486.4255014083296</v>
      </c>
      <c r="L458" s="179">
        <f>VLOOKUP(B458,Tot_res!C:V,11,FALSE)</f>
        <v>42239.042992659248</v>
      </c>
      <c r="M458" s="179">
        <f>VLOOKUP(B458,Tot_res!C:V,12,FALSE)</f>
        <v>16914.181705937459</v>
      </c>
      <c r="N458" s="179">
        <f>VLOOKUP(B458,Tot_res!C:V,13,FALSE)</f>
        <v>1194.6935048577752</v>
      </c>
      <c r="O458" s="179">
        <f>VLOOKUP(B458,Tot_res!C:V,14,FALSE)</f>
        <v>13439.015381749598</v>
      </c>
      <c r="P458" s="179">
        <f>VLOOKUP(B458,Tot_res!C:V,15,FALSE)</f>
        <v>22045.697426713727</v>
      </c>
      <c r="Q458" s="179">
        <f>VLOOKUP(B458,Tot_res!C:V,16,FALSE)</f>
        <v>6700.825842041354</v>
      </c>
      <c r="R458" s="179">
        <f>VLOOKUP(B458,Tot_res!C:V,17,FALSE)</f>
        <v>5335.4220019098702</v>
      </c>
      <c r="S458" s="179">
        <f>VLOOKUP(B458,Tot_res!C:V,18,FALSE)</f>
        <v>14781.004995578676</v>
      </c>
      <c r="T458" s="179">
        <f>VLOOKUP(B458,Tot_res!C:V,19,FALSE)</f>
        <v>1082.3571317598689</v>
      </c>
      <c r="U458" s="179">
        <f>VLOOKUP(B458,Tot_res!C:V,20,FALSE)</f>
        <v>26.728438485294149</v>
      </c>
      <c r="V458" s="122">
        <f t="shared" si="79"/>
        <v>168094.32683999999</v>
      </c>
    </row>
    <row r="459" spans="1:22" ht="13.15">
      <c r="A459" s="355"/>
      <c r="B459" s="115" t="s">
        <v>424</v>
      </c>
      <c r="C459" s="334" t="str">
        <f>VLOOKUP(B459,Tot_res!C:D,2,FALSE)</f>
        <v>Ordenación del comercio exterior</v>
      </c>
      <c r="D459" s="179">
        <f>VLOOKUP(B459,Tot_res!C:V,3,FALSE)</f>
        <v>881.0340514978609</v>
      </c>
      <c r="E459" s="179">
        <f>VLOOKUP(B459,Tot_res!C:V,4,FALSE)</f>
        <v>247.36197809851689</v>
      </c>
      <c r="F459" s="179">
        <f>VLOOKUP(B459,Tot_res!C:V,5,FALSE)</f>
        <v>113.57134227119114</v>
      </c>
      <c r="G459" s="179">
        <f>VLOOKUP(B459,Tot_res!C:V,6,FALSE)</f>
        <v>34.241900965335731</v>
      </c>
      <c r="H459" s="179">
        <f>VLOOKUP(B459,Tot_res!C:V,7,FALSE)</f>
        <v>107.8065426443987</v>
      </c>
      <c r="I459" s="179">
        <f>VLOOKUP(B459,Tot_res!C:V,8,FALSE)</f>
        <v>65.727744549214435</v>
      </c>
      <c r="J459" s="179">
        <f>VLOOKUP(B459,Tot_res!C:V,9,FALSE)</f>
        <v>359.35701451854538</v>
      </c>
      <c r="K459" s="179">
        <f>VLOOKUP(B459,Tot_res!C:V,10,FALSE)</f>
        <v>164.3020359693185</v>
      </c>
      <c r="L459" s="179">
        <f>VLOOKUP(B459,Tot_res!C:V,11,FALSE)</f>
        <v>1962.1540424607635</v>
      </c>
      <c r="M459" s="179">
        <f>VLOOKUP(B459,Tot_res!C:V,12,FALSE)</f>
        <v>693.1388435955389</v>
      </c>
      <c r="N459" s="179">
        <f>VLOOKUP(B459,Tot_res!C:V,13,FALSE)</f>
        <v>43.70587790104522</v>
      </c>
      <c r="O459" s="179">
        <f>VLOOKUP(B459,Tot_res!C:V,14,FALSE)</f>
        <v>521.84420348939182</v>
      </c>
      <c r="P459" s="179">
        <f>VLOOKUP(B459,Tot_res!C:V,15,FALSE)</f>
        <v>1211.1201740670726</v>
      </c>
      <c r="Q459" s="179">
        <f>VLOOKUP(B459,Tot_res!C:V,16,FALSE)</f>
        <v>329.70724274725069</v>
      </c>
      <c r="R459" s="179">
        <f>VLOOKUP(B459,Tot_res!C:V,17,FALSE)</f>
        <v>178.61586910542923</v>
      </c>
      <c r="S459" s="179">
        <f>VLOOKUP(B459,Tot_res!C:V,18,FALSE)</f>
        <v>571.70022279480986</v>
      </c>
      <c r="T459" s="179">
        <f>VLOOKUP(B459,Tot_res!C:V,19,FALSE)</f>
        <v>40.341529710164565</v>
      </c>
      <c r="U459" s="179">
        <f>VLOOKUP(B459,Tot_res!C:V,20,FALSE)</f>
        <v>10.356183614150728</v>
      </c>
      <c r="V459" s="122">
        <f t="shared" si="79"/>
        <v>7536.0867999999964</v>
      </c>
    </row>
    <row r="460" spans="1:22" ht="13.15">
      <c r="A460" s="355"/>
      <c r="B460" s="115" t="s">
        <v>426</v>
      </c>
      <c r="C460" s="334" t="str">
        <f>VLOOKUP(B460,Tot_res!C:D,2,FALSE)</f>
        <v>Ordenación y modernización de las estructuras comerciales + AF23</v>
      </c>
      <c r="D460" s="179">
        <f>VLOOKUP(B460,Tot_res!C:V,3,FALSE)</f>
        <v>694.70851602153664</v>
      </c>
      <c r="E460" s="179">
        <f>VLOOKUP(B460,Tot_res!C:V,4,FALSE)</f>
        <v>145.40085555212499</v>
      </c>
      <c r="F460" s="179">
        <f>VLOOKUP(B460,Tot_res!C:V,5,FALSE)</f>
        <v>99.373924201721593</v>
      </c>
      <c r="G460" s="179">
        <f>VLOOKUP(B460,Tot_res!C:V,6,FALSE)</f>
        <v>203.06852310187043</v>
      </c>
      <c r="H460" s="179">
        <f>VLOOKUP(B460,Tot_res!C:V,7,FALSE)</f>
        <v>294.75451291328164</v>
      </c>
      <c r="I460" s="179">
        <f>VLOOKUP(B460,Tot_res!C:V,8,FALSE)</f>
        <v>56.939843503505202</v>
      </c>
      <c r="J460" s="179">
        <f>VLOOKUP(B460,Tot_res!C:V,9,FALSE)</f>
        <v>229.6913727749737</v>
      </c>
      <c r="K460" s="179">
        <f>VLOOKUP(B460,Tot_res!C:V,10,FALSE)</f>
        <v>147.78377455483255</v>
      </c>
      <c r="L460" s="179">
        <f>VLOOKUP(B460,Tot_res!C:V,11,FALSE)</f>
        <v>1080.115679743667</v>
      </c>
      <c r="M460" s="179">
        <f>VLOOKUP(B460,Tot_res!C:V,12,FALSE)</f>
        <v>512.7309992175575</v>
      </c>
      <c r="N460" s="179">
        <f>VLOOKUP(B460,Tot_res!C:V,13,FALSE)</f>
        <v>71.239672050545309</v>
      </c>
      <c r="O460" s="179">
        <f>VLOOKUP(B460,Tot_res!C:V,14,FALSE)</f>
        <v>268.20081782433982</v>
      </c>
      <c r="P460" s="179">
        <f>VLOOKUP(B460,Tot_res!C:V,15,FALSE)</f>
        <v>1005.6589278738946</v>
      </c>
      <c r="Q460" s="179">
        <f>VLOOKUP(B460,Tot_res!C:V,16,FALSE)</f>
        <v>138.35588989271119</v>
      </c>
      <c r="R460" s="179">
        <f>VLOOKUP(B460,Tot_res!C:V,17,FALSE)</f>
        <v>71.676430846158567</v>
      </c>
      <c r="S460" s="179">
        <f>VLOOKUP(B460,Tot_res!C:V,18,FALSE)</f>
        <v>277.02039430909861</v>
      </c>
      <c r="T460" s="179">
        <f>VLOOKUP(B460,Tot_res!C:V,19,FALSE)</f>
        <v>31.647440486197883</v>
      </c>
      <c r="U460" s="179">
        <f>VLOOKUP(B460,Tot_res!C:V,20,FALSE)</f>
        <v>12.649175131983617</v>
      </c>
      <c r="V460" s="122">
        <f t="shared" si="79"/>
        <v>5341.0167500000007</v>
      </c>
    </row>
    <row r="461" spans="1:22" ht="13.15">
      <c r="A461" s="355"/>
      <c r="B461" s="119" t="s">
        <v>427</v>
      </c>
      <c r="C461" s="334" t="str">
        <f>VLOOKUP(B461,Tot_res!C:D,2,FALSE)</f>
        <v>Coordinación y promoción del turismo + AF24</v>
      </c>
      <c r="D461" s="179">
        <f>VLOOKUP(B461,Tot_res!C:V,3,FALSE)</f>
        <v>12745.119256683915</v>
      </c>
      <c r="E461" s="179">
        <f>VLOOKUP(B461,Tot_res!C:V,4,FALSE)</f>
        <v>3976.2257480046555</v>
      </c>
      <c r="F461" s="179">
        <f>VLOOKUP(B461,Tot_res!C:V,5,FALSE)</f>
        <v>3469.0468956841719</v>
      </c>
      <c r="G461" s="179">
        <f>VLOOKUP(B461,Tot_res!C:V,6,FALSE)</f>
        <v>10715.098581489294</v>
      </c>
      <c r="H461" s="179">
        <f>VLOOKUP(B461,Tot_res!C:V,7,FALSE)</f>
        <v>11472.58893604205</v>
      </c>
      <c r="I461" s="179">
        <f>VLOOKUP(B461,Tot_res!C:V,8,FALSE)</f>
        <v>632.52005479767627</v>
      </c>
      <c r="J461" s="179">
        <f>VLOOKUP(B461,Tot_res!C:V,9,FALSE)</f>
        <v>2468.4266374869121</v>
      </c>
      <c r="K461" s="179">
        <f>VLOOKUP(B461,Tot_res!C:V,10,FALSE)</f>
        <v>1260.7381663546357</v>
      </c>
      <c r="L461" s="179">
        <f>VLOOKUP(B461,Tot_res!C:V,11,FALSE)</f>
        <v>18558.428470012113</v>
      </c>
      <c r="M461" s="179">
        <f>VLOOKUP(B461,Tot_res!C:V,12,FALSE)</f>
        <v>7324.8449430969222</v>
      </c>
      <c r="N461" s="179">
        <f>VLOOKUP(B461,Tot_res!C:V,13,FALSE)</f>
        <v>1083.5730684308623</v>
      </c>
      <c r="O461" s="179">
        <f>VLOOKUP(B461,Tot_res!C:V,14,FALSE)</f>
        <v>5408.2380899445852</v>
      </c>
      <c r="P461" s="179">
        <f>VLOOKUP(B461,Tot_res!C:V,15,FALSE)</f>
        <v>10741.609050909507</v>
      </c>
      <c r="Q461" s="179">
        <f>VLOOKUP(B461,Tot_res!C:V,16,FALSE)</f>
        <v>1398.2143991952516</v>
      </c>
      <c r="R461" s="179">
        <f>VLOOKUP(B461,Tot_res!C:V,17,FALSE)</f>
        <v>909.24460175217109</v>
      </c>
      <c r="S461" s="179">
        <f>VLOOKUP(B461,Tot_res!C:V,18,FALSE)</f>
        <v>3079.1977488052034</v>
      </c>
      <c r="T461" s="179">
        <f>VLOOKUP(B461,Tot_res!C:V,19,FALSE)</f>
        <v>597.34332596852437</v>
      </c>
      <c r="U461" s="179">
        <f>VLOOKUP(B461,Tot_res!C:V,20,FALSE)</f>
        <v>268.6987230215301</v>
      </c>
      <c r="V461" s="122">
        <f t="shared" si="79"/>
        <v>96109.15669767998</v>
      </c>
    </row>
    <row r="462" spans="1:22" ht="13.15">
      <c r="A462" s="355"/>
      <c r="B462" s="115" t="s">
        <v>919</v>
      </c>
      <c r="C462" s="334" t="str">
        <f>VLOOKUP(B462,Tot_res!C:D,2,FALSE)</f>
        <v>Investig. y desarrollo tecnolog-industrial.Secretaría general de ciencia, tecnología e innovación</v>
      </c>
      <c r="D462" s="179">
        <f>VLOOKUP(B462,Tot_res!C:V,3,FALSE)</f>
        <v>16852.674295324421</v>
      </c>
      <c r="E462" s="179">
        <f>VLOOKUP(B462,Tot_res!C:V,4,FALSE)</f>
        <v>7380.0949618873137</v>
      </c>
      <c r="F462" s="179">
        <f>VLOOKUP(B462,Tot_res!C:V,5,FALSE)</f>
        <v>4390.1755447395299</v>
      </c>
      <c r="G462" s="179">
        <f>VLOOKUP(B462,Tot_res!C:V,6,FALSE)</f>
        <v>1732.7358294865871</v>
      </c>
      <c r="H462" s="179">
        <f>VLOOKUP(B462,Tot_res!C:V,7,FALSE)</f>
        <v>3152.1503801799549</v>
      </c>
      <c r="I462" s="179">
        <f>VLOOKUP(B462,Tot_res!C:V,8,FALSE)</f>
        <v>2411.3792056496086</v>
      </c>
      <c r="J462" s="179">
        <f>VLOOKUP(B462,Tot_res!C:V,9,FALSE)</f>
        <v>10955.090106583737</v>
      </c>
      <c r="K462" s="179">
        <f>VLOOKUP(B462,Tot_res!C:V,10,FALSE)</f>
        <v>7989.0118038630035</v>
      </c>
      <c r="L462" s="179">
        <f>VLOOKUP(B462,Tot_res!C:V,11,FALSE)</f>
        <v>38798.783149802461</v>
      </c>
      <c r="M462" s="179">
        <f>VLOOKUP(B462,Tot_res!C:V,12,FALSE)</f>
        <v>17058.638385209535</v>
      </c>
      <c r="N462" s="179">
        <f>VLOOKUP(B462,Tot_res!C:V,13,FALSE)</f>
        <v>2375.1123161043593</v>
      </c>
      <c r="O462" s="179">
        <f>VLOOKUP(B462,Tot_res!C:V,14,FALSE)</f>
        <v>10580.015903262909</v>
      </c>
      <c r="P462" s="179">
        <f>VLOOKUP(B462,Tot_res!C:V,15,FALSE)</f>
        <v>20663.121450849663</v>
      </c>
      <c r="Q462" s="179">
        <f>VLOOKUP(B462,Tot_res!C:V,16,FALSE)</f>
        <v>4797.7603586426967</v>
      </c>
      <c r="R462" s="179">
        <f>VLOOKUP(B462,Tot_res!C:V,17,FALSE)</f>
        <v>5352.0748868610099</v>
      </c>
      <c r="S462" s="179">
        <f>VLOOKUP(B462,Tot_res!C:V,18,FALSE)</f>
        <v>16613.482163887853</v>
      </c>
      <c r="T462" s="179">
        <f>VLOOKUP(B462,Tot_res!C:V,19,FALSE)</f>
        <v>2202.7069754396425</v>
      </c>
      <c r="U462" s="179">
        <f>VLOOKUP(B462,Tot_res!C:V,20,FALSE)</f>
        <v>171.09328222570787</v>
      </c>
      <c r="V462" s="122">
        <f t="shared" si="79"/>
        <v>173476.10100000002</v>
      </c>
    </row>
    <row r="463" spans="1:22" ht="13.15">
      <c r="A463" s="355"/>
      <c r="B463" s="115" t="s">
        <v>429</v>
      </c>
      <c r="C463" s="334" t="str">
        <f>VLOOKUP(B463,Tot_res!C:D,2,FALSE)</f>
        <v>Investigación y desarrollo de la sociedad de la información</v>
      </c>
      <c r="D463" s="179">
        <f>VLOOKUP(B463,Tot_res!C:V,3,FALSE)</f>
        <v>1805.7012296419211</v>
      </c>
      <c r="E463" s="179">
        <f>VLOOKUP(B463,Tot_res!C:V,4,FALSE)</f>
        <v>2008.5838179318539</v>
      </c>
      <c r="F463" s="179">
        <f>VLOOKUP(B463,Tot_res!C:V,5,FALSE)</f>
        <v>439.66101623642999</v>
      </c>
      <c r="G463" s="179">
        <f>VLOOKUP(B463,Tot_res!C:V,6,FALSE)</f>
        <v>47.336295337393068</v>
      </c>
      <c r="H463" s="179">
        <f>VLOOKUP(B463,Tot_res!C:V,7,FALSE)</f>
        <v>95.285076082670329</v>
      </c>
      <c r="I463" s="179">
        <f>VLOOKUP(B463,Tot_res!C:V,8,FALSE)</f>
        <v>1170.6159673056886</v>
      </c>
      <c r="J463" s="179">
        <f>VLOOKUP(B463,Tot_res!C:V,9,FALSE)</f>
        <v>491.43453227562361</v>
      </c>
      <c r="K463" s="179">
        <f>VLOOKUP(B463,Tot_res!C:V,10,FALSE)</f>
        <v>755.92909366673427</v>
      </c>
      <c r="L463" s="179">
        <f>VLOOKUP(B463,Tot_res!C:V,11,FALSE)</f>
        <v>7469.8344674905784</v>
      </c>
      <c r="M463" s="179">
        <f>VLOOKUP(B463,Tot_res!C:V,12,FALSE)</f>
        <v>2022.6909629462464</v>
      </c>
      <c r="N463" s="179">
        <f>VLOOKUP(B463,Tot_res!C:V,13,FALSE)</f>
        <v>31.734056856995867</v>
      </c>
      <c r="O463" s="179">
        <f>VLOOKUP(B463,Tot_res!C:V,14,FALSE)</f>
        <v>850.97390935038584</v>
      </c>
      <c r="P463" s="179">
        <f>VLOOKUP(B463,Tot_res!C:V,15,FALSE)</f>
        <v>10220.006759170641</v>
      </c>
      <c r="Q463" s="179">
        <f>VLOOKUP(B463,Tot_res!C:V,16,FALSE)</f>
        <v>221.15585113984565</v>
      </c>
      <c r="R463" s="179">
        <f>VLOOKUP(B463,Tot_res!C:V,17,FALSE)</f>
        <v>611.58330628251474</v>
      </c>
      <c r="S463" s="179">
        <f>VLOOKUP(B463,Tot_res!C:V,18,FALSE)</f>
        <v>7192.9295328287608</v>
      </c>
      <c r="T463" s="179">
        <f>VLOOKUP(B463,Tot_res!C:V,19,FALSE)</f>
        <v>37.559435715212054</v>
      </c>
      <c r="U463" s="179">
        <f>VLOOKUP(B463,Tot_res!C:V,20,FALSE)</f>
        <v>1.3239497405036789</v>
      </c>
      <c r="V463" s="122">
        <f t="shared" si="79"/>
        <v>35474.339260000001</v>
      </c>
    </row>
    <row r="464" spans="1:22" ht="13.15">
      <c r="A464" s="355"/>
      <c r="B464" s="115" t="s">
        <v>430</v>
      </c>
      <c r="C464" s="334" t="str">
        <f>VLOOKUP(B464,Tot_res!C:D,2,FALSE)</f>
        <v>Innovación tecnológica de las telecomunicaciones</v>
      </c>
      <c r="D464" s="179">
        <f>VLOOKUP(B464,Tot_res!C:V,3,FALSE)</f>
        <v>6668.9354978349802</v>
      </c>
      <c r="E464" s="179">
        <f>VLOOKUP(B464,Tot_res!C:V,4,FALSE)</f>
        <v>908.10893584607072</v>
      </c>
      <c r="F464" s="179">
        <f>VLOOKUP(B464,Tot_res!C:V,5,FALSE)</f>
        <v>709.2855216372991</v>
      </c>
      <c r="G464" s="179">
        <f>VLOOKUP(B464,Tot_res!C:V,6,FALSE)</f>
        <v>694.17500166629998</v>
      </c>
      <c r="H464" s="179">
        <f>VLOOKUP(B464,Tot_res!C:V,7,FALSE)</f>
        <v>1187.511174591998</v>
      </c>
      <c r="I464" s="179">
        <f>VLOOKUP(B464,Tot_res!C:V,8,FALSE)</f>
        <v>322.87653264530638</v>
      </c>
      <c r="J464" s="179">
        <f>VLOOKUP(B464,Tot_res!C:V,9,FALSE)</f>
        <v>1544.7471342905096</v>
      </c>
      <c r="K464" s="179">
        <f>VLOOKUP(B464,Tot_res!C:V,10,FALSE)</f>
        <v>1323.9254107828226</v>
      </c>
      <c r="L464" s="179">
        <f>VLOOKUP(B464,Tot_res!C:V,11,FALSE)</f>
        <v>6759.129461410037</v>
      </c>
      <c r="M464" s="179">
        <f>VLOOKUP(B464,Tot_res!C:V,12,FALSE)</f>
        <v>3380.2609897262819</v>
      </c>
      <c r="N464" s="179">
        <f>VLOOKUP(B464,Tot_res!C:V,13,FALSE)</f>
        <v>608.47035355921707</v>
      </c>
      <c r="O464" s="179">
        <f>VLOOKUP(B464,Tot_res!C:V,14,FALSE)</f>
        <v>2452.0379758234585</v>
      </c>
      <c r="P464" s="179">
        <f>VLOOKUP(B464,Tot_res!C:V,15,FALSE)</f>
        <v>6951.4499522387669</v>
      </c>
      <c r="Q464" s="179">
        <f>VLOOKUP(B464,Tot_res!C:V,16,FALSE)</f>
        <v>869.65134993802315</v>
      </c>
      <c r="R464" s="179">
        <f>VLOOKUP(B464,Tot_res!C:V,17,FALSE)</f>
        <v>538.35010343346369</v>
      </c>
      <c r="S464" s="179">
        <f>VLOOKUP(B464,Tot_res!C:V,18,FALSE)</f>
        <v>1916.7709003554601</v>
      </c>
      <c r="T464" s="179">
        <f>VLOOKUP(B464,Tot_res!C:V,19,FALSE)</f>
        <v>175.32020902659121</v>
      </c>
      <c r="U464" s="179">
        <f>VLOOKUP(B464,Tot_res!C:V,20,FALSE)</f>
        <v>92.25938519341409</v>
      </c>
      <c r="V464" s="122">
        <f t="shared" si="79"/>
        <v>37103.265889999995</v>
      </c>
    </row>
    <row r="465" spans="1:28" ht="13.15">
      <c r="A465" s="355"/>
      <c r="B465" s="115" t="s">
        <v>432</v>
      </c>
      <c r="C465" s="334" t="str">
        <f>VLOOKUP(B465,Tot_res!C:D,2,FALSE)</f>
        <v>Ordenación y promoción de las telecomunicaciones y de la sociedad de la información</v>
      </c>
      <c r="D465" s="179">
        <f>VLOOKUP(B465,Tot_res!C:V,3,FALSE)</f>
        <v>4306.5416549558931</v>
      </c>
      <c r="E465" s="179">
        <f>VLOOKUP(B465,Tot_res!C:V,4,FALSE)</f>
        <v>683.34935728929986</v>
      </c>
      <c r="F465" s="179">
        <f>VLOOKUP(B465,Tot_res!C:V,5,FALSE)</f>
        <v>544.60658005488528</v>
      </c>
      <c r="G465" s="179">
        <f>VLOOKUP(B465,Tot_res!C:V,6,FALSE)</f>
        <v>566.39037278136482</v>
      </c>
      <c r="H465" s="179">
        <f>VLOOKUP(B465,Tot_res!C:V,7,FALSE)</f>
        <v>1079.9192191740105</v>
      </c>
      <c r="I465" s="179">
        <f>VLOOKUP(B465,Tot_res!C:V,8,FALSE)</f>
        <v>301.85721932612267</v>
      </c>
      <c r="J465" s="179">
        <f>VLOOKUP(B465,Tot_res!C:V,9,FALSE)</f>
        <v>1282.2163619077569</v>
      </c>
      <c r="K465" s="179">
        <f>VLOOKUP(B465,Tot_res!C:V,10,FALSE)</f>
        <v>1068.6981176562977</v>
      </c>
      <c r="L465" s="179">
        <f>VLOOKUP(B465,Tot_res!C:V,11,FALSE)</f>
        <v>3853.9511756661404</v>
      </c>
      <c r="M465" s="179">
        <f>VLOOKUP(B465,Tot_res!C:V,12,FALSE)</f>
        <v>2587.2735527428417</v>
      </c>
      <c r="N465" s="179">
        <f>VLOOKUP(B465,Tot_res!C:V,13,FALSE)</f>
        <v>563.45501342342141</v>
      </c>
      <c r="O465" s="179">
        <f>VLOOKUP(B465,Tot_res!C:V,14,FALSE)</f>
        <v>1410.055353039372</v>
      </c>
      <c r="P465" s="179">
        <f>VLOOKUP(B465,Tot_res!C:V,15,FALSE)</f>
        <v>3311.2262427815604</v>
      </c>
      <c r="Q465" s="179">
        <f>VLOOKUP(B465,Tot_res!C:V,16,FALSE)</f>
        <v>751.44867162029038</v>
      </c>
      <c r="R465" s="179">
        <f>VLOOKUP(B465,Tot_res!C:V,17,FALSE)</f>
        <v>328.63419128099224</v>
      </c>
      <c r="S465" s="179">
        <f>VLOOKUP(B465,Tot_res!C:V,18,FALSE)</f>
        <v>1120.1073059654768</v>
      </c>
      <c r="T465" s="179">
        <f>VLOOKUP(B465,Tot_res!C:V,19,FALSE)</f>
        <v>163.90683570235848</v>
      </c>
      <c r="U465" s="179">
        <f>VLOOKUP(B465,Tot_res!C:V,20,FALSE)</f>
        <v>86.25328463191569</v>
      </c>
      <c r="V465" s="122">
        <f t="shared" si="79"/>
        <v>24009.890510000001</v>
      </c>
    </row>
    <row r="466" spans="1:28" ht="13.15">
      <c r="A466" s="355"/>
      <c r="B466" s="115" t="s">
        <v>433</v>
      </c>
      <c r="C466" s="334" t="str">
        <f>VLOOKUP(B466,Tot_res!C:D,2,FALSE)</f>
        <v>Regulación y vigilancia de la competencia en el mercado de tabacos</v>
      </c>
      <c r="D466" s="179">
        <f>VLOOKUP(B466,Tot_res!C:V,3,FALSE)</f>
        <v>800.91535280185133</v>
      </c>
      <c r="E466" s="179">
        <f>VLOOKUP(B466,Tot_res!C:V,4,FALSE)</f>
        <v>186.44951058766023</v>
      </c>
      <c r="F466" s="179">
        <f>VLOOKUP(B466,Tot_res!C:V,5,FALSE)</f>
        <v>149.13551283547815</v>
      </c>
      <c r="G466" s="179">
        <f>VLOOKUP(B466,Tot_res!C:V,6,FALSE)</f>
        <v>219.83594107664587</v>
      </c>
      <c r="H466" s="179">
        <f>VLOOKUP(B466,Tot_res!C:V,7,FALSE)</f>
        <v>61.908969864312951</v>
      </c>
      <c r="I466" s="179">
        <f>VLOOKUP(B466,Tot_res!C:V,8,FALSE)</f>
        <v>82.719600116956485</v>
      </c>
      <c r="J466" s="179">
        <f>VLOOKUP(B466,Tot_res!C:V,9,FALSE)</f>
        <v>324.47304776317281</v>
      </c>
      <c r="K466" s="179">
        <f>VLOOKUP(B466,Tot_res!C:V,10,FALSE)</f>
        <v>276.01582084497596</v>
      </c>
      <c r="L466" s="179">
        <f>VLOOKUP(B466,Tot_res!C:V,11,FALSE)</f>
        <v>1101.02177114248</v>
      </c>
      <c r="M466" s="179">
        <f>VLOOKUP(B466,Tot_res!C:V,12,FALSE)</f>
        <v>639.43736643832221</v>
      </c>
      <c r="N466" s="179">
        <f>VLOOKUP(B466,Tot_res!C:V,13,FALSE)</f>
        <v>155.36686336647759</v>
      </c>
      <c r="O466" s="179">
        <f>VLOOKUP(B466,Tot_res!C:V,14,FALSE)</f>
        <v>188.10255811303853</v>
      </c>
      <c r="P466" s="179">
        <f>VLOOKUP(B466,Tot_res!C:V,15,FALSE)</f>
        <v>761.11543704529697</v>
      </c>
      <c r="Q466" s="179">
        <f>VLOOKUP(B466,Tot_res!C:V,16,FALSE)</f>
        <v>207.87368946037589</v>
      </c>
      <c r="R466" s="179">
        <f>VLOOKUP(B466,Tot_res!C:V,17,FALSE)</f>
        <v>126.6893878095505</v>
      </c>
      <c r="S466" s="179">
        <f>VLOOKUP(B466,Tot_res!C:V,18,FALSE)</f>
        <v>320.00813402058662</v>
      </c>
      <c r="T466" s="179">
        <f>VLOOKUP(B466,Tot_res!C:V,19,FALSE)</f>
        <v>41.995422324459916</v>
      </c>
      <c r="U466" s="179">
        <f>VLOOKUP(B466,Tot_res!C:V,20,FALSE)</f>
        <v>7.0794743883588529</v>
      </c>
      <c r="V466" s="122">
        <f t="shared" si="79"/>
        <v>5650.143860000002</v>
      </c>
    </row>
    <row r="467" spans="1:28" ht="13.15">
      <c r="A467" s="355"/>
      <c r="B467" s="115" t="s">
        <v>434</v>
      </c>
      <c r="C467" s="334" t="str">
        <f>VLOOKUP(B467,Tot_res!C:D,2,FALSE)</f>
        <v>Publicaciones</v>
      </c>
      <c r="D467" s="179">
        <f>VLOOKUP(B467,Tot_res!C:V,3,FALSE)</f>
        <v>34.765534554631571</v>
      </c>
      <c r="E467" s="179">
        <f>VLOOKUP(B467,Tot_res!C:V,4,FALSE)</f>
        <v>11.521877445854669</v>
      </c>
      <c r="F467" s="179">
        <f>VLOOKUP(B467,Tot_res!C:V,5,FALSE)</f>
        <v>8.9623148422013656</v>
      </c>
      <c r="G467" s="179">
        <f>VLOOKUP(B467,Tot_res!C:V,6,FALSE)</f>
        <v>4.7748741690719552</v>
      </c>
      <c r="H467" s="179">
        <f>VLOOKUP(B467,Tot_res!C:V,7,FALSE)</f>
        <v>7.4300786548839248</v>
      </c>
      <c r="I467" s="179">
        <f>VLOOKUP(B467,Tot_res!C:V,8,FALSE)</f>
        <v>4.5439930647916347</v>
      </c>
      <c r="J467" s="179">
        <f>VLOOKUP(B467,Tot_res!C:V,9,FALSE)</f>
        <v>16.479734874364198</v>
      </c>
      <c r="K467" s="179">
        <f>VLOOKUP(B467,Tot_res!C:V,10,FALSE)</f>
        <v>12.779135850162127</v>
      </c>
      <c r="L467" s="179">
        <f>VLOOKUP(B467,Tot_res!C:V,11,FALSE)</f>
        <v>58.616632068240747</v>
      </c>
      <c r="M467" s="179">
        <f>VLOOKUP(B467,Tot_res!C:V,12,FALSE)</f>
        <v>28.138402768282539</v>
      </c>
      <c r="N467" s="179">
        <f>VLOOKUP(B467,Tot_res!C:V,13,FALSE)</f>
        <v>4.4121520144961233</v>
      </c>
      <c r="O467" s="179">
        <f>VLOOKUP(B467,Tot_res!C:V,14,FALSE)</f>
        <v>21.918007293944665</v>
      </c>
      <c r="P467" s="179">
        <f>VLOOKUP(B467,Tot_res!C:V,15,FALSE)</f>
        <v>34.341397284017376</v>
      </c>
      <c r="Q467" s="179">
        <f>VLOOKUP(B467,Tot_res!C:V,16,FALSE)</f>
        <v>8.7159612358929834</v>
      </c>
      <c r="R467" s="179">
        <f>VLOOKUP(B467,Tot_res!C:V,17,FALSE)</f>
        <v>7.1334192736261954</v>
      </c>
      <c r="S467" s="179">
        <f>VLOOKUP(B467,Tot_res!C:V,18,FALSE)</f>
        <v>24.262463912193731</v>
      </c>
      <c r="T467" s="179">
        <f>VLOOKUP(B467,Tot_res!C:V,19,FALSE)</f>
        <v>2.8054472099638779</v>
      </c>
      <c r="U467" s="179">
        <f>VLOOKUP(B467,Tot_res!C:V,20,FALSE)</f>
        <v>0.37056348338035322</v>
      </c>
      <c r="V467" s="122">
        <f t="shared" si="79"/>
        <v>291.97199000000001</v>
      </c>
    </row>
    <row r="468" spans="1:28" s="103" customFormat="1" ht="13.15">
      <c r="A468" s="356"/>
      <c r="B468" s="115"/>
      <c r="C468" s="133"/>
      <c r="D468" s="105"/>
      <c r="E468" s="105"/>
      <c r="F468" s="105"/>
      <c r="G468" s="105"/>
      <c r="H468" s="105"/>
      <c r="I468" s="105"/>
      <c r="J468" s="105"/>
      <c r="K468" s="105"/>
      <c r="L468" s="105"/>
      <c r="M468" s="105"/>
      <c r="N468" s="105"/>
      <c r="O468" s="105"/>
      <c r="P468" s="105"/>
      <c r="Q468" s="105"/>
      <c r="R468" s="105"/>
      <c r="S468" s="105"/>
      <c r="T468" s="105"/>
      <c r="U468" s="105"/>
      <c r="V468" s="122"/>
      <c r="W468" s="102"/>
      <c r="X468" s="102"/>
      <c r="Y468" s="102"/>
      <c r="Z468" s="102"/>
      <c r="AA468" s="102"/>
      <c r="AB468" s="102"/>
    </row>
    <row r="469" spans="1:28" ht="13.15">
      <c r="A469" s="356"/>
      <c r="B469" s="115"/>
      <c r="C469" s="151" t="s">
        <v>8</v>
      </c>
      <c r="D469" s="111">
        <f t="shared" ref="D469:V469" si="80">D8+D103+D375+D425</f>
        <v>61542913.903618746</v>
      </c>
      <c r="E469" s="111">
        <f t="shared" si="80"/>
        <v>12192729.991476689</v>
      </c>
      <c r="F469" s="111">
        <f t="shared" si="80"/>
        <v>10751919.987088379</v>
      </c>
      <c r="G469" s="111">
        <f t="shared" si="80"/>
        <v>8087661.9682313101</v>
      </c>
      <c r="H469" s="111">
        <f t="shared" si="80"/>
        <v>16119309.919318041</v>
      </c>
      <c r="I469" s="111">
        <f t="shared" si="80"/>
        <v>5378265.3423377322</v>
      </c>
      <c r="J469" s="111">
        <f t="shared" si="80"/>
        <v>24017303.854613926</v>
      </c>
      <c r="K469" s="111">
        <f t="shared" si="80"/>
        <v>16631858.612324104</v>
      </c>
      <c r="L469" s="111">
        <f t="shared" si="80"/>
        <v>61985083.651668198</v>
      </c>
      <c r="M469" s="111">
        <f t="shared" si="80"/>
        <v>35360234.579011708</v>
      </c>
      <c r="N469" s="111">
        <f t="shared" si="80"/>
        <v>9726386.6701360829</v>
      </c>
      <c r="O469" s="111">
        <f t="shared" si="80"/>
        <v>23902343.820173938</v>
      </c>
      <c r="P469" s="111">
        <f t="shared" si="80"/>
        <v>49955274.438080356</v>
      </c>
      <c r="Q469" s="111">
        <f t="shared" si="80"/>
        <v>10121184.297097426</v>
      </c>
      <c r="R469" s="111">
        <f t="shared" si="80"/>
        <v>5682802.5812418154</v>
      </c>
      <c r="S469" s="111">
        <f t="shared" si="80"/>
        <v>23654211.496062391</v>
      </c>
      <c r="T469" s="111">
        <f t="shared" si="80"/>
        <v>2715882.7049224922</v>
      </c>
      <c r="U469" s="111">
        <f t="shared" si="80"/>
        <v>1595509.2088272385</v>
      </c>
      <c r="V469" s="125">
        <f t="shared" si="80"/>
        <v>379420877.02623057</v>
      </c>
      <c r="W469" s="103"/>
      <c r="X469" s="103"/>
      <c r="Y469" s="103"/>
      <c r="Z469" s="103"/>
      <c r="AA469" s="103"/>
      <c r="AB469" s="103"/>
    </row>
    <row r="470" spans="1:28" ht="13.15">
      <c r="A470" s="356"/>
      <c r="B470" s="115"/>
      <c r="C470" s="133"/>
      <c r="D470" s="105"/>
      <c r="E470" s="105"/>
      <c r="F470" s="105"/>
      <c r="G470" s="105"/>
      <c r="H470" s="105"/>
      <c r="I470" s="105"/>
      <c r="J470" s="105"/>
      <c r="K470" s="105"/>
      <c r="L470" s="105"/>
      <c r="M470" s="105"/>
      <c r="N470" s="105"/>
      <c r="O470" s="105"/>
      <c r="P470" s="105"/>
      <c r="Q470" s="105"/>
      <c r="R470" s="105"/>
      <c r="S470" s="105"/>
      <c r="T470" s="105"/>
      <c r="U470" s="105"/>
      <c r="V470" s="122"/>
    </row>
    <row r="471" spans="1:28" s="104" customFormat="1" ht="13.15">
      <c r="A471" s="356"/>
      <c r="B471" s="119"/>
      <c r="C471" s="149" t="s">
        <v>69</v>
      </c>
      <c r="D471" s="125">
        <f>SUM(D472:D473)</f>
        <v>4933399.6967981458</v>
      </c>
      <c r="E471" s="125">
        <f t="shared" ref="E471:L471" si="81">SUM(E472:E473)</f>
        <v>928696.6738456079</v>
      </c>
      <c r="F471" s="125">
        <f t="shared" si="81"/>
        <v>895417.8431193392</v>
      </c>
      <c r="G471" s="125">
        <f t="shared" si="81"/>
        <v>523324.51981980685</v>
      </c>
      <c r="H471" s="125">
        <f t="shared" si="81"/>
        <v>1354446.5826822545</v>
      </c>
      <c r="I471" s="125">
        <f t="shared" si="81"/>
        <v>424895.31870640756</v>
      </c>
      <c r="J471" s="125">
        <f t="shared" si="81"/>
        <v>1864615.9811353688</v>
      </c>
      <c r="K471" s="125">
        <f t="shared" si="81"/>
        <v>1271361.6543992041</v>
      </c>
      <c r="L471" s="125">
        <f t="shared" si="81"/>
        <v>4475570.9310180191</v>
      </c>
      <c r="M471" s="125">
        <f>SUM(M472:M473)</f>
        <v>2711730.0254913527</v>
      </c>
      <c r="N471" s="125">
        <f t="shared" ref="N471" si="82">SUM(N472:N473)</f>
        <v>777981.44531148323</v>
      </c>
      <c r="O471" s="125">
        <f t="shared" ref="O471" si="83">SUM(O472:O473)</f>
        <v>1975772.1565816491</v>
      </c>
      <c r="P471" s="125">
        <f t="shared" ref="P471" si="84">SUM(P472:P473)</f>
        <v>3448134.3431459642</v>
      </c>
      <c r="Q471" s="125">
        <f t="shared" ref="Q471" si="85">SUM(Q472:Q473)</f>
        <v>786233.77326781477</v>
      </c>
      <c r="R471" s="125">
        <f t="shared" ref="R471" si="86">SUM(R472:R473)</f>
        <v>278325.42416914867</v>
      </c>
      <c r="S471" s="125">
        <f t="shared" ref="S471" si="87">SUM(S472:S473)</f>
        <v>1239452.9133543801</v>
      </c>
      <c r="T471" s="125">
        <f t="shared" ref="T471" si="88">SUM(T472:T473)</f>
        <v>218058.78105654617</v>
      </c>
      <c r="U471" s="125">
        <f t="shared" ref="U471" si="89">SUM(U472:U473)</f>
        <v>177428.55435751312</v>
      </c>
      <c r="V471" s="125">
        <f>SUM(D471:U471)</f>
        <v>28284846.618260004</v>
      </c>
    </row>
    <row r="472" spans="1:28" ht="13.15">
      <c r="A472" s="355"/>
      <c r="B472" s="115" t="s">
        <v>636</v>
      </c>
      <c r="C472" s="334" t="str">
        <f>VLOOKUP(B472,Tot_res!C:D,2,FALSE)</f>
        <v>Amortización y gastos financieros de la deuda pública en moneda nacional</v>
      </c>
      <c r="D472" s="179">
        <f>VLOOKUP(B472,Tot_res!C:V,3,FALSE)</f>
        <v>4881289.9221754754</v>
      </c>
      <c r="E472" s="179">
        <f>VLOOKUP(B472,Tot_res!C:V,4,FALSE)</f>
        <v>918887.17586426123</v>
      </c>
      <c r="F472" s="179">
        <f>VLOOKUP(B472,Tot_res!C:V,5,FALSE)</f>
        <v>885959.85778149008</v>
      </c>
      <c r="G472" s="179">
        <f>VLOOKUP(B472,Tot_res!C:V,6,FALSE)</f>
        <v>517796.82604708738</v>
      </c>
      <c r="H472" s="179">
        <f>VLOOKUP(B472,Tot_res!C:V,7,FALSE)</f>
        <v>1340140.0373991255</v>
      </c>
      <c r="I472" s="179">
        <f>VLOOKUP(B472,Tot_res!C:V,8,FALSE)</f>
        <v>420407.29814111901</v>
      </c>
      <c r="J472" s="179">
        <f>VLOOKUP(B472,Tot_res!C:V,9,FALSE)</f>
        <v>1844920.695023065</v>
      </c>
      <c r="K472" s="179">
        <f>VLOOKUP(B472,Tot_res!C:V,10,FALSE)</f>
        <v>1257932.7061391138</v>
      </c>
      <c r="L472" s="179">
        <f>VLOOKUP(B472,Tot_res!C:V,11,FALSE)</f>
        <v>4428297.0414374759</v>
      </c>
      <c r="M472" s="179">
        <f>VLOOKUP(B472,Tot_res!C:V,12,FALSE)</f>
        <v>2683086.9701642944</v>
      </c>
      <c r="N472" s="179">
        <f>VLOOKUP(B472,Tot_res!C:V,13,FALSE)</f>
        <v>769763.89954844443</v>
      </c>
      <c r="O472" s="179">
        <f>VLOOKUP(B472,Tot_res!C:V,14,FALSE)</f>
        <v>1954902.7666856637</v>
      </c>
      <c r="P472" s="179">
        <f>VLOOKUP(B472,Tot_res!C:V,15,FALSE)</f>
        <v>3411712.906705969</v>
      </c>
      <c r="Q472" s="179">
        <f>VLOOKUP(B472,Tot_res!C:V,16,FALSE)</f>
        <v>777929.06105236069</v>
      </c>
      <c r="R472" s="179">
        <f>VLOOKUP(B472,Tot_res!C:V,17,FALSE)</f>
        <v>275385.57010976109</v>
      </c>
      <c r="S472" s="179">
        <f>VLOOKUP(B472,Tot_res!C:V,18,FALSE)</f>
        <v>1226361.0059599262</v>
      </c>
      <c r="T472" s="179">
        <f>VLOOKUP(B472,Tot_res!C:V,19,FALSE)</f>
        <v>215755.50245888348</v>
      </c>
      <c r="U472" s="179">
        <f>VLOOKUP(B472,Tot_res!C:V,20,FALSE)</f>
        <v>175554.43862648957</v>
      </c>
      <c r="V472" s="122">
        <f t="shared" ref="V472:V473" si="90">SUM(D472:U472)</f>
        <v>27986083.681320012</v>
      </c>
    </row>
    <row r="473" spans="1:28" ht="13.15">
      <c r="A473" s="355"/>
      <c r="B473" s="115" t="s">
        <v>637</v>
      </c>
      <c r="C473" s="334" t="str">
        <f>VLOOKUP(B473,Tot_res!C:D,2,FALSE)</f>
        <v>Amortización y gastos financieros de la deuda pública en moneda extranjera</v>
      </c>
      <c r="D473" s="179">
        <f>VLOOKUP(B473,Tot_res!C:V,3,FALSE)</f>
        <v>52109.774622670033</v>
      </c>
      <c r="E473" s="179">
        <f>VLOOKUP(B473,Tot_res!C:V,4,FALSE)</f>
        <v>9809.4979813467216</v>
      </c>
      <c r="F473" s="179">
        <f>VLOOKUP(B473,Tot_res!C:V,5,FALSE)</f>
        <v>9457.9853378491061</v>
      </c>
      <c r="G473" s="179">
        <f>VLOOKUP(B473,Tot_res!C:V,6,FALSE)</f>
        <v>5527.6937727194545</v>
      </c>
      <c r="H473" s="179">
        <f>VLOOKUP(B473,Tot_res!C:V,7,FALSE)</f>
        <v>14306.545283129071</v>
      </c>
      <c r="I473" s="179">
        <f>VLOOKUP(B473,Tot_res!C:V,8,FALSE)</f>
        <v>4488.020565288567</v>
      </c>
      <c r="J473" s="179">
        <f>VLOOKUP(B473,Tot_res!C:V,9,FALSE)</f>
        <v>19695.286112303911</v>
      </c>
      <c r="K473" s="179">
        <f>VLOOKUP(B473,Tot_res!C:V,10,FALSE)</f>
        <v>13428.948260090294</v>
      </c>
      <c r="L473" s="179">
        <f>VLOOKUP(B473,Tot_res!C:V,11,FALSE)</f>
        <v>47273.889580543531</v>
      </c>
      <c r="M473" s="179">
        <f>VLOOKUP(B473,Tot_res!C:V,12,FALSE)</f>
        <v>28643.055327058246</v>
      </c>
      <c r="N473" s="179">
        <f>VLOOKUP(B473,Tot_res!C:V,13,FALSE)</f>
        <v>8217.5457630387973</v>
      </c>
      <c r="O473" s="179">
        <f>VLOOKUP(B473,Tot_res!C:V,14,FALSE)</f>
        <v>20869.389895985361</v>
      </c>
      <c r="P473" s="179">
        <f>VLOOKUP(B473,Tot_res!C:V,15,FALSE)</f>
        <v>36421.436439995065</v>
      </c>
      <c r="Q473" s="179">
        <f>VLOOKUP(B473,Tot_res!C:V,16,FALSE)</f>
        <v>8304.7122154541357</v>
      </c>
      <c r="R473" s="179">
        <f>VLOOKUP(B473,Tot_res!C:V,17,FALSE)</f>
        <v>2939.8540593875578</v>
      </c>
      <c r="S473" s="179">
        <f>VLOOKUP(B473,Tot_res!C:V,18,FALSE)</f>
        <v>13091.90739445395</v>
      </c>
      <c r="T473" s="179">
        <f>VLOOKUP(B473,Tot_res!C:V,19,FALSE)</f>
        <v>2303.2785976626897</v>
      </c>
      <c r="U473" s="179">
        <f>VLOOKUP(B473,Tot_res!C:V,20,FALSE)</f>
        <v>1874.1157310235403</v>
      </c>
      <c r="V473" s="122">
        <f t="shared" si="90"/>
        <v>298762.9369400001</v>
      </c>
    </row>
    <row r="474" spans="1:28" ht="13.15">
      <c r="A474" s="356"/>
      <c r="B474" s="115"/>
      <c r="C474" s="102"/>
      <c r="D474" s="105"/>
      <c r="E474" s="105"/>
      <c r="F474" s="105"/>
      <c r="G474" s="105"/>
      <c r="H474" s="105"/>
      <c r="I474" s="105"/>
      <c r="J474" s="105"/>
      <c r="K474" s="105"/>
      <c r="L474" s="105"/>
      <c r="M474" s="105"/>
      <c r="N474" s="105"/>
      <c r="O474" s="105"/>
      <c r="P474" s="105"/>
      <c r="Q474" s="105"/>
      <c r="R474" s="105"/>
      <c r="S474" s="105"/>
      <c r="T474" s="105"/>
      <c r="U474" s="105"/>
      <c r="V474" s="122"/>
    </row>
    <row r="475" spans="1:28" ht="13.15">
      <c r="A475" s="356"/>
      <c r="B475" s="115"/>
      <c r="C475" s="103" t="s">
        <v>7</v>
      </c>
      <c r="D475" s="111">
        <f t="shared" ref="D475:V475" si="91">D8+D103+D375+D425+D471</f>
        <v>66476313.600416891</v>
      </c>
      <c r="E475" s="111">
        <f t="shared" si="91"/>
        <v>13121426.665322296</v>
      </c>
      <c r="F475" s="111">
        <f t="shared" si="91"/>
        <v>11647337.830207719</v>
      </c>
      <c r="G475" s="111">
        <f t="shared" si="91"/>
        <v>8610986.4880511165</v>
      </c>
      <c r="H475" s="111">
        <f t="shared" si="91"/>
        <v>17473756.502000295</v>
      </c>
      <c r="I475" s="111">
        <f t="shared" si="91"/>
        <v>5803160.6610441394</v>
      </c>
      <c r="J475" s="111">
        <f t="shared" si="91"/>
        <v>25881919.835749295</v>
      </c>
      <c r="K475" s="111">
        <f t="shared" si="91"/>
        <v>17903220.266723309</v>
      </c>
      <c r="L475" s="111">
        <f t="shared" si="91"/>
        <v>66460654.582686216</v>
      </c>
      <c r="M475" s="111">
        <f t="shared" si="91"/>
        <v>38071964.604503058</v>
      </c>
      <c r="N475" s="111">
        <f t="shared" si="91"/>
        <v>10504368.115447566</v>
      </c>
      <c r="O475" s="111">
        <f t="shared" si="91"/>
        <v>25878115.976755586</v>
      </c>
      <c r="P475" s="111">
        <f t="shared" si="91"/>
        <v>53403408.781226322</v>
      </c>
      <c r="Q475" s="111">
        <f t="shared" si="91"/>
        <v>10907418.070365241</v>
      </c>
      <c r="R475" s="111">
        <f t="shared" si="91"/>
        <v>5961128.0054109637</v>
      </c>
      <c r="S475" s="111">
        <f t="shared" si="91"/>
        <v>24893664.409416772</v>
      </c>
      <c r="T475" s="111">
        <f t="shared" si="91"/>
        <v>2933941.4859790383</v>
      </c>
      <c r="U475" s="111">
        <f t="shared" si="91"/>
        <v>1772937.7631847516</v>
      </c>
      <c r="V475" s="125">
        <f t="shared" si="91"/>
        <v>407705723.6444906</v>
      </c>
    </row>
    <row r="476" spans="1:28" ht="13.15">
      <c r="A476" s="356"/>
      <c r="B476" s="115"/>
      <c r="C476" s="103" t="s">
        <v>80</v>
      </c>
      <c r="D476" s="111">
        <f t="shared" ref="D476:V476" si="92">D475-D191</f>
        <v>65701743.811258622</v>
      </c>
      <c r="E476" s="111">
        <f t="shared" si="92"/>
        <v>13008535.105389791</v>
      </c>
      <c r="F476" s="111">
        <f t="shared" si="92"/>
        <v>11458838.119834946</v>
      </c>
      <c r="G476" s="111">
        <f t="shared" si="92"/>
        <v>8431891.301931262</v>
      </c>
      <c r="H476" s="111">
        <f t="shared" si="92"/>
        <v>17412869.302548368</v>
      </c>
      <c r="I476" s="111">
        <f t="shared" si="92"/>
        <v>5722211.9706672607</v>
      </c>
      <c r="J476" s="111">
        <f t="shared" si="92"/>
        <v>25718705.35847836</v>
      </c>
      <c r="K476" s="111">
        <f t="shared" si="92"/>
        <v>17993189.541598592</v>
      </c>
      <c r="L476" s="111">
        <f t="shared" si="92"/>
        <v>65078576.644781664</v>
      </c>
      <c r="M476" s="111">
        <f t="shared" si="92"/>
        <v>37633314.755016871</v>
      </c>
      <c r="N476" s="111">
        <f t="shared" si="92"/>
        <v>10268422.915327135</v>
      </c>
      <c r="O476" s="111">
        <f t="shared" si="92"/>
        <v>25730916.012966376</v>
      </c>
      <c r="P476" s="111">
        <f t="shared" si="92"/>
        <v>53603191.304845348</v>
      </c>
      <c r="Q476" s="111">
        <f t="shared" si="92"/>
        <v>10770707.969064696</v>
      </c>
      <c r="R476" s="111">
        <f t="shared" si="92"/>
        <v>6309306.1627973393</v>
      </c>
      <c r="S476" s="111">
        <f t="shared" si="92"/>
        <v>25718496.089014132</v>
      </c>
      <c r="T476" s="111">
        <f t="shared" si="92"/>
        <v>2914799.0418699323</v>
      </c>
      <c r="U476" s="111">
        <f t="shared" si="92"/>
        <v>1772937.7631847516</v>
      </c>
      <c r="V476" s="152">
        <f t="shared" si="92"/>
        <v>405248653.1705755</v>
      </c>
    </row>
    <row r="477" spans="1:28" ht="13.15">
      <c r="A477" s="356"/>
      <c r="B477" s="115"/>
      <c r="C477" s="103"/>
      <c r="D477" s="111"/>
      <c r="E477" s="111"/>
      <c r="F477" s="111"/>
      <c r="G477" s="111"/>
      <c r="H477" s="111"/>
      <c r="I477" s="111"/>
      <c r="J477" s="111"/>
      <c r="K477" s="111"/>
      <c r="L477" s="111"/>
      <c r="M477" s="111"/>
      <c r="N477" s="111"/>
      <c r="O477" s="111"/>
      <c r="P477" s="111"/>
      <c r="Q477" s="111"/>
      <c r="R477" s="111"/>
      <c r="S477" s="111"/>
      <c r="T477" s="111"/>
      <c r="U477" s="111"/>
      <c r="V477" s="125"/>
    </row>
    <row r="478" spans="1:28" ht="13.15">
      <c r="A478" s="356"/>
      <c r="B478" s="115"/>
      <c r="C478" s="103"/>
      <c r="D478" s="111"/>
      <c r="E478" s="111"/>
      <c r="F478" s="111"/>
      <c r="G478" s="111"/>
      <c r="H478" s="111"/>
      <c r="I478" s="111"/>
      <c r="J478" s="111"/>
      <c r="K478" s="111"/>
      <c r="L478" s="111"/>
      <c r="M478" s="111"/>
      <c r="N478" s="111"/>
      <c r="O478" s="111"/>
      <c r="P478" s="111"/>
      <c r="Q478" s="111"/>
      <c r="R478" s="111"/>
      <c r="S478" s="111"/>
      <c r="T478" s="111"/>
      <c r="U478" s="111"/>
      <c r="V478" s="125"/>
    </row>
    <row r="479" spans="1:28" ht="13.15">
      <c r="A479" s="356"/>
      <c r="C479" s="121" t="s">
        <v>1028</v>
      </c>
      <c r="D479" s="179">
        <f>VLOOKUP(D7,Resumen!$B7:$C24,2,FALSE)</f>
        <v>8421302.5</v>
      </c>
      <c r="E479" s="179">
        <f>VLOOKUP(E7,Resumen!$B7:$C24,2,FALSE)</f>
        <v>1336267.5</v>
      </c>
      <c r="F479" s="179">
        <f>VLOOKUP(F7,Resumen!$B7:$C24,2,FALSE)</f>
        <v>1064960.5</v>
      </c>
      <c r="G479" s="179">
        <f>VLOOKUP(G7,Resumen!$B7:$C24,2,FALSE)</f>
        <v>1107558</v>
      </c>
      <c r="H479" s="179">
        <f>VLOOKUP(H7,Resumen!$B7:$C24,2,FALSE)</f>
        <v>2111747</v>
      </c>
      <c r="I479" s="179">
        <f>VLOOKUP(I7,Resumen!$B7:$C24,2,FALSE)</f>
        <v>590272</v>
      </c>
      <c r="J479" s="179">
        <f>VLOOKUP(J7,Resumen!$B7:$C24,2,FALSE)</f>
        <v>2507332.5</v>
      </c>
      <c r="K479" s="179">
        <f>VLOOKUP(K7,Resumen!$B7:$C24,2,FALSE)</f>
        <v>2089804.5</v>
      </c>
      <c r="L479" s="179">
        <f>VLOOKUP(L7,Resumen!$B7:$C24,2,FALSE)</f>
        <v>7536276.5</v>
      </c>
      <c r="M479" s="179">
        <f>VLOOKUP(M7,Resumen!$B7:$C24,2,FALSE)</f>
        <v>5059329.5</v>
      </c>
      <c r="N479" s="179">
        <f>VLOOKUP(N7,Resumen!$B7:$C24,2,FALSE)</f>
        <v>1101818</v>
      </c>
      <c r="O479" s="179">
        <f>VLOOKUP(O7,Resumen!$B7:$C24,2,FALSE)</f>
        <v>2757317.5</v>
      </c>
      <c r="P479" s="179">
        <f>VLOOKUP(P7,Resumen!$B7:$C24,2,FALSE)</f>
        <v>6474995.5</v>
      </c>
      <c r="Q479" s="179">
        <f>VLOOKUP(Q7,Resumen!$B7:$C24,2,FALSE)</f>
        <v>1469433.5</v>
      </c>
      <c r="R479" s="179">
        <f>VLOOKUP(R7,Resumen!$B7:$C24,2,FALSE)</f>
        <v>642633.5</v>
      </c>
      <c r="S479" s="179">
        <f>VLOOKUP(S7,Resumen!$B7:$C24,2,FALSE)</f>
        <v>2190333.5</v>
      </c>
      <c r="T479" s="179">
        <f>VLOOKUP(T7,Resumen!$B7:$C24,2,FALSE)</f>
        <v>320514.5</v>
      </c>
      <c r="U479" s="179">
        <f>VLOOKUP(U7,Resumen!$B7:$C24,2,FALSE)</f>
        <v>168665.5</v>
      </c>
      <c r="V479" s="122">
        <f>SUM(D479:U479)</f>
        <v>46950562</v>
      </c>
    </row>
    <row r="480" spans="1:28" ht="13.15">
      <c r="A480" s="356"/>
    </row>
    <row r="481" spans="1:22" ht="13.15">
      <c r="A481" s="356"/>
    </row>
    <row r="482" spans="1:22" ht="13.15">
      <c r="A482" s="356"/>
    </row>
    <row r="483" spans="1:22" ht="13.15">
      <c r="A483" s="356"/>
      <c r="C483" s="121" t="s">
        <v>85</v>
      </c>
    </row>
    <row r="484" spans="1:22" ht="13.15">
      <c r="A484" s="356"/>
    </row>
    <row r="485" spans="1:22" ht="13.15">
      <c r="A485" s="356"/>
      <c r="C485" s="153"/>
      <c r="D485" s="108" t="s">
        <v>66</v>
      </c>
      <c r="E485" s="108" t="s">
        <v>67</v>
      </c>
      <c r="F485" s="108" t="s">
        <v>56</v>
      </c>
      <c r="G485" s="108" t="s">
        <v>48</v>
      </c>
      <c r="H485" s="108" t="s">
        <v>49</v>
      </c>
      <c r="I485" s="108" t="s">
        <v>50</v>
      </c>
      <c r="J485" s="108" t="s">
        <v>51</v>
      </c>
      <c r="K485" s="108" t="s">
        <v>24</v>
      </c>
      <c r="L485" s="108" t="s">
        <v>46</v>
      </c>
      <c r="M485" s="108" t="s">
        <v>72</v>
      </c>
      <c r="N485" s="108" t="s">
        <v>73</v>
      </c>
      <c r="O485" s="108" t="s">
        <v>74</v>
      </c>
      <c r="P485" s="108" t="s">
        <v>37</v>
      </c>
      <c r="Q485" s="108" t="s">
        <v>38</v>
      </c>
      <c r="R485" s="108" t="s">
        <v>33</v>
      </c>
      <c r="S485" s="108" t="s">
        <v>34</v>
      </c>
      <c r="T485" s="108" t="s">
        <v>88</v>
      </c>
      <c r="U485" s="108" t="s">
        <v>89</v>
      </c>
      <c r="V485" s="124" t="s">
        <v>84</v>
      </c>
    </row>
    <row r="486" spans="1:22" ht="13.15">
      <c r="A486" s="356"/>
      <c r="C486" s="109" t="s">
        <v>86</v>
      </c>
      <c r="D486" s="111">
        <f t="shared" ref="D486:V486" si="93">D488+D495</f>
        <v>27203516.664611273</v>
      </c>
      <c r="E486" s="111">
        <f t="shared" si="93"/>
        <v>5845225.7131813765</v>
      </c>
      <c r="F486" s="111">
        <f t="shared" si="93"/>
        <v>4519649.2216137657</v>
      </c>
      <c r="G486" s="111">
        <f t="shared" si="93"/>
        <v>4597232.6132528232</v>
      </c>
      <c r="H486" s="111">
        <f t="shared" si="93"/>
        <v>6967694.234470645</v>
      </c>
      <c r="I486" s="111">
        <f t="shared" si="93"/>
        <v>2508191.9484908092</v>
      </c>
      <c r="J486" s="111">
        <f t="shared" si="93"/>
        <v>9964934.221094504</v>
      </c>
      <c r="K486" s="111">
        <f t="shared" si="93"/>
        <v>6983109.0865135081</v>
      </c>
      <c r="L486" s="111">
        <f t="shared" si="93"/>
        <v>35249771.42005264</v>
      </c>
      <c r="M486" s="111">
        <f t="shared" si="93"/>
        <v>18115031.912343696</v>
      </c>
      <c r="N486" s="111">
        <f t="shared" si="93"/>
        <v>3435963.3578655859</v>
      </c>
      <c r="O486" s="111">
        <f t="shared" si="93"/>
        <v>10419024.366647823</v>
      </c>
      <c r="P486" s="111">
        <f t="shared" si="93"/>
        <v>36543334.660649225</v>
      </c>
      <c r="Q486" s="111">
        <f t="shared" si="93"/>
        <v>4748706.4795467239</v>
      </c>
      <c r="R486" s="111">
        <f t="shared" si="93"/>
        <v>3077676.3085415778</v>
      </c>
      <c r="S486" s="111">
        <f t="shared" si="93"/>
        <v>11565079.737807706</v>
      </c>
      <c r="T486" s="111">
        <f t="shared" si="93"/>
        <v>1329601.3308455055</v>
      </c>
      <c r="U486" s="111">
        <f t="shared" si="93"/>
        <v>568367.72541968559</v>
      </c>
      <c r="V486" s="125">
        <f t="shared" si="93"/>
        <v>193642111.00294888</v>
      </c>
    </row>
    <row r="487" spans="1:22" ht="13.15">
      <c r="A487" s="356"/>
      <c r="C487" s="115"/>
      <c r="D487" s="105"/>
      <c r="E487" s="105"/>
      <c r="F487" s="105"/>
      <c r="G487" s="105"/>
      <c r="H487" s="105"/>
      <c r="I487" s="105"/>
      <c r="J487" s="105"/>
      <c r="K487" s="105"/>
      <c r="L487" s="105"/>
      <c r="M487" s="105"/>
      <c r="N487" s="105"/>
      <c r="O487" s="105"/>
      <c r="P487" s="105"/>
      <c r="Q487" s="105"/>
      <c r="R487" s="105"/>
      <c r="S487" s="105"/>
      <c r="T487" s="105"/>
      <c r="U487" s="105"/>
      <c r="V487" s="122"/>
    </row>
    <row r="488" spans="1:22" ht="13.15">
      <c r="A488" s="356"/>
      <c r="C488" s="112" t="s">
        <v>87</v>
      </c>
      <c r="D488" s="114">
        <f t="shared" ref="D488:V488" si="94">SUM(D489:D493)</f>
        <v>12334532.161435138</v>
      </c>
      <c r="E488" s="114">
        <f t="shared" si="94"/>
        <v>3158295.8352805087</v>
      </c>
      <c r="F488" s="114">
        <f t="shared" si="94"/>
        <v>2441211.4846200543</v>
      </c>
      <c r="G488" s="114">
        <f t="shared" si="94"/>
        <v>2318974.8607249884</v>
      </c>
      <c r="H488" s="114">
        <f t="shared" si="94"/>
        <v>3333920.0284069278</v>
      </c>
      <c r="I488" s="114">
        <f t="shared" si="94"/>
        <v>1303205.0072408218</v>
      </c>
      <c r="J488" s="114">
        <f t="shared" si="94"/>
        <v>5210095.0430589896</v>
      </c>
      <c r="K488" s="114">
        <f t="shared" si="94"/>
        <v>3240834.8419962735</v>
      </c>
      <c r="L488" s="114">
        <f t="shared" si="94"/>
        <v>19642941.873199843</v>
      </c>
      <c r="M488" s="114">
        <f t="shared" si="94"/>
        <v>8878502.9262310136</v>
      </c>
      <c r="N488" s="114">
        <f t="shared" si="94"/>
        <v>1545824.8872670056</v>
      </c>
      <c r="O488" s="114">
        <f t="shared" si="94"/>
        <v>5225261.2199215395</v>
      </c>
      <c r="P488" s="114">
        <f t="shared" si="94"/>
        <v>22174857.493164625</v>
      </c>
      <c r="Q488" s="114">
        <f t="shared" si="94"/>
        <v>2250900.5701708626</v>
      </c>
      <c r="R488" s="114">
        <f t="shared" si="94"/>
        <v>1702756.4779647151</v>
      </c>
      <c r="S488" s="114">
        <f t="shared" si="94"/>
        <v>6473995.2909297906</v>
      </c>
      <c r="T488" s="114">
        <f t="shared" si="94"/>
        <v>702310.2396544381</v>
      </c>
      <c r="U488" s="114">
        <f t="shared" si="94"/>
        <v>280084.88484626252</v>
      </c>
      <c r="V488" s="126">
        <f t="shared" si="94"/>
        <v>102218505.1261138</v>
      </c>
    </row>
    <row r="489" spans="1:22" ht="13.15">
      <c r="A489" s="355"/>
      <c r="B489" s="102" t="s">
        <v>438</v>
      </c>
      <c r="C489" s="334" t="str">
        <f>VLOOKUP(B489,Tot_res!C:D,2,FALSE)</f>
        <v>IRPF, ingresos homogeneizados</v>
      </c>
      <c r="D489" s="179">
        <f>VLOOKUP(B489,Tot_res!C:V,3,FALSE)</f>
        <v>8576400.6365719344</v>
      </c>
      <c r="E489" s="179">
        <f>VLOOKUP(B489,Tot_res!C:V,4,FALSE)</f>
        <v>2339875.7415281972</v>
      </c>
      <c r="F489" s="179">
        <f>VLOOKUP(B489,Tot_res!C:V,5,FALSE)</f>
        <v>1849159.0749856797</v>
      </c>
      <c r="G489" s="179">
        <f>VLOOKUP(B489,Tot_res!C:V,6,FALSE)</f>
        <v>1731023.7095327405</v>
      </c>
      <c r="H489" s="179">
        <f>VLOOKUP(B489,Tot_res!C:V,7,FALSE)</f>
        <v>2364679.0711969454</v>
      </c>
      <c r="I489" s="179">
        <f>VLOOKUP(B489,Tot_res!C:V,8,FALSE)</f>
        <v>947051.19744027872</v>
      </c>
      <c r="J489" s="179">
        <f>VLOOKUP(B489,Tot_res!C:V,9,FALSE)</f>
        <v>3793110.2887879983</v>
      </c>
      <c r="K489" s="179">
        <f>VLOOKUP(B489,Tot_res!C:V,10,FALSE)</f>
        <v>2298495.9066225518</v>
      </c>
      <c r="L489" s="179">
        <f>VLOOKUP(B489,Tot_res!C:V,11,FALSE)</f>
        <v>15277079.93168911</v>
      </c>
      <c r="M489" s="179">
        <f>VLOOKUP(B489,Tot_res!C:V,12,FALSE)</f>
        <v>6397616.9215749241</v>
      </c>
      <c r="N489" s="179">
        <f>VLOOKUP(B489,Tot_res!C:V,13,FALSE)</f>
        <v>1036178.9097570472</v>
      </c>
      <c r="O489" s="179">
        <f>VLOOKUP(B489,Tot_res!C:V,14,FALSE)</f>
        <v>3738345.4533853456</v>
      </c>
      <c r="P489" s="179">
        <f>VLOOKUP(B489,Tot_res!C:V,15,FALSE)</f>
        <v>17724237.842415735</v>
      </c>
      <c r="Q489" s="179">
        <f>VLOOKUP(B489,Tot_res!C:V,16,FALSE)</f>
        <v>1581700.1779307621</v>
      </c>
      <c r="R489" s="179">
        <f>VLOOKUP(B489,Tot_res!C:V,17,FALSE)</f>
        <v>1346207.888955889</v>
      </c>
      <c r="S489" s="179">
        <f>VLOOKUP(B489,Tot_res!C:V,18,FALSE)</f>
        <v>5084513.464062823</v>
      </c>
      <c r="T489" s="179">
        <f>VLOOKUP(B489,Tot_res!C:V,19,FALSE)</f>
        <v>517951.76558282046</v>
      </c>
      <c r="U489" s="179">
        <f>VLOOKUP(B489,Tot_res!C:V,20,FALSE)</f>
        <v>160815.29324681126</v>
      </c>
      <c r="V489" s="122">
        <f>SUM(D489:U489)</f>
        <v>76764443.275267586</v>
      </c>
    </row>
    <row r="490" spans="1:22" ht="13.15">
      <c r="A490" s="355"/>
      <c r="B490" s="102" t="s">
        <v>439</v>
      </c>
      <c r="C490" s="334" t="str">
        <f>VLOOKUP(B490,Tot_res!C:D,2,FALSE)</f>
        <v>Impuesto sobre sociedades, ingresos homogéneos</v>
      </c>
      <c r="D490" s="179">
        <f>VLOOKUP(B490,Tot_res!C:V,3,FALSE)</f>
        <v>3223686.8484483398</v>
      </c>
      <c r="E490" s="179">
        <f>VLOOKUP(B490,Tot_res!C:V,4,FALSE)</f>
        <v>677870.51793394622</v>
      </c>
      <c r="F490" s="179">
        <f>VLOOKUP(B490,Tot_res!C:V,5,FALSE)</f>
        <v>480963.07073401322</v>
      </c>
      <c r="G490" s="179">
        <f>VLOOKUP(B490,Tot_res!C:V,6,FALSE)</f>
        <v>506104.0738809749</v>
      </c>
      <c r="H490" s="179">
        <f>VLOOKUP(B490,Tot_res!C:V,7,FALSE)</f>
        <v>840980.20993156882</v>
      </c>
      <c r="I490" s="179">
        <f>VLOOKUP(B490,Tot_res!C:V,8,FALSE)</f>
        <v>292216.43630884547</v>
      </c>
      <c r="J490" s="179">
        <f>VLOOKUP(B490,Tot_res!C:V,9,FALSE)</f>
        <v>1171514.891124873</v>
      </c>
      <c r="K490" s="179">
        <f>VLOOKUP(B490,Tot_res!C:V,10,FALSE)</f>
        <v>799759.13380943122</v>
      </c>
      <c r="L490" s="179">
        <f>VLOOKUP(B490,Tot_res!C:V,11,FALSE)</f>
        <v>3674787.037119688</v>
      </c>
      <c r="M490" s="179">
        <f>VLOOKUP(B490,Tot_res!C:V,12,FALSE)</f>
        <v>2081152.2229942649</v>
      </c>
      <c r="N490" s="179">
        <f>VLOOKUP(B490,Tot_res!C:V,13,FALSE)</f>
        <v>433983.96096497559</v>
      </c>
      <c r="O490" s="179">
        <f>VLOOKUP(B490,Tot_res!C:V,14,FALSE)</f>
        <v>1214528.7177209398</v>
      </c>
      <c r="P490" s="179">
        <f>VLOOKUP(B490,Tot_res!C:V,15,FALSE)</f>
        <v>3816064.5165555319</v>
      </c>
      <c r="Q490" s="179">
        <f>VLOOKUP(B490,Tot_res!C:V,16,FALSE)</f>
        <v>576403.84006878431</v>
      </c>
      <c r="R490" s="179">
        <f>VLOOKUP(B490,Tot_res!C:V,17,FALSE)</f>
        <v>307223.35942513816</v>
      </c>
      <c r="S490" s="179">
        <f>VLOOKUP(B490,Tot_res!C:V,18,FALSE)</f>
        <v>1180339.8599229795</v>
      </c>
      <c r="T490" s="179">
        <f>VLOOKUP(B490,Tot_res!C:V,19,FALSE)</f>
        <v>152638.78974304537</v>
      </c>
      <c r="U490" s="179">
        <f>VLOOKUP(B490,Tot_res!C:V,20,FALSE)</f>
        <v>106635.48916684123</v>
      </c>
      <c r="V490" s="122">
        <f>SUM(D490:U490)</f>
        <v>21536852.975854184</v>
      </c>
    </row>
    <row r="491" spans="1:22" ht="13.15">
      <c r="A491" s="355"/>
      <c r="B491" s="102" t="s">
        <v>440</v>
      </c>
      <c r="C491" s="334" t="str">
        <f>VLOOKUP(B491,Tot_res!C:D,2,FALSE)</f>
        <v>Impuesto sobre la renta de no residentes</v>
      </c>
      <c r="D491" s="179">
        <f>VLOOKUP(B491,Tot_res!C:V,3,FALSE)</f>
        <v>263001.21391773754</v>
      </c>
      <c r="E491" s="179">
        <f>VLOOKUP(B491,Tot_res!C:V,4,FALSE)</f>
        <v>41732.258711620954</v>
      </c>
      <c r="F491" s="179">
        <f>VLOOKUP(B491,Tot_res!C:V,5,FALSE)</f>
        <v>33259.214269341443</v>
      </c>
      <c r="G491" s="179">
        <f>VLOOKUP(B491,Tot_res!C:V,6,FALSE)</f>
        <v>34589.554108085009</v>
      </c>
      <c r="H491" s="179">
        <f>VLOOKUP(B491,Tot_res!C:V,7,FALSE)</f>
        <v>65950.846022588608</v>
      </c>
      <c r="I491" s="179">
        <f>VLOOKUP(B491,Tot_res!C:V,8,FALSE)</f>
        <v>18434.470504016543</v>
      </c>
      <c r="J491" s="179">
        <f>VLOOKUP(B491,Tot_res!C:V,9,FALSE)</f>
        <v>78305.166118352325</v>
      </c>
      <c r="K491" s="179">
        <f>VLOOKUP(B491,Tot_res!C:V,10,FALSE)</f>
        <v>65265.571489772585</v>
      </c>
      <c r="L491" s="179">
        <f>VLOOKUP(B491,Tot_res!C:V,11,FALSE)</f>
        <v>235361.43820029247</v>
      </c>
      <c r="M491" s="179">
        <f>VLOOKUP(B491,Tot_res!C:V,12,FALSE)</f>
        <v>158005.22545174221</v>
      </c>
      <c r="N491" s="179">
        <f>VLOOKUP(B491,Tot_res!C:V,13,FALSE)</f>
        <v>34410.291224714201</v>
      </c>
      <c r="O491" s="179">
        <f>VLOOKUP(B491,Tot_res!C:V,14,FALSE)</f>
        <v>86112.314532891003</v>
      </c>
      <c r="P491" s="179">
        <f>VLOOKUP(B491,Tot_res!C:V,15,FALSE)</f>
        <v>202217.1364360665</v>
      </c>
      <c r="Q491" s="179">
        <f>VLOOKUP(B491,Tot_res!C:V,16,FALSE)</f>
        <v>45891.095144888786</v>
      </c>
      <c r="R491" s="179">
        <f>VLOOKUP(B491,Tot_res!C:V,17,FALSE)</f>
        <v>20069.744627295411</v>
      </c>
      <c r="S491" s="179">
        <f>VLOOKUP(B491,Tot_res!C:V,18,FALSE)</f>
        <v>68405.139155693178</v>
      </c>
      <c r="T491" s="179">
        <f>VLOOKUP(B491,Tot_res!C:V,19,FALSE)</f>
        <v>10009.817671106897</v>
      </c>
      <c r="U491" s="179">
        <f>VLOOKUP(B491,Tot_res!C:V,20,FALSE)</f>
        <v>5267.5024137943228</v>
      </c>
      <c r="V491" s="122">
        <f>SUM(D491:U491)</f>
        <v>1466288</v>
      </c>
    </row>
    <row r="492" spans="1:22" ht="13.15">
      <c r="A492" s="355"/>
      <c r="B492" s="102" t="s">
        <v>442</v>
      </c>
      <c r="C492" s="334" t="str">
        <f>VLOOKUP(B492,Tot_res!C:D,2,FALSE)</f>
        <v>Impuesto sobre sucesiones y donaciones, ing. homog.</v>
      </c>
      <c r="D492" s="179">
        <f>VLOOKUP(B492,Tot_res!C:V,3,FALSE)</f>
        <v>267772.39252638805</v>
      </c>
      <c r="E492" s="179">
        <f>VLOOKUP(B492,Tot_res!C:V,4,FALSE)</f>
        <v>98234.80252635428</v>
      </c>
      <c r="F492" s="179">
        <f>VLOOKUP(B492,Tot_res!C:V,5,FALSE)</f>
        <v>77365.879995279363</v>
      </c>
      <c r="G492" s="179">
        <f>VLOOKUP(B492,Tot_res!C:V,6,FALSE)</f>
        <v>46774.709183069826</v>
      </c>
      <c r="H492" s="179">
        <f>VLOOKUP(B492,Tot_res!C:V,7,FALSE)</f>
        <v>61389.334514813396</v>
      </c>
      <c r="I492" s="179">
        <f>VLOOKUP(B492,Tot_res!C:V,8,FALSE)</f>
        <v>45245.587707323102</v>
      </c>
      <c r="J492" s="179">
        <f>VLOOKUP(B492,Tot_res!C:V,9,FALSE)</f>
        <v>166071.68403513142</v>
      </c>
      <c r="K492" s="179">
        <f>VLOOKUP(B492,Tot_res!C:V,10,FALSE)</f>
        <v>76403.228653459199</v>
      </c>
      <c r="L492" s="179">
        <f>VLOOKUP(B492,Tot_res!C:V,11,FALSE)</f>
        <v>452428.20261658466</v>
      </c>
      <c r="M492" s="179">
        <f>VLOOKUP(B492,Tot_res!C:V,12,FALSE)</f>
        <v>239523.05978010621</v>
      </c>
      <c r="N492" s="179">
        <f>VLOOKUP(B492,Tot_res!C:V,13,FALSE)</f>
        <v>40771.413518974332</v>
      </c>
      <c r="O492" s="179">
        <f>VLOOKUP(B492,Tot_res!C:V,14,FALSE)</f>
        <v>185072.7461725614</v>
      </c>
      <c r="P492" s="179">
        <f>VLOOKUP(B492,Tot_res!C:V,15,FALSE)</f>
        <v>429515.37482684536</v>
      </c>
      <c r="Q492" s="179">
        <f>VLOOKUP(B492,Tot_res!C:V,16,FALSE)</f>
        <v>46264.891841190554</v>
      </c>
      <c r="R492" s="179">
        <f>VLOOKUP(B492,Tot_res!C:V,17,FALSE)</f>
        <v>28975.343904098117</v>
      </c>
      <c r="S492" s="179">
        <f>VLOOKUP(B492,Tot_res!C:V,18,FALSE)</f>
        <v>139782.00309962628</v>
      </c>
      <c r="T492" s="179">
        <f>VLOOKUP(B492,Tot_res!C:V,19,FALSE)</f>
        <v>21570.14585345237</v>
      </c>
      <c r="U492" s="179">
        <f>VLOOKUP(B492,Tot_res!C:V,20,FALSE)</f>
        <v>7293.074236770658</v>
      </c>
      <c r="V492" s="122">
        <f>SUM(D492:U492)</f>
        <v>2430453.8749920283</v>
      </c>
    </row>
    <row r="493" spans="1:22" ht="13.15">
      <c r="A493" s="355"/>
      <c r="B493" s="102" t="s">
        <v>662</v>
      </c>
      <c r="C493" s="334" t="str">
        <f>VLOOKUP(B493,Tot_res!C:D,2,FALSE)</f>
        <v>Impuesto sobre el patrimonio, recaudación real</v>
      </c>
      <c r="D493" s="179">
        <f>VLOOKUP(B493,Tot_res!C:V,3,FALSE)</f>
        <v>3671.069970738582</v>
      </c>
      <c r="E493" s="179">
        <f>VLOOKUP(B493,Tot_res!C:V,4,FALSE)</f>
        <v>582.51458038990029</v>
      </c>
      <c r="F493" s="179">
        <f>VLOOKUP(B493,Tot_res!C:V,5,FALSE)</f>
        <v>464.24463574046251</v>
      </c>
      <c r="G493" s="179">
        <f>VLOOKUP(B493,Tot_res!C:V,6,FALSE)</f>
        <v>482.81402011758661</v>
      </c>
      <c r="H493" s="179">
        <f>VLOOKUP(B493,Tot_res!C:V,7,FALSE)</f>
        <v>920.56674101153465</v>
      </c>
      <c r="I493" s="179">
        <f>VLOOKUP(B493,Tot_res!C:V,8,FALSE)</f>
        <v>257.31528035809242</v>
      </c>
      <c r="J493" s="179">
        <f>VLOOKUP(B493,Tot_res!C:V,9,FALSE)</f>
        <v>1093.0129926346783</v>
      </c>
      <c r="K493" s="179">
        <f>VLOOKUP(B493,Tot_res!C:V,10,FALSE)</f>
        <v>911.00142105860209</v>
      </c>
      <c r="L493" s="179">
        <f>VLOOKUP(B493,Tot_res!C:V,11,FALSE)</f>
        <v>3285.2635741719132</v>
      </c>
      <c r="M493" s="179">
        <f>VLOOKUP(B493,Tot_res!C:V,12,FALSE)</f>
        <v>2205.4964299788362</v>
      </c>
      <c r="N493" s="179">
        <f>VLOOKUP(B493,Tot_res!C:V,13,FALSE)</f>
        <v>480.31180129430612</v>
      </c>
      <c r="O493" s="179">
        <f>VLOOKUP(B493,Tot_res!C:V,14,FALSE)</f>
        <v>1201.9881098015396</v>
      </c>
      <c r="P493" s="179">
        <f>VLOOKUP(B493,Tot_res!C:V,15,FALSE)</f>
        <v>2822.6229304454332</v>
      </c>
      <c r="Q493" s="179">
        <f>VLOOKUP(B493,Tot_res!C:V,16,FALSE)</f>
        <v>640.56518523676027</v>
      </c>
      <c r="R493" s="179">
        <f>VLOOKUP(B493,Tot_res!C:V,17,FALSE)</f>
        <v>280.14105229453912</v>
      </c>
      <c r="S493" s="179">
        <f>VLOOKUP(B493,Tot_res!C:V,18,FALSE)</f>
        <v>954.82468866932834</v>
      </c>
      <c r="T493" s="179">
        <f>VLOOKUP(B493,Tot_res!C:V,19,FALSE)</f>
        <v>139.72080401295304</v>
      </c>
      <c r="U493" s="179">
        <f>VLOOKUP(B493,Tot_res!C:V,20,FALSE)</f>
        <v>73.525782044951882</v>
      </c>
      <c r="V493" s="122">
        <f>SUM(D493:U493)</f>
        <v>20466.999999999996</v>
      </c>
    </row>
    <row r="494" spans="1:22" ht="13.15">
      <c r="A494" s="356"/>
      <c r="C494" s="119"/>
      <c r="D494" s="122"/>
      <c r="E494" s="122"/>
      <c r="F494" s="122"/>
      <c r="G494" s="122"/>
      <c r="H494" s="122"/>
      <c r="I494" s="122"/>
      <c r="J494" s="122"/>
      <c r="K494" s="122"/>
      <c r="L494" s="122"/>
      <c r="M494" s="122"/>
      <c r="N494" s="122"/>
      <c r="O494" s="122"/>
      <c r="P494" s="122"/>
      <c r="Q494" s="122"/>
      <c r="R494" s="122"/>
      <c r="S494" s="122"/>
      <c r="T494" s="122"/>
      <c r="U494" s="122"/>
      <c r="V494" s="122"/>
    </row>
    <row r="495" spans="1:22" ht="13.15">
      <c r="A495" s="356"/>
      <c r="C495" s="112" t="s">
        <v>109</v>
      </c>
      <c r="D495" s="114">
        <f t="shared" ref="D495:V495" si="95">SUM(D496:D506)</f>
        <v>14868984.503176132</v>
      </c>
      <c r="E495" s="114">
        <f t="shared" si="95"/>
        <v>2686929.8779008677</v>
      </c>
      <c r="F495" s="114">
        <f t="shared" si="95"/>
        <v>2078437.7369937112</v>
      </c>
      <c r="G495" s="114">
        <f t="shared" si="95"/>
        <v>2278257.7525278348</v>
      </c>
      <c r="H495" s="114">
        <f t="shared" si="95"/>
        <v>3633774.2060637171</v>
      </c>
      <c r="I495" s="114">
        <f t="shared" si="95"/>
        <v>1204986.9412499873</v>
      </c>
      <c r="J495" s="114">
        <f t="shared" si="95"/>
        <v>4754839.1780355144</v>
      </c>
      <c r="K495" s="114">
        <f t="shared" si="95"/>
        <v>3742274.2445172346</v>
      </c>
      <c r="L495" s="114">
        <f t="shared" si="95"/>
        <v>15606829.546852795</v>
      </c>
      <c r="M495" s="114">
        <f t="shared" si="95"/>
        <v>9236528.986112684</v>
      </c>
      <c r="N495" s="114">
        <f t="shared" si="95"/>
        <v>1890138.4705985803</v>
      </c>
      <c r="O495" s="114">
        <f t="shared" si="95"/>
        <v>5193763.1467262832</v>
      </c>
      <c r="P495" s="114">
        <f t="shared" si="95"/>
        <v>14368477.167484602</v>
      </c>
      <c r="Q495" s="114">
        <f t="shared" si="95"/>
        <v>2497805.9093758608</v>
      </c>
      <c r="R495" s="114">
        <f t="shared" si="95"/>
        <v>1374919.8305768627</v>
      </c>
      <c r="S495" s="114">
        <f t="shared" si="95"/>
        <v>5091084.4468779145</v>
      </c>
      <c r="T495" s="114">
        <f t="shared" si="95"/>
        <v>627291.09119106736</v>
      </c>
      <c r="U495" s="114">
        <f t="shared" si="95"/>
        <v>288282.84057342308</v>
      </c>
      <c r="V495" s="126">
        <f t="shared" si="95"/>
        <v>91423605.876835078</v>
      </c>
    </row>
    <row r="496" spans="1:22" ht="13.15">
      <c r="A496" s="355"/>
      <c r="B496" s="102" t="s">
        <v>443</v>
      </c>
      <c r="C496" s="334" t="str">
        <f>VLOOKUP(B496,Tot_res!C:D,2,FALSE)</f>
        <v>IVA</v>
      </c>
      <c r="D496" s="179">
        <f>VLOOKUP(B496,Tot_res!C:V,3,FALSE)</f>
        <v>9387668.4004770163</v>
      </c>
      <c r="E496" s="179">
        <f>VLOOKUP(B496,Tot_res!C:V,4,FALSE)</f>
        <v>1774362.2283144183</v>
      </c>
      <c r="F496" s="179">
        <f>VLOOKUP(B496,Tot_res!C:V,5,FALSE)</f>
        <v>1351753.160081361</v>
      </c>
      <c r="G496" s="179">
        <f>VLOOKUP(B496,Tot_res!C:V,6,FALSE)</f>
        <v>1461860.4273577263</v>
      </c>
      <c r="H496" s="179">
        <f>VLOOKUP(B496,Tot_res!C:V,7,FALSE)</f>
        <v>205439.93999776046</v>
      </c>
      <c r="I496" s="179">
        <f>VLOOKUP(B496,Tot_res!C:V,8,FALSE)</f>
        <v>778102.69812960317</v>
      </c>
      <c r="J496" s="179">
        <f>VLOOKUP(B496,Tot_res!C:V,9,FALSE)</f>
        <v>3092820.0214350149</v>
      </c>
      <c r="K496" s="179">
        <f>VLOOKUP(B496,Tot_res!C:V,10,FALSE)</f>
        <v>2352752.5977290301</v>
      </c>
      <c r="L496" s="179">
        <f>VLOOKUP(B496,Tot_res!C:V,11,FALSE)</f>
        <v>10371090.186391203</v>
      </c>
      <c r="M496" s="179">
        <f>VLOOKUP(B496,Tot_res!C:V,12,FALSE)</f>
        <v>5905957.4629032183</v>
      </c>
      <c r="N496" s="179">
        <f>VLOOKUP(B496,Tot_res!C:V,13,FALSE)</f>
        <v>1192654.3438347173</v>
      </c>
      <c r="O496" s="179">
        <f>VLOOKUP(B496,Tot_res!C:V,14,FALSE)</f>
        <v>3417670.9949345752</v>
      </c>
      <c r="P496" s="179">
        <f>VLOOKUP(B496,Tot_res!C:V,15,FALSE)</f>
        <v>9347521.6238693576</v>
      </c>
      <c r="Q496" s="179">
        <f>VLOOKUP(B496,Tot_res!C:V,16,FALSE)</f>
        <v>1576775.9560073176</v>
      </c>
      <c r="R496" s="179">
        <f>VLOOKUP(B496,Tot_res!C:V,17,FALSE)</f>
        <v>946299.06469718274</v>
      </c>
      <c r="S496" s="179">
        <f>VLOOKUP(B496,Tot_res!C:V,18,FALSE)</f>
        <v>3524832.6749227894</v>
      </c>
      <c r="T496" s="179">
        <f>VLOOKUP(B496,Tot_res!C:V,19,FALSE)</f>
        <v>423347.04742437322</v>
      </c>
      <c r="U496" s="179">
        <f>VLOOKUP(B496,Tot_res!C:V,20,FALSE)</f>
        <v>18019.210593331994</v>
      </c>
      <c r="V496" s="122">
        <f t="shared" ref="V496:V506" si="96">SUM(D496:U496)</f>
        <v>57128928.039099999</v>
      </c>
    </row>
    <row r="497" spans="1:22" ht="13.15">
      <c r="A497" s="355"/>
      <c r="B497" s="102" t="s">
        <v>444</v>
      </c>
      <c r="C497" s="334" t="str">
        <f>VLOOKUP(B497,Tot_res!C:D,2,FALSE)</f>
        <v>Impuestos especiales* (sin electricidad ni matriculación)</v>
      </c>
      <c r="D497" s="179">
        <f>VLOOKUP(B497,Tot_res!C:V,3,FALSE)</f>
        <v>3535285.8793329448</v>
      </c>
      <c r="E497" s="179">
        <f>VLOOKUP(B497,Tot_res!C:V,4,FALSE)</f>
        <v>569752.42013284669</v>
      </c>
      <c r="F497" s="179">
        <f>VLOOKUP(B497,Tot_res!C:V,5,FALSE)</f>
        <v>462887.50466814282</v>
      </c>
      <c r="G497" s="179">
        <f>VLOOKUP(B497,Tot_res!C:V,6,FALSE)</f>
        <v>496341.89327014913</v>
      </c>
      <c r="H497" s="179">
        <f>VLOOKUP(B497,Tot_res!C:V,7,FALSE)</f>
        <v>155306.50116975448</v>
      </c>
      <c r="I497" s="179">
        <f>VLOOKUP(B497,Tot_res!C:V,8,FALSE)</f>
        <v>274511.35118708166</v>
      </c>
      <c r="J497" s="179">
        <f>VLOOKUP(B497,Tot_res!C:V,9,FALSE)</f>
        <v>1040992.739138099</v>
      </c>
      <c r="K497" s="179">
        <f>VLOOKUP(B497,Tot_res!C:V,10,FALSE)</f>
        <v>914389.39418306248</v>
      </c>
      <c r="L497" s="179">
        <f>VLOOKUP(B497,Tot_res!C:V,11,FALSE)</f>
        <v>3186019.7505528517</v>
      </c>
      <c r="M497" s="179">
        <f>VLOOKUP(B497,Tot_res!C:V,12,FALSE)</f>
        <v>2066583.2159203619</v>
      </c>
      <c r="N497" s="179">
        <f>VLOOKUP(B497,Tot_res!C:V,13,FALSE)</f>
        <v>462520.38953553897</v>
      </c>
      <c r="O497" s="179">
        <f>VLOOKUP(B497,Tot_res!C:V,14,FALSE)</f>
        <v>1134583.4828308965</v>
      </c>
      <c r="P497" s="179">
        <f>VLOOKUP(B497,Tot_res!C:V,15,FALSE)</f>
        <v>2929424.0961165256</v>
      </c>
      <c r="Q497" s="179">
        <f>VLOOKUP(B497,Tot_res!C:V,16,FALSE)</f>
        <v>597505.69930264668</v>
      </c>
      <c r="R497" s="179">
        <f>VLOOKUP(B497,Tot_res!C:V,17,FALSE)</f>
        <v>258696.55894315263</v>
      </c>
      <c r="S497" s="179">
        <f>VLOOKUP(B497,Tot_res!C:V,18,FALSE)</f>
        <v>915860.75160328229</v>
      </c>
      <c r="T497" s="179">
        <f>VLOOKUP(B497,Tot_res!C:V,19,FALSE)</f>
        <v>126210.22475692257</v>
      </c>
      <c r="U497" s="179">
        <f>VLOOKUP(B497,Tot_res!C:V,20,FALSE)</f>
        <v>27310.287355739274</v>
      </c>
      <c r="V497" s="122">
        <f t="shared" si="96"/>
        <v>19154182.140000001</v>
      </c>
    </row>
    <row r="498" spans="1:22" ht="13.15">
      <c r="A498" s="355"/>
      <c r="B498" s="102" t="s">
        <v>445</v>
      </c>
      <c r="C498" s="334" t="str">
        <f>VLOOKUP(B498,Tot_res!C:D,2,FALSE)</f>
        <v>Electricidad</v>
      </c>
      <c r="D498" s="179">
        <f>VLOOKUP(B498,Tot_res!C:V,3,FALSE)</f>
        <v>267807.20792448713</v>
      </c>
      <c r="E498" s="179">
        <f>VLOOKUP(B498,Tot_res!C:V,4,FALSE)</f>
        <v>44150.860130466972</v>
      </c>
      <c r="F498" s="179">
        <f>VLOOKUP(B498,Tot_res!C:V,5,FALSE)</f>
        <v>34917.382699929913</v>
      </c>
      <c r="G498" s="179">
        <f>VLOOKUP(B498,Tot_res!C:V,6,FALSE)</f>
        <v>43801.74899447737</v>
      </c>
      <c r="H498" s="179">
        <f>VLOOKUP(B498,Tot_res!C:V,7,FALSE)</f>
        <v>62173.523836670211</v>
      </c>
      <c r="I498" s="179">
        <f>VLOOKUP(B498,Tot_res!C:V,8,FALSE)</f>
        <v>19470.12552510055</v>
      </c>
      <c r="J498" s="179">
        <f>VLOOKUP(B498,Tot_res!C:V,9,FALSE)</f>
        <v>79083.790624202069</v>
      </c>
      <c r="K498" s="179">
        <f>VLOOKUP(B498,Tot_res!C:V,10,FALSE)</f>
        <v>66082.7142185501</v>
      </c>
      <c r="L498" s="179">
        <f>VLOOKUP(B498,Tot_res!C:V,11,FALSE)</f>
        <v>267345.27235216234</v>
      </c>
      <c r="M498" s="179">
        <f>VLOOKUP(B498,Tot_res!C:V,12,FALSE)</f>
        <v>167139.06986290443</v>
      </c>
      <c r="N498" s="179">
        <f>VLOOKUP(B498,Tot_res!C:V,13,FALSE)</f>
        <v>33518.441321479739</v>
      </c>
      <c r="O498" s="179">
        <f>VLOOKUP(B498,Tot_res!C:V,14,FALSE)</f>
        <v>87534.416240371676</v>
      </c>
      <c r="P498" s="179">
        <f>VLOOKUP(B498,Tot_res!C:V,15,FALSE)</f>
        <v>226868.09200027186</v>
      </c>
      <c r="Q498" s="179">
        <f>VLOOKUP(B498,Tot_res!C:V,16,FALSE)</f>
        <v>44993.761358636664</v>
      </c>
      <c r="R498" s="179">
        <f>VLOOKUP(B498,Tot_res!C:V,17,FALSE)</f>
        <v>20725.796059462478</v>
      </c>
      <c r="S498" s="179">
        <f>VLOOKUP(B498,Tot_res!C:V,18,FALSE)</f>
        <v>77638.794406015732</v>
      </c>
      <c r="T498" s="179">
        <f>VLOOKUP(B498,Tot_res!C:V,19,FALSE)</f>
        <v>10019.785193077869</v>
      </c>
      <c r="U498" s="179">
        <f>VLOOKUP(B498,Tot_res!C:V,20,FALSE)</f>
        <v>4641.2172517327899</v>
      </c>
      <c r="V498" s="122">
        <f t="shared" si="96"/>
        <v>1557911.9999999998</v>
      </c>
    </row>
    <row r="499" spans="1:22" ht="13.15">
      <c r="A499" s="355"/>
      <c r="B499" s="102" t="s">
        <v>446</v>
      </c>
      <c r="C499" s="334" t="str">
        <f>VLOOKUP(B499,Tot_res!C:D,2,FALSE)</f>
        <v>Determinados medios de transporte, homogeneizado</v>
      </c>
      <c r="D499" s="179">
        <f>VLOOKUP(B499,Tot_res!C:V,3,FALSE)</f>
        <v>50586.957022352806</v>
      </c>
      <c r="E499" s="179">
        <f>VLOOKUP(B499,Tot_res!C:V,4,FALSE)</f>
        <v>7477.9474632846322</v>
      </c>
      <c r="F499" s="179">
        <f>VLOOKUP(B499,Tot_res!C:V,5,FALSE)</f>
        <v>4952.1750413483742</v>
      </c>
      <c r="G499" s="179">
        <f>VLOOKUP(B499,Tot_res!C:V,6,FALSE)</f>
        <v>8136.2772568145665</v>
      </c>
      <c r="H499" s="179">
        <f>VLOOKUP(B499,Tot_res!C:V,7,FALSE)</f>
        <v>2065.1935408628688</v>
      </c>
      <c r="I499" s="179">
        <f>VLOOKUP(B499,Tot_res!C:V,8,FALSE)</f>
        <v>4585.4450998205421</v>
      </c>
      <c r="J499" s="179">
        <f>VLOOKUP(B499,Tot_res!C:V,9,FALSE)</f>
        <v>12308.954164802413</v>
      </c>
      <c r="K499" s="179">
        <f>VLOOKUP(B499,Tot_res!C:V,10,FALSE)</f>
        <v>11280.929045222329</v>
      </c>
      <c r="L499" s="179">
        <f>VLOOKUP(B499,Tot_res!C:V,11,FALSE)</f>
        <v>66057.467314681053</v>
      </c>
      <c r="M499" s="179">
        <f>VLOOKUP(B499,Tot_res!C:V,12,FALSE)</f>
        <v>34478.122146105743</v>
      </c>
      <c r="N499" s="179">
        <f>VLOOKUP(B499,Tot_res!C:V,13,FALSE)</f>
        <v>5315.221769268137</v>
      </c>
      <c r="O499" s="179">
        <f>VLOOKUP(B499,Tot_res!C:V,14,FALSE)</f>
        <v>15343.408550569191</v>
      </c>
      <c r="P499" s="179">
        <f>VLOOKUP(B499,Tot_res!C:V,15,FALSE)</f>
        <v>56007.100617737378</v>
      </c>
      <c r="Q499" s="179">
        <f>VLOOKUP(B499,Tot_res!C:V,16,FALSE)</f>
        <v>10014.517682386992</v>
      </c>
      <c r="R499" s="179">
        <f>VLOOKUP(B499,Tot_res!C:V,17,FALSE)</f>
        <v>4972.435888957094</v>
      </c>
      <c r="S499" s="179">
        <f>VLOOKUP(B499,Tot_res!C:V,18,FALSE)</f>
        <v>17438.085771616461</v>
      </c>
      <c r="T499" s="179">
        <f>VLOOKUP(B499,Tot_res!C:V,19,FALSE)</f>
        <v>1530.3652964093712</v>
      </c>
      <c r="U499" s="179">
        <f>VLOOKUP(B499,Tot_res!C:V,20,FALSE)</f>
        <v>303.17632776010822</v>
      </c>
      <c r="V499" s="122">
        <f t="shared" si="96"/>
        <v>312853.78000000003</v>
      </c>
    </row>
    <row r="500" spans="1:22" ht="13.15">
      <c r="A500" s="355"/>
      <c r="B500" s="102" t="s">
        <v>448</v>
      </c>
      <c r="C500" s="334" t="str">
        <f>VLOOKUP(B500,Tot_res!C:D,2,FALSE)</f>
        <v xml:space="preserve">Tráfico exterior </v>
      </c>
      <c r="D500" s="179">
        <f>VLOOKUP(B500,Tot_res!C:V,3,FALSE)</f>
        <v>217716.09983880623</v>
      </c>
      <c r="E500" s="179">
        <f>VLOOKUP(B500,Tot_res!C:V,4,FALSE)</f>
        <v>39179.519790269107</v>
      </c>
      <c r="F500" s="179">
        <f>VLOOKUP(B500,Tot_res!C:V,5,FALSE)</f>
        <v>31518.268557884101</v>
      </c>
      <c r="G500" s="179">
        <f>VLOOKUP(B500,Tot_res!C:V,6,FALSE)</f>
        <v>35594.820213580439</v>
      </c>
      <c r="H500" s="179">
        <f>VLOOKUP(B500,Tot_res!C:V,7,FALSE)</f>
        <v>4764.5033980986163</v>
      </c>
      <c r="I500" s="179">
        <f>VLOOKUP(B500,Tot_res!C:V,8,FALSE)</f>
        <v>17854.698296104882</v>
      </c>
      <c r="J500" s="179">
        <f>VLOOKUP(B500,Tot_res!C:V,9,FALSE)</f>
        <v>70665.286265798757</v>
      </c>
      <c r="K500" s="179">
        <f>VLOOKUP(B500,Tot_res!C:V,10,FALSE)</f>
        <v>53156.339742783341</v>
      </c>
      <c r="L500" s="179">
        <f>VLOOKUP(B500,Tot_res!C:V,11,FALSE)</f>
        <v>241878.37764304029</v>
      </c>
      <c r="M500" s="179">
        <f>VLOOKUP(B500,Tot_res!C:V,12,FALSE)</f>
        <v>138072.71916132225</v>
      </c>
      <c r="N500" s="179">
        <f>VLOOKUP(B500,Tot_res!C:V,13,FALSE)</f>
        <v>26892.67202191264</v>
      </c>
      <c r="O500" s="179">
        <f>VLOOKUP(B500,Tot_res!C:V,14,FALSE)</f>
        <v>76553.425472468123</v>
      </c>
      <c r="P500" s="179">
        <f>VLOOKUP(B500,Tot_res!C:V,15,FALSE)</f>
        <v>215669.29538406315</v>
      </c>
      <c r="Q500" s="179">
        <f>VLOOKUP(B500,Tot_res!C:V,16,FALSE)</f>
        <v>36302.000700730779</v>
      </c>
      <c r="R500" s="179">
        <f>VLOOKUP(B500,Tot_res!C:V,17,FALSE)</f>
        <v>19699.157598639809</v>
      </c>
      <c r="S500" s="179">
        <f>VLOOKUP(B500,Tot_res!C:V,18,FALSE)</f>
        <v>75529.929526862092</v>
      </c>
      <c r="T500" s="179">
        <f>VLOOKUP(B500,Tot_res!C:V,19,FALSE)</f>
        <v>9211.8993319968158</v>
      </c>
      <c r="U500" s="179">
        <f>VLOOKUP(B500,Tot_res!C:V,20,FALSE)</f>
        <v>344.98705563804867</v>
      </c>
      <c r="V500" s="122">
        <f t="shared" si="96"/>
        <v>1310603.9999999998</v>
      </c>
    </row>
    <row r="501" spans="1:22" ht="13.15">
      <c r="A501" s="355"/>
      <c r="B501" s="102" t="s">
        <v>449</v>
      </c>
      <c r="C501" s="334" t="str">
        <f>VLOOKUP(B501,Tot_res!C:D,2,FALSE)</f>
        <v>Impuesto sobre las primas de seguros</v>
      </c>
      <c r="D501" s="179">
        <f>VLOOKUP(B501,Tot_res!C:V,3,FALSE)</f>
        <v>230469.44989410945</v>
      </c>
      <c r="E501" s="179">
        <f>VLOOKUP(B501,Tot_res!C:V,4,FALSE)</f>
        <v>40533.593268794553</v>
      </c>
      <c r="F501" s="179">
        <f>VLOOKUP(B501,Tot_res!C:V,5,FALSE)</f>
        <v>33536.567688769719</v>
      </c>
      <c r="G501" s="179">
        <f>VLOOKUP(B501,Tot_res!C:V,6,FALSE)</f>
        <v>36204.017552022531</v>
      </c>
      <c r="H501" s="179">
        <f>VLOOKUP(B501,Tot_res!C:V,7,FALSE)</f>
        <v>55321.739602853573</v>
      </c>
      <c r="I501" s="179">
        <f>VLOOKUP(B501,Tot_res!C:V,8,FALSE)</f>
        <v>19678.303284382921</v>
      </c>
      <c r="J501" s="179">
        <f>VLOOKUP(B501,Tot_res!C:V,9,FALSE)</f>
        <v>72921.114242505893</v>
      </c>
      <c r="K501" s="179">
        <f>VLOOKUP(B501,Tot_res!C:V,10,FALSE)</f>
        <v>56881.490697865142</v>
      </c>
      <c r="L501" s="179">
        <f>VLOOKUP(B501,Tot_res!C:V,11,FALSE)</f>
        <v>233028.73104055243</v>
      </c>
      <c r="M501" s="179">
        <f>VLOOKUP(B501,Tot_res!C:V,12,FALSE)</f>
        <v>149209.23336877357</v>
      </c>
      <c r="N501" s="179">
        <f>VLOOKUP(B501,Tot_res!C:V,13,FALSE)</f>
        <v>30101.791290806301</v>
      </c>
      <c r="O501" s="179">
        <f>VLOOKUP(B501,Tot_res!C:V,14,FALSE)</f>
        <v>84478.176699101707</v>
      </c>
      <c r="P501" s="179">
        <f>VLOOKUP(B501,Tot_res!C:V,15,FALSE)</f>
        <v>224800.44549125509</v>
      </c>
      <c r="Q501" s="179">
        <f>VLOOKUP(B501,Tot_res!C:V,16,FALSE)</f>
        <v>42477.426125426253</v>
      </c>
      <c r="R501" s="179">
        <f>VLOOKUP(B501,Tot_res!C:V,17,FALSE)</f>
        <v>19956.855211045775</v>
      </c>
      <c r="S501" s="179">
        <f>VLOOKUP(B501,Tot_res!C:V,18,FALSE)</f>
        <v>74377.645120732835</v>
      </c>
      <c r="T501" s="179">
        <f>VLOOKUP(B501,Tot_res!C:V,19,FALSE)</f>
        <v>9469.6912966348318</v>
      </c>
      <c r="U501" s="179">
        <f>VLOOKUP(B501,Tot_res!C:V,20,FALSE)</f>
        <v>4165.7281243672314</v>
      </c>
      <c r="V501" s="122">
        <f t="shared" si="96"/>
        <v>1417611.9999999998</v>
      </c>
    </row>
    <row r="502" spans="1:22" ht="13.15">
      <c r="A502" s="355"/>
      <c r="B502" s="102" t="s">
        <v>451</v>
      </c>
      <c r="C502" s="334" t="str">
        <f>VLOOKUP(B502,Tot_res!C:D,2,FALSE)</f>
        <v>Transmisiones patrim. y actos jurídicos documentados, ing. homog.</v>
      </c>
      <c r="D502" s="179">
        <f>VLOOKUP(B502,Tot_res!C:V,3,FALSE)</f>
        <v>810299.74372841907</v>
      </c>
      <c r="E502" s="179">
        <f>VLOOKUP(B502,Tot_res!C:V,4,FALSE)</f>
        <v>146741.51667035586</v>
      </c>
      <c r="F502" s="179">
        <f>VLOOKUP(B502,Tot_res!C:V,5,FALSE)</f>
        <v>104605.78394947216</v>
      </c>
      <c r="G502" s="179">
        <f>VLOOKUP(B502,Tot_res!C:V,6,FALSE)</f>
        <v>135377.735118251</v>
      </c>
      <c r="H502" s="179">
        <f>VLOOKUP(B502,Tot_res!C:V,7,FALSE)</f>
        <v>200920.22663270475</v>
      </c>
      <c r="I502" s="179">
        <f>VLOOKUP(B502,Tot_res!C:V,8,FALSE)</f>
        <v>59720.816553272198</v>
      </c>
      <c r="J502" s="179">
        <f>VLOOKUP(B502,Tot_res!C:V,9,FALSE)</f>
        <v>257681.76678491978</v>
      </c>
      <c r="K502" s="179">
        <f>VLOOKUP(B502,Tot_res!C:V,10,FALSE)</f>
        <v>190168.23972574138</v>
      </c>
      <c r="L502" s="179">
        <f>VLOOKUP(B502,Tot_res!C:V,11,FALSE)</f>
        <v>896193.92966280621</v>
      </c>
      <c r="M502" s="179">
        <f>VLOOKUP(B502,Tot_res!C:V,12,FALSE)</f>
        <v>506384.09457629145</v>
      </c>
      <c r="N502" s="179">
        <f>VLOOKUP(B502,Tot_res!C:V,13,FALSE)</f>
        <v>92389.484559819917</v>
      </c>
      <c r="O502" s="179">
        <f>VLOOKUP(B502,Tot_res!C:V,14,FALSE)</f>
        <v>248850.3752403165</v>
      </c>
      <c r="P502" s="179">
        <f>VLOOKUP(B502,Tot_res!C:V,15,FALSE)</f>
        <v>931937.38445296045</v>
      </c>
      <c r="Q502" s="179">
        <f>VLOOKUP(B502,Tot_res!C:V,16,FALSE)</f>
        <v>129086.6533862596</v>
      </c>
      <c r="R502" s="179">
        <f>VLOOKUP(B502,Tot_res!C:V,17,FALSE)</f>
        <v>75308.589861617467</v>
      </c>
      <c r="S502" s="179">
        <f>VLOOKUP(B502,Tot_res!C:V,18,FALSE)</f>
        <v>306260.65194085002</v>
      </c>
      <c r="T502" s="179">
        <f>VLOOKUP(B502,Tot_res!C:V,19,FALSE)</f>
        <v>34083.226318259229</v>
      </c>
      <c r="U502" s="179">
        <f>VLOOKUP(B502,Tot_res!C:V,20,FALSE)</f>
        <v>15650.367992894064</v>
      </c>
      <c r="V502" s="122">
        <f t="shared" si="96"/>
        <v>5141660.5871552099</v>
      </c>
    </row>
    <row r="503" spans="1:22" ht="13.15">
      <c r="A503" s="355"/>
      <c r="B503" s="102" t="s">
        <v>452</v>
      </c>
      <c r="C503" s="334" t="str">
        <f>VLOOKUP(B503,Tot_res!C:D,2,FALSE)</f>
        <v>Venta Minorista de Hidrocarburos, ingr. Homog.</v>
      </c>
      <c r="D503" s="179">
        <f>VLOOKUP(B503,Tot_res!C:V,3,FALSE)</f>
        <v>35618.061732926188</v>
      </c>
      <c r="E503" s="179">
        <f>VLOOKUP(B503,Tot_res!C:V,4,FALSE)</f>
        <v>5522.8906422778073</v>
      </c>
      <c r="F503" s="179">
        <f>VLOOKUP(B503,Tot_res!C:V,5,FALSE)</f>
        <v>4584.9392112184887</v>
      </c>
      <c r="G503" s="179">
        <f>VLOOKUP(B503,Tot_res!C:V,6,FALSE)</f>
        <v>5279.2930571355246</v>
      </c>
      <c r="H503" s="179">
        <f>VLOOKUP(B503,Tot_res!C:V,7,FALSE)</f>
        <v>2027.9182861496249</v>
      </c>
      <c r="I503" s="179">
        <f>VLOOKUP(B503,Tot_res!C:V,8,FALSE)</f>
        <v>2960.5370456710298</v>
      </c>
      <c r="J503" s="179">
        <f>VLOOKUP(B503,Tot_res!C:V,9,FALSE)</f>
        <v>10781.956333417857</v>
      </c>
      <c r="K503" s="179">
        <f>VLOOKUP(B503,Tot_res!C:V,10,FALSE)</f>
        <v>9064.8013948426069</v>
      </c>
      <c r="L503" s="179">
        <f>VLOOKUP(B503,Tot_res!C:V,11,FALSE)</f>
        <v>33667.562378082708</v>
      </c>
      <c r="M503" s="179">
        <f>VLOOKUP(B503,Tot_res!C:V,12,FALSE)</f>
        <v>20736.766658421435</v>
      </c>
      <c r="N503" s="179">
        <f>VLOOKUP(B503,Tot_res!C:V,13,FALSE)</f>
        <v>4568.8128843776676</v>
      </c>
      <c r="O503" s="179">
        <f>VLOOKUP(B503,Tot_res!C:V,14,FALSE)</f>
        <v>12145.602812255873</v>
      </c>
      <c r="P503" s="179">
        <f>VLOOKUP(B503,Tot_res!C:V,15,FALSE)</f>
        <v>30498.307073215492</v>
      </c>
      <c r="Q503" s="179">
        <f>VLOOKUP(B503,Tot_res!C:V,16,FALSE)</f>
        <v>6404.6407063711658</v>
      </c>
      <c r="R503" s="179">
        <f>VLOOKUP(B503,Tot_res!C:V,17,FALSE)</f>
        <v>2869.8199157007207</v>
      </c>
      <c r="S503" s="179">
        <f>VLOOKUP(B503,Tot_res!C:V,18,FALSE)</f>
        <v>9143.1183474099398</v>
      </c>
      <c r="T503" s="179">
        <f>VLOOKUP(B503,Tot_res!C:V,19,FALSE)</f>
        <v>1276.0413234024877</v>
      </c>
      <c r="U503" s="179">
        <f>VLOOKUP(B503,Tot_res!C:V,20,FALSE)</f>
        <v>470.00828712344236</v>
      </c>
      <c r="V503" s="122">
        <f t="shared" si="96"/>
        <v>197621.07809000005</v>
      </c>
    </row>
    <row r="504" spans="1:22" ht="13.15">
      <c r="A504" s="355"/>
      <c r="B504" s="102" t="s">
        <v>453</v>
      </c>
      <c r="C504" s="334" t="str">
        <f>VLOOKUP(B504,Tot_res!C:D,2,FALSE)</f>
        <v>Tasas sobre el juego, ingresos homogeneizados</v>
      </c>
      <c r="D504" s="179">
        <f>VLOOKUP(B504,Tot_res!C:V,3,FALSE)</f>
        <v>155247.23701912822</v>
      </c>
      <c r="E504" s="179">
        <f>VLOOKUP(B504,Tot_res!C:V,4,FALSE)</f>
        <v>30212.076213095825</v>
      </c>
      <c r="F504" s="179">
        <f>VLOOKUP(B504,Tot_res!C:V,5,FALSE)</f>
        <v>22020.520748542473</v>
      </c>
      <c r="G504" s="179">
        <f>VLOOKUP(B504,Tot_res!C:V,6,FALSE)</f>
        <v>31739.105418209616</v>
      </c>
      <c r="H504" s="179">
        <f>VLOOKUP(B504,Tot_res!C:V,7,FALSE)</f>
        <v>35931.748403043821</v>
      </c>
      <c r="I504" s="179">
        <f>VLOOKUP(B504,Tot_res!C:V,8,FALSE)</f>
        <v>13795.548345740899</v>
      </c>
      <c r="J504" s="179">
        <f>VLOOKUP(B504,Tot_res!C:V,9,FALSE)</f>
        <v>61433.521326274815</v>
      </c>
      <c r="K504" s="179">
        <f>VLOOKUP(B504,Tot_res!C:V,10,FALSE)</f>
        <v>44082.279768777749</v>
      </c>
      <c r="L504" s="179">
        <f>VLOOKUP(B504,Tot_res!C:V,11,FALSE)</f>
        <v>147792.58971874628</v>
      </c>
      <c r="M504" s="179">
        <f>VLOOKUP(B504,Tot_res!C:V,12,FALSE)</f>
        <v>139800.28586107091</v>
      </c>
      <c r="N504" s="179">
        <f>VLOOKUP(B504,Tot_res!C:V,13,FALSE)</f>
        <v>19116.817660254274</v>
      </c>
      <c r="O504" s="179">
        <f>VLOOKUP(B504,Tot_res!C:V,14,FALSE)</f>
        <v>51241.837797608496</v>
      </c>
      <c r="P504" s="179">
        <f>VLOOKUP(B504,Tot_res!C:V,15,FALSE)</f>
        <v>254135.49015053085</v>
      </c>
      <c r="Q504" s="179">
        <f>VLOOKUP(B504,Tot_res!C:V,16,FALSE)</f>
        <v>23336.533380918387</v>
      </c>
      <c r="R504" s="179">
        <f>VLOOKUP(B504,Tot_res!C:V,17,FALSE)</f>
        <v>11349.299374996583</v>
      </c>
      <c r="S504" s="179">
        <f>VLOOKUP(B504,Tot_res!C:V,18,FALSE)</f>
        <v>33287.545506252529</v>
      </c>
      <c r="T504" s="179">
        <f>VLOOKUP(B504,Tot_res!C:V,19,FALSE)</f>
        <v>5253.2015296426898</v>
      </c>
      <c r="U504" s="179">
        <f>VLOOKUP(B504,Tot_res!C:V,20,FALSE)</f>
        <v>2103.0909035772106</v>
      </c>
      <c r="V504" s="122">
        <f t="shared" si="96"/>
        <v>1081878.7291264117</v>
      </c>
    </row>
    <row r="505" spans="1:22" ht="13.15">
      <c r="A505" s="355"/>
      <c r="B505" s="102" t="s">
        <v>454</v>
      </c>
      <c r="C505" s="334" t="str">
        <f>VLOOKUP(B505,Tot_res!C:D,2,FALSE)</f>
        <v>REF Canarias (bruto de comp IGTE e incl. Parte ccll), rec. Homog.</v>
      </c>
      <c r="D505" s="179">
        <f>VLOOKUP(B505,Tot_res!C:V,3,FALSE)</f>
        <v>178285.46620594242</v>
      </c>
      <c r="E505" s="179">
        <f>VLOOKUP(B505,Tot_res!C:V,4,FALSE)</f>
        <v>28996.825275058058</v>
      </c>
      <c r="F505" s="179">
        <f>VLOOKUP(B505,Tot_res!C:V,5,FALSE)</f>
        <v>27661.434347042374</v>
      </c>
      <c r="G505" s="179">
        <f>VLOOKUP(B505,Tot_res!C:V,6,FALSE)</f>
        <v>23922.434289469009</v>
      </c>
      <c r="H505" s="179">
        <f>VLOOKUP(B505,Tot_res!C:V,7,FALSE)</f>
        <v>2909822.9111958188</v>
      </c>
      <c r="I505" s="179">
        <f>VLOOKUP(B505,Tot_res!C:V,8,FALSE)</f>
        <v>14307.417783209248</v>
      </c>
      <c r="J505" s="179">
        <f>VLOOKUP(B505,Tot_res!C:V,9,FALSE)</f>
        <v>56150.027720480342</v>
      </c>
      <c r="K505" s="179">
        <f>VLOOKUP(B505,Tot_res!C:V,10,FALSE)</f>
        <v>44415.45801135974</v>
      </c>
      <c r="L505" s="179">
        <f>VLOOKUP(B505,Tot_res!C:V,11,FALSE)</f>
        <v>163755.67979867064</v>
      </c>
      <c r="M505" s="179">
        <f>VLOOKUP(B505,Tot_res!C:V,12,FALSE)</f>
        <v>108168.01565421307</v>
      </c>
      <c r="N505" s="179">
        <f>VLOOKUP(B505,Tot_res!C:V,13,FALSE)</f>
        <v>23060.495720405306</v>
      </c>
      <c r="O505" s="179">
        <f>VLOOKUP(B505,Tot_res!C:V,14,FALSE)</f>
        <v>65361.426148120314</v>
      </c>
      <c r="P505" s="179">
        <f>VLOOKUP(B505,Tot_res!C:V,15,FALSE)</f>
        <v>151615.33232868713</v>
      </c>
      <c r="Q505" s="179">
        <f>VLOOKUP(B505,Tot_res!C:V,16,FALSE)</f>
        <v>30908.720725166513</v>
      </c>
      <c r="R505" s="179">
        <f>VLOOKUP(B505,Tot_res!C:V,17,FALSE)</f>
        <v>15042.25302610725</v>
      </c>
      <c r="S505" s="179">
        <f>VLOOKUP(B505,Tot_res!C:V,18,FALSE)</f>
        <v>56715.249732104079</v>
      </c>
      <c r="T505" s="179">
        <f>VLOOKUP(B505,Tot_res!C:V,19,FALSE)</f>
        <v>6889.6087203483312</v>
      </c>
      <c r="U505" s="179">
        <f>VLOOKUP(B505,Tot_res!C:V,20,FALSE)</f>
        <v>3619.1649783743401</v>
      </c>
      <c r="V505" s="122">
        <f t="shared" si="96"/>
        <v>3908697.9216605769</v>
      </c>
    </row>
    <row r="506" spans="1:22" ht="13.15">
      <c r="A506" s="355"/>
      <c r="B506" s="102" t="s">
        <v>456</v>
      </c>
      <c r="C506" s="334" t="str">
        <f>VLOOKUP(B506,Tot_res!C:D,2,FALSE)</f>
        <v>IPSI, Ceuta y Melilla</v>
      </c>
      <c r="D506" s="179">
        <f>VLOOKUP(B506,Tot_res!C:V,3,FALSE)</f>
        <v>0</v>
      </c>
      <c r="E506" s="179">
        <f>VLOOKUP(B506,Tot_res!C:V,4,FALSE)</f>
        <v>0</v>
      </c>
      <c r="F506" s="179">
        <f>VLOOKUP(B506,Tot_res!C:V,5,FALSE)</f>
        <v>0</v>
      </c>
      <c r="G506" s="179">
        <f>VLOOKUP(B506,Tot_res!C:V,6,FALSE)</f>
        <v>0</v>
      </c>
      <c r="H506" s="179">
        <f>VLOOKUP(B506,Tot_res!C:V,7,FALSE)</f>
        <v>0</v>
      </c>
      <c r="I506" s="179">
        <f>VLOOKUP(B506,Tot_res!C:V,8,FALSE)</f>
        <v>0</v>
      </c>
      <c r="J506" s="179">
        <f>VLOOKUP(B506,Tot_res!C:V,9,FALSE)</f>
        <v>0</v>
      </c>
      <c r="K506" s="179">
        <f>VLOOKUP(B506,Tot_res!C:V,10,FALSE)</f>
        <v>0</v>
      </c>
      <c r="L506" s="179">
        <f>VLOOKUP(B506,Tot_res!C:V,11,FALSE)</f>
        <v>0</v>
      </c>
      <c r="M506" s="179">
        <f>VLOOKUP(B506,Tot_res!C:V,12,FALSE)</f>
        <v>0</v>
      </c>
      <c r="N506" s="179">
        <f>VLOOKUP(B506,Tot_res!C:V,13,FALSE)</f>
        <v>0</v>
      </c>
      <c r="O506" s="179">
        <f>VLOOKUP(B506,Tot_res!C:V,14,FALSE)</f>
        <v>0</v>
      </c>
      <c r="P506" s="179">
        <f>VLOOKUP(B506,Tot_res!C:V,15,FALSE)</f>
        <v>0</v>
      </c>
      <c r="Q506" s="179">
        <f>VLOOKUP(B506,Tot_res!C:V,16,FALSE)</f>
        <v>0</v>
      </c>
      <c r="R506" s="179">
        <f>VLOOKUP(B506,Tot_res!C:V,17,FALSE)</f>
        <v>0</v>
      </c>
      <c r="S506" s="179">
        <f>VLOOKUP(B506,Tot_res!C:V,18,FALSE)</f>
        <v>0</v>
      </c>
      <c r="T506" s="179">
        <f>VLOOKUP(B506,Tot_res!C:V,19,FALSE)</f>
        <v>0</v>
      </c>
      <c r="U506" s="179">
        <f>VLOOKUP(B506,Tot_res!C:V,20,FALSE)</f>
        <v>211655.60170288454</v>
      </c>
      <c r="V506" s="122">
        <f t="shared" si="96"/>
        <v>211655.60170288454</v>
      </c>
    </row>
    <row r="507" spans="1:22" ht="13.15">
      <c r="A507" s="356"/>
      <c r="C507" s="115"/>
      <c r="D507" s="105"/>
      <c r="E507" s="105"/>
      <c r="F507" s="105"/>
      <c r="G507" s="105"/>
      <c r="H507" s="105"/>
      <c r="I507" s="105"/>
      <c r="J507" s="105"/>
      <c r="K507" s="105"/>
      <c r="L507" s="105"/>
      <c r="M507" s="105"/>
      <c r="N507" s="105"/>
      <c r="O507" s="105"/>
      <c r="P507" s="105"/>
      <c r="Q507" s="105"/>
      <c r="R507" s="105"/>
      <c r="S507" s="105"/>
      <c r="T507" s="105"/>
      <c r="U507" s="105"/>
      <c r="V507" s="122"/>
    </row>
    <row r="508" spans="1:22" ht="13.15">
      <c r="A508" s="356"/>
      <c r="C508" s="112" t="s">
        <v>435</v>
      </c>
      <c r="D508" s="114">
        <f t="shared" ref="D508:V508" si="97">SUM(D509:D520)</f>
        <v>635206.93965642061</v>
      </c>
      <c r="E508" s="114">
        <f t="shared" si="97"/>
        <v>100089.25840266599</v>
      </c>
      <c r="F508" s="114">
        <f t="shared" si="97"/>
        <v>171434.60034101256</v>
      </c>
      <c r="G508" s="114">
        <f t="shared" si="97"/>
        <v>160882.74467267774</v>
      </c>
      <c r="H508" s="114">
        <f t="shared" si="97"/>
        <v>-1653591.547347219</v>
      </c>
      <c r="I508" s="114">
        <f t="shared" si="97"/>
        <v>72440.038134981267</v>
      </c>
      <c r="J508" s="114">
        <f t="shared" si="97"/>
        <v>121204.80642647359</v>
      </c>
      <c r="K508" s="114">
        <f t="shared" si="97"/>
        <v>-126122.04563908096</v>
      </c>
      <c r="L508" s="114">
        <f t="shared" si="97"/>
        <v>1246879.7698786634</v>
      </c>
      <c r="M508" s="114">
        <f t="shared" si="97"/>
        <v>348338.03814870538</v>
      </c>
      <c r="N508" s="114">
        <f t="shared" si="97"/>
        <v>218780.40777293424</v>
      </c>
      <c r="O508" s="114">
        <f t="shared" si="97"/>
        <v>110622.4715131469</v>
      </c>
      <c r="P508" s="114">
        <f t="shared" si="97"/>
        <v>-271359.57651241933</v>
      </c>
      <c r="Q508" s="114">
        <f t="shared" si="97"/>
        <v>112786.00832529475</v>
      </c>
      <c r="R508" s="114">
        <f t="shared" si="97"/>
        <v>-274219.94476374693</v>
      </c>
      <c r="S508" s="114">
        <f t="shared" si="97"/>
        <v>-825885.39018581854</v>
      </c>
      <c r="T508" s="114">
        <f t="shared" si="97"/>
        <v>16164.861342432901</v>
      </c>
      <c r="U508" s="114">
        <f t="shared" si="97"/>
        <v>-71797.144153376648</v>
      </c>
      <c r="V508" s="126">
        <f t="shared" si="97"/>
        <v>91854.296013748273</v>
      </c>
    </row>
    <row r="509" spans="1:22" ht="13.15">
      <c r="A509" s="355"/>
      <c r="B509" s="102" t="s">
        <v>458</v>
      </c>
      <c r="C509" s="334" t="str">
        <f>VLOOKUP(B509,Tot_res!C:D,2,FALSE)</f>
        <v>IRPF, sobreesfuerzo fiscal</v>
      </c>
      <c r="D509" s="179">
        <f>VLOOKUP(B509,Tot_res!C:V,3,FALSE)</f>
        <v>12923.201392272022</v>
      </c>
      <c r="E509" s="179">
        <f>VLOOKUP(B509,Tot_res!C:V,4,FALSE)</f>
        <v>-718.93612416088581</v>
      </c>
      <c r="F509" s="179">
        <f>VLOOKUP(B509,Tot_res!C:V,5,FALSE)</f>
        <v>-631.70638206286822</v>
      </c>
      <c r="G509" s="179">
        <f>VLOOKUP(B509,Tot_res!C:V,6,FALSE)</f>
        <v>-4813.2682226956822</v>
      </c>
      <c r="H509" s="179">
        <f>VLOOKUP(B509,Tot_res!C:V,7,FALSE)</f>
        <v>-30414.979802998714</v>
      </c>
      <c r="I509" s="179">
        <f>VLOOKUP(B509,Tot_res!C:V,8,FALSE)</f>
        <v>-716.89158700156258</v>
      </c>
      <c r="J509" s="179">
        <f>VLOOKUP(B509,Tot_res!C:V,9,FALSE)</f>
        <v>-33642.923618578818</v>
      </c>
      <c r="K509" s="179">
        <f>VLOOKUP(B509,Tot_res!C:V,10,FALSE)</f>
        <v>-8176.3877927660942</v>
      </c>
      <c r="L509" s="179">
        <f>VLOOKUP(B509,Tot_res!C:V,11,FALSE)</f>
        <v>-10394.974975187331</v>
      </c>
      <c r="M509" s="179">
        <f>VLOOKUP(B509,Tot_res!C:V,12,FALSE)</f>
        <v>-29895.629209687002</v>
      </c>
      <c r="N509" s="179">
        <f>VLOOKUP(B509,Tot_res!C:V,13,FALSE)</f>
        <v>-2646.0069587424514</v>
      </c>
      <c r="O509" s="179">
        <f>VLOOKUP(B509,Tot_res!C:V,14,FALSE)</f>
        <v>-14426.64090476511</v>
      </c>
      <c r="P509" s="179">
        <f>VLOOKUP(B509,Tot_res!C:V,15,FALSE)</f>
        <v>-236729.65713034663</v>
      </c>
      <c r="Q509" s="179">
        <f>VLOOKUP(B509,Tot_res!C:V,16,FALSE)</f>
        <v>-1043.6239823062206</v>
      </c>
      <c r="R509" s="179">
        <f>VLOOKUP(B509,Tot_res!C:V,17,FALSE)</f>
        <v>-291321.88895588898</v>
      </c>
      <c r="S509" s="179">
        <f>VLOOKUP(B509,Tot_res!C:V,18,FALSE)</f>
        <v>-819522.46406282345</v>
      </c>
      <c r="T509" s="179">
        <f>VLOOKUP(B509,Tot_res!C:V,19,FALSE)</f>
        <v>-5894.6107643105206</v>
      </c>
      <c r="U509" s="179">
        <f>VLOOKUP(B509,Tot_res!C:V,20,FALSE)</f>
        <v>-15023.886185573676</v>
      </c>
      <c r="V509" s="122">
        <f t="shared" ref="V509:V520" si="98">SUM(D509:U509)</f>
        <v>-1493091.2752676238</v>
      </c>
    </row>
    <row r="510" spans="1:22" ht="13.15">
      <c r="A510" s="355"/>
      <c r="B510" s="102" t="s">
        <v>460</v>
      </c>
      <c r="C510" s="334" t="str">
        <f>VLOOKUP(B510,Tot_res!C:D,2,FALSE)</f>
        <v>Sociedades, sobreesfuerzo fiscal</v>
      </c>
      <c r="D510" s="179">
        <f>VLOOKUP(B510,Tot_res!C:V,3,FALSE)</f>
        <v>-13744.313733292995</v>
      </c>
      <c r="E510" s="179">
        <f>VLOOKUP(B510,Tot_res!C:V,4,FALSE)</f>
        <v>-2876.3909805575354</v>
      </c>
      <c r="F510" s="179">
        <f>VLOOKUP(B510,Tot_res!C:V,5,FALSE)</f>
        <v>-2043.4806397378929</v>
      </c>
      <c r="G510" s="179">
        <f>VLOOKUP(B510,Tot_res!C:V,6,FALSE)</f>
        <v>-2151.2669740111551</v>
      </c>
      <c r="H510" s="179">
        <f>VLOOKUP(B510,Tot_res!C:V,7,FALSE)</f>
        <v>-3583.2925885301561</v>
      </c>
      <c r="I510" s="179">
        <f>VLOOKUP(B510,Tot_res!C:V,8,FALSE)</f>
        <v>-1238.2334419670651</v>
      </c>
      <c r="J510" s="179">
        <f>VLOOKUP(B510,Tot_res!C:V,9,FALSE)</f>
        <v>-4979.1489783399347</v>
      </c>
      <c r="K510" s="179">
        <f>VLOOKUP(B510,Tot_res!C:V,10,FALSE)</f>
        <v>-3408.6527261346214</v>
      </c>
      <c r="L510" s="179">
        <f>VLOOKUP(B510,Tot_res!C:V,11,FALSE)</f>
        <v>-15589.300094549621</v>
      </c>
      <c r="M510" s="179">
        <f>VLOOKUP(B510,Tot_res!C:V,12,FALSE)</f>
        <v>-8842.4731483610558</v>
      </c>
      <c r="N510" s="179">
        <f>VLOOKUP(B510,Tot_res!C:V,13,FALSE)</f>
        <v>-1851.6549656127297</v>
      </c>
      <c r="O510" s="179">
        <f>VLOOKUP(B510,Tot_res!C:V,14,FALSE)</f>
        <v>-5158.7968519553124</v>
      </c>
      <c r="P510" s="179">
        <f>VLOOKUP(B510,Tot_res!C:V,15,FALSE)</f>
        <v>-16150.316665007147</v>
      </c>
      <c r="Q510" s="179">
        <f>VLOOKUP(B510,Tot_res!C:V,16,FALSE)</f>
        <v>-2455.546493900019</v>
      </c>
      <c r="R510" s="179">
        <f>VLOOKUP(B510,Tot_res!C:V,17,FALSE)</f>
        <v>-79713.547443915144</v>
      </c>
      <c r="S510" s="179">
        <f>VLOOKUP(B510,Tot_res!C:V,18,FALSE)</f>
        <v>-15549.930054466939</v>
      </c>
      <c r="T510" s="179">
        <f>VLOOKUP(B510,Tot_res!C:V,19,FALSE)</f>
        <v>-647.32164529932561</v>
      </c>
      <c r="U510" s="179">
        <f>VLOOKUP(B510,Tot_res!C:V,20,FALSE)</f>
        <v>-453.30842854103764</v>
      </c>
      <c r="V510" s="122">
        <f t="shared" si="98"/>
        <v>-180436.97585417968</v>
      </c>
    </row>
    <row r="511" spans="1:22" ht="13.15">
      <c r="A511" s="355"/>
      <c r="B511" s="102" t="s">
        <v>461</v>
      </c>
      <c r="C511" s="334" t="str">
        <f>VLOOKUP(B511,Tot_res!C:D,2,FALSE)</f>
        <v>Sucesiones y donaciones, sobreesfuerzo fiscal</v>
      </c>
      <c r="D511" s="179">
        <f>VLOOKUP(B511,Tot_res!C:V,3,FALSE)</f>
        <v>102232.22360286076</v>
      </c>
      <c r="E511" s="179">
        <f>VLOOKUP(B511,Tot_res!C:V,4,FALSE)</f>
        <v>29581.385178693847</v>
      </c>
      <c r="F511" s="179">
        <f>VLOOKUP(B511,Tot_res!C:V,5,FALSE)</f>
        <v>46974.135801304699</v>
      </c>
      <c r="G511" s="179">
        <f>VLOOKUP(B511,Tot_res!C:V,6,FALSE)</f>
        <v>21800.824491308776</v>
      </c>
      <c r="H511" s="179">
        <f>VLOOKUP(B511,Tot_res!C:V,7,FALSE)</f>
        <v>-416.70775552136911</v>
      </c>
      <c r="I511" s="179">
        <f>VLOOKUP(B511,Tot_res!C:V,8,FALSE)</f>
        <v>32950.422862816624</v>
      </c>
      <c r="J511" s="179">
        <f>VLOOKUP(B511,Tot_res!C:V,9,FALSE)</f>
        <v>-24583.851079553569</v>
      </c>
      <c r="K511" s="179">
        <f>VLOOKUP(B511,Tot_res!C:V,10,FALSE)</f>
        <v>-4820.2879328667623</v>
      </c>
      <c r="L511" s="179">
        <f>VLOOKUP(B511,Tot_res!C:V,11,FALSE)</f>
        <v>-131520.95880526456</v>
      </c>
      <c r="M511" s="179">
        <f>VLOOKUP(B511,Tot_res!C:V,12,FALSE)</f>
        <v>-81444.688316916901</v>
      </c>
      <c r="N511" s="179">
        <f>VLOOKUP(B511,Tot_res!C:V,13,FALSE)</f>
        <v>16484.937160661822</v>
      </c>
      <c r="O511" s="179">
        <f>VLOOKUP(B511,Tot_res!C:V,14,FALSE)</f>
        <v>-20298.569847526116</v>
      </c>
      <c r="P511" s="179">
        <f>VLOOKUP(B511,Tot_res!C:V,15,FALSE)</f>
        <v>14682.867966489051</v>
      </c>
      <c r="Q511" s="179">
        <f>VLOOKUP(B511,Tot_res!C:V,16,FALSE)</f>
        <v>1092.9353547756982</v>
      </c>
      <c r="R511" s="179">
        <f>VLOOKUP(B511,Tot_res!C:V,17,FALSE)</f>
        <v>48247.146223665717</v>
      </c>
      <c r="S511" s="179">
        <f>VLOOKUP(B511,Tot_res!C:V,18,FALSE)</f>
        <v>-77879.913420222147</v>
      </c>
      <c r="T511" s="179">
        <f>VLOOKUP(B511,Tot_res!C:V,19,FALSE)</f>
        <v>-2714.6686812621956</v>
      </c>
      <c r="U511" s="179">
        <f>VLOOKUP(B511,Tot_res!C:V,20,FALSE)</f>
        <v>-4815.1651078980367</v>
      </c>
      <c r="V511" s="122">
        <f t="shared" si="98"/>
        <v>-34447.932304454625</v>
      </c>
    </row>
    <row r="512" spans="1:22" ht="13.15">
      <c r="A512" s="355"/>
      <c r="B512" s="102" t="s">
        <v>664</v>
      </c>
      <c r="C512" s="334" t="str">
        <f>VLOOKUP(B512,Tot_res!C:D,2,FALSE)</f>
        <v>Patrimonio, sobreesfuerzo fiscal</v>
      </c>
      <c r="D512" s="179">
        <f>VLOOKUP(B512,Tot_res!C:V,3,FALSE)</f>
        <v>0</v>
      </c>
      <c r="E512" s="179">
        <f>VLOOKUP(B512,Tot_res!C:V,4,FALSE)</f>
        <v>0</v>
      </c>
      <c r="F512" s="179">
        <f>VLOOKUP(B512,Tot_res!C:V,5,FALSE)</f>
        <v>0</v>
      </c>
      <c r="G512" s="179">
        <f>VLOOKUP(B512,Tot_res!C:V,6,FALSE)</f>
        <v>0</v>
      </c>
      <c r="H512" s="179">
        <f>VLOOKUP(B512,Tot_res!C:V,7,FALSE)</f>
        <v>0</v>
      </c>
      <c r="I512" s="179">
        <f>VLOOKUP(B512,Tot_res!C:V,8,FALSE)</f>
        <v>0</v>
      </c>
      <c r="J512" s="179">
        <f>VLOOKUP(B512,Tot_res!C:V,9,FALSE)</f>
        <v>0</v>
      </c>
      <c r="K512" s="179">
        <f>VLOOKUP(B512,Tot_res!C:V,10,FALSE)</f>
        <v>0</v>
      </c>
      <c r="L512" s="179">
        <f>VLOOKUP(B512,Tot_res!C:V,11,FALSE)</f>
        <v>0</v>
      </c>
      <c r="M512" s="179">
        <f>VLOOKUP(B512,Tot_res!C:V,12,FALSE)</f>
        <v>0</v>
      </c>
      <c r="N512" s="179">
        <f>VLOOKUP(B512,Tot_res!C:V,13,FALSE)</f>
        <v>0</v>
      </c>
      <c r="O512" s="179">
        <f>VLOOKUP(B512,Tot_res!C:V,14,FALSE)</f>
        <v>0</v>
      </c>
      <c r="P512" s="179">
        <f>VLOOKUP(B512,Tot_res!C:V,15,FALSE)</f>
        <v>0</v>
      </c>
      <c r="Q512" s="179">
        <f>VLOOKUP(B512,Tot_res!C:V,16,FALSE)</f>
        <v>0</v>
      </c>
      <c r="R512" s="179">
        <f>VLOOKUP(B512,Tot_res!C:V,17,FALSE)</f>
        <v>0</v>
      </c>
      <c r="S512" s="179">
        <f>VLOOKUP(B512,Tot_res!C:V,18,FALSE)</f>
        <v>0</v>
      </c>
      <c r="T512" s="179">
        <f>VLOOKUP(B512,Tot_res!C:V,19,FALSE)</f>
        <v>0</v>
      </c>
      <c r="U512" s="179">
        <f>VLOOKUP(B512,Tot_res!C:V,20,FALSE)</f>
        <v>2840</v>
      </c>
      <c r="V512" s="122">
        <f t="shared" si="98"/>
        <v>2840</v>
      </c>
    </row>
    <row r="513" spans="1:22" ht="13.15">
      <c r="A513" s="355"/>
      <c r="B513" s="102" t="s">
        <v>1125</v>
      </c>
      <c r="C513" s="334" t="str">
        <f>VLOOKUP(B513,Tot_res!C:D,2,FALSE)</f>
        <v>IH, sobreesfuerzo fiscal</v>
      </c>
      <c r="D513" s="179">
        <f>VLOOKUP(B513,Tot_res!C:V,3,FALSE)</f>
        <v>198745.87480060052</v>
      </c>
      <c r="E513" s="179">
        <f>VLOOKUP(B513,Tot_res!C:V,4,FALSE)</f>
        <v>4193.1474691370822</v>
      </c>
      <c r="F513" s="179">
        <f>VLOOKUP(B513,Tot_res!C:V,5,FALSE)</f>
        <v>24373.51383338889</v>
      </c>
      <c r="G513" s="179">
        <f>VLOOKUP(B513,Tot_res!C:V,6,FALSE)</f>
        <v>32703.413922938729</v>
      </c>
      <c r="H513" s="179">
        <f>VLOOKUP(B513,Tot_res!C:V,7,FALSE)</f>
        <v>3049.7330409245537</v>
      </c>
      <c r="I513" s="179">
        <f>VLOOKUP(B513,Tot_res!C:V,8,FALSE)</f>
        <v>2129.0216266815141</v>
      </c>
      <c r="J513" s="179">
        <f>VLOOKUP(B513,Tot_res!C:V,9,FALSE)</f>
        <v>73589.953313236998</v>
      </c>
      <c r="K513" s="179">
        <f>VLOOKUP(B513,Tot_res!C:V,10,FALSE)</f>
        <v>68792.252745432241</v>
      </c>
      <c r="L513" s="179">
        <f>VLOOKUP(B513,Tot_res!C:V,11,FALSE)</f>
        <v>204904.47222669079</v>
      </c>
      <c r="M513" s="179">
        <f>VLOOKUP(B513,Tot_res!C:V,12,FALSE)</f>
        <v>126011.24751660769</v>
      </c>
      <c r="N513" s="179">
        <f>VLOOKUP(B513,Tot_res!C:V,13,FALSE)</f>
        <v>38700.71808414183</v>
      </c>
      <c r="O513" s="179">
        <f>VLOOKUP(B513,Tot_res!C:V,14,FALSE)</f>
        <v>30087.741957374274</v>
      </c>
      <c r="P513" s="179">
        <f>VLOOKUP(B513,Tot_res!C:V,15,FALSE)</f>
        <v>67401.600533777833</v>
      </c>
      <c r="Q513" s="179">
        <f>VLOOKUP(B513,Tot_res!C:V,16,FALSE)</f>
        <v>45839.170891731461</v>
      </c>
      <c r="R513" s="179">
        <f>VLOOKUP(B513,Tot_res!C:V,17,FALSE)</f>
        <v>11613.924038955563</v>
      </c>
      <c r="S513" s="179">
        <f>VLOOKUP(B513,Tot_res!C:V,18,FALSE)</f>
        <v>7773.9637723659644</v>
      </c>
      <c r="T513" s="179">
        <f>VLOOKUP(B513,Tot_res!C:V,19,FALSE)</f>
        <v>990.97479040985843</v>
      </c>
      <c r="U513" s="179">
        <f>VLOOKUP(B513,Tot_res!C:V,20,FALSE)</f>
        <v>402.47949560417464</v>
      </c>
      <c r="V513" s="122">
        <f t="shared" ref="V513" si="99">SUM(D513:U513)</f>
        <v>941303.20406000013</v>
      </c>
    </row>
    <row r="514" spans="1:22" ht="13.15">
      <c r="A514" s="355"/>
      <c r="B514" s="102" t="s">
        <v>463</v>
      </c>
      <c r="C514" s="334" t="str">
        <f>VLOOKUP(B514,Tot_res!C:D,2,FALSE)</f>
        <v>ITP y AJD, sobreesfuerzo fiscal</v>
      </c>
      <c r="D514" s="179">
        <f>VLOOKUP(B514,Tot_res!C:V,3,FALSE)</f>
        <v>41846.959471733979</v>
      </c>
      <c r="E514" s="179">
        <f>VLOOKUP(B514,Tot_res!C:V,4,FALSE)</f>
        <v>1755.4497692836148</v>
      </c>
      <c r="F514" s="179">
        <f>VLOOKUP(B514,Tot_res!C:V,5,FALSE)</f>
        <v>4228.3685051245347</v>
      </c>
      <c r="G514" s="179">
        <f>VLOOKUP(B514,Tot_res!C:V,6,FALSE)</f>
        <v>6752.0179842705948</v>
      </c>
      <c r="H514" s="179">
        <f>VLOOKUP(B514,Tot_res!C:V,7,FALSE)</f>
        <v>-2259.1212905765742</v>
      </c>
      <c r="I514" s="179">
        <f>VLOOKUP(B514,Tot_res!C:V,8,FALSE)</f>
        <v>2771.8225978078203</v>
      </c>
      <c r="J514" s="179">
        <f>VLOOKUP(B514,Tot_res!C:V,9,FALSE)</f>
        <v>12873.806880960143</v>
      </c>
      <c r="K514" s="179">
        <f>VLOOKUP(B514,Tot_res!C:V,10,FALSE)</f>
        <v>8861.8049229791031</v>
      </c>
      <c r="L514" s="179">
        <f>VLOOKUP(B514,Tot_res!C:V,11,FALSE)</f>
        <v>78494.394050003757</v>
      </c>
      <c r="M514" s="179">
        <f>VLOOKUP(B514,Tot_res!C:V,12,FALSE)</f>
        <v>29544.89749000817</v>
      </c>
      <c r="N514" s="179">
        <f>VLOOKUP(B514,Tot_res!C:V,13,FALSE)</f>
        <v>4046.0409924727746</v>
      </c>
      <c r="O514" s="179">
        <f>VLOOKUP(B514,Tot_res!C:V,14,FALSE)</f>
        <v>20365.119618257784</v>
      </c>
      <c r="P514" s="179">
        <f>VLOOKUP(B514,Tot_res!C:V,15,FALSE)</f>
        <v>11188.349795684408</v>
      </c>
      <c r="Q514" s="179">
        <f>VLOOKUP(B514,Tot_res!C:V,16,FALSE)</f>
        <v>3783.4254335186715</v>
      </c>
      <c r="R514" s="179">
        <f>VLOOKUP(B514,Tot_res!C:V,17,FALSE)</f>
        <v>-7943.2687633095147</v>
      </c>
      <c r="S514" s="179">
        <f>VLOOKUP(B514,Tot_res!C:V,18,FALSE)</f>
        <v>-55259.501610940271</v>
      </c>
      <c r="T514" s="179">
        <f>VLOOKUP(B514,Tot_res!C:V,19,FALSE)</f>
        <v>458.23673844546488</v>
      </c>
      <c r="U514" s="179">
        <f>VLOOKUP(B514,Tot_res!C:V,20,FALSE)</f>
        <v>10312.257374154595</v>
      </c>
      <c r="V514" s="122">
        <f t="shared" si="98"/>
        <v>171821.05995987909</v>
      </c>
    </row>
    <row r="515" spans="1:22" ht="13.15">
      <c r="A515" s="355"/>
      <c r="B515" s="102" t="s">
        <v>464</v>
      </c>
      <c r="C515" s="334" t="str">
        <f>VLOOKUP(B515,Tot_res!C:D,2,FALSE)</f>
        <v>IVMH, sobreesfuerzo fiscal</v>
      </c>
      <c r="D515" s="179">
        <f>VLOOKUP(B515,Tot_res!C:V,3,FALSE)</f>
        <v>54725.14461517943</v>
      </c>
      <c r="E515" s="179">
        <f>VLOOKUP(B515,Tot_res!C:V,4,FALSE)</f>
        <v>1143.3611549157843</v>
      </c>
      <c r="F515" s="179">
        <f>VLOOKUP(B515,Tot_res!C:V,5,FALSE)</f>
        <v>4307.3834305003056</v>
      </c>
      <c r="G515" s="179">
        <f>VLOOKUP(B515,Tot_res!C:V,6,FALSE)</f>
        <v>7428.9116371830769</v>
      </c>
      <c r="H515" s="179">
        <f>VLOOKUP(B515,Tot_res!C:V,7,FALSE)</f>
        <v>831.58207945734625</v>
      </c>
      <c r="I515" s="179">
        <f>VLOOKUP(B515,Tot_res!C:V,8,FALSE)</f>
        <v>4308.4736093183228</v>
      </c>
      <c r="J515" s="179">
        <f>VLOOKUP(B515,Tot_res!C:V,9,FALSE)</f>
        <v>21842.988461396224</v>
      </c>
      <c r="K515" s="179">
        <f>VLOOKUP(B515,Tot_res!C:V,10,FALSE)</f>
        <v>17688.68782736126</v>
      </c>
      <c r="L515" s="179">
        <f>VLOOKUP(B515,Tot_res!C:V,11,FALSE)</f>
        <v>57477.144488624486</v>
      </c>
      <c r="M515" s="179">
        <f>VLOOKUP(B515,Tot_res!C:V,12,FALSE)</f>
        <v>32387.978274942903</v>
      </c>
      <c r="N515" s="179">
        <f>VLOOKUP(B515,Tot_res!C:V,13,FALSE)</f>
        <v>8836.458948057596</v>
      </c>
      <c r="O515" s="179">
        <f>VLOOKUP(B515,Tot_res!C:V,14,FALSE)</f>
        <v>8625.5217170798769</v>
      </c>
      <c r="P515" s="179">
        <f>VLOOKUP(B515,Tot_res!C:V,15,FALSE)</f>
        <v>20187.266978936379</v>
      </c>
      <c r="Q515" s="179">
        <f>VLOOKUP(B515,Tot_res!C:V,16,FALSE)</f>
        <v>9415.6666725968626</v>
      </c>
      <c r="R515" s="179">
        <f>VLOOKUP(B515,Tot_res!C:V,17,FALSE)</f>
        <v>3880.3579509754754</v>
      </c>
      <c r="S515" s="179">
        <f>VLOOKUP(B515,Tot_res!C:V,18,FALSE)</f>
        <v>2119.7556876946642</v>
      </c>
      <c r="T515" s="179">
        <f>VLOOKUP(B515,Tot_res!C:V,19,FALSE)</f>
        <v>270.21279103465787</v>
      </c>
      <c r="U515" s="179">
        <f>VLOOKUP(B515,Tot_res!C:V,20,FALSE)</f>
        <v>109.7455847453447</v>
      </c>
      <c r="V515" s="122">
        <f t="shared" si="98"/>
        <v>255586.64191000001</v>
      </c>
    </row>
    <row r="516" spans="1:22" ht="13.15">
      <c r="A516" s="355"/>
      <c r="B516" s="102" t="s">
        <v>466</v>
      </c>
      <c r="C516" s="334" t="str">
        <f>VLOOKUP(B516,Tot_res!C:D,2,FALSE)</f>
        <v>Tasas sobre el juego, sobreesfuerzo fiscal</v>
      </c>
      <c r="D516" s="179">
        <f>VLOOKUP(B516,Tot_res!C:V,3,FALSE)</f>
        <v>13026.017814341105</v>
      </c>
      <c r="E516" s="179">
        <f>VLOOKUP(B516,Tot_res!C:V,4,FALSE)</f>
        <v>8885.725566416053</v>
      </c>
      <c r="F516" s="179">
        <f>VLOOKUP(B516,Tot_res!C:V,5,FALSE)</f>
        <v>4142.3572317543549</v>
      </c>
      <c r="G516" s="179">
        <f>VLOOKUP(B516,Tot_res!C:V,6,FALSE)</f>
        <v>-6625.3884247176184</v>
      </c>
      <c r="H516" s="179">
        <f>VLOOKUP(B516,Tot_res!C:V,7,FALSE)</f>
        <v>18674.820563964226</v>
      </c>
      <c r="I516" s="179">
        <f>VLOOKUP(B516,Tot_res!C:V,8,FALSE)</f>
        <v>1637.4712409363879</v>
      </c>
      <c r="J516" s="179">
        <f>VLOOKUP(B516,Tot_res!C:V,9,FALSE)</f>
        <v>3497.8074502823583</v>
      </c>
      <c r="K516" s="179">
        <f>VLOOKUP(B516,Tot_res!C:V,10,FALSE)</f>
        <v>-5329.6680581130631</v>
      </c>
      <c r="L516" s="179">
        <f>VLOOKUP(B516,Tot_res!C:V,11,FALSE)</f>
        <v>47265.387126446454</v>
      </c>
      <c r="M516" s="179">
        <f>VLOOKUP(B516,Tot_res!C:V,12,FALSE)</f>
        <v>-14534.771577794565</v>
      </c>
      <c r="N516" s="179">
        <f>VLOOKUP(B516,Tot_res!C:V,13,FALSE)</f>
        <v>5790.5000574329133</v>
      </c>
      <c r="O516" s="179">
        <f>VLOOKUP(B516,Tot_res!C:V,14,FALSE)</f>
        <v>668.3265713467581</v>
      </c>
      <c r="P516" s="179">
        <f>VLOOKUP(B516,Tot_res!C:V,15,FALSE)</f>
        <v>-79667.33373802861</v>
      </c>
      <c r="Q516" s="179">
        <f>VLOOKUP(B516,Tot_res!C:V,16,FALSE)</f>
        <v>1309.4229141237997</v>
      </c>
      <c r="R516" s="179">
        <f>VLOOKUP(B516,Tot_res!C:V,17,FALSE)</f>
        <v>-1468.3458327405685</v>
      </c>
      <c r="S516" s="179">
        <f>VLOOKUP(B516,Tot_res!C:V,18,FALSE)</f>
        <v>18283.187205412833</v>
      </c>
      <c r="T516" s="179">
        <f>VLOOKUP(B516,Tot_res!C:V,19,FALSE)</f>
        <v>1485.2548919134515</v>
      </c>
      <c r="U516" s="179">
        <f>VLOOKUP(B516,Tot_res!C:V,20,FALSE)</f>
        <v>1376.4998706120186</v>
      </c>
      <c r="V516" s="122">
        <f t="shared" si="98"/>
        <v>18417.270873588277</v>
      </c>
    </row>
    <row r="517" spans="1:22" ht="13.15">
      <c r="A517" s="355"/>
      <c r="B517" s="102" t="s">
        <v>467</v>
      </c>
      <c r="C517" s="334" t="str">
        <f>VLOOKUP(B517,Tot_res!C:D,2,FALSE)</f>
        <v>Canarias, sobreesfuerzo fiscal consumo</v>
      </c>
      <c r="D517" s="179">
        <f>VLOOKUP(B517,Tot_res!C:V,3,FALSE)</f>
        <v>-103190.97435370328</v>
      </c>
      <c r="E517" s="179">
        <f>VLOOKUP(B517,Tot_res!C:V,4,FALSE)</f>
        <v>-16783.25618444381</v>
      </c>
      <c r="F517" s="179">
        <f>VLOOKUP(B517,Tot_res!C:V,5,FALSE)</f>
        <v>-16010.336810040864</v>
      </c>
      <c r="G517" s="179">
        <f>VLOOKUP(B517,Tot_res!C:V,6,FALSE)</f>
        <v>-13846.217281621963</v>
      </c>
      <c r="H517" s="179">
        <f>VLOOKUP(B517,Tot_res!C:V,7,FALSE)</f>
        <v>-1717054.6002730252</v>
      </c>
      <c r="I517" s="179">
        <f>VLOOKUP(B517,Tot_res!C:V,8,FALSE)</f>
        <v>-8281.0809706128148</v>
      </c>
      <c r="J517" s="179">
        <f>VLOOKUP(B517,Tot_res!C:V,9,FALSE)</f>
        <v>-32499.430232696614</v>
      </c>
      <c r="K517" s="179">
        <f>VLOOKUP(B517,Tot_res!C:V,10,FALSE)</f>
        <v>-25707.504296867039</v>
      </c>
      <c r="L517" s="179">
        <f>VLOOKUP(B517,Tot_res!C:V,11,FALSE)</f>
        <v>-94781.187238551458</v>
      </c>
      <c r="M517" s="179">
        <f>VLOOKUP(B517,Tot_res!C:V,12,FALSE)</f>
        <v>-62607.250982373327</v>
      </c>
      <c r="N517" s="179">
        <f>VLOOKUP(B517,Tot_res!C:V,13,FALSE)</f>
        <v>-13347.330397191472</v>
      </c>
      <c r="O517" s="179">
        <f>VLOOKUP(B517,Tot_res!C:V,14,FALSE)</f>
        <v>-37830.953879219494</v>
      </c>
      <c r="P517" s="179">
        <f>VLOOKUP(B517,Tot_res!C:V,15,FALSE)</f>
        <v>-87754.398622069391</v>
      </c>
      <c r="Q517" s="179">
        <f>VLOOKUP(B517,Tot_res!C:V,16,FALSE)</f>
        <v>-17889.854263118425</v>
      </c>
      <c r="R517" s="179">
        <f>VLOOKUP(B517,Tot_res!C:V,17,FALSE)</f>
        <v>-8706.400915742237</v>
      </c>
      <c r="S517" s="179">
        <f>VLOOKUP(B517,Tot_res!C:V,18,FALSE)</f>
        <v>-32826.578661263637</v>
      </c>
      <c r="T517" s="179">
        <f>VLOOKUP(B517,Tot_res!C:V,19,FALSE)</f>
        <v>-3987.6802742141786</v>
      </c>
      <c r="U517" s="179">
        <f>VLOOKUP(B517,Tot_res!C:V,20,FALSE)</f>
        <v>-2094.7594238211645</v>
      </c>
      <c r="V517" s="122">
        <f t="shared" si="98"/>
        <v>-2295199.7950605764</v>
      </c>
    </row>
    <row r="518" spans="1:22" ht="13.15">
      <c r="A518" s="355"/>
      <c r="B518" s="102" t="s">
        <v>468</v>
      </c>
      <c r="C518" s="334" t="str">
        <f>VLOOKUP(B518,Tot_res!C:D,2,FALSE)</f>
        <v>Ceuta y Melilla, sobreesfuerzo fiscal consumo</v>
      </c>
      <c r="D518" s="179">
        <f>VLOOKUP(B518,Tot_res!C:V,3,FALSE)</f>
        <v>0</v>
      </c>
      <c r="E518" s="179">
        <f>VLOOKUP(B518,Tot_res!C:V,4,FALSE)</f>
        <v>0</v>
      </c>
      <c r="F518" s="179">
        <f>VLOOKUP(B518,Tot_res!C:V,5,FALSE)</f>
        <v>0</v>
      </c>
      <c r="G518" s="179">
        <f>VLOOKUP(B518,Tot_res!C:V,6,FALSE)</f>
        <v>0</v>
      </c>
      <c r="H518" s="179">
        <f>VLOOKUP(B518,Tot_res!C:V,7,FALSE)</f>
        <v>0</v>
      </c>
      <c r="I518" s="179">
        <f>VLOOKUP(B518,Tot_res!C:V,8,FALSE)</f>
        <v>0</v>
      </c>
      <c r="J518" s="179">
        <f>VLOOKUP(B518,Tot_res!C:V,9,FALSE)</f>
        <v>0</v>
      </c>
      <c r="K518" s="179">
        <f>VLOOKUP(B518,Tot_res!C:V,10,FALSE)</f>
        <v>0</v>
      </c>
      <c r="L518" s="179">
        <f>VLOOKUP(B518,Tot_res!C:V,11,FALSE)</f>
        <v>0</v>
      </c>
      <c r="M518" s="179">
        <f>VLOOKUP(B518,Tot_res!C:V,12,FALSE)</f>
        <v>0</v>
      </c>
      <c r="N518" s="179">
        <f>VLOOKUP(B518,Tot_res!C:V,13,FALSE)</f>
        <v>0</v>
      </c>
      <c r="O518" s="179">
        <f>VLOOKUP(B518,Tot_res!C:V,14,FALSE)</f>
        <v>0</v>
      </c>
      <c r="P518" s="179">
        <f>VLOOKUP(B518,Tot_res!C:V,15,FALSE)</f>
        <v>0</v>
      </c>
      <c r="Q518" s="179">
        <f>VLOOKUP(B518,Tot_res!C:V,16,FALSE)</f>
        <v>0</v>
      </c>
      <c r="R518" s="179">
        <f>VLOOKUP(B518,Tot_res!C:V,17,FALSE)</f>
        <v>0</v>
      </c>
      <c r="S518" s="179">
        <f>VLOOKUP(B518,Tot_res!C:V,18,FALSE)</f>
        <v>0</v>
      </c>
      <c r="T518" s="179">
        <f>VLOOKUP(B518,Tot_res!C:V,19,FALSE)</f>
        <v>0</v>
      </c>
      <c r="U518" s="179">
        <f>VLOOKUP(B518,Tot_res!C:V,20,FALSE)</f>
        <v>-64451.601702884531</v>
      </c>
      <c r="V518" s="122">
        <f t="shared" si="98"/>
        <v>-64451.601702884531</v>
      </c>
    </row>
    <row r="519" spans="1:22" ht="13.15">
      <c r="A519" s="355"/>
      <c r="B519" s="102" t="s">
        <v>469</v>
      </c>
      <c r="C519" s="334" t="str">
        <f>VLOOKUP(B519,Tot_res!C:D,2,FALSE)</f>
        <v>Impuesto de matriculación, sobreesfuerzo fiscal</v>
      </c>
      <c r="D519" s="179">
        <f>VLOOKUP(B519,Tot_res!C:V,3,FALSE)</f>
        <v>795.85604642890644</v>
      </c>
      <c r="E519" s="179">
        <f>VLOOKUP(B519,Tot_res!C:V,4,FALSE)</f>
        <v>6.1925533818387821</v>
      </c>
      <c r="F519" s="179">
        <f>VLOOKUP(B519,Tot_res!C:V,5,FALSE)</f>
        <v>43.875370781405564</v>
      </c>
      <c r="G519" s="179">
        <f>VLOOKUP(B519,Tot_res!C:V,6,FALSE)</f>
        <v>140.39754002298017</v>
      </c>
      <c r="H519" s="179">
        <f>VLOOKUP(B519,Tot_res!C:V,7,FALSE)</f>
        <v>4.5292790870621893</v>
      </c>
      <c r="I519" s="179">
        <f>VLOOKUP(B519,Tot_res!C:V,8,FALSE)</f>
        <v>83.212197002049209</v>
      </c>
      <c r="J519" s="179">
        <f>VLOOKUP(B519,Tot_res!C:V,9,FALSE)</f>
        <v>11.284229766793359</v>
      </c>
      <c r="K519" s="179">
        <f>VLOOKUP(B519,Tot_res!C:V,10,FALSE)</f>
        <v>8.7296718940098845</v>
      </c>
      <c r="L519" s="179">
        <f>VLOOKUP(B519,Tot_res!C:V,11,FALSE)</f>
        <v>620.77310045076047</v>
      </c>
      <c r="M519" s="179">
        <f>VLOOKUP(B519,Tot_res!C:V,12,FALSE)</f>
        <v>22.23810227949863</v>
      </c>
      <c r="N519" s="179">
        <f>VLOOKUP(B519,Tot_res!C:V,13,FALSE)</f>
        <v>262.03485171398239</v>
      </c>
      <c r="O519" s="179">
        <f>VLOOKUP(B519,Tot_res!C:V,14,FALSE)</f>
        <v>12.273132554241499</v>
      </c>
      <c r="P519" s="179">
        <f>VLOOKUP(B519,Tot_res!C:V,15,FALSE)</f>
        <v>33.04436814478008</v>
      </c>
      <c r="Q519" s="179">
        <f>VLOOKUP(B519,Tot_res!C:V,16,FALSE)</f>
        <v>6.0117978729278514</v>
      </c>
      <c r="R519" s="179">
        <f>VLOOKUP(B519,Tot_res!C:V,17,FALSE)</f>
        <v>3.0789342527362562</v>
      </c>
      <c r="S519" s="179">
        <f>VLOOKUP(B519,Tot_res!C:V,18,FALSE)</f>
        <v>11.480958424671575</v>
      </c>
      <c r="T519" s="179">
        <f>VLOOKUP(B519,Tot_res!C:V,19,FALSE)</f>
        <v>1.4634957156890009</v>
      </c>
      <c r="U519" s="179">
        <f>VLOOKUP(B519,Tot_res!C:V,20,FALSE)</f>
        <v>0.59437022566915176</v>
      </c>
      <c r="V519" s="122">
        <f t="shared" si="98"/>
        <v>2067.0700000000024</v>
      </c>
    </row>
    <row r="520" spans="1:22" ht="13.15">
      <c r="A520" s="355"/>
      <c r="B520" s="102" t="s">
        <v>470</v>
      </c>
      <c r="C520" s="334" t="str">
        <f>VLOOKUP(B520,Tot_res!C:D,2,FALSE)</f>
        <v>Impuestos propios de las CCAA</v>
      </c>
      <c r="D520" s="179">
        <f>VLOOKUP(B520,Tot_res!C:V,3,FALSE)</f>
        <v>327846.95</v>
      </c>
      <c r="E520" s="179">
        <f>VLOOKUP(B520,Tot_res!C:V,4,FALSE)</f>
        <v>74902.58</v>
      </c>
      <c r="F520" s="179">
        <f>VLOOKUP(B520,Tot_res!C:V,5,FALSE)</f>
        <v>106050.48999999999</v>
      </c>
      <c r="G520" s="179">
        <f>VLOOKUP(B520,Tot_res!C:V,6,FALSE)</f>
        <v>119493.32</v>
      </c>
      <c r="H520" s="179">
        <f>VLOOKUP(B520,Tot_res!C:V,7,FALSE)</f>
        <v>77576.48940000002</v>
      </c>
      <c r="I520" s="179">
        <f>VLOOKUP(B520,Tot_res!C:V,8,FALSE)</f>
        <v>38795.82</v>
      </c>
      <c r="J520" s="179">
        <f>VLOOKUP(B520,Tot_res!C:V,9,FALSE)</f>
        <v>105094.32</v>
      </c>
      <c r="K520" s="179">
        <f>VLOOKUP(B520,Tot_res!C:V,10,FALSE)</f>
        <v>-174031.02</v>
      </c>
      <c r="L520" s="179">
        <f>VLOOKUP(B520,Tot_res!C:V,11,FALSE)</f>
        <v>1110404.02</v>
      </c>
      <c r="M520" s="179">
        <f>VLOOKUP(B520,Tot_res!C:V,12,FALSE)</f>
        <v>357696.49</v>
      </c>
      <c r="N520" s="179">
        <f>VLOOKUP(B520,Tot_res!C:V,13,FALSE)</f>
        <v>162504.71</v>
      </c>
      <c r="O520" s="179">
        <f>VLOOKUP(B520,Tot_res!C:V,14,FALSE)</f>
        <v>128578.45</v>
      </c>
      <c r="P520" s="179">
        <f>VLOOKUP(B520,Tot_res!C:V,15,FALSE)</f>
        <v>35449</v>
      </c>
      <c r="Q520" s="179">
        <f>VLOOKUP(B520,Tot_res!C:V,16,FALSE)</f>
        <v>72728.399999999994</v>
      </c>
      <c r="R520" s="179">
        <f>VLOOKUP(B520,Tot_res!C:V,17,FALSE)</f>
        <v>51189</v>
      </c>
      <c r="S520" s="179">
        <f>VLOOKUP(B520,Tot_res!C:V,18,FALSE)</f>
        <v>146964.60999999999</v>
      </c>
      <c r="T520" s="179">
        <f>VLOOKUP(B520,Tot_res!C:V,19,FALSE)</f>
        <v>26203</v>
      </c>
      <c r="U520" s="179">
        <f>VLOOKUP(B520,Tot_res!C:V,20,FALSE)</f>
        <v>0</v>
      </c>
      <c r="V520" s="122">
        <f t="shared" si="98"/>
        <v>2767446.6294</v>
      </c>
    </row>
    <row r="521" spans="1:22" ht="13.15">
      <c r="A521" s="356"/>
      <c r="C521" s="115"/>
      <c r="D521" s="105"/>
      <c r="E521" s="105"/>
      <c r="F521" s="105"/>
      <c r="G521" s="105"/>
      <c r="H521" s="105"/>
      <c r="I521" s="105"/>
      <c r="J521" s="105"/>
      <c r="K521" s="105"/>
      <c r="L521" s="105"/>
      <c r="M521" s="105"/>
      <c r="N521" s="105"/>
      <c r="O521" s="105"/>
      <c r="P521" s="105"/>
      <c r="Q521" s="105"/>
      <c r="R521" s="105"/>
      <c r="S521" s="105"/>
      <c r="T521" s="105"/>
      <c r="U521" s="105"/>
      <c r="V521" s="122"/>
    </row>
    <row r="522" spans="1:22" ht="13.15">
      <c r="A522" s="356"/>
      <c r="C522" s="137" t="s">
        <v>436</v>
      </c>
      <c r="D522" s="114">
        <f>SUM(D523)</f>
        <v>3481691.8113800008</v>
      </c>
      <c r="E522" s="114">
        <f t="shared" ref="E522:V522" si="100">SUM(E523)</f>
        <v>702733.42732000002</v>
      </c>
      <c r="F522" s="114">
        <f t="shared" si="100"/>
        <v>506474.30728000007</v>
      </c>
      <c r="G522" s="114">
        <f t="shared" si="100"/>
        <v>718997.65634999995</v>
      </c>
      <c r="H522" s="114">
        <f t="shared" si="100"/>
        <v>808617.81079000013</v>
      </c>
      <c r="I522" s="114">
        <f t="shared" si="100"/>
        <v>318005.55147999997</v>
      </c>
      <c r="J522" s="114">
        <f t="shared" si="100"/>
        <v>1192676.12105</v>
      </c>
      <c r="K522" s="114">
        <f t="shared" si="100"/>
        <v>938465.47100000002</v>
      </c>
      <c r="L522" s="114">
        <f t="shared" si="100"/>
        <v>4725587.3559999997</v>
      </c>
      <c r="M522" s="114">
        <f t="shared" si="100"/>
        <v>2456158.716</v>
      </c>
      <c r="N522" s="114">
        <f t="shared" si="100"/>
        <v>380768.44400000002</v>
      </c>
      <c r="O522" s="114">
        <f t="shared" si="100"/>
        <v>1027117.0440000001</v>
      </c>
      <c r="P522" s="114">
        <f t="shared" si="100"/>
        <v>3993515.6278700004</v>
      </c>
      <c r="Q522" s="114">
        <f t="shared" si="100"/>
        <v>659543.93009000004</v>
      </c>
      <c r="R522" s="114">
        <f t="shared" si="100"/>
        <v>302244.41454089398</v>
      </c>
      <c r="S522" s="114">
        <f t="shared" si="100"/>
        <v>1093512.6170240927</v>
      </c>
      <c r="T522" s="114">
        <f t="shared" si="100"/>
        <v>171602.04566000003</v>
      </c>
      <c r="U522" s="114">
        <f t="shared" si="100"/>
        <v>22979.940689999999</v>
      </c>
      <c r="V522" s="114">
        <f t="shared" si="100"/>
        <v>23500692.29252499</v>
      </c>
    </row>
    <row r="523" spans="1:22" ht="13.15">
      <c r="A523" s="355"/>
      <c r="B523" s="102" t="s">
        <v>625</v>
      </c>
      <c r="C523" s="334" t="str">
        <f>VLOOKUP(B523,Tot_res!C:D,2,FALSE)</f>
        <v>Impuestos y tasas municipales</v>
      </c>
      <c r="D523" s="179">
        <f>VLOOKUP(B523,Tot_res!C:V,3,FALSE)</f>
        <v>3481691.8113800008</v>
      </c>
      <c r="E523" s="179">
        <f>VLOOKUP(B523,Tot_res!C:V,4,FALSE)</f>
        <v>702733.42732000002</v>
      </c>
      <c r="F523" s="179">
        <f>VLOOKUP(B523,Tot_res!C:V,5,FALSE)</f>
        <v>506474.30728000007</v>
      </c>
      <c r="G523" s="179">
        <f>VLOOKUP(B523,Tot_res!C:V,6,FALSE)</f>
        <v>718997.65634999995</v>
      </c>
      <c r="H523" s="179">
        <f>VLOOKUP(B523,Tot_res!C:V,7,FALSE)</f>
        <v>808617.81079000013</v>
      </c>
      <c r="I523" s="179">
        <f>VLOOKUP(B523,Tot_res!C:V,8,FALSE)</f>
        <v>318005.55147999997</v>
      </c>
      <c r="J523" s="179">
        <f>VLOOKUP(B523,Tot_res!C:V,9,FALSE)</f>
        <v>1192676.12105</v>
      </c>
      <c r="K523" s="179">
        <f>VLOOKUP(B523,Tot_res!C:V,10,FALSE)</f>
        <v>938465.47100000002</v>
      </c>
      <c r="L523" s="179">
        <f>VLOOKUP(B523,Tot_res!C:V,11,FALSE)</f>
        <v>4725587.3559999997</v>
      </c>
      <c r="M523" s="179">
        <f>VLOOKUP(B523,Tot_res!C:V,12,FALSE)</f>
        <v>2456158.716</v>
      </c>
      <c r="N523" s="179">
        <f>VLOOKUP(B523,Tot_res!C:V,13,FALSE)</f>
        <v>380768.44400000002</v>
      </c>
      <c r="O523" s="179">
        <f>VLOOKUP(B523,Tot_res!C:V,14,FALSE)</f>
        <v>1027117.0440000001</v>
      </c>
      <c r="P523" s="179">
        <f>VLOOKUP(B523,Tot_res!C:V,15,FALSE)</f>
        <v>3993515.6278700004</v>
      </c>
      <c r="Q523" s="179">
        <f>VLOOKUP(B523,Tot_res!C:V,16,FALSE)</f>
        <v>659543.93009000004</v>
      </c>
      <c r="R523" s="179">
        <f>VLOOKUP(B523,Tot_res!C:V,17,FALSE)</f>
        <v>302244.41454089398</v>
      </c>
      <c r="S523" s="179">
        <f>VLOOKUP(B523,Tot_res!C:V,18,FALSE)</f>
        <v>1093512.6170240927</v>
      </c>
      <c r="T523" s="179">
        <f>VLOOKUP(B523,Tot_res!C:V,19,FALSE)</f>
        <v>171602.04566000003</v>
      </c>
      <c r="U523" s="179">
        <f>VLOOKUP(B523,Tot_res!C:V,20,FALSE)</f>
        <v>22979.940689999999</v>
      </c>
      <c r="V523" s="122">
        <f t="shared" ref="V523" si="101">SUM(D523:U523)</f>
        <v>23500692.29252499</v>
      </c>
    </row>
    <row r="524" spans="1:22" ht="13.15">
      <c r="A524" s="356"/>
      <c r="C524" s="102"/>
      <c r="D524" s="105"/>
      <c r="E524" s="105"/>
      <c r="F524" s="105"/>
      <c r="G524" s="105"/>
      <c r="H524" s="105"/>
      <c r="I524" s="105"/>
      <c r="J524" s="105"/>
      <c r="K524" s="105"/>
      <c r="L524" s="105"/>
      <c r="M524" s="105"/>
      <c r="N524" s="105"/>
      <c r="O524" s="105"/>
      <c r="P524" s="105"/>
      <c r="Q524" s="105"/>
      <c r="R524" s="105"/>
      <c r="S524" s="105"/>
      <c r="T524" s="105"/>
      <c r="U524" s="105"/>
      <c r="V524" s="122"/>
    </row>
    <row r="525" spans="1:22" ht="13.15">
      <c r="A525" s="356"/>
      <c r="C525" s="137" t="s">
        <v>94</v>
      </c>
      <c r="D525" s="114">
        <f t="shared" ref="D525:V525" si="102">D486+D508+D522</f>
        <v>31320415.415647693</v>
      </c>
      <c r="E525" s="114">
        <f t="shared" si="102"/>
        <v>6648048.3989040423</v>
      </c>
      <c r="F525" s="114">
        <f t="shared" si="102"/>
        <v>5197558.1292347787</v>
      </c>
      <c r="G525" s="114">
        <f t="shared" si="102"/>
        <v>5477113.0142755006</v>
      </c>
      <c r="H525" s="114">
        <f t="shared" si="102"/>
        <v>6122720.4979134267</v>
      </c>
      <c r="I525" s="114">
        <f t="shared" si="102"/>
        <v>2898637.5381057905</v>
      </c>
      <c r="J525" s="114">
        <f t="shared" si="102"/>
        <v>11278815.148570977</v>
      </c>
      <c r="K525" s="114">
        <f t="shared" si="102"/>
        <v>7795452.5118744271</v>
      </c>
      <c r="L525" s="114">
        <f t="shared" si="102"/>
        <v>41222238.545931302</v>
      </c>
      <c r="M525" s="114">
        <f t="shared" si="102"/>
        <v>20919528.666492403</v>
      </c>
      <c r="N525" s="114">
        <f t="shared" si="102"/>
        <v>4035512.2096385201</v>
      </c>
      <c r="O525" s="114">
        <f t="shared" si="102"/>
        <v>11556763.882160969</v>
      </c>
      <c r="P525" s="114">
        <f t="shared" si="102"/>
        <v>40265490.712006807</v>
      </c>
      <c r="Q525" s="114">
        <f t="shared" si="102"/>
        <v>5521036.4179620184</v>
      </c>
      <c r="R525" s="114">
        <f t="shared" si="102"/>
        <v>3105700.7783187246</v>
      </c>
      <c r="S525" s="114">
        <f t="shared" si="102"/>
        <v>11832706.96464598</v>
      </c>
      <c r="T525" s="114">
        <f t="shared" si="102"/>
        <v>1517368.2378479384</v>
      </c>
      <c r="U525" s="114">
        <f t="shared" si="102"/>
        <v>519550.52195630898</v>
      </c>
      <c r="V525" s="126">
        <f t="shared" si="102"/>
        <v>217234657.59148762</v>
      </c>
    </row>
    <row r="526" spans="1:22" ht="13.15">
      <c r="A526" s="356"/>
      <c r="C526" s="102"/>
      <c r="D526" s="105"/>
      <c r="E526" s="105"/>
      <c r="F526" s="105"/>
      <c r="G526" s="105"/>
      <c r="H526" s="105"/>
      <c r="I526" s="105"/>
      <c r="J526" s="105"/>
      <c r="K526" s="105"/>
      <c r="L526" s="105"/>
      <c r="M526" s="105"/>
      <c r="N526" s="105"/>
      <c r="O526" s="105"/>
      <c r="P526" s="105"/>
      <c r="Q526" s="105"/>
      <c r="R526" s="105"/>
      <c r="S526" s="105"/>
      <c r="T526" s="105"/>
      <c r="U526" s="105"/>
      <c r="V526" s="122"/>
    </row>
    <row r="527" spans="1:22" ht="13.15">
      <c r="A527" s="356"/>
      <c r="C527" s="154" t="s">
        <v>437</v>
      </c>
      <c r="D527" s="114">
        <f>SUM(D528)</f>
        <v>16386187.130016906</v>
      </c>
      <c r="E527" s="114">
        <f t="shared" ref="E527:J527" si="103">SUM(E528)</f>
        <v>3708097.0781394057</v>
      </c>
      <c r="F527" s="114">
        <f t="shared" si="103"/>
        <v>2793898.5260654534</v>
      </c>
      <c r="G527" s="114">
        <f t="shared" si="103"/>
        <v>2984812.4728190536</v>
      </c>
      <c r="H527" s="114">
        <f t="shared" si="103"/>
        <v>4617997.0001459699</v>
      </c>
      <c r="I527" s="114">
        <f t="shared" si="103"/>
        <v>1557529.8155675679</v>
      </c>
      <c r="J527" s="114">
        <f t="shared" si="103"/>
        <v>6234891.57424042</v>
      </c>
      <c r="K527" s="114">
        <f t="shared" ref="K527" si="104">SUM(K528)</f>
        <v>4512189.440399142</v>
      </c>
      <c r="L527" s="114">
        <f t="shared" ref="L527" si="105">SUM(L528)</f>
        <v>22745806.473177124</v>
      </c>
      <c r="M527" s="114">
        <f t="shared" ref="M527" si="106">SUM(M528)</f>
        <v>10989053.431843752</v>
      </c>
      <c r="N527" s="114">
        <f t="shared" ref="N527" si="107">SUM(N528)</f>
        <v>2088237.8517872461</v>
      </c>
      <c r="O527" s="114">
        <f t="shared" ref="O527" si="108">SUM(O528)</f>
        <v>6535458.3839298785</v>
      </c>
      <c r="P527" s="114">
        <f t="shared" ref="P527" si="109">SUM(P528)</f>
        <v>21025993.331957366</v>
      </c>
      <c r="Q527" s="114">
        <f t="shared" ref="Q527" si="110">SUM(Q528)</f>
        <v>3010613.6475087358</v>
      </c>
      <c r="R527" s="114">
        <f t="shared" ref="R527" si="111">SUM(R528)</f>
        <v>2068128.3399269311</v>
      </c>
      <c r="S527" s="114">
        <f t="shared" ref="S527" si="112">SUM(S528)</f>
        <v>7652149.5433048774</v>
      </c>
      <c r="T527" s="114">
        <f t="shared" ref="T527" si="113">SUM(T528)</f>
        <v>868397.79583181313</v>
      </c>
      <c r="U527" s="114">
        <f t="shared" ref="U527:V527" si="114">SUM(U528)</f>
        <v>346511.96619135578</v>
      </c>
      <c r="V527" s="114">
        <f t="shared" si="114"/>
        <v>120125953.80285299</v>
      </c>
    </row>
    <row r="528" spans="1:22" ht="13.15">
      <c r="A528" s="355"/>
      <c r="B528" s="102" t="s">
        <v>624</v>
      </c>
      <c r="C528" s="334" t="str">
        <f>VLOOKUP(B528,Tot_res!C:D,2,FALSE)</f>
        <v>Cotizaciones sociales</v>
      </c>
      <c r="D528" s="179">
        <f>VLOOKUP(B528,Tot_res!C:V,3,FALSE)</f>
        <v>16386187.130016906</v>
      </c>
      <c r="E528" s="179">
        <f>VLOOKUP(B528,Tot_res!C:V,4,FALSE)</f>
        <v>3708097.0781394057</v>
      </c>
      <c r="F528" s="179">
        <f>VLOOKUP(B528,Tot_res!C:V,5,FALSE)</f>
        <v>2793898.5260654534</v>
      </c>
      <c r="G528" s="179">
        <f>VLOOKUP(B528,Tot_res!C:V,6,FALSE)</f>
        <v>2984812.4728190536</v>
      </c>
      <c r="H528" s="179">
        <f>VLOOKUP(B528,Tot_res!C:V,7,FALSE)</f>
        <v>4617997.0001459699</v>
      </c>
      <c r="I528" s="179">
        <f>VLOOKUP(B528,Tot_res!C:V,8,FALSE)</f>
        <v>1557529.8155675679</v>
      </c>
      <c r="J528" s="179">
        <f>VLOOKUP(B528,Tot_res!C:V,9,FALSE)</f>
        <v>6234891.57424042</v>
      </c>
      <c r="K528" s="179">
        <f>VLOOKUP(B528,Tot_res!C:V,10,FALSE)</f>
        <v>4512189.440399142</v>
      </c>
      <c r="L528" s="179">
        <f>VLOOKUP(B528,Tot_res!C:V,11,FALSE)</f>
        <v>22745806.473177124</v>
      </c>
      <c r="M528" s="179">
        <f>VLOOKUP(B528,Tot_res!C:V,12,FALSE)</f>
        <v>10989053.431843752</v>
      </c>
      <c r="N528" s="179">
        <f>VLOOKUP(B528,Tot_res!C:V,13,FALSE)</f>
        <v>2088237.8517872461</v>
      </c>
      <c r="O528" s="179">
        <f>VLOOKUP(B528,Tot_res!C:V,14,FALSE)</f>
        <v>6535458.3839298785</v>
      </c>
      <c r="P528" s="179">
        <f>VLOOKUP(B528,Tot_res!C:V,15,FALSE)</f>
        <v>21025993.331957366</v>
      </c>
      <c r="Q528" s="179">
        <f>VLOOKUP(B528,Tot_res!C:V,16,FALSE)</f>
        <v>3010613.6475087358</v>
      </c>
      <c r="R528" s="179">
        <f>VLOOKUP(B528,Tot_res!C:V,17,FALSE)</f>
        <v>2068128.3399269311</v>
      </c>
      <c r="S528" s="179">
        <f>VLOOKUP(B528,Tot_res!C:V,18,FALSE)</f>
        <v>7652149.5433048774</v>
      </c>
      <c r="T528" s="179">
        <f>VLOOKUP(B528,Tot_res!C:V,19,FALSE)</f>
        <v>868397.79583181313</v>
      </c>
      <c r="U528" s="179">
        <f>VLOOKUP(B528,Tot_res!C:V,20,FALSE)</f>
        <v>346511.96619135578</v>
      </c>
      <c r="V528" s="122">
        <f t="shared" ref="V528" si="115">SUM(D528:U528)</f>
        <v>120125953.80285299</v>
      </c>
    </row>
    <row r="529" spans="1:22" ht="13.15">
      <c r="A529" s="356"/>
      <c r="C529" s="137"/>
      <c r="D529" s="114"/>
      <c r="E529" s="114"/>
      <c r="F529" s="114"/>
      <c r="G529" s="114"/>
      <c r="H529" s="114"/>
      <c r="I529" s="114"/>
      <c r="J529" s="114"/>
      <c r="K529" s="114"/>
      <c r="L529" s="114"/>
      <c r="M529" s="114"/>
      <c r="N529" s="114"/>
      <c r="O529" s="114"/>
      <c r="P529" s="114"/>
      <c r="Q529" s="114"/>
      <c r="R529" s="114"/>
      <c r="S529" s="114"/>
      <c r="T529" s="114"/>
      <c r="U529" s="114"/>
      <c r="V529" s="126"/>
    </row>
    <row r="530" spans="1:22" ht="13.15">
      <c r="A530" s="356"/>
      <c r="C530" s="154" t="s">
        <v>95</v>
      </c>
      <c r="D530" s="114">
        <f t="shared" ref="D530:V530" si="116">SUM(D531:D536)</f>
        <v>3458018.1997695165</v>
      </c>
      <c r="E530" s="114">
        <f t="shared" si="116"/>
        <v>549000.75697113888</v>
      </c>
      <c r="F530" s="114">
        <f t="shared" si="116"/>
        <v>437532.85133401887</v>
      </c>
      <c r="G530" s="114">
        <f t="shared" si="116"/>
        <v>455205.16123663884</v>
      </c>
      <c r="H530" s="114">
        <f t="shared" si="116"/>
        <v>867185.19872155844</v>
      </c>
      <c r="I530" s="114">
        <f t="shared" si="116"/>
        <v>242543.19967463365</v>
      </c>
      <c r="J530" s="114">
        <f t="shared" si="116"/>
        <v>1030021.4066832749</v>
      </c>
      <c r="K530" s="114">
        <f t="shared" si="116"/>
        <v>858202.35215185699</v>
      </c>
      <c r="L530" s="114">
        <f t="shared" si="116"/>
        <v>3097266.428965074</v>
      </c>
      <c r="M530" s="114">
        <f t="shared" si="116"/>
        <v>2077894.0363333919</v>
      </c>
      <c r="N530" s="114">
        <f t="shared" si="116"/>
        <v>452376.55672970397</v>
      </c>
      <c r="O530" s="114">
        <f t="shared" si="116"/>
        <v>1132548.2008640976</v>
      </c>
      <c r="P530" s="114">
        <f t="shared" si="116"/>
        <v>2661451.563837436</v>
      </c>
      <c r="Q530" s="114">
        <f t="shared" si="116"/>
        <v>603302.47270643979</v>
      </c>
      <c r="R530" s="114">
        <f t="shared" si="116"/>
        <v>264069.00591235131</v>
      </c>
      <c r="S530" s="114">
        <f t="shared" si="116"/>
        <v>900451.69742153795</v>
      </c>
      <c r="T530" s="114">
        <f t="shared" si="116"/>
        <v>131664.79073246848</v>
      </c>
      <c r="U530" s="114">
        <f t="shared" si="116"/>
        <v>69235.119954862035</v>
      </c>
      <c r="V530" s="126">
        <f t="shared" si="116"/>
        <v>19287969</v>
      </c>
    </row>
    <row r="531" spans="1:22" ht="13.15">
      <c r="A531" s="355"/>
      <c r="B531" s="102" t="s">
        <v>665</v>
      </c>
      <c r="C531" s="334" t="str">
        <f>VLOOKUP(B531,Tot_res!C:D,2,FALSE)</f>
        <v>Tasas, precios públicos e ingresos procedentes de la venta de bienes y servicios de la AC</v>
      </c>
      <c r="D531" s="179">
        <f>VLOOKUP(B531,Tot_res!C:V,3,FALSE)</f>
        <v>486306.1924040973</v>
      </c>
      <c r="E531" s="179">
        <f>VLOOKUP(B531,Tot_res!C:V,4,FALSE)</f>
        <v>77165.635595959422</v>
      </c>
      <c r="F531" s="179">
        <f>VLOOKUP(B531,Tot_res!C:V,5,FALSE)</f>
        <v>61498.430416881914</v>
      </c>
      <c r="G531" s="179">
        <f>VLOOKUP(B531,Tot_res!C:V,6,FALSE)</f>
        <v>63958.314506182054</v>
      </c>
      <c r="H531" s="179">
        <f>VLOOKUP(B531,Tot_res!C:V,7,FALSE)</f>
        <v>121947.36418633285</v>
      </c>
      <c r="I531" s="179">
        <f>VLOOKUP(B531,Tot_res!C:V,8,FALSE)</f>
        <v>34086.523884250841</v>
      </c>
      <c r="J531" s="179">
        <f>VLOOKUP(B531,Tot_res!C:V,9,FALSE)</f>
        <v>144791.29815916793</v>
      </c>
      <c r="K531" s="179">
        <f>VLOOKUP(B531,Tot_res!C:V,10,FALSE)</f>
        <v>120680.24741587759</v>
      </c>
      <c r="L531" s="179">
        <f>VLOOKUP(B531,Tot_res!C:V,11,FALSE)</f>
        <v>435198.4659878299</v>
      </c>
      <c r="M531" s="179">
        <f>VLOOKUP(B531,Tot_res!C:V,12,FALSE)</f>
        <v>292161.84376024082</v>
      </c>
      <c r="N531" s="179">
        <f>VLOOKUP(B531,Tot_res!C:V,13,FALSE)</f>
        <v>63626.845883080161</v>
      </c>
      <c r="O531" s="179">
        <f>VLOOKUP(B531,Tot_res!C:V,14,FALSE)</f>
        <v>159227.21867243038</v>
      </c>
      <c r="P531" s="179">
        <f>VLOOKUP(B531,Tot_res!C:V,15,FALSE)</f>
        <v>373912.51619789982</v>
      </c>
      <c r="Q531" s="179">
        <f>VLOOKUP(B531,Tot_res!C:V,16,FALSE)</f>
        <v>84855.592157629537</v>
      </c>
      <c r="R531" s="179">
        <f>VLOOKUP(B531,Tot_res!C:V,17,FALSE)</f>
        <v>37110.251115705498</v>
      </c>
      <c r="S531" s="179">
        <f>VLOOKUP(B531,Tot_res!C:V,18,FALSE)</f>
        <v>126485.51034476435</v>
      </c>
      <c r="T531" s="179">
        <f>VLOOKUP(B531,Tot_res!C:V,19,FALSE)</f>
        <v>18508.797909266774</v>
      </c>
      <c r="U531" s="179">
        <f>VLOOKUP(B531,Tot_res!C:V,20,FALSE)</f>
        <v>9739.9514024028085</v>
      </c>
      <c r="V531" s="122">
        <f t="shared" ref="V531:V536" si="117">SUM(D531:U531)</f>
        <v>2711260.9999999995</v>
      </c>
    </row>
    <row r="532" spans="1:22" ht="13.15">
      <c r="A532" s="355"/>
      <c r="B532" s="102" t="s">
        <v>472</v>
      </c>
      <c r="C532" s="334" t="str">
        <f>VLOOKUP(B532,Tot_res!C:D,2,FALSE)</f>
        <v>Tasas, Comisión del Mercado de Telecomunicaciones, CMT</v>
      </c>
      <c r="D532" s="179">
        <f>VLOOKUP(B532,Tot_res!C:V,3,FALSE)</f>
        <v>3611.4903254210676</v>
      </c>
      <c r="E532" s="179">
        <f>VLOOKUP(B532,Tot_res!C:V,4,FALSE)</f>
        <v>624.07367536658558</v>
      </c>
      <c r="F532" s="179">
        <f>VLOOKUP(B532,Tot_res!C:V,5,FALSE)</f>
        <v>502.22720039727915</v>
      </c>
      <c r="G532" s="179">
        <f>VLOOKUP(B532,Tot_res!C:V,6,FALSE)</f>
        <v>590.39460342564894</v>
      </c>
      <c r="H532" s="179">
        <f>VLOOKUP(B532,Tot_res!C:V,7,FALSE)</f>
        <v>965.18783773613507</v>
      </c>
      <c r="I532" s="179">
        <f>VLOOKUP(B532,Tot_res!C:V,8,FALSE)</f>
        <v>280.1097291864711</v>
      </c>
      <c r="J532" s="179">
        <f>VLOOKUP(B532,Tot_res!C:V,9,FALSE)</f>
        <v>1129.1579404961226</v>
      </c>
      <c r="K532" s="179">
        <f>VLOOKUP(B532,Tot_res!C:V,10,FALSE)</f>
        <v>867.85252511105773</v>
      </c>
      <c r="L532" s="179">
        <f>VLOOKUP(B532,Tot_res!C:V,11,FALSE)</f>
        <v>3766.772381269031</v>
      </c>
      <c r="M532" s="179">
        <f>VLOOKUP(B532,Tot_res!C:V,12,FALSE)</f>
        <v>2235.6162958490609</v>
      </c>
      <c r="N532" s="179">
        <f>VLOOKUP(B532,Tot_res!C:V,13,FALSE)</f>
        <v>452.50557949470596</v>
      </c>
      <c r="O532" s="179">
        <f>VLOOKUP(B532,Tot_res!C:V,14,FALSE)</f>
        <v>1203.4086320296124</v>
      </c>
      <c r="P532" s="179">
        <f>VLOOKUP(B532,Tot_res!C:V,15,FALSE)</f>
        <v>3270.9051912069599</v>
      </c>
      <c r="Q532" s="179">
        <f>VLOOKUP(B532,Tot_res!C:V,16,FALSE)</f>
        <v>589.83372586964151</v>
      </c>
      <c r="R532" s="179">
        <f>VLOOKUP(B532,Tot_res!C:V,17,FALSE)</f>
        <v>299.56265533751809</v>
      </c>
      <c r="S532" s="179">
        <f>VLOOKUP(B532,Tot_res!C:V,18,FALSE)</f>
        <v>1149.7783948295246</v>
      </c>
      <c r="T532" s="179">
        <f>VLOOKUP(B532,Tot_res!C:V,19,FALSE)</f>
        <v>143.293962168973</v>
      </c>
      <c r="U532" s="179">
        <f>VLOOKUP(B532,Tot_res!C:V,20,FALSE)</f>
        <v>66.82934480460159</v>
      </c>
      <c r="V532" s="122">
        <f t="shared" si="117"/>
        <v>21749</v>
      </c>
    </row>
    <row r="533" spans="1:22" ht="13.15">
      <c r="A533" s="355"/>
      <c r="B533" s="102" t="s">
        <v>473</v>
      </c>
      <c r="C533" s="334" t="str">
        <f>VLOOKUP(B533,Tot_res!C:D,2,FALSE)</f>
        <v>Tasas, Comisión Nacional de la Energía, CME</v>
      </c>
      <c r="D533" s="179">
        <f>VLOOKUP(B533,Tot_res!C:V,3,FALSE)</f>
        <v>5388.2616876486145</v>
      </c>
      <c r="E533" s="179">
        <f>VLOOKUP(B533,Tot_res!C:V,4,FALSE)</f>
        <v>936.67861147420172</v>
      </c>
      <c r="F533" s="179">
        <f>VLOOKUP(B533,Tot_res!C:V,5,FALSE)</f>
        <v>740.21852606615312</v>
      </c>
      <c r="G533" s="179">
        <f>VLOOKUP(B533,Tot_res!C:V,6,FALSE)</f>
        <v>826.31463108141122</v>
      </c>
      <c r="H533" s="179">
        <f>VLOOKUP(B533,Tot_res!C:V,7,FALSE)</f>
        <v>1301.8628891581143</v>
      </c>
      <c r="I533" s="179">
        <f>VLOOKUP(B533,Tot_res!C:V,8,FALSE)</f>
        <v>436.0728309278191</v>
      </c>
      <c r="J533" s="179">
        <f>VLOOKUP(B533,Tot_res!C:V,9,FALSE)</f>
        <v>1774.5294731149152</v>
      </c>
      <c r="K533" s="179">
        <f>VLOOKUP(B533,Tot_res!C:V,10,FALSE)</f>
        <v>1423.032123831164</v>
      </c>
      <c r="L533" s="179">
        <f>VLOOKUP(B533,Tot_res!C:V,11,FALSE)</f>
        <v>5523.9612995969892</v>
      </c>
      <c r="M533" s="179">
        <f>VLOOKUP(B533,Tot_res!C:V,12,FALSE)</f>
        <v>3303.9031496124371</v>
      </c>
      <c r="N533" s="179">
        <f>VLOOKUP(B533,Tot_res!C:V,13,FALSE)</f>
        <v>694.19691868021948</v>
      </c>
      <c r="O533" s="179">
        <f>VLOOKUP(B533,Tot_res!C:V,14,FALSE)</f>
        <v>1880.8828367793578</v>
      </c>
      <c r="P533" s="179">
        <f>VLOOKUP(B533,Tot_res!C:V,15,FALSE)</f>
        <v>4889.9000744920077</v>
      </c>
      <c r="Q533" s="179">
        <f>VLOOKUP(B533,Tot_res!C:V,16,FALSE)</f>
        <v>931.10175109325655</v>
      </c>
      <c r="R533" s="179">
        <f>VLOOKUP(B533,Tot_res!C:V,17,FALSE)</f>
        <v>465.61375955342135</v>
      </c>
      <c r="S533" s="179">
        <f>VLOOKUP(B533,Tot_res!C:V,18,FALSE)</f>
        <v>1597.8726939505686</v>
      </c>
      <c r="T533" s="179">
        <f>VLOOKUP(B533,Tot_res!C:V,19,FALSE)</f>
        <v>220.91052299071663</v>
      </c>
      <c r="U533" s="179">
        <f>VLOOKUP(B533,Tot_res!C:V,20,FALSE)</f>
        <v>91.686219948629727</v>
      </c>
      <c r="V533" s="122">
        <f t="shared" si="117"/>
        <v>32427.000000000004</v>
      </c>
    </row>
    <row r="534" spans="1:22" ht="13.15">
      <c r="A534" s="355"/>
      <c r="B534" s="102" t="s">
        <v>475</v>
      </c>
      <c r="C534" s="334" t="str">
        <f>VLOOKUP(B534,Tot_res!C:D,2,FALSE)</f>
        <v>Tasas, CNMV</v>
      </c>
      <c r="D534" s="179">
        <f>VLOOKUP(B534,Tot_res!C:V,3,FALSE)</f>
        <v>7605.4988883906581</v>
      </c>
      <c r="E534" s="179">
        <f>VLOOKUP(B534,Tot_res!C:V,4,FALSE)</f>
        <v>1366.7247312807281</v>
      </c>
      <c r="F534" s="179">
        <f>VLOOKUP(B534,Tot_res!C:V,5,FALSE)</f>
        <v>1088.2673714571574</v>
      </c>
      <c r="G534" s="179">
        <f>VLOOKUP(B534,Tot_res!C:V,6,FALSE)</f>
        <v>1178.6041997987445</v>
      </c>
      <c r="H534" s="179">
        <f>VLOOKUP(B534,Tot_res!C:V,7,FALSE)</f>
        <v>1940.7795254432976</v>
      </c>
      <c r="I534" s="179">
        <f>VLOOKUP(B534,Tot_res!C:V,8,FALSE)</f>
        <v>609.02213639750585</v>
      </c>
      <c r="J534" s="179">
        <f>VLOOKUP(B534,Tot_res!C:V,9,FALSE)</f>
        <v>2482.0963814330548</v>
      </c>
      <c r="K534" s="179">
        <f>VLOOKUP(B534,Tot_res!C:V,10,FALSE)</f>
        <v>1901.025899287074</v>
      </c>
      <c r="L534" s="179">
        <f>VLOOKUP(B534,Tot_res!C:V,11,FALSE)</f>
        <v>8233.6324204130324</v>
      </c>
      <c r="M534" s="179">
        <f>VLOOKUP(B534,Tot_res!C:V,12,FALSE)</f>
        <v>4830.8702916766479</v>
      </c>
      <c r="N534" s="179">
        <f>VLOOKUP(B534,Tot_res!C:V,13,FALSE)</f>
        <v>965.68992964060158</v>
      </c>
      <c r="O534" s="179">
        <f>VLOOKUP(B534,Tot_res!C:V,14,FALSE)</f>
        <v>2670.5008173998467</v>
      </c>
      <c r="P534" s="179">
        <f>VLOOKUP(B534,Tot_res!C:V,15,FALSE)</f>
        <v>7247.1854353493181</v>
      </c>
      <c r="Q534" s="179">
        <f>VLOOKUP(B534,Tot_res!C:V,16,FALSE)</f>
        <v>1289.2173774696371</v>
      </c>
      <c r="R534" s="179">
        <f>VLOOKUP(B534,Tot_res!C:V,17,FALSE)</f>
        <v>688.01106837529539</v>
      </c>
      <c r="S534" s="179">
        <f>VLOOKUP(B534,Tot_res!C:V,18,FALSE)</f>
        <v>2611.8596740444782</v>
      </c>
      <c r="T534" s="179">
        <f>VLOOKUP(B534,Tot_res!C:V,19,FALSE)</f>
        <v>320.52103768468925</v>
      </c>
      <c r="U534" s="179">
        <f>VLOOKUP(B534,Tot_res!C:V,20,FALSE)</f>
        <v>150.49281445822712</v>
      </c>
      <c r="V534" s="122">
        <f t="shared" ref="V534:V535" si="118">SUM(D534:U534)</f>
        <v>47179.999999999993</v>
      </c>
    </row>
    <row r="535" spans="1:22" ht="13.15">
      <c r="A535" s="355"/>
      <c r="B535" s="102" t="s">
        <v>471</v>
      </c>
      <c r="C535" s="334" t="str">
        <f>VLOOKUP(B535,Tot_res!C:D,2,FALSE)</f>
        <v>Ingresos financieros, patrimoniales y similares de la Administración Central</v>
      </c>
      <c r="D535" s="179">
        <f>VLOOKUP(B535,Tot_res!C:V,3,FALSE)</f>
        <v>2303368.5230014925</v>
      </c>
      <c r="E535" s="179">
        <f>VLOOKUP(B535,Tot_res!C:V,4,FALSE)</f>
        <v>365491.73928972351</v>
      </c>
      <c r="F535" s="179">
        <f>VLOOKUP(B535,Tot_res!C:V,5,FALSE)</f>
        <v>291284.69069243519</v>
      </c>
      <c r="G535" s="179">
        <f>VLOOKUP(B535,Tot_res!C:V,6,FALSE)</f>
        <v>302935.82668458793</v>
      </c>
      <c r="H535" s="179">
        <f>VLOOKUP(B535,Tot_res!C:V,7,FALSE)</f>
        <v>577598.48531065509</v>
      </c>
      <c r="I535" s="179">
        <f>VLOOKUP(B535,Tot_res!C:V,8,FALSE)</f>
        <v>161449.36544069482</v>
      </c>
      <c r="J535" s="179">
        <f>VLOOKUP(B535,Tot_res!C:V,9,FALSE)</f>
        <v>685797.80351063749</v>
      </c>
      <c r="K535" s="179">
        <f>VLOOKUP(B535,Tot_res!C:V,10,FALSE)</f>
        <v>571596.84081255517</v>
      </c>
      <c r="L535" s="179">
        <f>VLOOKUP(B535,Tot_res!C:V,11,FALSE)</f>
        <v>2061298.958294855</v>
      </c>
      <c r="M535" s="179">
        <f>VLOOKUP(B535,Tot_res!C:V,12,FALSE)</f>
        <v>1383812.1024381774</v>
      </c>
      <c r="N535" s="179">
        <f>VLOOKUP(B535,Tot_res!C:V,13,FALSE)</f>
        <v>301365.83969955461</v>
      </c>
      <c r="O535" s="179">
        <f>VLOOKUP(B535,Tot_res!C:V,14,FALSE)</f>
        <v>754172.92484400934</v>
      </c>
      <c r="P535" s="179">
        <f>VLOOKUP(B535,Tot_res!C:V,15,FALSE)</f>
        <v>1771020.6730225296</v>
      </c>
      <c r="Q535" s="179">
        <f>VLOOKUP(B535,Tot_res!C:V,16,FALSE)</f>
        <v>401914.89030870382</v>
      </c>
      <c r="R535" s="179">
        <f>VLOOKUP(B535,Tot_res!C:V,17,FALSE)</f>
        <v>175771.12040878233</v>
      </c>
      <c r="S535" s="179">
        <f>VLOOKUP(B535,Tot_res!C:V,18,FALSE)</f>
        <v>599093.22088544967</v>
      </c>
      <c r="T535" s="179">
        <f>VLOOKUP(B535,Tot_res!C:V,19,FALSE)</f>
        <v>87666.131274296567</v>
      </c>
      <c r="U535" s="179">
        <f>VLOOKUP(B535,Tot_res!C:V,20,FALSE)</f>
        <v>46132.864080860199</v>
      </c>
      <c r="V535" s="122">
        <f t="shared" si="118"/>
        <v>12841772</v>
      </c>
    </row>
    <row r="536" spans="1:22" ht="13.15">
      <c r="A536" s="355"/>
      <c r="B536" s="102" t="s">
        <v>476</v>
      </c>
      <c r="C536" s="334" t="str">
        <f>VLOOKUP(B536,Tot_res!C:D,2,FALSE)</f>
        <v>Ingresos del Banco de España, BdE</v>
      </c>
      <c r="D536" s="179">
        <f>VLOOKUP(B536,Tot_res!C:V,3,FALSE)</f>
        <v>651738.23346246628</v>
      </c>
      <c r="E536" s="179">
        <f>VLOOKUP(B536,Tot_res!C:V,4,FALSE)</f>
        <v>103415.90506733443</v>
      </c>
      <c r="F536" s="179">
        <f>VLOOKUP(B536,Tot_res!C:V,5,FALSE)</f>
        <v>82419.017126781153</v>
      </c>
      <c r="G536" s="179">
        <f>VLOOKUP(B536,Tot_res!C:V,6,FALSE)</f>
        <v>85715.70661156303</v>
      </c>
      <c r="H536" s="179">
        <f>VLOOKUP(B536,Tot_res!C:V,7,FALSE)</f>
        <v>163431.51897223297</v>
      </c>
      <c r="I536" s="179">
        <f>VLOOKUP(B536,Tot_res!C:V,8,FALSE)</f>
        <v>45682.105653176208</v>
      </c>
      <c r="J536" s="179">
        <f>VLOOKUP(B536,Tot_res!C:V,9,FALSE)</f>
        <v>194046.52121842548</v>
      </c>
      <c r="K536" s="179">
        <f>VLOOKUP(B536,Tot_res!C:V,10,FALSE)</f>
        <v>161733.35337519497</v>
      </c>
      <c r="L536" s="179">
        <f>VLOOKUP(B536,Tot_res!C:V,11,FALSE)</f>
        <v>583244.63858111005</v>
      </c>
      <c r="M536" s="179">
        <f>VLOOKUP(B536,Tot_res!C:V,12,FALSE)</f>
        <v>391549.70039783552</v>
      </c>
      <c r="N536" s="179">
        <f>VLOOKUP(B536,Tot_res!C:V,13,FALSE)</f>
        <v>85271.478719253661</v>
      </c>
      <c r="O536" s="179">
        <f>VLOOKUP(B536,Tot_res!C:V,14,FALSE)</f>
        <v>213393.26506144908</v>
      </c>
      <c r="P536" s="179">
        <f>VLOOKUP(B536,Tot_res!C:V,15,FALSE)</f>
        <v>501110.38391595823</v>
      </c>
      <c r="Q536" s="179">
        <f>VLOOKUP(B536,Tot_res!C:V,16,FALSE)</f>
        <v>113721.83738567388</v>
      </c>
      <c r="R536" s="179">
        <f>VLOOKUP(B536,Tot_res!C:V,17,FALSE)</f>
        <v>49734.446904597222</v>
      </c>
      <c r="S536" s="179">
        <f>VLOOKUP(B536,Tot_res!C:V,18,FALSE)</f>
        <v>169513.45542849944</v>
      </c>
      <c r="T536" s="179">
        <f>VLOOKUP(B536,Tot_res!C:V,19,FALSE)</f>
        <v>24805.136026060776</v>
      </c>
      <c r="U536" s="179">
        <f>VLOOKUP(B536,Tot_res!C:V,20,FALSE)</f>
        <v>13053.296092387563</v>
      </c>
      <c r="V536" s="122">
        <f t="shared" si="117"/>
        <v>3633580.0000000009</v>
      </c>
    </row>
    <row r="537" spans="1:22" ht="13.15">
      <c r="C537" s="154"/>
      <c r="D537" s="105"/>
      <c r="E537" s="105"/>
      <c r="F537" s="105"/>
      <c r="G537" s="105"/>
      <c r="H537" s="105"/>
      <c r="I537" s="105"/>
      <c r="J537" s="105"/>
      <c r="K537" s="105"/>
      <c r="L537" s="105"/>
      <c r="M537" s="105"/>
      <c r="N537" s="105"/>
      <c r="O537" s="105"/>
      <c r="P537" s="105"/>
      <c r="Q537" s="105"/>
      <c r="R537" s="105"/>
      <c r="S537" s="105"/>
      <c r="T537" s="105"/>
      <c r="U537" s="105"/>
      <c r="V537" s="122"/>
    </row>
    <row r="538" spans="1:22">
      <c r="C538" s="102"/>
      <c r="D538" s="105"/>
      <c r="E538" s="105"/>
      <c r="F538" s="105"/>
      <c r="G538" s="105"/>
      <c r="H538" s="105"/>
      <c r="I538" s="105"/>
      <c r="J538" s="105"/>
      <c r="K538" s="105"/>
      <c r="L538" s="105"/>
      <c r="M538" s="105"/>
      <c r="N538" s="105"/>
      <c r="O538" s="105"/>
      <c r="P538" s="105"/>
      <c r="Q538" s="105"/>
      <c r="R538" s="105"/>
      <c r="S538" s="105"/>
      <c r="T538" s="105"/>
      <c r="U538" s="105"/>
      <c r="V538" s="122"/>
    </row>
    <row r="539" spans="1:22">
      <c r="C539" s="103" t="s">
        <v>96</v>
      </c>
      <c r="D539" s="114">
        <f t="shared" ref="D539:V539" si="119">D525+D527+D530</f>
        <v>51164620.74543412</v>
      </c>
      <c r="E539" s="114">
        <f t="shared" si="119"/>
        <v>10905146.234014587</v>
      </c>
      <c r="F539" s="114">
        <f t="shared" si="119"/>
        <v>8428989.5066342503</v>
      </c>
      <c r="G539" s="114">
        <f t="shared" si="119"/>
        <v>8917130.6483311933</v>
      </c>
      <c r="H539" s="114">
        <f t="shared" si="119"/>
        <v>11607902.696780954</v>
      </c>
      <c r="I539" s="114">
        <f t="shared" si="119"/>
        <v>4698710.5533479918</v>
      </c>
      <c r="J539" s="114">
        <f t="shared" si="119"/>
        <v>18543728.129494671</v>
      </c>
      <c r="K539" s="114">
        <f t="shared" si="119"/>
        <v>13165844.304425428</v>
      </c>
      <c r="L539" s="114">
        <f t="shared" si="119"/>
        <v>67065311.448073506</v>
      </c>
      <c r="M539" s="114">
        <f t="shared" si="119"/>
        <v>33986476.134669542</v>
      </c>
      <c r="N539" s="114">
        <f t="shared" si="119"/>
        <v>6576126.6181554701</v>
      </c>
      <c r="O539" s="114">
        <f t="shared" si="119"/>
        <v>19224770.466954947</v>
      </c>
      <c r="P539" s="114">
        <f t="shared" si="119"/>
        <v>63952935.607801616</v>
      </c>
      <c r="Q539" s="114">
        <f t="shared" si="119"/>
        <v>9134952.5381771941</v>
      </c>
      <c r="R539" s="114">
        <f t="shared" si="119"/>
        <v>5437898.1241580071</v>
      </c>
      <c r="S539" s="114">
        <f t="shared" si="119"/>
        <v>20385308.205372397</v>
      </c>
      <c r="T539" s="114">
        <f t="shared" si="119"/>
        <v>2517430.8244122202</v>
      </c>
      <c r="U539" s="114">
        <f t="shared" si="119"/>
        <v>935297.60810252686</v>
      </c>
      <c r="V539" s="126">
        <f t="shared" si="119"/>
        <v>356648580.39434063</v>
      </c>
    </row>
    <row r="540" spans="1:22">
      <c r="C540" s="103" t="s">
        <v>97</v>
      </c>
      <c r="D540" s="111">
        <f t="shared" ref="D540:V540" si="120">D486+D527+D530+D522</f>
        <v>50529413.805777699</v>
      </c>
      <c r="E540" s="111">
        <f t="shared" si="120"/>
        <v>10805056.975611921</v>
      </c>
      <c r="F540" s="111">
        <f t="shared" si="120"/>
        <v>8257554.9062932376</v>
      </c>
      <c r="G540" s="111">
        <f t="shared" si="120"/>
        <v>8756247.9036585167</v>
      </c>
      <c r="H540" s="111">
        <f t="shared" si="120"/>
        <v>13261494.244128173</v>
      </c>
      <c r="I540" s="111">
        <f t="shared" si="120"/>
        <v>4626270.5152130108</v>
      </c>
      <c r="J540" s="111">
        <f t="shared" si="120"/>
        <v>18422523.323068198</v>
      </c>
      <c r="K540" s="111">
        <f t="shared" si="120"/>
        <v>13291966.350064509</v>
      </c>
      <c r="L540" s="111">
        <f t="shared" si="120"/>
        <v>65818431.678194843</v>
      </c>
      <c r="M540" s="111">
        <f t="shared" si="120"/>
        <v>33638138.096520841</v>
      </c>
      <c r="N540" s="111">
        <f t="shared" si="120"/>
        <v>6357346.2103825361</v>
      </c>
      <c r="O540" s="111">
        <f t="shared" si="120"/>
        <v>19114147.995441802</v>
      </c>
      <c r="P540" s="111">
        <f t="shared" si="120"/>
        <v>64224295.184314035</v>
      </c>
      <c r="Q540" s="111">
        <f t="shared" si="120"/>
        <v>9022166.5298519004</v>
      </c>
      <c r="R540" s="111">
        <f t="shared" si="120"/>
        <v>5712118.0689217551</v>
      </c>
      <c r="S540" s="111">
        <f t="shared" si="120"/>
        <v>21211193.595558215</v>
      </c>
      <c r="T540" s="111">
        <f t="shared" si="120"/>
        <v>2501265.9630697868</v>
      </c>
      <c r="U540" s="111">
        <f t="shared" si="120"/>
        <v>1007094.7522559033</v>
      </c>
      <c r="V540" s="125">
        <f t="shared" si="120"/>
        <v>356556726.09832686</v>
      </c>
    </row>
    <row r="541" spans="1:22">
      <c r="C541" s="102"/>
    </row>
    <row r="545" spans="4:7">
      <c r="D545" s="120"/>
      <c r="E545" s="120"/>
      <c r="F545" s="120"/>
      <c r="G545" s="120"/>
    </row>
    <row r="546" spans="4:7">
      <c r="D546" s="306"/>
      <c r="E546" s="306"/>
      <c r="F546" s="306"/>
      <c r="G546" s="306"/>
    </row>
    <row r="547" spans="4:7">
      <c r="D547" s="306"/>
      <c r="E547" s="306"/>
      <c r="F547" s="306"/>
      <c r="G547" s="306"/>
    </row>
    <row r="548" spans="4:7">
      <c r="D548" s="306"/>
      <c r="E548" s="306"/>
      <c r="F548" s="306"/>
      <c r="G548" s="306"/>
    </row>
    <row r="552" spans="4:7">
      <c r="D552" s="120"/>
      <c r="E552" s="120"/>
      <c r="F552" s="120"/>
      <c r="G552" s="120"/>
    </row>
    <row r="553" spans="4:7">
      <c r="D553" s="306"/>
      <c r="E553" s="306"/>
      <c r="F553" s="306"/>
      <c r="G553" s="306"/>
    </row>
    <row r="554" spans="4:7">
      <c r="D554" s="306"/>
      <c r="E554" s="306"/>
      <c r="F554" s="306"/>
      <c r="G554" s="306"/>
    </row>
    <row r="555" spans="4:7">
      <c r="D555" s="306"/>
      <c r="E555" s="306"/>
      <c r="F555" s="306"/>
      <c r="G555" s="306"/>
    </row>
  </sheetData>
  <phoneticPr fontId="7"/>
  <pageMargins left="0.75" right="0.75" top="1" bottom="1" header="0.5" footer="0.5"/>
  <pageSetup paperSize="9"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X550"/>
  <sheetViews>
    <sheetView zoomScaleNormal="100" workbookViewId="0">
      <pane xSplit="3" ySplit="7" topLeftCell="I98" activePane="bottomRight" state="frozen"/>
      <selection activeCell="A537" sqref="A537"/>
      <selection pane="topRight" activeCell="A537" sqref="A537"/>
      <selection pane="bottomLeft" activeCell="A537" sqref="A537"/>
      <selection pane="bottomRight" sqref="A1:A1048576"/>
    </sheetView>
  </sheetViews>
  <sheetFormatPr baseColWidth="10" defaultRowHeight="13.15"/>
  <cols>
    <col min="1" max="1" width="11" style="353"/>
    <col min="2" max="2" width="7.09765625" style="115" customWidth="1"/>
    <col min="3" max="3" width="61.69921875" customWidth="1"/>
    <col min="4" max="4" width="11.5" bestFit="1" customWidth="1"/>
    <col min="23" max="23" width="4.59765625" customWidth="1"/>
    <col min="24" max="24" width="18" customWidth="1"/>
    <col min="25" max="26" width="15.09765625" customWidth="1"/>
    <col min="27" max="27" width="14.59765625" customWidth="1"/>
  </cols>
  <sheetData>
    <row r="1" spans="1:23" s="102" customFormat="1">
      <c r="A1" s="353"/>
      <c r="B1" s="115"/>
    </row>
    <row r="2" spans="1:23" s="102" customFormat="1">
      <c r="A2" s="353"/>
      <c r="B2" s="115"/>
    </row>
    <row r="3" spans="1:23" s="102" customFormat="1">
      <c r="A3" s="353"/>
      <c r="B3" s="115"/>
    </row>
    <row r="4" spans="1:23" s="102" customFormat="1">
      <c r="A4" s="353"/>
      <c r="B4" s="115"/>
    </row>
    <row r="5" spans="1:23" s="102" customFormat="1">
      <c r="A5" s="353"/>
      <c r="B5" s="115"/>
      <c r="C5" s="103" t="s">
        <v>98</v>
      </c>
    </row>
    <row r="6" spans="1:23" s="102" customFormat="1">
      <c r="A6" s="353"/>
      <c r="B6" s="115"/>
      <c r="C6" s="104"/>
      <c r="D6" s="105"/>
      <c r="E6" s="105"/>
      <c r="F6" s="105"/>
      <c r="G6" s="105"/>
      <c r="H6" s="105"/>
      <c r="I6" s="105"/>
      <c r="J6" s="105"/>
      <c r="K6" s="105"/>
      <c r="L6" s="105"/>
      <c r="M6" s="105"/>
      <c r="N6" s="105"/>
      <c r="O6" s="105"/>
      <c r="P6" s="105"/>
      <c r="Q6" s="105"/>
      <c r="R6" s="105"/>
      <c r="S6" s="105"/>
      <c r="T6" s="105"/>
      <c r="U6" s="105"/>
      <c r="V6" s="105"/>
      <c r="W6" s="105"/>
    </row>
    <row r="7" spans="1:23" s="102" customFormat="1">
      <c r="A7" s="354"/>
      <c r="B7" s="115"/>
      <c r="C7" s="106"/>
      <c r="D7" s="107" t="s">
        <v>104</v>
      </c>
      <c r="E7" s="108" t="s">
        <v>66</v>
      </c>
      <c r="F7" s="108" t="s">
        <v>67</v>
      </c>
      <c r="G7" s="108" t="s">
        <v>56</v>
      </c>
      <c r="H7" s="108" t="s">
        <v>48</v>
      </c>
      <c r="I7" s="108" t="s">
        <v>49</v>
      </c>
      <c r="J7" s="108" t="s">
        <v>50</v>
      </c>
      <c r="K7" s="108" t="s">
        <v>51</v>
      </c>
      <c r="L7" s="108" t="s">
        <v>24</v>
      </c>
      <c r="M7" s="108" t="s">
        <v>46</v>
      </c>
      <c r="N7" s="108" t="s">
        <v>72</v>
      </c>
      <c r="O7" s="108" t="s">
        <v>73</v>
      </c>
      <c r="P7" s="108" t="s">
        <v>74</v>
      </c>
      <c r="Q7" s="108" t="s">
        <v>37</v>
      </c>
      <c r="R7" s="108" t="s">
        <v>38</v>
      </c>
      <c r="S7" s="108" t="s">
        <v>33</v>
      </c>
      <c r="T7" s="108" t="s">
        <v>34</v>
      </c>
      <c r="U7" s="108" t="s">
        <v>88</v>
      </c>
      <c r="V7" s="108" t="s">
        <v>89</v>
      </c>
      <c r="W7" s="108"/>
    </row>
    <row r="8" spans="1:23" s="102" customFormat="1">
      <c r="A8" s="353"/>
      <c r="B8" s="115"/>
      <c r="C8" s="109" t="s">
        <v>83</v>
      </c>
      <c r="D8" s="110">
        <f>Gasto_o_ing_total!V8*1000/Gasto_o_ing_total!V$479</f>
        <v>342.83100835246148</v>
      </c>
      <c r="E8" s="110">
        <f>Gasto_o_ing_total!D8*1000/Gasto_o_ing_total!D$479</f>
        <v>342.83100835246142</v>
      </c>
      <c r="F8" s="110">
        <f>Gasto_o_ing_total!E8*1000/Gasto_o_ing_total!E$479</f>
        <v>342.83100835246154</v>
      </c>
      <c r="G8" s="110">
        <f>Gasto_o_ing_total!F8*1000/Gasto_o_ing_total!F$479</f>
        <v>342.83100835246154</v>
      </c>
      <c r="H8" s="110">
        <f>Gasto_o_ing_total!G8*1000/Gasto_o_ing_total!G$479</f>
        <v>342.83100835246142</v>
      </c>
      <c r="I8" s="110">
        <f>Gasto_o_ing_total!H8*1000/Gasto_o_ing_total!H$479</f>
        <v>342.83100835246142</v>
      </c>
      <c r="J8" s="110">
        <f>Gasto_o_ing_total!I8*1000/Gasto_o_ing_total!I$479</f>
        <v>342.83100835246142</v>
      </c>
      <c r="K8" s="110">
        <f>Gasto_o_ing_total!J8*1000/Gasto_o_ing_total!J$479</f>
        <v>342.83100835246142</v>
      </c>
      <c r="L8" s="110">
        <f>Gasto_o_ing_total!K8*1000/Gasto_o_ing_total!K$479</f>
        <v>342.83100835246154</v>
      </c>
      <c r="M8" s="110">
        <f>Gasto_o_ing_total!L8*1000/Gasto_o_ing_total!L$479</f>
        <v>342.83100835246142</v>
      </c>
      <c r="N8" s="110">
        <f>Gasto_o_ing_total!M8*1000/Gasto_o_ing_total!M$479</f>
        <v>342.83100835246148</v>
      </c>
      <c r="O8" s="110">
        <f>Gasto_o_ing_total!N8*1000/Gasto_o_ing_total!N$479</f>
        <v>342.83100835246154</v>
      </c>
      <c r="P8" s="110">
        <f>Gasto_o_ing_total!O8*1000/Gasto_o_ing_total!O$479</f>
        <v>342.83100835246148</v>
      </c>
      <c r="Q8" s="110">
        <f>Gasto_o_ing_total!P8*1000/Gasto_o_ing_total!P$479</f>
        <v>342.83100835246148</v>
      </c>
      <c r="R8" s="110">
        <f>Gasto_o_ing_total!Q8*1000/Gasto_o_ing_total!Q$479</f>
        <v>342.83100835246142</v>
      </c>
      <c r="S8" s="110">
        <f>Gasto_o_ing_total!R8*1000/Gasto_o_ing_total!R$479</f>
        <v>342.83100835246148</v>
      </c>
      <c r="T8" s="110">
        <f>Gasto_o_ing_total!S8*1000/Gasto_o_ing_total!S$479</f>
        <v>342.83100835246148</v>
      </c>
      <c r="U8" s="110">
        <f>Gasto_o_ing_total!T8*1000/Gasto_o_ing_total!T$479</f>
        <v>342.83100835246142</v>
      </c>
      <c r="V8" s="110">
        <f>Gasto_o_ing_total!U8*1000/Gasto_o_ing_total!U$479</f>
        <v>342.83100835246142</v>
      </c>
      <c r="W8" s="111"/>
    </row>
    <row r="9" spans="1:23" s="102" customFormat="1">
      <c r="A9" s="353"/>
      <c r="B9" s="115"/>
      <c r="D9" s="110"/>
      <c r="E9" s="110"/>
      <c r="F9" s="110"/>
      <c r="G9" s="110"/>
      <c r="H9" s="110"/>
      <c r="I9" s="110"/>
      <c r="J9" s="110"/>
      <c r="K9" s="110"/>
      <c r="L9" s="110"/>
      <c r="M9" s="110"/>
      <c r="N9" s="110"/>
      <c r="O9" s="110"/>
      <c r="P9" s="110"/>
      <c r="Q9" s="110"/>
      <c r="R9" s="110"/>
      <c r="S9" s="110"/>
      <c r="T9" s="110"/>
      <c r="U9" s="110"/>
      <c r="V9" s="110"/>
      <c r="W9" s="105"/>
    </row>
    <row r="10" spans="1:23" s="102" customFormat="1">
      <c r="A10" s="353"/>
      <c r="B10" s="115"/>
      <c r="C10" s="112" t="s">
        <v>32</v>
      </c>
      <c r="D10" s="113">
        <f>Gasto_o_ing_total!V10*1000/Gasto_o_ing_total!V$479</f>
        <v>10.372701107177376</v>
      </c>
      <c r="E10" s="113">
        <f>Gasto_o_ing_total!D10*1000/Gasto_o_ing_total!D$479</f>
        <v>10.372701107177374</v>
      </c>
      <c r="F10" s="113">
        <f>Gasto_o_ing_total!E10*1000/Gasto_o_ing_total!E$479</f>
        <v>10.372701107177374</v>
      </c>
      <c r="G10" s="113">
        <f>Gasto_o_ing_total!F10*1000/Gasto_o_ing_total!F$479</f>
        <v>10.372701107177376</v>
      </c>
      <c r="H10" s="113">
        <f>Gasto_o_ing_total!G10*1000/Gasto_o_ing_total!G$479</f>
        <v>10.372701107177376</v>
      </c>
      <c r="I10" s="113">
        <f>Gasto_o_ing_total!H10*1000/Gasto_o_ing_total!H$479</f>
        <v>10.372701107177377</v>
      </c>
      <c r="J10" s="113">
        <f>Gasto_o_ing_total!I10*1000/Gasto_o_ing_total!I$479</f>
        <v>10.372701107177376</v>
      </c>
      <c r="K10" s="113">
        <f>Gasto_o_ing_total!J10*1000/Gasto_o_ing_total!J$479</f>
        <v>10.372701107177376</v>
      </c>
      <c r="L10" s="113">
        <f>Gasto_o_ing_total!K10*1000/Gasto_o_ing_total!K$479</f>
        <v>10.372701107177376</v>
      </c>
      <c r="M10" s="113">
        <f>Gasto_o_ing_total!L10*1000/Gasto_o_ing_total!L$479</f>
        <v>10.372701107177372</v>
      </c>
      <c r="N10" s="113">
        <f>Gasto_o_ing_total!M10*1000/Gasto_o_ing_total!M$479</f>
        <v>10.372701107177374</v>
      </c>
      <c r="O10" s="113">
        <f>Gasto_o_ing_total!N10*1000/Gasto_o_ing_total!N$479</f>
        <v>10.372701107177377</v>
      </c>
      <c r="P10" s="113">
        <f>Gasto_o_ing_total!O10*1000/Gasto_o_ing_total!O$479</f>
        <v>10.372701107177376</v>
      </c>
      <c r="Q10" s="113">
        <f>Gasto_o_ing_total!P10*1000/Gasto_o_ing_total!P$479</f>
        <v>10.372701107177377</v>
      </c>
      <c r="R10" s="113">
        <f>Gasto_o_ing_total!Q10*1000/Gasto_o_ing_total!Q$479</f>
        <v>10.372701107177374</v>
      </c>
      <c r="S10" s="113">
        <f>Gasto_o_ing_total!R10*1000/Gasto_o_ing_total!R$479</f>
        <v>10.372701107177376</v>
      </c>
      <c r="T10" s="113">
        <f>Gasto_o_ing_total!S10*1000/Gasto_o_ing_total!S$479</f>
        <v>10.372701107177376</v>
      </c>
      <c r="U10" s="113">
        <f>Gasto_o_ing_total!T10*1000/Gasto_o_ing_total!T$479</f>
        <v>10.372701107177379</v>
      </c>
      <c r="V10" s="113">
        <f>Gasto_o_ing_total!U10*1000/Gasto_o_ing_total!U$479</f>
        <v>10.372701107177374</v>
      </c>
      <c r="W10" s="114"/>
    </row>
    <row r="11" spans="1:23" s="102" customFormat="1">
      <c r="A11" s="355"/>
      <c r="B11" s="115" t="s">
        <v>114</v>
      </c>
      <c r="C11" s="333" t="str">
        <f>VLOOKUP(B11,Tot_res!C:D,2,FALSE)</f>
        <v>Gobierno del poder judicial</v>
      </c>
      <c r="D11" s="336">
        <f>Gasto_o_ing_total!V11*1000/Gasto_o_ing_total!V$479</f>
        <v>0.61629679022798489</v>
      </c>
      <c r="E11" s="336">
        <f>Gasto_o_ing_total!D11*1000/Gasto_o_ing_total!D$479</f>
        <v>0.61629679022798489</v>
      </c>
      <c r="F11" s="336">
        <f>Gasto_o_ing_total!E11*1000/Gasto_o_ing_total!E$479</f>
        <v>0.61629679022798489</v>
      </c>
      <c r="G11" s="336">
        <f>Gasto_o_ing_total!F11*1000/Gasto_o_ing_total!F$479</f>
        <v>0.616296790227985</v>
      </c>
      <c r="H11" s="336">
        <f>Gasto_o_ing_total!G11*1000/Gasto_o_ing_total!G$479</f>
        <v>0.616296790227985</v>
      </c>
      <c r="I11" s="336">
        <f>Gasto_o_ing_total!H11*1000/Gasto_o_ing_total!H$479</f>
        <v>0.61629679022798489</v>
      </c>
      <c r="J11" s="336">
        <f>Gasto_o_ing_total!I11*1000/Gasto_o_ing_total!I$479</f>
        <v>0.61629679022798489</v>
      </c>
      <c r="K11" s="336">
        <f>Gasto_o_ing_total!J11*1000/Gasto_o_ing_total!J$479</f>
        <v>0.61629679022798489</v>
      </c>
      <c r="L11" s="336">
        <f>Gasto_o_ing_total!K11*1000/Gasto_o_ing_total!K$479</f>
        <v>0.616296790227985</v>
      </c>
      <c r="M11" s="336">
        <f>Gasto_o_ing_total!L11*1000/Gasto_o_ing_total!L$479</f>
        <v>0.61629679022798489</v>
      </c>
      <c r="N11" s="336">
        <f>Gasto_o_ing_total!M11*1000/Gasto_o_ing_total!M$479</f>
        <v>0.616296790227985</v>
      </c>
      <c r="O11" s="336">
        <f>Gasto_o_ing_total!N11*1000/Gasto_o_ing_total!N$479</f>
        <v>0.61629679022798489</v>
      </c>
      <c r="P11" s="336">
        <f>Gasto_o_ing_total!O11*1000/Gasto_o_ing_total!O$479</f>
        <v>0.61629679022798489</v>
      </c>
      <c r="Q11" s="336">
        <f>Gasto_o_ing_total!P11*1000/Gasto_o_ing_total!P$479</f>
        <v>0.61629679022798489</v>
      </c>
      <c r="R11" s="336">
        <f>Gasto_o_ing_total!Q11*1000/Gasto_o_ing_total!Q$479</f>
        <v>0.61629679022798478</v>
      </c>
      <c r="S11" s="336">
        <f>Gasto_o_ing_total!R11*1000/Gasto_o_ing_total!R$479</f>
        <v>0.616296790227985</v>
      </c>
      <c r="T11" s="336">
        <f>Gasto_o_ing_total!S11*1000/Gasto_o_ing_total!S$479</f>
        <v>0.61629679022798489</v>
      </c>
      <c r="U11" s="336">
        <f>Gasto_o_ing_total!T11*1000/Gasto_o_ing_total!T$479</f>
        <v>0.61629679022798489</v>
      </c>
      <c r="V11" s="336">
        <f>Gasto_o_ing_total!U11*1000/Gasto_o_ing_total!U$479</f>
        <v>0.61629679022798489</v>
      </c>
      <c r="W11" s="105"/>
    </row>
    <row r="12" spans="1:23" s="102" customFormat="1">
      <c r="A12" s="355"/>
      <c r="B12" s="115" t="s">
        <v>115</v>
      </c>
      <c r="C12" s="333" t="str">
        <f>VLOOKUP(B12,Tot_res!C:D,2,FALSE)</f>
        <v>Selección y formación de jueces</v>
      </c>
      <c r="D12" s="336">
        <f>Gasto_o_ing_total!V12*1000/Gasto_o_ing_total!V$479</f>
        <v>0.35965125209789828</v>
      </c>
      <c r="E12" s="336">
        <f>Gasto_o_ing_total!D12*1000/Gasto_o_ing_total!D$479</f>
        <v>0.35965125209789822</v>
      </c>
      <c r="F12" s="336">
        <f>Gasto_o_ing_total!E12*1000/Gasto_o_ing_total!E$479</f>
        <v>0.35965125209789822</v>
      </c>
      <c r="G12" s="336">
        <f>Gasto_o_ing_total!F12*1000/Gasto_o_ing_total!F$479</f>
        <v>0.35965125209789822</v>
      </c>
      <c r="H12" s="336">
        <f>Gasto_o_ing_total!G12*1000/Gasto_o_ing_total!G$479</f>
        <v>0.35965125209789822</v>
      </c>
      <c r="I12" s="336">
        <f>Gasto_o_ing_total!H12*1000/Gasto_o_ing_total!H$479</f>
        <v>0.35965125209789822</v>
      </c>
      <c r="J12" s="336">
        <f>Gasto_o_ing_total!I12*1000/Gasto_o_ing_total!I$479</f>
        <v>0.35965125209789828</v>
      </c>
      <c r="K12" s="336">
        <f>Gasto_o_ing_total!J12*1000/Gasto_o_ing_total!J$479</f>
        <v>0.35965125209789828</v>
      </c>
      <c r="L12" s="336">
        <f>Gasto_o_ing_total!K12*1000/Gasto_o_ing_total!K$479</f>
        <v>0.35965125209789822</v>
      </c>
      <c r="M12" s="336">
        <f>Gasto_o_ing_total!L12*1000/Gasto_o_ing_total!L$479</f>
        <v>0.35965125209789828</v>
      </c>
      <c r="N12" s="336">
        <f>Gasto_o_ing_total!M12*1000/Gasto_o_ing_total!M$479</f>
        <v>0.35965125209789822</v>
      </c>
      <c r="O12" s="336">
        <f>Gasto_o_ing_total!N12*1000/Gasto_o_ing_total!N$479</f>
        <v>0.35965125209789822</v>
      </c>
      <c r="P12" s="336">
        <f>Gasto_o_ing_total!O12*1000/Gasto_o_ing_total!O$479</f>
        <v>0.35965125209789822</v>
      </c>
      <c r="Q12" s="336">
        <f>Gasto_o_ing_total!P12*1000/Gasto_o_ing_total!P$479</f>
        <v>0.35965125209789822</v>
      </c>
      <c r="R12" s="336">
        <f>Gasto_o_ing_total!Q12*1000/Gasto_o_ing_total!Q$479</f>
        <v>0.35965125209789822</v>
      </c>
      <c r="S12" s="336">
        <f>Gasto_o_ing_total!R12*1000/Gasto_o_ing_total!R$479</f>
        <v>0.35965125209789828</v>
      </c>
      <c r="T12" s="336">
        <f>Gasto_o_ing_total!S12*1000/Gasto_o_ing_total!S$479</f>
        <v>0.35965125209789828</v>
      </c>
      <c r="U12" s="336">
        <f>Gasto_o_ing_total!T12*1000/Gasto_o_ing_total!T$479</f>
        <v>0.35965125209789828</v>
      </c>
      <c r="V12" s="336">
        <f>Gasto_o_ing_total!U12*1000/Gasto_o_ing_total!U$479</f>
        <v>0.35965125209789822</v>
      </c>
      <c r="W12" s="105"/>
    </row>
    <row r="13" spans="1:23" s="102" customFormat="1">
      <c r="A13" s="355"/>
      <c r="B13" s="115" t="s">
        <v>116</v>
      </c>
      <c r="C13" s="333" t="str">
        <f>VLOOKUP(B13,Tot_res!C:D,2,FALSE)</f>
        <v>Documentación y publicaciones judiciales</v>
      </c>
      <c r="D13" s="336">
        <f>Gasto_o_ing_total!V13*1000/Gasto_o_ing_total!V$479</f>
        <v>0.16251006793060324</v>
      </c>
      <c r="E13" s="336">
        <f>Gasto_o_ing_total!D13*1000/Gasto_o_ing_total!D$479</f>
        <v>0.16251006793060327</v>
      </c>
      <c r="F13" s="336">
        <f>Gasto_o_ing_total!E13*1000/Gasto_o_ing_total!E$479</f>
        <v>0.16251006793060327</v>
      </c>
      <c r="G13" s="336">
        <f>Gasto_o_ing_total!F13*1000/Gasto_o_ing_total!F$479</f>
        <v>0.1625100679306033</v>
      </c>
      <c r="H13" s="336">
        <f>Gasto_o_ing_total!G13*1000/Gasto_o_ing_total!G$479</f>
        <v>0.16251006793060327</v>
      </c>
      <c r="I13" s="336">
        <f>Gasto_o_ing_total!H13*1000/Gasto_o_ing_total!H$479</f>
        <v>0.16251006793060327</v>
      </c>
      <c r="J13" s="336">
        <f>Gasto_o_ing_total!I13*1000/Gasto_o_ing_total!I$479</f>
        <v>0.16251006793060327</v>
      </c>
      <c r="K13" s="336">
        <f>Gasto_o_ing_total!J13*1000/Gasto_o_ing_total!J$479</f>
        <v>0.16251006793060327</v>
      </c>
      <c r="L13" s="336">
        <f>Gasto_o_ing_total!K13*1000/Gasto_o_ing_total!K$479</f>
        <v>0.16251006793060327</v>
      </c>
      <c r="M13" s="336">
        <f>Gasto_o_ing_total!L13*1000/Gasto_o_ing_total!L$479</f>
        <v>0.16251006793060327</v>
      </c>
      <c r="N13" s="336">
        <f>Gasto_o_ing_total!M13*1000/Gasto_o_ing_total!M$479</f>
        <v>0.16251006793060327</v>
      </c>
      <c r="O13" s="336">
        <f>Gasto_o_ing_total!N13*1000/Gasto_o_ing_total!N$479</f>
        <v>0.16251006793060327</v>
      </c>
      <c r="P13" s="336">
        <f>Gasto_o_ing_total!O13*1000/Gasto_o_ing_total!O$479</f>
        <v>0.16251006793060327</v>
      </c>
      <c r="Q13" s="336">
        <f>Gasto_o_ing_total!P13*1000/Gasto_o_ing_total!P$479</f>
        <v>0.16251006793060327</v>
      </c>
      <c r="R13" s="336">
        <f>Gasto_o_ing_total!Q13*1000/Gasto_o_ing_total!Q$479</f>
        <v>0.16251006793060327</v>
      </c>
      <c r="S13" s="336">
        <f>Gasto_o_ing_total!R13*1000/Gasto_o_ing_total!R$479</f>
        <v>0.16251006793060327</v>
      </c>
      <c r="T13" s="336">
        <f>Gasto_o_ing_total!S13*1000/Gasto_o_ing_total!S$479</f>
        <v>0.1625100679306033</v>
      </c>
      <c r="U13" s="336">
        <f>Gasto_o_ing_total!T13*1000/Gasto_o_ing_total!T$479</f>
        <v>0.16251006793060327</v>
      </c>
      <c r="V13" s="336">
        <f>Gasto_o_ing_total!U13*1000/Gasto_o_ing_total!U$479</f>
        <v>0.16251006793060327</v>
      </c>
      <c r="W13" s="105"/>
    </row>
    <row r="14" spans="1:23" s="102" customFormat="1">
      <c r="A14" s="355"/>
      <c r="B14" s="115" t="s">
        <v>117</v>
      </c>
      <c r="C14" s="333" t="str">
        <f>VLOOKUP(B14,Tot_res!C:D,2,FALSE)</f>
        <v>Jefatura del estado</v>
      </c>
      <c r="D14" s="336">
        <f>Gasto_o_ing_total!V14*1000/Gasto_o_ing_total!V$479</f>
        <v>0.16898008590397701</v>
      </c>
      <c r="E14" s="336">
        <f>Gasto_o_ing_total!D14*1000/Gasto_o_ing_total!D$479</f>
        <v>0.16898008590397703</v>
      </c>
      <c r="F14" s="336">
        <f>Gasto_o_ing_total!E14*1000/Gasto_o_ing_total!E$479</f>
        <v>0.16898008590397703</v>
      </c>
      <c r="G14" s="336">
        <f>Gasto_o_ing_total!F14*1000/Gasto_o_ing_total!F$479</f>
        <v>0.16898008590397703</v>
      </c>
      <c r="H14" s="336">
        <f>Gasto_o_ing_total!G14*1000/Gasto_o_ing_total!G$479</f>
        <v>0.16898008590397703</v>
      </c>
      <c r="I14" s="336">
        <f>Gasto_o_ing_total!H14*1000/Gasto_o_ing_total!H$479</f>
        <v>0.16898008590397703</v>
      </c>
      <c r="J14" s="336">
        <f>Gasto_o_ing_total!I14*1000/Gasto_o_ing_total!I$479</f>
        <v>0.16898008590397703</v>
      </c>
      <c r="K14" s="336">
        <f>Gasto_o_ing_total!J14*1000/Gasto_o_ing_total!J$479</f>
        <v>0.16898008590397703</v>
      </c>
      <c r="L14" s="336">
        <f>Gasto_o_ing_total!K14*1000/Gasto_o_ing_total!K$479</f>
        <v>0.16898008590397706</v>
      </c>
      <c r="M14" s="336">
        <f>Gasto_o_ing_total!L14*1000/Gasto_o_ing_total!L$479</f>
        <v>0.16898008590397706</v>
      </c>
      <c r="N14" s="336">
        <f>Gasto_o_ing_total!M14*1000/Gasto_o_ing_total!M$479</f>
        <v>0.16898008590397706</v>
      </c>
      <c r="O14" s="336">
        <f>Gasto_o_ing_total!N14*1000/Gasto_o_ing_total!N$479</f>
        <v>0.16898008590397703</v>
      </c>
      <c r="P14" s="336">
        <f>Gasto_o_ing_total!O14*1000/Gasto_o_ing_total!O$479</f>
        <v>0.16898008590397703</v>
      </c>
      <c r="Q14" s="336">
        <f>Gasto_o_ing_total!P14*1000/Gasto_o_ing_total!P$479</f>
        <v>0.16898008590397706</v>
      </c>
      <c r="R14" s="336">
        <f>Gasto_o_ing_total!Q14*1000/Gasto_o_ing_total!Q$479</f>
        <v>0.16898008590397701</v>
      </c>
      <c r="S14" s="336">
        <f>Gasto_o_ing_total!R14*1000/Gasto_o_ing_total!R$479</f>
        <v>0.16898008590397706</v>
      </c>
      <c r="T14" s="336">
        <f>Gasto_o_ing_total!S14*1000/Gasto_o_ing_total!S$479</f>
        <v>0.16898008590397706</v>
      </c>
      <c r="U14" s="336">
        <f>Gasto_o_ing_total!T14*1000/Gasto_o_ing_total!T$479</f>
        <v>0.16898008590397706</v>
      </c>
      <c r="V14" s="336">
        <f>Gasto_o_ing_total!U14*1000/Gasto_o_ing_total!U$479</f>
        <v>0.16898008590397703</v>
      </c>
      <c r="W14" s="105"/>
    </row>
    <row r="15" spans="1:23" s="102" customFormat="1">
      <c r="A15" s="355"/>
      <c r="B15" s="115" t="s">
        <v>118</v>
      </c>
      <c r="C15" s="333" t="str">
        <f>VLOOKUP(B15,Tot_res!C:D,2,FALSE)</f>
        <v>Actividad legislativa</v>
      </c>
      <c r="D15" s="336">
        <f>Gasto_o_ing_total!V15*1000/Gasto_o_ing_total!V$479</f>
        <v>4.2888310900304027</v>
      </c>
      <c r="E15" s="336">
        <f>Gasto_o_ing_total!D15*1000/Gasto_o_ing_total!D$479</f>
        <v>4.2888310900304019</v>
      </c>
      <c r="F15" s="336">
        <f>Gasto_o_ing_total!E15*1000/Gasto_o_ing_total!E$479</f>
        <v>4.2888310900304019</v>
      </c>
      <c r="G15" s="336">
        <f>Gasto_o_ing_total!F15*1000/Gasto_o_ing_total!F$479</f>
        <v>4.2888310900304027</v>
      </c>
      <c r="H15" s="336">
        <f>Gasto_o_ing_total!G15*1000/Gasto_o_ing_total!G$479</f>
        <v>4.2888310900304027</v>
      </c>
      <c r="I15" s="336">
        <f>Gasto_o_ing_total!H15*1000/Gasto_o_ing_total!H$479</f>
        <v>4.2888310900304027</v>
      </c>
      <c r="J15" s="336">
        <f>Gasto_o_ing_total!I15*1000/Gasto_o_ing_total!I$479</f>
        <v>4.2888310900304027</v>
      </c>
      <c r="K15" s="336">
        <f>Gasto_o_ing_total!J15*1000/Gasto_o_ing_total!J$479</f>
        <v>4.2888310900304027</v>
      </c>
      <c r="L15" s="336">
        <f>Gasto_o_ing_total!K15*1000/Gasto_o_ing_total!K$479</f>
        <v>4.2888310900304027</v>
      </c>
      <c r="M15" s="336">
        <f>Gasto_o_ing_total!L15*1000/Gasto_o_ing_total!L$479</f>
        <v>4.2888310900304027</v>
      </c>
      <c r="N15" s="336">
        <f>Gasto_o_ing_total!M15*1000/Gasto_o_ing_total!M$479</f>
        <v>4.2888310900304027</v>
      </c>
      <c r="O15" s="336">
        <f>Gasto_o_ing_total!N15*1000/Gasto_o_ing_total!N$479</f>
        <v>4.2888310900304027</v>
      </c>
      <c r="P15" s="336">
        <f>Gasto_o_ing_total!O15*1000/Gasto_o_ing_total!O$479</f>
        <v>4.2888310900304027</v>
      </c>
      <c r="Q15" s="336">
        <f>Gasto_o_ing_total!P15*1000/Gasto_o_ing_total!P$479</f>
        <v>4.2888310900304027</v>
      </c>
      <c r="R15" s="336">
        <f>Gasto_o_ing_total!Q15*1000/Gasto_o_ing_total!Q$479</f>
        <v>4.2888310900304027</v>
      </c>
      <c r="S15" s="336">
        <f>Gasto_o_ing_total!R15*1000/Gasto_o_ing_total!R$479</f>
        <v>4.2888310900304027</v>
      </c>
      <c r="T15" s="336">
        <f>Gasto_o_ing_total!S15*1000/Gasto_o_ing_total!S$479</f>
        <v>4.2888310900304027</v>
      </c>
      <c r="U15" s="336">
        <f>Gasto_o_ing_total!T15*1000/Gasto_o_ing_total!T$479</f>
        <v>4.2888310900304027</v>
      </c>
      <c r="V15" s="336">
        <f>Gasto_o_ing_total!U15*1000/Gasto_o_ing_total!U$479</f>
        <v>4.2888310900304019</v>
      </c>
      <c r="W15" s="105"/>
    </row>
    <row r="16" spans="1:23" s="102" customFormat="1">
      <c r="A16" s="355"/>
      <c r="B16" s="115" t="s">
        <v>120</v>
      </c>
      <c r="C16" s="333" t="str">
        <f>VLOOKUP(B16,Tot_res!C:D,2,FALSE)</f>
        <v>Control externo del sector público</v>
      </c>
      <c r="D16" s="336">
        <f>Gasto_o_ing_total!V16*1000/Gasto_o_ing_total!V$479</f>
        <v>1.2198196419885239</v>
      </c>
      <c r="E16" s="336">
        <f>Gasto_o_ing_total!D16*1000/Gasto_o_ing_total!D$479</f>
        <v>1.2198196419885243</v>
      </c>
      <c r="F16" s="336">
        <f>Gasto_o_ing_total!E16*1000/Gasto_o_ing_total!E$479</f>
        <v>1.2198196419885241</v>
      </c>
      <c r="G16" s="336">
        <f>Gasto_o_ing_total!F16*1000/Gasto_o_ing_total!F$479</f>
        <v>1.2198196419885241</v>
      </c>
      <c r="H16" s="336">
        <f>Gasto_o_ing_total!G16*1000/Gasto_o_ing_total!G$479</f>
        <v>1.2198196419885241</v>
      </c>
      <c r="I16" s="336">
        <f>Gasto_o_ing_total!H16*1000/Gasto_o_ing_total!H$479</f>
        <v>1.2198196419885243</v>
      </c>
      <c r="J16" s="336">
        <f>Gasto_o_ing_total!I16*1000/Gasto_o_ing_total!I$479</f>
        <v>1.2198196419885241</v>
      </c>
      <c r="K16" s="336">
        <f>Gasto_o_ing_total!J16*1000/Gasto_o_ing_total!J$479</f>
        <v>1.2198196419885243</v>
      </c>
      <c r="L16" s="336">
        <f>Gasto_o_ing_total!K16*1000/Gasto_o_ing_total!K$479</f>
        <v>1.2198196419885243</v>
      </c>
      <c r="M16" s="336">
        <f>Gasto_o_ing_total!L16*1000/Gasto_o_ing_total!L$479</f>
        <v>1.2198196419885243</v>
      </c>
      <c r="N16" s="336">
        <f>Gasto_o_ing_total!M16*1000/Gasto_o_ing_total!M$479</f>
        <v>1.2198196419885243</v>
      </c>
      <c r="O16" s="336">
        <f>Gasto_o_ing_total!N16*1000/Gasto_o_ing_total!N$479</f>
        <v>1.2198196419885243</v>
      </c>
      <c r="P16" s="336">
        <f>Gasto_o_ing_total!O16*1000/Gasto_o_ing_total!O$479</f>
        <v>1.2198196419885241</v>
      </c>
      <c r="Q16" s="336">
        <f>Gasto_o_ing_total!P16*1000/Gasto_o_ing_total!P$479</f>
        <v>1.2198196419885243</v>
      </c>
      <c r="R16" s="336">
        <f>Gasto_o_ing_total!Q16*1000/Gasto_o_ing_total!Q$479</f>
        <v>1.2198196419885241</v>
      </c>
      <c r="S16" s="336">
        <f>Gasto_o_ing_total!R16*1000/Gasto_o_ing_total!R$479</f>
        <v>1.2198196419885243</v>
      </c>
      <c r="T16" s="336">
        <f>Gasto_o_ing_total!S16*1000/Gasto_o_ing_total!S$479</f>
        <v>1.2198196419885243</v>
      </c>
      <c r="U16" s="336">
        <f>Gasto_o_ing_total!T16*1000/Gasto_o_ing_total!T$479</f>
        <v>1.2198196419885243</v>
      </c>
      <c r="V16" s="336">
        <f>Gasto_o_ing_total!U16*1000/Gasto_o_ing_total!U$479</f>
        <v>1.2198196419885241</v>
      </c>
      <c r="W16" s="105"/>
    </row>
    <row r="17" spans="1:23" s="102" customFormat="1">
      <c r="A17" s="355"/>
      <c r="B17" s="115" t="s">
        <v>121</v>
      </c>
      <c r="C17" s="333" t="str">
        <f>VLOOKUP(B17,Tot_res!C:D,2,FALSE)</f>
        <v>Control constitucional</v>
      </c>
      <c r="D17" s="336">
        <f>Gasto_o_ing_total!V17*1000/Gasto_o_ing_total!V$479</f>
        <v>0.45331682142590762</v>
      </c>
      <c r="E17" s="336">
        <f>Gasto_o_ing_total!D17*1000/Gasto_o_ing_total!D$479</f>
        <v>0.45331682142590751</v>
      </c>
      <c r="F17" s="336">
        <f>Gasto_o_ing_total!E17*1000/Gasto_o_ing_total!E$479</f>
        <v>0.45331682142590746</v>
      </c>
      <c r="G17" s="336">
        <f>Gasto_o_ing_total!F17*1000/Gasto_o_ing_total!F$479</f>
        <v>0.45331682142590757</v>
      </c>
      <c r="H17" s="336">
        <f>Gasto_o_ing_total!G17*1000/Gasto_o_ing_total!G$479</f>
        <v>0.45331682142590751</v>
      </c>
      <c r="I17" s="336">
        <f>Gasto_o_ing_total!H17*1000/Gasto_o_ing_total!H$479</f>
        <v>0.45331682142590757</v>
      </c>
      <c r="J17" s="336">
        <f>Gasto_o_ing_total!I17*1000/Gasto_o_ing_total!I$479</f>
        <v>0.45331682142590762</v>
      </c>
      <c r="K17" s="336">
        <f>Gasto_o_ing_total!J17*1000/Gasto_o_ing_total!J$479</f>
        <v>0.45331682142590757</v>
      </c>
      <c r="L17" s="336">
        <f>Gasto_o_ing_total!K17*1000/Gasto_o_ing_total!K$479</f>
        <v>0.45331682142590757</v>
      </c>
      <c r="M17" s="336">
        <f>Gasto_o_ing_total!L17*1000/Gasto_o_ing_total!L$479</f>
        <v>0.45331682142590757</v>
      </c>
      <c r="N17" s="336">
        <f>Gasto_o_ing_total!M17*1000/Gasto_o_ing_total!M$479</f>
        <v>0.45331682142590757</v>
      </c>
      <c r="O17" s="336">
        <f>Gasto_o_ing_total!N17*1000/Gasto_o_ing_total!N$479</f>
        <v>0.45331682142590751</v>
      </c>
      <c r="P17" s="336">
        <f>Gasto_o_ing_total!O17*1000/Gasto_o_ing_total!O$479</f>
        <v>0.45331682142590746</v>
      </c>
      <c r="Q17" s="336">
        <f>Gasto_o_ing_total!P17*1000/Gasto_o_ing_total!P$479</f>
        <v>0.45331682142590751</v>
      </c>
      <c r="R17" s="336">
        <f>Gasto_o_ing_total!Q17*1000/Gasto_o_ing_total!Q$479</f>
        <v>0.45331682142590751</v>
      </c>
      <c r="S17" s="336">
        <f>Gasto_o_ing_total!R17*1000/Gasto_o_ing_total!R$479</f>
        <v>0.45331682142590757</v>
      </c>
      <c r="T17" s="336">
        <f>Gasto_o_ing_total!S17*1000/Gasto_o_ing_total!S$479</f>
        <v>0.45331682142590757</v>
      </c>
      <c r="U17" s="336">
        <f>Gasto_o_ing_total!T17*1000/Gasto_o_ing_total!T$479</f>
        <v>0.45331682142590751</v>
      </c>
      <c r="V17" s="336">
        <f>Gasto_o_ing_total!U17*1000/Gasto_o_ing_total!U$479</f>
        <v>0.45331682142590751</v>
      </c>
      <c r="W17" s="105"/>
    </row>
    <row r="18" spans="1:23" s="102" customFormat="1">
      <c r="A18" s="355"/>
      <c r="B18" s="115" t="s">
        <v>122</v>
      </c>
      <c r="C18" s="333" t="str">
        <f>VLOOKUP(B18,Tot_res!C:D,2,FALSE)</f>
        <v>Apoyo a la gestión administrativa de la jefatura del estado</v>
      </c>
      <c r="D18" s="336">
        <f>Gasto_o_ing_total!V18*1000/Gasto_o_ing_total!V$479</f>
        <v>0.12571390093264484</v>
      </c>
      <c r="E18" s="336">
        <f>Gasto_o_ing_total!D18*1000/Gasto_o_ing_total!D$479</f>
        <v>0.12571390093264484</v>
      </c>
      <c r="F18" s="336">
        <f>Gasto_o_ing_total!E18*1000/Gasto_o_ing_total!E$479</f>
        <v>0.12571390093264484</v>
      </c>
      <c r="G18" s="336">
        <f>Gasto_o_ing_total!F18*1000/Gasto_o_ing_total!F$479</f>
        <v>0.12571390093264487</v>
      </c>
      <c r="H18" s="336">
        <f>Gasto_o_ing_total!G18*1000/Gasto_o_ing_total!G$479</f>
        <v>0.12571390093264481</v>
      </c>
      <c r="I18" s="336">
        <f>Gasto_o_ing_total!H18*1000/Gasto_o_ing_total!H$479</f>
        <v>0.12571390093264484</v>
      </c>
      <c r="J18" s="336">
        <f>Gasto_o_ing_total!I18*1000/Gasto_o_ing_total!I$479</f>
        <v>0.12571390093264487</v>
      </c>
      <c r="K18" s="336">
        <f>Gasto_o_ing_total!J18*1000/Gasto_o_ing_total!J$479</f>
        <v>0.12571390093264484</v>
      </c>
      <c r="L18" s="336">
        <f>Gasto_o_ing_total!K18*1000/Gasto_o_ing_total!K$479</f>
        <v>0.12571390093264484</v>
      </c>
      <c r="M18" s="336">
        <f>Gasto_o_ing_total!L18*1000/Gasto_o_ing_total!L$479</f>
        <v>0.12571390093264484</v>
      </c>
      <c r="N18" s="336">
        <f>Gasto_o_ing_total!M18*1000/Gasto_o_ing_total!M$479</f>
        <v>0.12571390093264484</v>
      </c>
      <c r="O18" s="336">
        <f>Gasto_o_ing_total!N18*1000/Gasto_o_ing_total!N$479</f>
        <v>0.12571390093264484</v>
      </c>
      <c r="P18" s="336">
        <f>Gasto_o_ing_total!O18*1000/Gasto_o_ing_total!O$479</f>
        <v>0.12571390093264484</v>
      </c>
      <c r="Q18" s="336">
        <f>Gasto_o_ing_total!P18*1000/Gasto_o_ing_total!P$479</f>
        <v>0.12571390093264484</v>
      </c>
      <c r="R18" s="336">
        <f>Gasto_o_ing_total!Q18*1000/Gasto_o_ing_total!Q$479</f>
        <v>0.12571390093264484</v>
      </c>
      <c r="S18" s="336">
        <f>Gasto_o_ing_total!R18*1000/Gasto_o_ing_total!R$479</f>
        <v>0.12571390093264484</v>
      </c>
      <c r="T18" s="336">
        <f>Gasto_o_ing_total!S18*1000/Gasto_o_ing_total!S$479</f>
        <v>0.12571390093264484</v>
      </c>
      <c r="U18" s="336">
        <f>Gasto_o_ing_total!T18*1000/Gasto_o_ing_total!T$479</f>
        <v>0.12571390093264484</v>
      </c>
      <c r="V18" s="336">
        <f>Gasto_o_ing_total!U18*1000/Gasto_o_ing_total!U$479</f>
        <v>0.12571390093264484</v>
      </c>
      <c r="W18" s="105"/>
    </row>
    <row r="19" spans="1:23" s="102" customFormat="1">
      <c r="A19" s="355"/>
      <c r="B19" s="115" t="s">
        <v>123</v>
      </c>
      <c r="C19" s="333" t="str">
        <f>VLOOKUP(B19,Tot_res!C:D,2,FALSE)</f>
        <v>Presidencia del gobierno</v>
      </c>
      <c r="D19" s="336">
        <f>Gasto_o_ing_total!V19*1000/Gasto_o_ing_total!V$479</f>
        <v>0.72810145786966296</v>
      </c>
      <c r="E19" s="336">
        <f>Gasto_o_ing_total!D19*1000/Gasto_o_ing_total!D$479</f>
        <v>0.72810145786966285</v>
      </c>
      <c r="F19" s="336">
        <f>Gasto_o_ing_total!E19*1000/Gasto_o_ing_total!E$479</f>
        <v>0.72810145786966285</v>
      </c>
      <c r="G19" s="336">
        <f>Gasto_o_ing_total!F19*1000/Gasto_o_ing_total!F$479</f>
        <v>0.72810145786966296</v>
      </c>
      <c r="H19" s="336">
        <f>Gasto_o_ing_total!G19*1000/Gasto_o_ing_total!G$479</f>
        <v>0.72810145786966274</v>
      </c>
      <c r="I19" s="336">
        <f>Gasto_o_ing_total!H19*1000/Gasto_o_ing_total!H$479</f>
        <v>0.72810145786966296</v>
      </c>
      <c r="J19" s="336">
        <f>Gasto_o_ing_total!I19*1000/Gasto_o_ing_total!I$479</f>
        <v>0.72810145786966285</v>
      </c>
      <c r="K19" s="336">
        <f>Gasto_o_ing_total!J19*1000/Gasto_o_ing_total!J$479</f>
        <v>0.72810145786966296</v>
      </c>
      <c r="L19" s="336">
        <f>Gasto_o_ing_total!K19*1000/Gasto_o_ing_total!K$479</f>
        <v>0.72810145786966296</v>
      </c>
      <c r="M19" s="336">
        <f>Gasto_o_ing_total!L19*1000/Gasto_o_ing_total!L$479</f>
        <v>0.72810145786966285</v>
      </c>
      <c r="N19" s="336">
        <f>Gasto_o_ing_total!M19*1000/Gasto_o_ing_total!M$479</f>
        <v>0.72810145786966296</v>
      </c>
      <c r="O19" s="336">
        <f>Gasto_o_ing_total!N19*1000/Gasto_o_ing_total!N$479</f>
        <v>0.72810145786966285</v>
      </c>
      <c r="P19" s="336">
        <f>Gasto_o_ing_total!O19*1000/Gasto_o_ing_total!O$479</f>
        <v>0.72810145786966285</v>
      </c>
      <c r="Q19" s="336">
        <f>Gasto_o_ing_total!P19*1000/Gasto_o_ing_total!P$479</f>
        <v>0.72810145786966285</v>
      </c>
      <c r="R19" s="336">
        <f>Gasto_o_ing_total!Q19*1000/Gasto_o_ing_total!Q$479</f>
        <v>0.72810145786966274</v>
      </c>
      <c r="S19" s="336">
        <f>Gasto_o_ing_total!R19*1000/Gasto_o_ing_total!R$479</f>
        <v>0.72810145786966285</v>
      </c>
      <c r="T19" s="336">
        <f>Gasto_o_ing_total!S19*1000/Gasto_o_ing_total!S$479</f>
        <v>0.72810145786966285</v>
      </c>
      <c r="U19" s="336">
        <f>Gasto_o_ing_total!T19*1000/Gasto_o_ing_total!T$479</f>
        <v>0.72810145786966285</v>
      </c>
      <c r="V19" s="336">
        <f>Gasto_o_ing_total!U19*1000/Gasto_o_ing_total!U$479</f>
        <v>0.72810145786966285</v>
      </c>
      <c r="W19" s="105"/>
    </row>
    <row r="20" spans="1:23" s="102" customFormat="1">
      <c r="A20" s="355"/>
      <c r="B20" s="115" t="s">
        <v>124</v>
      </c>
      <c r="C20" s="333" t="str">
        <f>VLOOKUP(B20,Tot_res!C:D,2,FALSE)</f>
        <v>Alto asesoramiento del estado</v>
      </c>
      <c r="D20" s="336">
        <f>Gasto_o_ing_total!V20*1000/Gasto_o_ing_total!V$479</f>
        <v>0.17634952825484812</v>
      </c>
      <c r="E20" s="336">
        <f>Gasto_o_ing_total!D20*1000/Gasto_o_ing_total!D$479</f>
        <v>0.17634952825484815</v>
      </c>
      <c r="F20" s="336">
        <f>Gasto_o_ing_total!E20*1000/Gasto_o_ing_total!E$479</f>
        <v>0.17634952825484812</v>
      </c>
      <c r="G20" s="336">
        <f>Gasto_o_ing_total!F20*1000/Gasto_o_ing_total!F$479</f>
        <v>0.17634952825484815</v>
      </c>
      <c r="H20" s="336">
        <f>Gasto_o_ing_total!G20*1000/Gasto_o_ing_total!G$479</f>
        <v>0.17634952825484812</v>
      </c>
      <c r="I20" s="336">
        <f>Gasto_o_ing_total!H20*1000/Gasto_o_ing_total!H$479</f>
        <v>0.17634952825484818</v>
      </c>
      <c r="J20" s="336">
        <f>Gasto_o_ing_total!I20*1000/Gasto_o_ing_total!I$479</f>
        <v>0.17634952825484818</v>
      </c>
      <c r="K20" s="336">
        <f>Gasto_o_ing_total!J20*1000/Gasto_o_ing_total!J$479</f>
        <v>0.17634952825484818</v>
      </c>
      <c r="L20" s="336">
        <f>Gasto_o_ing_total!K20*1000/Gasto_o_ing_total!K$479</f>
        <v>0.17634952825484815</v>
      </c>
      <c r="M20" s="336">
        <f>Gasto_o_ing_total!L20*1000/Gasto_o_ing_total!L$479</f>
        <v>0.17634952825484815</v>
      </c>
      <c r="N20" s="336">
        <f>Gasto_o_ing_total!M20*1000/Gasto_o_ing_total!M$479</f>
        <v>0.17634952825484815</v>
      </c>
      <c r="O20" s="336">
        <f>Gasto_o_ing_total!N20*1000/Gasto_o_ing_total!N$479</f>
        <v>0.17634952825484812</v>
      </c>
      <c r="P20" s="336">
        <f>Gasto_o_ing_total!O20*1000/Gasto_o_ing_total!O$479</f>
        <v>0.17634952825484815</v>
      </c>
      <c r="Q20" s="336">
        <f>Gasto_o_ing_total!P20*1000/Gasto_o_ing_total!P$479</f>
        <v>0.17634952825484812</v>
      </c>
      <c r="R20" s="336">
        <f>Gasto_o_ing_total!Q20*1000/Gasto_o_ing_total!Q$479</f>
        <v>0.17634952825484812</v>
      </c>
      <c r="S20" s="336">
        <f>Gasto_o_ing_total!R20*1000/Gasto_o_ing_total!R$479</f>
        <v>0.17634952825484815</v>
      </c>
      <c r="T20" s="336">
        <f>Gasto_o_ing_total!S20*1000/Gasto_o_ing_total!S$479</f>
        <v>0.17634952825484815</v>
      </c>
      <c r="U20" s="336">
        <f>Gasto_o_ing_total!T20*1000/Gasto_o_ing_total!T$479</f>
        <v>0.17634952825484818</v>
      </c>
      <c r="V20" s="336">
        <f>Gasto_o_ing_total!U20*1000/Gasto_o_ing_total!U$479</f>
        <v>0.17634952825484815</v>
      </c>
      <c r="W20" s="105"/>
    </row>
    <row r="21" spans="1:23" s="102" customFormat="1">
      <c r="A21" s="355"/>
      <c r="B21" s="115" t="s">
        <v>125</v>
      </c>
      <c r="C21" s="333" t="str">
        <f>VLOOKUP(B21,Tot_res!C:D,2,FALSE)</f>
        <v>Relaciones con las cortes generales, secretariado del gobierno y apoyo a la alta dirección</v>
      </c>
      <c r="D21" s="336">
        <f>Gasto_o_ing_total!V21*1000/Gasto_o_ing_total!V$479</f>
        <v>0.66865459587043918</v>
      </c>
      <c r="E21" s="336">
        <f>Gasto_o_ing_total!D21*1000/Gasto_o_ing_total!D$479</f>
        <v>0.66865459587043907</v>
      </c>
      <c r="F21" s="336">
        <f>Gasto_o_ing_total!E21*1000/Gasto_o_ing_total!E$479</f>
        <v>0.66865459587043918</v>
      </c>
      <c r="G21" s="336">
        <f>Gasto_o_ing_total!F21*1000/Gasto_o_ing_total!F$479</f>
        <v>0.66865459587043929</v>
      </c>
      <c r="H21" s="336">
        <f>Gasto_o_ing_total!G21*1000/Gasto_o_ing_total!G$479</f>
        <v>0.66865459587043918</v>
      </c>
      <c r="I21" s="336">
        <f>Gasto_o_ing_total!H21*1000/Gasto_o_ing_total!H$479</f>
        <v>0.66865459587043929</v>
      </c>
      <c r="J21" s="336">
        <f>Gasto_o_ing_total!I21*1000/Gasto_o_ing_total!I$479</f>
        <v>0.66865459587043918</v>
      </c>
      <c r="K21" s="336">
        <f>Gasto_o_ing_total!J21*1000/Gasto_o_ing_total!J$479</f>
        <v>0.66865459587043929</v>
      </c>
      <c r="L21" s="336">
        <f>Gasto_o_ing_total!K21*1000/Gasto_o_ing_total!K$479</f>
        <v>0.66865459587043929</v>
      </c>
      <c r="M21" s="336">
        <f>Gasto_o_ing_total!L21*1000/Gasto_o_ing_total!L$479</f>
        <v>0.66865459587043929</v>
      </c>
      <c r="N21" s="336">
        <f>Gasto_o_ing_total!M21*1000/Gasto_o_ing_total!M$479</f>
        <v>0.66865459587043918</v>
      </c>
      <c r="O21" s="336">
        <f>Gasto_o_ing_total!N21*1000/Gasto_o_ing_total!N$479</f>
        <v>0.66865459587043907</v>
      </c>
      <c r="P21" s="336">
        <f>Gasto_o_ing_total!O21*1000/Gasto_o_ing_total!O$479</f>
        <v>0.66865459587043918</v>
      </c>
      <c r="Q21" s="336">
        <f>Gasto_o_ing_total!P21*1000/Gasto_o_ing_total!P$479</f>
        <v>0.66865459587043929</v>
      </c>
      <c r="R21" s="336">
        <f>Gasto_o_ing_total!Q21*1000/Gasto_o_ing_total!Q$479</f>
        <v>0.66865459587043918</v>
      </c>
      <c r="S21" s="336">
        <f>Gasto_o_ing_total!R21*1000/Gasto_o_ing_total!R$479</f>
        <v>0.66865459587043929</v>
      </c>
      <c r="T21" s="336">
        <f>Gasto_o_ing_total!S21*1000/Gasto_o_ing_total!S$479</f>
        <v>0.66865459587043929</v>
      </c>
      <c r="U21" s="336">
        <f>Gasto_o_ing_total!T21*1000/Gasto_o_ing_total!T$479</f>
        <v>0.66865459587043918</v>
      </c>
      <c r="V21" s="336">
        <f>Gasto_o_ing_total!U21*1000/Gasto_o_ing_total!U$479</f>
        <v>0.66865459587043929</v>
      </c>
      <c r="W21" s="105"/>
    </row>
    <row r="22" spans="1:23" s="102" customFormat="1">
      <c r="A22" s="355"/>
      <c r="B22" s="115" t="s">
        <v>126</v>
      </c>
      <c r="C22" s="333" t="str">
        <f>VLOOKUP(B22,Tot_res!C:D,2,FALSE)</f>
        <v>Asesoramiento del gobierno en materia social, económica y laboral</v>
      </c>
      <c r="D22" s="336">
        <f>Gasto_o_ing_total!V22*1000/Gasto_o_ing_total!V$479</f>
        <v>0.16653624486965674</v>
      </c>
      <c r="E22" s="336">
        <f>Gasto_o_ing_total!D22*1000/Gasto_o_ing_total!D$479</f>
        <v>0.16653624486965671</v>
      </c>
      <c r="F22" s="336">
        <f>Gasto_o_ing_total!E22*1000/Gasto_o_ing_total!E$479</f>
        <v>0.16653624486965671</v>
      </c>
      <c r="G22" s="336">
        <f>Gasto_o_ing_total!F22*1000/Gasto_o_ing_total!F$479</f>
        <v>0.16653624486965674</v>
      </c>
      <c r="H22" s="336">
        <f>Gasto_o_ing_total!G22*1000/Gasto_o_ing_total!G$479</f>
        <v>0.16653624486965674</v>
      </c>
      <c r="I22" s="336">
        <f>Gasto_o_ing_total!H22*1000/Gasto_o_ing_total!H$479</f>
        <v>0.16653624486965674</v>
      </c>
      <c r="J22" s="336">
        <f>Gasto_o_ing_total!I22*1000/Gasto_o_ing_total!I$479</f>
        <v>0.16653624486965674</v>
      </c>
      <c r="K22" s="336">
        <f>Gasto_o_ing_total!J22*1000/Gasto_o_ing_total!J$479</f>
        <v>0.16653624486965674</v>
      </c>
      <c r="L22" s="336">
        <f>Gasto_o_ing_total!K22*1000/Gasto_o_ing_total!K$479</f>
        <v>0.16653624486965674</v>
      </c>
      <c r="M22" s="336">
        <f>Gasto_o_ing_total!L22*1000/Gasto_o_ing_total!L$479</f>
        <v>0.16653624486965671</v>
      </c>
      <c r="N22" s="336">
        <f>Gasto_o_ing_total!M22*1000/Gasto_o_ing_total!M$479</f>
        <v>0.16653624486965674</v>
      </c>
      <c r="O22" s="336">
        <f>Gasto_o_ing_total!N22*1000/Gasto_o_ing_total!N$479</f>
        <v>0.16653624486965671</v>
      </c>
      <c r="P22" s="336">
        <f>Gasto_o_ing_total!O22*1000/Gasto_o_ing_total!O$479</f>
        <v>0.16653624486965671</v>
      </c>
      <c r="Q22" s="336">
        <f>Gasto_o_ing_total!P22*1000/Gasto_o_ing_total!P$479</f>
        <v>0.16653624486965674</v>
      </c>
      <c r="R22" s="336">
        <f>Gasto_o_ing_total!Q22*1000/Gasto_o_ing_total!Q$479</f>
        <v>0.16653624486965671</v>
      </c>
      <c r="S22" s="336">
        <f>Gasto_o_ing_total!R22*1000/Gasto_o_ing_total!R$479</f>
        <v>0.16653624486965674</v>
      </c>
      <c r="T22" s="336">
        <f>Gasto_o_ing_total!S22*1000/Gasto_o_ing_total!S$479</f>
        <v>0.16653624486965674</v>
      </c>
      <c r="U22" s="336">
        <f>Gasto_o_ing_total!T22*1000/Gasto_o_ing_total!T$479</f>
        <v>0.16653624486965674</v>
      </c>
      <c r="V22" s="336">
        <f>Gasto_o_ing_total!U22*1000/Gasto_o_ing_total!U$479</f>
        <v>0.16653624486965674</v>
      </c>
      <c r="W22" s="105"/>
    </row>
    <row r="23" spans="1:23" s="102" customFormat="1">
      <c r="A23" s="355"/>
      <c r="B23" s="115" t="s">
        <v>127</v>
      </c>
      <c r="C23" s="333" t="str">
        <f>VLOOKUP(B23,Tot_res!C:D,2,FALSE)</f>
        <v>Cobertura informativa</v>
      </c>
      <c r="D23" s="336">
        <f>Gasto_o_ing_total!V23*1000/Gasto_o_ing_total!V$479</f>
        <v>1.2379396297748257</v>
      </c>
      <c r="E23" s="336">
        <f>Gasto_o_ing_total!D23*1000/Gasto_o_ing_total!D$479</f>
        <v>1.237939629774826</v>
      </c>
      <c r="F23" s="336">
        <f>Gasto_o_ing_total!E23*1000/Gasto_o_ing_total!E$479</f>
        <v>1.2379396297748257</v>
      </c>
      <c r="G23" s="336">
        <f>Gasto_o_ing_total!F23*1000/Gasto_o_ing_total!F$479</f>
        <v>1.237939629774826</v>
      </c>
      <c r="H23" s="336">
        <f>Gasto_o_ing_total!G23*1000/Gasto_o_ing_total!G$479</f>
        <v>1.2379396297748257</v>
      </c>
      <c r="I23" s="336">
        <f>Gasto_o_ing_total!H23*1000/Gasto_o_ing_total!H$479</f>
        <v>1.237939629774826</v>
      </c>
      <c r="J23" s="336">
        <f>Gasto_o_ing_total!I23*1000/Gasto_o_ing_total!I$479</f>
        <v>1.237939629774826</v>
      </c>
      <c r="K23" s="336">
        <f>Gasto_o_ing_total!J23*1000/Gasto_o_ing_total!J$479</f>
        <v>1.237939629774826</v>
      </c>
      <c r="L23" s="336">
        <f>Gasto_o_ing_total!K23*1000/Gasto_o_ing_total!K$479</f>
        <v>1.2379396297748257</v>
      </c>
      <c r="M23" s="336">
        <f>Gasto_o_ing_total!L23*1000/Gasto_o_ing_total!L$479</f>
        <v>1.2379396297748257</v>
      </c>
      <c r="N23" s="336">
        <f>Gasto_o_ing_total!M23*1000/Gasto_o_ing_total!M$479</f>
        <v>1.237939629774826</v>
      </c>
      <c r="O23" s="336">
        <f>Gasto_o_ing_total!N23*1000/Gasto_o_ing_total!N$479</f>
        <v>1.2379396297748257</v>
      </c>
      <c r="P23" s="336">
        <f>Gasto_o_ing_total!O23*1000/Gasto_o_ing_total!O$479</f>
        <v>1.2379396297748257</v>
      </c>
      <c r="Q23" s="336">
        <f>Gasto_o_ing_total!P23*1000/Gasto_o_ing_total!P$479</f>
        <v>1.237939629774826</v>
      </c>
      <c r="R23" s="336">
        <f>Gasto_o_ing_total!Q23*1000/Gasto_o_ing_total!Q$479</f>
        <v>1.2379396297748257</v>
      </c>
      <c r="S23" s="336">
        <f>Gasto_o_ing_total!R23*1000/Gasto_o_ing_total!R$479</f>
        <v>1.237939629774826</v>
      </c>
      <c r="T23" s="336">
        <f>Gasto_o_ing_total!S23*1000/Gasto_o_ing_total!S$479</f>
        <v>1.2379396297748257</v>
      </c>
      <c r="U23" s="336">
        <f>Gasto_o_ing_total!T23*1000/Gasto_o_ing_total!T$479</f>
        <v>1.237939629774826</v>
      </c>
      <c r="V23" s="336">
        <f>Gasto_o_ing_total!U23*1000/Gasto_o_ing_total!U$479</f>
        <v>1.2379396297748257</v>
      </c>
      <c r="W23" s="105"/>
    </row>
    <row r="24" spans="1:23">
      <c r="A24" s="356"/>
      <c r="D24" s="19"/>
      <c r="E24" s="19"/>
      <c r="F24" s="19"/>
      <c r="G24" s="19"/>
      <c r="H24" s="19"/>
      <c r="I24" s="19"/>
      <c r="J24" s="19"/>
      <c r="K24" s="19"/>
      <c r="L24" s="19"/>
      <c r="M24" s="19"/>
      <c r="N24" s="19"/>
      <c r="O24" s="19"/>
      <c r="P24" s="19"/>
      <c r="Q24" s="19"/>
      <c r="R24" s="19"/>
      <c r="S24" s="19"/>
      <c r="T24" s="19"/>
      <c r="U24" s="19"/>
      <c r="V24" s="19"/>
      <c r="W24" s="2"/>
    </row>
    <row r="25" spans="1:23" s="102" customFormat="1">
      <c r="A25" s="356"/>
      <c r="B25" s="115"/>
      <c r="C25" s="117" t="s">
        <v>47</v>
      </c>
      <c r="D25" s="113">
        <f>Gasto_o_ing_total!V25*1000/Gasto_o_ing_total!V$479</f>
        <v>38.424965321181887</v>
      </c>
      <c r="E25" s="113">
        <f>Gasto_o_ing_total!D25*1000/Gasto_o_ing_total!D$479</f>
        <v>38.424965321181887</v>
      </c>
      <c r="F25" s="113">
        <f>Gasto_o_ing_total!E25*1000/Gasto_o_ing_total!E$479</f>
        <v>38.42496532118188</v>
      </c>
      <c r="G25" s="113">
        <f>Gasto_o_ing_total!F25*1000/Gasto_o_ing_total!F$479</f>
        <v>38.424965321181894</v>
      </c>
      <c r="H25" s="113">
        <f>Gasto_o_ing_total!G25*1000/Gasto_o_ing_total!G$479</f>
        <v>38.42496532118188</v>
      </c>
      <c r="I25" s="113">
        <f>Gasto_o_ing_total!H25*1000/Gasto_o_ing_total!H$479</f>
        <v>38.42496532118188</v>
      </c>
      <c r="J25" s="113">
        <f>Gasto_o_ing_total!I25*1000/Gasto_o_ing_total!I$479</f>
        <v>38.424965321181887</v>
      </c>
      <c r="K25" s="113">
        <f>Gasto_o_ing_total!J25*1000/Gasto_o_ing_total!J$479</f>
        <v>38.42496532118188</v>
      </c>
      <c r="L25" s="113">
        <f>Gasto_o_ing_total!K25*1000/Gasto_o_ing_total!K$479</f>
        <v>38.424965321181887</v>
      </c>
      <c r="M25" s="113">
        <f>Gasto_o_ing_total!L25*1000/Gasto_o_ing_total!L$479</f>
        <v>38.42496532118188</v>
      </c>
      <c r="N25" s="113">
        <f>Gasto_o_ing_total!M25*1000/Gasto_o_ing_total!M$479</f>
        <v>38.424965321181894</v>
      </c>
      <c r="O25" s="113">
        <f>Gasto_o_ing_total!N25*1000/Gasto_o_ing_total!N$479</f>
        <v>38.424965321181887</v>
      </c>
      <c r="P25" s="113">
        <f>Gasto_o_ing_total!O25*1000/Gasto_o_ing_total!O$479</f>
        <v>38.42496532118188</v>
      </c>
      <c r="Q25" s="113">
        <f>Gasto_o_ing_total!P25*1000/Gasto_o_ing_total!P$479</f>
        <v>38.424965321181894</v>
      </c>
      <c r="R25" s="113">
        <f>Gasto_o_ing_total!Q25*1000/Gasto_o_ing_total!Q$479</f>
        <v>38.42496532118188</v>
      </c>
      <c r="S25" s="113">
        <f>Gasto_o_ing_total!R25*1000/Gasto_o_ing_total!R$479</f>
        <v>38.424965321181894</v>
      </c>
      <c r="T25" s="113">
        <f>Gasto_o_ing_total!S25*1000/Gasto_o_ing_total!S$479</f>
        <v>38.42496532118188</v>
      </c>
      <c r="U25" s="113">
        <f>Gasto_o_ing_total!T25*1000/Gasto_o_ing_total!T$479</f>
        <v>38.424965321181887</v>
      </c>
      <c r="V25" s="113">
        <f>Gasto_o_ing_total!U25*1000/Gasto_o_ing_total!U$479</f>
        <v>38.424965321181887</v>
      </c>
      <c r="W25" s="105"/>
    </row>
    <row r="26" spans="1:23" s="102" customFormat="1">
      <c r="A26" s="355"/>
      <c r="B26" s="115" t="s">
        <v>129</v>
      </c>
      <c r="C26" s="333" t="str">
        <f>VLOOKUP(B26,Tot_res!C:D,2,FALSE)</f>
        <v>Dirección y servicios generales de asuntos exteriores</v>
      </c>
      <c r="D26" s="336">
        <f>Gasto_o_ing_total!V26*1000/Gasto_o_ing_total!V$479</f>
        <v>1.5134720583323371</v>
      </c>
      <c r="E26" s="336">
        <f>Gasto_o_ing_total!D26*1000/Gasto_o_ing_total!D$479</f>
        <v>1.5134720583323369</v>
      </c>
      <c r="F26" s="336">
        <f>Gasto_o_ing_total!E26*1000/Gasto_o_ing_total!E$479</f>
        <v>1.5134720583323369</v>
      </c>
      <c r="G26" s="336">
        <f>Gasto_o_ing_total!F26*1000/Gasto_o_ing_total!F$479</f>
        <v>1.5134720583323371</v>
      </c>
      <c r="H26" s="336">
        <f>Gasto_o_ing_total!G26*1000/Gasto_o_ing_total!G$479</f>
        <v>1.5134720583323369</v>
      </c>
      <c r="I26" s="336">
        <f>Gasto_o_ing_total!H26*1000/Gasto_o_ing_total!H$479</f>
        <v>1.5134720583323369</v>
      </c>
      <c r="J26" s="336">
        <f>Gasto_o_ing_total!I26*1000/Gasto_o_ing_total!I$479</f>
        <v>1.5134720583323371</v>
      </c>
      <c r="K26" s="336">
        <f>Gasto_o_ing_total!J26*1000/Gasto_o_ing_total!J$479</f>
        <v>1.5134720583323371</v>
      </c>
      <c r="L26" s="336">
        <f>Gasto_o_ing_total!K26*1000/Gasto_o_ing_total!K$479</f>
        <v>1.5134720583323369</v>
      </c>
      <c r="M26" s="336">
        <f>Gasto_o_ing_total!L26*1000/Gasto_o_ing_total!L$479</f>
        <v>1.5134720583323369</v>
      </c>
      <c r="N26" s="336">
        <f>Gasto_o_ing_total!M26*1000/Gasto_o_ing_total!M$479</f>
        <v>1.5134720583323371</v>
      </c>
      <c r="O26" s="336">
        <f>Gasto_o_ing_total!N26*1000/Gasto_o_ing_total!N$479</f>
        <v>1.5134720583323369</v>
      </c>
      <c r="P26" s="336">
        <f>Gasto_o_ing_total!O26*1000/Gasto_o_ing_total!O$479</f>
        <v>1.5134720583323369</v>
      </c>
      <c r="Q26" s="336">
        <f>Gasto_o_ing_total!P26*1000/Gasto_o_ing_total!P$479</f>
        <v>1.5134720583323369</v>
      </c>
      <c r="R26" s="336">
        <f>Gasto_o_ing_total!Q26*1000/Gasto_o_ing_total!Q$479</f>
        <v>1.5134720583323369</v>
      </c>
      <c r="S26" s="336">
        <f>Gasto_o_ing_total!R26*1000/Gasto_o_ing_total!R$479</f>
        <v>1.5134720583323369</v>
      </c>
      <c r="T26" s="336">
        <f>Gasto_o_ing_total!S26*1000/Gasto_o_ing_total!S$479</f>
        <v>1.5134720583323371</v>
      </c>
      <c r="U26" s="336">
        <f>Gasto_o_ing_total!T26*1000/Gasto_o_ing_total!T$479</f>
        <v>1.5134720583323371</v>
      </c>
      <c r="V26" s="336">
        <f>Gasto_o_ing_total!U26*1000/Gasto_o_ing_total!U$479</f>
        <v>1.5134720583323371</v>
      </c>
      <c r="W26" s="118"/>
    </row>
    <row r="27" spans="1:23" s="102" customFormat="1">
      <c r="A27" s="355"/>
      <c r="B27" s="115" t="s">
        <v>130</v>
      </c>
      <c r="C27" s="333" t="str">
        <f>VLOOKUP(B27,Tot_res!C:D,2,FALSE)</f>
        <v>Acción del estado en el exterior</v>
      </c>
      <c r="D27" s="336">
        <f>Gasto_o_ing_total!V27*1000/Gasto_o_ing_total!V$479</f>
        <v>20.113893837948098</v>
      </c>
      <c r="E27" s="336">
        <f>Gasto_o_ing_total!D27*1000/Gasto_o_ing_total!D$479</f>
        <v>20.113893837948098</v>
      </c>
      <c r="F27" s="336">
        <f>Gasto_o_ing_total!E27*1000/Gasto_o_ing_total!E$479</f>
        <v>20.113893837948094</v>
      </c>
      <c r="G27" s="336">
        <f>Gasto_o_ing_total!F27*1000/Gasto_o_ing_total!F$479</f>
        <v>20.113893837948098</v>
      </c>
      <c r="H27" s="336">
        <f>Gasto_o_ing_total!G27*1000/Gasto_o_ing_total!G$479</f>
        <v>20.113893837948098</v>
      </c>
      <c r="I27" s="336">
        <f>Gasto_o_ing_total!H27*1000/Gasto_o_ing_total!H$479</f>
        <v>20.113893837948098</v>
      </c>
      <c r="J27" s="336">
        <f>Gasto_o_ing_total!I27*1000/Gasto_o_ing_total!I$479</f>
        <v>20.113893837948098</v>
      </c>
      <c r="K27" s="336">
        <f>Gasto_o_ing_total!J27*1000/Gasto_o_ing_total!J$479</f>
        <v>20.113893837948094</v>
      </c>
      <c r="L27" s="336">
        <f>Gasto_o_ing_total!K27*1000/Gasto_o_ing_total!K$479</f>
        <v>20.113893837948098</v>
      </c>
      <c r="M27" s="336">
        <f>Gasto_o_ing_total!L27*1000/Gasto_o_ing_total!L$479</f>
        <v>20.113893837948094</v>
      </c>
      <c r="N27" s="336">
        <f>Gasto_o_ing_total!M27*1000/Gasto_o_ing_total!M$479</f>
        <v>20.113893837948098</v>
      </c>
      <c r="O27" s="336">
        <f>Gasto_o_ing_total!N27*1000/Gasto_o_ing_total!N$479</f>
        <v>20.113893837948094</v>
      </c>
      <c r="P27" s="336">
        <f>Gasto_o_ing_total!O27*1000/Gasto_o_ing_total!O$479</f>
        <v>20.113893837948094</v>
      </c>
      <c r="Q27" s="336">
        <f>Gasto_o_ing_total!P27*1000/Gasto_o_ing_total!P$479</f>
        <v>20.113893837948098</v>
      </c>
      <c r="R27" s="336">
        <f>Gasto_o_ing_total!Q27*1000/Gasto_o_ing_total!Q$479</f>
        <v>20.113893837948094</v>
      </c>
      <c r="S27" s="336">
        <f>Gasto_o_ing_total!R27*1000/Gasto_o_ing_total!R$479</f>
        <v>20.113893837948094</v>
      </c>
      <c r="T27" s="336">
        <f>Gasto_o_ing_total!S27*1000/Gasto_o_ing_total!S$479</f>
        <v>20.113893837948094</v>
      </c>
      <c r="U27" s="336">
        <f>Gasto_o_ing_total!T27*1000/Gasto_o_ing_total!T$479</f>
        <v>20.113893837948098</v>
      </c>
      <c r="V27" s="336">
        <f>Gasto_o_ing_total!U27*1000/Gasto_o_ing_total!U$479</f>
        <v>20.113893837948094</v>
      </c>
      <c r="W27" s="105"/>
    </row>
    <row r="28" spans="1:23" s="102" customFormat="1">
      <c r="A28" s="355"/>
      <c r="B28" s="115" t="s">
        <v>131</v>
      </c>
      <c r="C28" s="333" t="str">
        <f>VLOOKUP(B28,Tot_res!C:D,2,FALSE)</f>
        <v>Acción diplomática ante la unión europea</v>
      </c>
      <c r="D28" s="336">
        <f>Gasto_o_ing_total!V28*1000/Gasto_o_ing_total!V$479</f>
        <v>0.4236412094492073</v>
      </c>
      <c r="E28" s="336">
        <f>Gasto_o_ing_total!D28*1000/Gasto_o_ing_total!D$479</f>
        <v>0.42364120944920736</v>
      </c>
      <c r="F28" s="336">
        <f>Gasto_o_ing_total!E28*1000/Gasto_o_ing_total!E$479</f>
        <v>0.42364120944920741</v>
      </c>
      <c r="G28" s="336">
        <f>Gasto_o_ing_total!F28*1000/Gasto_o_ing_total!F$479</f>
        <v>0.42364120944920747</v>
      </c>
      <c r="H28" s="336">
        <f>Gasto_o_ing_total!G28*1000/Gasto_o_ing_total!G$479</f>
        <v>0.42364120944920736</v>
      </c>
      <c r="I28" s="336">
        <f>Gasto_o_ing_total!H28*1000/Gasto_o_ing_total!H$479</f>
        <v>0.42364120944920741</v>
      </c>
      <c r="J28" s="336">
        <f>Gasto_o_ing_total!I28*1000/Gasto_o_ing_total!I$479</f>
        <v>0.42364120944920741</v>
      </c>
      <c r="K28" s="336">
        <f>Gasto_o_ing_total!J28*1000/Gasto_o_ing_total!J$479</f>
        <v>0.42364120944920747</v>
      </c>
      <c r="L28" s="336">
        <f>Gasto_o_ing_total!K28*1000/Gasto_o_ing_total!K$479</f>
        <v>0.42364120944920747</v>
      </c>
      <c r="M28" s="336">
        <f>Gasto_o_ing_total!L28*1000/Gasto_o_ing_total!L$479</f>
        <v>0.42364120944920741</v>
      </c>
      <c r="N28" s="336">
        <f>Gasto_o_ing_total!M28*1000/Gasto_o_ing_total!M$479</f>
        <v>0.42364120944920747</v>
      </c>
      <c r="O28" s="336">
        <f>Gasto_o_ing_total!N28*1000/Gasto_o_ing_total!N$479</f>
        <v>0.42364120944920741</v>
      </c>
      <c r="P28" s="336">
        <f>Gasto_o_ing_total!O28*1000/Gasto_o_ing_total!O$479</f>
        <v>0.42364120944920741</v>
      </c>
      <c r="Q28" s="336">
        <f>Gasto_o_ing_total!P28*1000/Gasto_o_ing_total!P$479</f>
        <v>0.42364120944920736</v>
      </c>
      <c r="R28" s="336">
        <f>Gasto_o_ing_total!Q28*1000/Gasto_o_ing_total!Q$479</f>
        <v>0.42364120944920736</v>
      </c>
      <c r="S28" s="336">
        <f>Gasto_o_ing_total!R28*1000/Gasto_o_ing_total!R$479</f>
        <v>0.42364120944920747</v>
      </c>
      <c r="T28" s="336">
        <f>Gasto_o_ing_total!S28*1000/Gasto_o_ing_total!S$479</f>
        <v>0.42364120944920741</v>
      </c>
      <c r="U28" s="336">
        <f>Gasto_o_ing_total!T28*1000/Gasto_o_ing_total!T$479</f>
        <v>0.42364120944920747</v>
      </c>
      <c r="V28" s="336">
        <f>Gasto_o_ing_total!U28*1000/Gasto_o_ing_total!U$479</f>
        <v>0.42364120944920736</v>
      </c>
      <c r="W28" s="105"/>
    </row>
    <row r="29" spans="1:23" s="102" customFormat="1">
      <c r="A29" s="355"/>
      <c r="B29" s="115" t="s">
        <v>132</v>
      </c>
      <c r="C29" s="333" t="str">
        <f>VLOOKUP(B29,Tot_res!C:D,2,FALSE)</f>
        <v>Cooperación para el desarrollo</v>
      </c>
      <c r="D29" s="336">
        <f>Gasto_o_ing_total!V29*1000/Gasto_o_ing_total!V$479</f>
        <v>6.8557490936956196</v>
      </c>
      <c r="E29" s="336">
        <f>Gasto_o_ing_total!D29*1000/Gasto_o_ing_total!D$479</f>
        <v>6.8557490936956187</v>
      </c>
      <c r="F29" s="336">
        <f>Gasto_o_ing_total!E29*1000/Gasto_o_ing_total!E$479</f>
        <v>6.8557490936956196</v>
      </c>
      <c r="G29" s="336">
        <f>Gasto_o_ing_total!F29*1000/Gasto_o_ing_total!F$479</f>
        <v>6.8557490936956205</v>
      </c>
      <c r="H29" s="336">
        <f>Gasto_o_ing_total!G29*1000/Gasto_o_ing_total!G$479</f>
        <v>6.8557490936956196</v>
      </c>
      <c r="I29" s="336">
        <f>Gasto_o_ing_total!H29*1000/Gasto_o_ing_total!H$479</f>
        <v>6.8557490936956196</v>
      </c>
      <c r="J29" s="336">
        <f>Gasto_o_ing_total!I29*1000/Gasto_o_ing_total!I$479</f>
        <v>6.8557490936956196</v>
      </c>
      <c r="K29" s="336">
        <f>Gasto_o_ing_total!J29*1000/Gasto_o_ing_total!J$479</f>
        <v>6.8557490936956196</v>
      </c>
      <c r="L29" s="336">
        <f>Gasto_o_ing_total!K29*1000/Gasto_o_ing_total!K$479</f>
        <v>6.8557490936956196</v>
      </c>
      <c r="M29" s="336">
        <f>Gasto_o_ing_total!L29*1000/Gasto_o_ing_total!L$479</f>
        <v>6.8557490936956196</v>
      </c>
      <c r="N29" s="336">
        <f>Gasto_o_ing_total!M29*1000/Gasto_o_ing_total!M$479</f>
        <v>6.8557490936956205</v>
      </c>
      <c r="O29" s="336">
        <f>Gasto_o_ing_total!N29*1000/Gasto_o_ing_total!N$479</f>
        <v>6.8557490936956196</v>
      </c>
      <c r="P29" s="336">
        <f>Gasto_o_ing_total!O29*1000/Gasto_o_ing_total!O$479</f>
        <v>6.8557490936956187</v>
      </c>
      <c r="Q29" s="336">
        <f>Gasto_o_ing_total!P29*1000/Gasto_o_ing_total!P$479</f>
        <v>6.8557490936956187</v>
      </c>
      <c r="R29" s="336">
        <f>Gasto_o_ing_total!Q29*1000/Gasto_o_ing_total!Q$479</f>
        <v>6.8557490936956196</v>
      </c>
      <c r="S29" s="336">
        <f>Gasto_o_ing_total!R29*1000/Gasto_o_ing_total!R$479</f>
        <v>6.8557490936956205</v>
      </c>
      <c r="T29" s="336">
        <f>Gasto_o_ing_total!S29*1000/Gasto_o_ing_total!S$479</f>
        <v>6.8557490936956205</v>
      </c>
      <c r="U29" s="336">
        <f>Gasto_o_ing_total!T29*1000/Gasto_o_ing_total!T$479</f>
        <v>6.8557490936956196</v>
      </c>
      <c r="V29" s="336">
        <f>Gasto_o_ing_total!U29*1000/Gasto_o_ing_total!U$479</f>
        <v>6.8557490936956205</v>
      </c>
      <c r="W29" s="105"/>
    </row>
    <row r="30" spans="1:23" s="102" customFormat="1">
      <c r="A30" s="355"/>
      <c r="B30" s="115" t="s">
        <v>134</v>
      </c>
      <c r="C30" s="333" t="str">
        <f>VLOOKUP(B30,Tot_res!C:D,2,FALSE)</f>
        <v>Cooperación, promoción y difusión cultural en el exterior</v>
      </c>
      <c r="D30" s="336">
        <f>Gasto_o_ing_total!V30*1000/Gasto_o_ing_total!V$479</f>
        <v>2.1588281592880612</v>
      </c>
      <c r="E30" s="336">
        <f>Gasto_o_ing_total!D30*1000/Gasto_o_ing_total!D$479</f>
        <v>2.1588281592880607</v>
      </c>
      <c r="F30" s="336">
        <f>Gasto_o_ing_total!E30*1000/Gasto_o_ing_total!E$479</f>
        <v>2.1588281592880612</v>
      </c>
      <c r="G30" s="336">
        <f>Gasto_o_ing_total!F30*1000/Gasto_o_ing_total!F$479</f>
        <v>2.1588281592880612</v>
      </c>
      <c r="H30" s="336">
        <f>Gasto_o_ing_total!G30*1000/Gasto_o_ing_total!G$479</f>
        <v>2.1588281592880607</v>
      </c>
      <c r="I30" s="336">
        <f>Gasto_o_ing_total!H30*1000/Gasto_o_ing_total!H$479</f>
        <v>2.1588281592880616</v>
      </c>
      <c r="J30" s="336">
        <f>Gasto_o_ing_total!I30*1000/Gasto_o_ing_total!I$479</f>
        <v>2.1588281592880612</v>
      </c>
      <c r="K30" s="336">
        <f>Gasto_o_ing_total!J30*1000/Gasto_o_ing_total!J$479</f>
        <v>2.1588281592880616</v>
      </c>
      <c r="L30" s="336">
        <f>Gasto_o_ing_total!K30*1000/Gasto_o_ing_total!K$479</f>
        <v>2.1588281592880616</v>
      </c>
      <c r="M30" s="336">
        <f>Gasto_o_ing_total!L30*1000/Gasto_o_ing_total!L$479</f>
        <v>2.1588281592880612</v>
      </c>
      <c r="N30" s="336">
        <f>Gasto_o_ing_total!M30*1000/Gasto_o_ing_total!M$479</f>
        <v>2.1588281592880612</v>
      </c>
      <c r="O30" s="336">
        <f>Gasto_o_ing_total!N30*1000/Gasto_o_ing_total!N$479</f>
        <v>2.1588281592880607</v>
      </c>
      <c r="P30" s="336">
        <f>Gasto_o_ing_total!O30*1000/Gasto_o_ing_total!O$479</f>
        <v>2.1588281592880607</v>
      </c>
      <c r="Q30" s="336">
        <f>Gasto_o_ing_total!P30*1000/Gasto_o_ing_total!P$479</f>
        <v>2.1588281592880612</v>
      </c>
      <c r="R30" s="336">
        <f>Gasto_o_ing_total!Q30*1000/Gasto_o_ing_total!Q$479</f>
        <v>2.1588281592880607</v>
      </c>
      <c r="S30" s="336">
        <f>Gasto_o_ing_total!R30*1000/Gasto_o_ing_total!R$479</f>
        <v>2.1588281592880612</v>
      </c>
      <c r="T30" s="336">
        <f>Gasto_o_ing_total!S30*1000/Gasto_o_ing_total!S$479</f>
        <v>2.1588281592880612</v>
      </c>
      <c r="U30" s="336">
        <f>Gasto_o_ing_total!T30*1000/Gasto_o_ing_total!T$479</f>
        <v>2.1588281592880612</v>
      </c>
      <c r="V30" s="336">
        <f>Gasto_o_ing_total!U30*1000/Gasto_o_ing_total!U$479</f>
        <v>2.1588281592880612</v>
      </c>
      <c r="W30" s="105"/>
    </row>
    <row r="31" spans="1:23" s="102" customFormat="1">
      <c r="A31" s="355"/>
      <c r="B31" s="115" t="s">
        <v>136</v>
      </c>
      <c r="C31" s="333" t="str">
        <f>VLOOKUP(B31,Tot_res!C:D,2,FALSE)</f>
        <v>Educación en el exterior</v>
      </c>
      <c r="D31" s="336">
        <f>Gasto_o_ing_total!V31*1000/Gasto_o_ing_total!V$479</f>
        <v>2.0882074419045296</v>
      </c>
      <c r="E31" s="336">
        <f>Gasto_o_ing_total!D31*1000/Gasto_o_ing_total!D$479</f>
        <v>2.0882074419045291</v>
      </c>
      <c r="F31" s="336">
        <f>Gasto_o_ing_total!E31*1000/Gasto_o_ing_total!E$479</f>
        <v>2.0882074419045296</v>
      </c>
      <c r="G31" s="336">
        <f>Gasto_o_ing_total!F31*1000/Gasto_o_ing_total!F$479</f>
        <v>2.0882074419045291</v>
      </c>
      <c r="H31" s="336">
        <f>Gasto_o_ing_total!G31*1000/Gasto_o_ing_total!G$479</f>
        <v>2.0882074419045296</v>
      </c>
      <c r="I31" s="336">
        <f>Gasto_o_ing_total!H31*1000/Gasto_o_ing_total!H$479</f>
        <v>2.0882074419045296</v>
      </c>
      <c r="J31" s="336">
        <f>Gasto_o_ing_total!I31*1000/Gasto_o_ing_total!I$479</f>
        <v>2.0882074419045296</v>
      </c>
      <c r="K31" s="336">
        <f>Gasto_o_ing_total!J31*1000/Gasto_o_ing_total!J$479</f>
        <v>2.0882074419045296</v>
      </c>
      <c r="L31" s="336">
        <f>Gasto_o_ing_total!K31*1000/Gasto_o_ing_total!K$479</f>
        <v>2.0882074419045296</v>
      </c>
      <c r="M31" s="336">
        <f>Gasto_o_ing_total!L31*1000/Gasto_o_ing_total!L$479</f>
        <v>2.0882074419045296</v>
      </c>
      <c r="N31" s="336">
        <f>Gasto_o_ing_total!M31*1000/Gasto_o_ing_total!M$479</f>
        <v>2.0882074419045296</v>
      </c>
      <c r="O31" s="336">
        <f>Gasto_o_ing_total!N31*1000/Gasto_o_ing_total!N$479</f>
        <v>2.0882074419045296</v>
      </c>
      <c r="P31" s="336">
        <f>Gasto_o_ing_total!O31*1000/Gasto_o_ing_total!O$479</f>
        <v>2.0882074419045296</v>
      </c>
      <c r="Q31" s="336">
        <f>Gasto_o_ing_total!P31*1000/Gasto_o_ing_total!P$479</f>
        <v>2.0882074419045296</v>
      </c>
      <c r="R31" s="336">
        <f>Gasto_o_ing_total!Q31*1000/Gasto_o_ing_total!Q$479</f>
        <v>2.0882074419045296</v>
      </c>
      <c r="S31" s="336">
        <f>Gasto_o_ing_total!R31*1000/Gasto_o_ing_total!R$479</f>
        <v>2.0882074419045296</v>
      </c>
      <c r="T31" s="336">
        <f>Gasto_o_ing_total!S31*1000/Gasto_o_ing_total!S$479</f>
        <v>2.0882074419045296</v>
      </c>
      <c r="U31" s="336">
        <f>Gasto_o_ing_total!T31*1000/Gasto_o_ing_total!T$479</f>
        <v>2.0882074419045296</v>
      </c>
      <c r="V31" s="336">
        <f>Gasto_o_ing_total!U31*1000/Gasto_o_ing_total!U$479</f>
        <v>2.0882074419045296</v>
      </c>
      <c r="W31" s="105"/>
    </row>
    <row r="32" spans="1:23" s="102" customFormat="1">
      <c r="A32" s="355"/>
      <c r="B32" s="115" t="s">
        <v>138</v>
      </c>
      <c r="C32" s="333" t="str">
        <f>VLOOKUP(B32,Tot_res!C:D,2,FALSE)</f>
        <v>Relaciones con los organismos financieros multilaterales</v>
      </c>
      <c r="D32" s="336">
        <f>Gasto_o_ing_total!V32*1000/Gasto_o_ing_total!V$479</f>
        <v>2.7892300628904073E-2</v>
      </c>
      <c r="E32" s="336">
        <f>Gasto_o_ing_total!D32*1000/Gasto_o_ing_total!D$479</f>
        <v>2.7892300628904083E-2</v>
      </c>
      <c r="F32" s="336">
        <f>Gasto_o_ing_total!E32*1000/Gasto_o_ing_total!E$479</f>
        <v>2.7892300628904087E-2</v>
      </c>
      <c r="G32" s="336">
        <f>Gasto_o_ing_total!F32*1000/Gasto_o_ing_total!F$479</f>
        <v>2.7892300628904087E-2</v>
      </c>
      <c r="H32" s="336">
        <f>Gasto_o_ing_total!G32*1000/Gasto_o_ing_total!G$479</f>
        <v>2.7892300628904083E-2</v>
      </c>
      <c r="I32" s="336">
        <f>Gasto_o_ing_total!H32*1000/Gasto_o_ing_total!H$479</f>
        <v>2.7892300628904083E-2</v>
      </c>
      <c r="J32" s="336">
        <f>Gasto_o_ing_total!I32*1000/Gasto_o_ing_total!I$479</f>
        <v>2.789230062890408E-2</v>
      </c>
      <c r="K32" s="336">
        <f>Gasto_o_ing_total!J32*1000/Gasto_o_ing_total!J$479</f>
        <v>2.7892300628904087E-2</v>
      </c>
      <c r="L32" s="336">
        <f>Gasto_o_ing_total!K32*1000/Gasto_o_ing_total!K$479</f>
        <v>2.7892300628904083E-2</v>
      </c>
      <c r="M32" s="336">
        <f>Gasto_o_ing_total!L32*1000/Gasto_o_ing_total!L$479</f>
        <v>2.7892300628904083E-2</v>
      </c>
      <c r="N32" s="336">
        <f>Gasto_o_ing_total!M32*1000/Gasto_o_ing_total!M$479</f>
        <v>2.7892300628904083E-2</v>
      </c>
      <c r="O32" s="336">
        <f>Gasto_o_ing_total!N32*1000/Gasto_o_ing_total!N$479</f>
        <v>2.789230062890408E-2</v>
      </c>
      <c r="P32" s="336">
        <f>Gasto_o_ing_total!O32*1000/Gasto_o_ing_total!O$479</f>
        <v>2.7892300628904083E-2</v>
      </c>
      <c r="Q32" s="336">
        <f>Gasto_o_ing_total!P32*1000/Gasto_o_ing_total!P$479</f>
        <v>2.7892300628904083E-2</v>
      </c>
      <c r="R32" s="336">
        <f>Gasto_o_ing_total!Q32*1000/Gasto_o_ing_total!Q$479</f>
        <v>2.789230062890408E-2</v>
      </c>
      <c r="S32" s="336">
        <f>Gasto_o_ing_total!R32*1000/Gasto_o_ing_total!R$479</f>
        <v>2.7892300628904083E-2</v>
      </c>
      <c r="T32" s="336">
        <f>Gasto_o_ing_total!S32*1000/Gasto_o_ing_total!S$479</f>
        <v>2.7892300628904083E-2</v>
      </c>
      <c r="U32" s="336">
        <f>Gasto_o_ing_total!T32*1000/Gasto_o_ing_total!T$479</f>
        <v>2.7892300628904087E-2</v>
      </c>
      <c r="V32" s="336">
        <f>Gasto_o_ing_total!U32*1000/Gasto_o_ing_total!U$479</f>
        <v>2.789230062890408E-2</v>
      </c>
      <c r="W32" s="105"/>
    </row>
    <row r="33" spans="1:23" s="102" customFormat="1">
      <c r="A33" s="355"/>
      <c r="B33" s="115" t="s">
        <v>139</v>
      </c>
      <c r="C33" s="333" t="str">
        <f>VLOOKUP(B33,Tot_res!C:D,2,FALSE)</f>
        <v>Transferencias al presupuesto general de la unión europea</v>
      </c>
      <c r="D33" s="336">
        <f>Gasto_o_ing_total!V33*1000/Gasto_o_ing_total!V$479</f>
        <v>5.2432812199351311</v>
      </c>
      <c r="E33" s="336">
        <f>Gasto_o_ing_total!D33*1000/Gasto_o_ing_total!D$479</f>
        <v>5.2432812199351311</v>
      </c>
      <c r="F33" s="336">
        <f>Gasto_o_ing_total!E33*1000/Gasto_o_ing_total!E$479</f>
        <v>5.2432812199351302</v>
      </c>
      <c r="G33" s="336">
        <f>Gasto_o_ing_total!F33*1000/Gasto_o_ing_total!F$479</f>
        <v>5.2432812199351302</v>
      </c>
      <c r="H33" s="336">
        <f>Gasto_o_ing_total!G33*1000/Gasto_o_ing_total!G$479</f>
        <v>5.2432812199351311</v>
      </c>
      <c r="I33" s="336">
        <f>Gasto_o_ing_total!H33*1000/Gasto_o_ing_total!H$479</f>
        <v>5.2432812199351311</v>
      </c>
      <c r="J33" s="336">
        <f>Gasto_o_ing_total!I33*1000/Gasto_o_ing_total!I$479</f>
        <v>5.2432812199351311</v>
      </c>
      <c r="K33" s="336">
        <f>Gasto_o_ing_total!J33*1000/Gasto_o_ing_total!J$479</f>
        <v>5.2432812199351311</v>
      </c>
      <c r="L33" s="336">
        <f>Gasto_o_ing_total!K33*1000/Gasto_o_ing_total!K$479</f>
        <v>5.2432812199351311</v>
      </c>
      <c r="M33" s="336">
        <f>Gasto_o_ing_total!L33*1000/Gasto_o_ing_total!L$479</f>
        <v>5.2432812199351311</v>
      </c>
      <c r="N33" s="336">
        <f>Gasto_o_ing_total!M33*1000/Gasto_o_ing_total!M$479</f>
        <v>5.2432812199351311</v>
      </c>
      <c r="O33" s="336">
        <f>Gasto_o_ing_total!N33*1000/Gasto_o_ing_total!N$479</f>
        <v>5.2432812199351302</v>
      </c>
      <c r="P33" s="336">
        <f>Gasto_o_ing_total!O33*1000/Gasto_o_ing_total!O$479</f>
        <v>5.2432812199351302</v>
      </c>
      <c r="Q33" s="336">
        <f>Gasto_o_ing_total!P33*1000/Gasto_o_ing_total!P$479</f>
        <v>5.2432812199351311</v>
      </c>
      <c r="R33" s="336">
        <f>Gasto_o_ing_total!Q33*1000/Gasto_o_ing_total!Q$479</f>
        <v>5.2432812199351311</v>
      </c>
      <c r="S33" s="336">
        <f>Gasto_o_ing_total!R33*1000/Gasto_o_ing_total!R$479</f>
        <v>5.2432812199351311</v>
      </c>
      <c r="T33" s="336">
        <f>Gasto_o_ing_total!S33*1000/Gasto_o_ing_total!S$479</f>
        <v>5.2432812199351311</v>
      </c>
      <c r="U33" s="336">
        <f>Gasto_o_ing_total!T33*1000/Gasto_o_ing_total!T$479</f>
        <v>5.2432812199351311</v>
      </c>
      <c r="V33" s="336">
        <f>Gasto_o_ing_total!U33*1000/Gasto_o_ing_total!U$479</f>
        <v>5.2432812199351311</v>
      </c>
      <c r="W33" s="105"/>
    </row>
    <row r="34" spans="1:23">
      <c r="A34" s="356"/>
      <c r="D34" s="19"/>
      <c r="E34" s="19"/>
      <c r="F34" s="19"/>
      <c r="G34" s="19"/>
      <c r="H34" s="19"/>
      <c r="I34" s="19"/>
      <c r="J34" s="19"/>
      <c r="K34" s="19"/>
      <c r="L34" s="19"/>
      <c r="M34" s="19"/>
      <c r="N34" s="19"/>
      <c r="O34" s="19"/>
      <c r="P34" s="19"/>
      <c r="Q34" s="19"/>
      <c r="R34" s="19"/>
      <c r="S34" s="19"/>
      <c r="T34" s="19"/>
      <c r="U34" s="19"/>
      <c r="V34" s="19"/>
      <c r="W34" s="2"/>
    </row>
    <row r="35" spans="1:23" s="102" customFormat="1">
      <c r="A35" s="356"/>
      <c r="B35" s="115"/>
      <c r="C35" s="128" t="s">
        <v>35</v>
      </c>
      <c r="D35" s="113">
        <f>Gasto_o_ing_total!V35*1000/Gasto_o_ing_total!V$479</f>
        <v>173.35055967551571</v>
      </c>
      <c r="E35" s="113">
        <f>Gasto_o_ing_total!D35*1000/Gasto_o_ing_total!D$479</f>
        <v>173.35055967551568</v>
      </c>
      <c r="F35" s="113">
        <f>Gasto_o_ing_total!E35*1000/Gasto_o_ing_total!E$479</f>
        <v>173.35055967551571</v>
      </c>
      <c r="G35" s="113">
        <f>Gasto_o_ing_total!F35*1000/Gasto_o_ing_total!F$479</f>
        <v>173.35055967551574</v>
      </c>
      <c r="H35" s="113">
        <f>Gasto_o_ing_total!G35*1000/Gasto_o_ing_total!G$479</f>
        <v>173.35055967551568</v>
      </c>
      <c r="I35" s="113">
        <f>Gasto_o_ing_total!H35*1000/Gasto_o_ing_total!H$479</f>
        <v>173.35055967551571</v>
      </c>
      <c r="J35" s="113">
        <f>Gasto_o_ing_total!I35*1000/Gasto_o_ing_total!I$479</f>
        <v>173.35055967551568</v>
      </c>
      <c r="K35" s="113">
        <f>Gasto_o_ing_total!J35*1000/Gasto_o_ing_total!J$479</f>
        <v>173.35055967551568</v>
      </c>
      <c r="L35" s="113">
        <f>Gasto_o_ing_total!K35*1000/Gasto_o_ing_total!K$479</f>
        <v>173.35055967551571</v>
      </c>
      <c r="M35" s="113">
        <f>Gasto_o_ing_total!L35*1000/Gasto_o_ing_total!L$479</f>
        <v>173.35055967551571</v>
      </c>
      <c r="N35" s="113">
        <f>Gasto_o_ing_total!M35*1000/Gasto_o_ing_total!M$479</f>
        <v>173.35055967551571</v>
      </c>
      <c r="O35" s="113">
        <f>Gasto_o_ing_total!N35*1000/Gasto_o_ing_total!N$479</f>
        <v>173.35055967551571</v>
      </c>
      <c r="P35" s="113">
        <f>Gasto_o_ing_total!O35*1000/Gasto_o_ing_total!O$479</f>
        <v>173.35055967551571</v>
      </c>
      <c r="Q35" s="113">
        <f>Gasto_o_ing_total!P35*1000/Gasto_o_ing_total!P$479</f>
        <v>173.35055967551571</v>
      </c>
      <c r="R35" s="113">
        <f>Gasto_o_ing_total!Q35*1000/Gasto_o_ing_total!Q$479</f>
        <v>173.35055967551571</v>
      </c>
      <c r="S35" s="113">
        <f>Gasto_o_ing_total!R35*1000/Gasto_o_ing_total!R$479</f>
        <v>173.35055967551568</v>
      </c>
      <c r="T35" s="113">
        <f>Gasto_o_ing_total!S35*1000/Gasto_o_ing_total!S$479</f>
        <v>173.35055967551568</v>
      </c>
      <c r="U35" s="113">
        <f>Gasto_o_ing_total!T35*1000/Gasto_o_ing_total!T$479</f>
        <v>173.35055967551568</v>
      </c>
      <c r="V35" s="113">
        <f>Gasto_o_ing_total!U35*1000/Gasto_o_ing_total!U$479</f>
        <v>173.35055967551568</v>
      </c>
      <c r="W35" s="105"/>
    </row>
    <row r="36" spans="1:23" s="102" customFormat="1">
      <c r="A36" s="355"/>
      <c r="B36" s="115" t="s">
        <v>140</v>
      </c>
      <c r="C36" s="333" t="str">
        <f>VLOOKUP(B36,Tot_res!C:D,2,FALSE)</f>
        <v>Administración y servicios generales de defensa</v>
      </c>
      <c r="D36" s="336">
        <f>Gasto_o_ing_total!V36*1000/Gasto_o_ing_total!V$479</f>
        <v>25.585274684251914</v>
      </c>
      <c r="E36" s="336">
        <f>Gasto_o_ing_total!D36*1000/Gasto_o_ing_total!D$479</f>
        <v>25.585274684251914</v>
      </c>
      <c r="F36" s="336">
        <f>Gasto_o_ing_total!E36*1000/Gasto_o_ing_total!E$479</f>
        <v>25.585274684251917</v>
      </c>
      <c r="G36" s="336">
        <f>Gasto_o_ing_total!F36*1000/Gasto_o_ing_total!F$479</f>
        <v>25.585274684251917</v>
      </c>
      <c r="H36" s="336">
        <f>Gasto_o_ing_total!G36*1000/Gasto_o_ing_total!G$479</f>
        <v>25.585274684251914</v>
      </c>
      <c r="I36" s="336">
        <f>Gasto_o_ing_total!H36*1000/Gasto_o_ing_total!H$479</f>
        <v>25.585274684251917</v>
      </c>
      <c r="J36" s="336">
        <f>Gasto_o_ing_total!I36*1000/Gasto_o_ing_total!I$479</f>
        <v>25.585274684251917</v>
      </c>
      <c r="K36" s="336">
        <f>Gasto_o_ing_total!J36*1000/Gasto_o_ing_total!J$479</f>
        <v>25.585274684251917</v>
      </c>
      <c r="L36" s="336">
        <f>Gasto_o_ing_total!K36*1000/Gasto_o_ing_total!K$479</f>
        <v>25.585274684251917</v>
      </c>
      <c r="M36" s="336">
        <f>Gasto_o_ing_total!L36*1000/Gasto_o_ing_total!L$479</f>
        <v>25.585274684251917</v>
      </c>
      <c r="N36" s="336">
        <f>Gasto_o_ing_total!M36*1000/Gasto_o_ing_total!M$479</f>
        <v>25.585274684251917</v>
      </c>
      <c r="O36" s="336">
        <f>Gasto_o_ing_total!N36*1000/Gasto_o_ing_total!N$479</f>
        <v>25.585274684251917</v>
      </c>
      <c r="P36" s="336">
        <f>Gasto_o_ing_total!O36*1000/Gasto_o_ing_total!O$479</f>
        <v>25.585274684251914</v>
      </c>
      <c r="Q36" s="336">
        <f>Gasto_o_ing_total!P36*1000/Gasto_o_ing_total!P$479</f>
        <v>25.585274684251917</v>
      </c>
      <c r="R36" s="336">
        <f>Gasto_o_ing_total!Q36*1000/Gasto_o_ing_total!Q$479</f>
        <v>25.585274684251917</v>
      </c>
      <c r="S36" s="336">
        <f>Gasto_o_ing_total!R36*1000/Gasto_o_ing_total!R$479</f>
        <v>25.585274684251914</v>
      </c>
      <c r="T36" s="336">
        <f>Gasto_o_ing_total!S36*1000/Gasto_o_ing_total!S$479</f>
        <v>25.585274684251917</v>
      </c>
      <c r="U36" s="336">
        <f>Gasto_o_ing_total!T36*1000/Gasto_o_ing_total!T$479</f>
        <v>25.585274684251917</v>
      </c>
      <c r="V36" s="336">
        <f>Gasto_o_ing_total!U36*1000/Gasto_o_ing_total!U$479</f>
        <v>25.585274684251914</v>
      </c>
      <c r="W36" s="118"/>
    </row>
    <row r="37" spans="1:23" s="102" customFormat="1">
      <c r="A37" s="355"/>
      <c r="B37" s="115" t="s">
        <v>141</v>
      </c>
      <c r="C37" s="333" t="str">
        <f>VLOOKUP(B37,Tot_res!C:D,2,FALSE)</f>
        <v>Formación del personal de las fuerzas armadas</v>
      </c>
      <c r="D37" s="336">
        <f>Gasto_o_ing_total!V37*1000/Gasto_o_ing_total!V$479</f>
        <v>8.1275152951310776</v>
      </c>
      <c r="E37" s="336">
        <f>Gasto_o_ing_total!D37*1000/Gasto_o_ing_total!D$479</f>
        <v>8.1275152951310776</v>
      </c>
      <c r="F37" s="336">
        <f>Gasto_o_ing_total!E37*1000/Gasto_o_ing_total!E$479</f>
        <v>8.1275152951310776</v>
      </c>
      <c r="G37" s="336">
        <f>Gasto_o_ing_total!F37*1000/Gasto_o_ing_total!F$479</f>
        <v>8.1275152951310776</v>
      </c>
      <c r="H37" s="336">
        <f>Gasto_o_ing_total!G37*1000/Gasto_o_ing_total!G$479</f>
        <v>8.1275152951310776</v>
      </c>
      <c r="I37" s="336">
        <f>Gasto_o_ing_total!H37*1000/Gasto_o_ing_total!H$479</f>
        <v>8.1275152951310776</v>
      </c>
      <c r="J37" s="336">
        <f>Gasto_o_ing_total!I37*1000/Gasto_o_ing_total!I$479</f>
        <v>8.1275152951310776</v>
      </c>
      <c r="K37" s="336">
        <f>Gasto_o_ing_total!J37*1000/Gasto_o_ing_total!J$479</f>
        <v>8.1275152951310794</v>
      </c>
      <c r="L37" s="336">
        <f>Gasto_o_ing_total!K37*1000/Gasto_o_ing_total!K$479</f>
        <v>8.1275152951310776</v>
      </c>
      <c r="M37" s="336">
        <f>Gasto_o_ing_total!L37*1000/Gasto_o_ing_total!L$479</f>
        <v>8.1275152951310776</v>
      </c>
      <c r="N37" s="336">
        <f>Gasto_o_ing_total!M37*1000/Gasto_o_ing_total!M$479</f>
        <v>8.1275152951310776</v>
      </c>
      <c r="O37" s="336">
        <f>Gasto_o_ing_total!N37*1000/Gasto_o_ing_total!N$479</f>
        <v>8.1275152951310776</v>
      </c>
      <c r="P37" s="336">
        <f>Gasto_o_ing_total!O37*1000/Gasto_o_ing_total!O$479</f>
        <v>8.1275152951310776</v>
      </c>
      <c r="Q37" s="336">
        <f>Gasto_o_ing_total!P37*1000/Gasto_o_ing_total!P$479</f>
        <v>8.1275152951310776</v>
      </c>
      <c r="R37" s="336">
        <f>Gasto_o_ing_total!Q37*1000/Gasto_o_ing_total!Q$479</f>
        <v>8.1275152951310776</v>
      </c>
      <c r="S37" s="336">
        <f>Gasto_o_ing_total!R37*1000/Gasto_o_ing_total!R$479</f>
        <v>8.1275152951310776</v>
      </c>
      <c r="T37" s="336">
        <f>Gasto_o_ing_total!S37*1000/Gasto_o_ing_total!S$479</f>
        <v>8.1275152951310776</v>
      </c>
      <c r="U37" s="336">
        <f>Gasto_o_ing_total!T37*1000/Gasto_o_ing_total!T$479</f>
        <v>8.1275152951310776</v>
      </c>
      <c r="V37" s="336">
        <f>Gasto_o_ing_total!U37*1000/Gasto_o_ing_total!U$479</f>
        <v>8.1275152951310776</v>
      </c>
      <c r="W37" s="105"/>
    </row>
    <row r="38" spans="1:23" s="102" customFormat="1">
      <c r="A38" s="355"/>
      <c r="B38" s="115" t="s">
        <v>142</v>
      </c>
      <c r="C38" s="333" t="str">
        <f>VLOOKUP(B38,Tot_res!C:D,2,FALSE)</f>
        <v>Personal en reserva</v>
      </c>
      <c r="D38" s="336">
        <f>Gasto_o_ing_total!V38*1000/Gasto_o_ing_total!V$479</f>
        <v>11.961746230002532</v>
      </c>
      <c r="E38" s="336">
        <f>Gasto_o_ing_total!D38*1000/Gasto_o_ing_total!D$479</f>
        <v>11.961746230002531</v>
      </c>
      <c r="F38" s="336">
        <f>Gasto_o_ing_total!E38*1000/Gasto_o_ing_total!E$479</f>
        <v>11.961746230002531</v>
      </c>
      <c r="G38" s="336">
        <f>Gasto_o_ing_total!F38*1000/Gasto_o_ing_total!F$479</f>
        <v>11.961746230002532</v>
      </c>
      <c r="H38" s="336">
        <f>Gasto_o_ing_total!G38*1000/Gasto_o_ing_total!G$479</f>
        <v>11.961746230002532</v>
      </c>
      <c r="I38" s="336">
        <f>Gasto_o_ing_total!H38*1000/Gasto_o_ing_total!H$479</f>
        <v>11.961746230002532</v>
      </c>
      <c r="J38" s="336">
        <f>Gasto_o_ing_total!I38*1000/Gasto_o_ing_total!I$479</f>
        <v>11.961746230002531</v>
      </c>
      <c r="K38" s="336">
        <f>Gasto_o_ing_total!J38*1000/Gasto_o_ing_total!J$479</f>
        <v>11.961746230002532</v>
      </c>
      <c r="L38" s="336">
        <f>Gasto_o_ing_total!K38*1000/Gasto_o_ing_total!K$479</f>
        <v>11.961746230002532</v>
      </c>
      <c r="M38" s="336">
        <f>Gasto_o_ing_total!L38*1000/Gasto_o_ing_total!L$479</f>
        <v>11.961746230002532</v>
      </c>
      <c r="N38" s="336">
        <f>Gasto_o_ing_total!M38*1000/Gasto_o_ing_total!M$479</f>
        <v>11.961746230002531</v>
      </c>
      <c r="O38" s="336">
        <f>Gasto_o_ing_total!N38*1000/Gasto_o_ing_total!N$479</f>
        <v>11.961746230002529</v>
      </c>
      <c r="P38" s="336">
        <f>Gasto_o_ing_total!O38*1000/Gasto_o_ing_total!O$479</f>
        <v>11.961746230002532</v>
      </c>
      <c r="Q38" s="336">
        <f>Gasto_o_ing_total!P38*1000/Gasto_o_ing_total!P$479</f>
        <v>11.961746230002529</v>
      </c>
      <c r="R38" s="336">
        <f>Gasto_o_ing_total!Q38*1000/Gasto_o_ing_total!Q$479</f>
        <v>11.961746230002531</v>
      </c>
      <c r="S38" s="336">
        <f>Gasto_o_ing_total!R38*1000/Gasto_o_ing_total!R$479</f>
        <v>11.961746230002532</v>
      </c>
      <c r="T38" s="336">
        <f>Gasto_o_ing_total!S38*1000/Gasto_o_ing_total!S$479</f>
        <v>11.961746230002531</v>
      </c>
      <c r="U38" s="336">
        <f>Gasto_o_ing_total!T38*1000/Gasto_o_ing_total!T$479</f>
        <v>11.961746230002531</v>
      </c>
      <c r="V38" s="336">
        <f>Gasto_o_ing_total!U38*1000/Gasto_o_ing_total!U$479</f>
        <v>11.961746230002531</v>
      </c>
      <c r="W38" s="105"/>
    </row>
    <row r="39" spans="1:23" s="102" customFormat="1">
      <c r="A39" s="355"/>
      <c r="B39" s="115" t="s">
        <v>144</v>
      </c>
      <c r="C39" s="333" t="str">
        <f>VLOOKUP(B39,Tot_res!C:D,2,FALSE)</f>
        <v>Modernización de las fuerzas armadas</v>
      </c>
      <c r="D39" s="336">
        <f>Gasto_o_ing_total!V39*1000/Gasto_o_ing_total!V$479</f>
        <v>3.695999251936537</v>
      </c>
      <c r="E39" s="336">
        <f>Gasto_o_ing_total!D39*1000/Gasto_o_ing_total!D$479</f>
        <v>3.6959992519365366</v>
      </c>
      <c r="F39" s="336">
        <f>Gasto_o_ing_total!E39*1000/Gasto_o_ing_total!E$479</f>
        <v>3.695999251936537</v>
      </c>
      <c r="G39" s="336">
        <f>Gasto_o_ing_total!F39*1000/Gasto_o_ing_total!F$479</f>
        <v>3.695999251936537</v>
      </c>
      <c r="H39" s="336">
        <f>Gasto_o_ing_total!G39*1000/Gasto_o_ing_total!G$479</f>
        <v>3.6959992519365366</v>
      </c>
      <c r="I39" s="336">
        <f>Gasto_o_ing_total!H39*1000/Gasto_o_ing_total!H$479</f>
        <v>3.695999251936537</v>
      </c>
      <c r="J39" s="336">
        <f>Gasto_o_ing_total!I39*1000/Gasto_o_ing_total!I$479</f>
        <v>3.6959992519365374</v>
      </c>
      <c r="K39" s="336">
        <f>Gasto_o_ing_total!J39*1000/Gasto_o_ing_total!J$479</f>
        <v>3.695999251936537</v>
      </c>
      <c r="L39" s="336">
        <f>Gasto_o_ing_total!K39*1000/Gasto_o_ing_total!K$479</f>
        <v>3.695999251936537</v>
      </c>
      <c r="M39" s="336">
        <f>Gasto_o_ing_total!L39*1000/Gasto_o_ing_total!L$479</f>
        <v>3.6959992519365366</v>
      </c>
      <c r="N39" s="336">
        <f>Gasto_o_ing_total!M39*1000/Gasto_o_ing_total!M$479</f>
        <v>3.695999251936537</v>
      </c>
      <c r="O39" s="336">
        <f>Gasto_o_ing_total!N39*1000/Gasto_o_ing_total!N$479</f>
        <v>3.6959992519365366</v>
      </c>
      <c r="P39" s="336">
        <f>Gasto_o_ing_total!O39*1000/Gasto_o_ing_total!O$479</f>
        <v>3.6959992519365366</v>
      </c>
      <c r="Q39" s="336">
        <f>Gasto_o_ing_total!P39*1000/Gasto_o_ing_total!P$479</f>
        <v>3.695999251936537</v>
      </c>
      <c r="R39" s="336">
        <f>Gasto_o_ing_total!Q39*1000/Gasto_o_ing_total!Q$479</f>
        <v>3.6959992519365361</v>
      </c>
      <c r="S39" s="336">
        <f>Gasto_o_ing_total!R39*1000/Gasto_o_ing_total!R$479</f>
        <v>3.695999251936537</v>
      </c>
      <c r="T39" s="336">
        <f>Gasto_o_ing_total!S39*1000/Gasto_o_ing_total!S$479</f>
        <v>3.6959992519365366</v>
      </c>
      <c r="U39" s="336">
        <f>Gasto_o_ing_total!T39*1000/Gasto_o_ing_total!T$479</f>
        <v>3.695999251936537</v>
      </c>
      <c r="V39" s="336">
        <f>Gasto_o_ing_total!U39*1000/Gasto_o_ing_total!U$479</f>
        <v>3.695999251936537</v>
      </c>
      <c r="W39" s="105"/>
    </row>
    <row r="40" spans="1:23" s="102" customFormat="1">
      <c r="A40" s="355"/>
      <c r="B40" s="115" t="s">
        <v>145</v>
      </c>
      <c r="C40" s="333" t="str">
        <f>VLOOKUP(B40,Tot_res!C:D,2,FALSE)</f>
        <v>Programas especiales de modernización</v>
      </c>
      <c r="D40" s="336">
        <f>Gasto_o_ing_total!V40*1000/Gasto_o_ing_total!V$479</f>
        <v>18.858779826320287</v>
      </c>
      <c r="E40" s="336">
        <f>Gasto_o_ing_total!D40*1000/Gasto_o_ing_total!D$479</f>
        <v>18.858779826320287</v>
      </c>
      <c r="F40" s="336">
        <f>Gasto_o_ing_total!E40*1000/Gasto_o_ing_total!E$479</f>
        <v>18.858779826320287</v>
      </c>
      <c r="G40" s="336">
        <f>Gasto_o_ing_total!F40*1000/Gasto_o_ing_total!F$479</f>
        <v>18.858779826320287</v>
      </c>
      <c r="H40" s="336">
        <f>Gasto_o_ing_total!G40*1000/Gasto_o_ing_total!G$479</f>
        <v>18.858779826320291</v>
      </c>
      <c r="I40" s="336">
        <f>Gasto_o_ing_total!H40*1000/Gasto_o_ing_total!H$479</f>
        <v>18.858779826320291</v>
      </c>
      <c r="J40" s="336">
        <f>Gasto_o_ing_total!I40*1000/Gasto_o_ing_total!I$479</f>
        <v>18.858779826320287</v>
      </c>
      <c r="K40" s="336">
        <f>Gasto_o_ing_total!J40*1000/Gasto_o_ing_total!J$479</f>
        <v>18.858779826320287</v>
      </c>
      <c r="L40" s="336">
        <f>Gasto_o_ing_total!K40*1000/Gasto_o_ing_total!K$479</f>
        <v>18.858779826320287</v>
      </c>
      <c r="M40" s="336">
        <f>Gasto_o_ing_total!L40*1000/Gasto_o_ing_total!L$479</f>
        <v>18.858779826320287</v>
      </c>
      <c r="N40" s="336">
        <f>Gasto_o_ing_total!M40*1000/Gasto_o_ing_total!M$479</f>
        <v>18.858779826320287</v>
      </c>
      <c r="O40" s="336">
        <f>Gasto_o_ing_total!N40*1000/Gasto_o_ing_total!N$479</f>
        <v>18.858779826320287</v>
      </c>
      <c r="P40" s="336">
        <f>Gasto_o_ing_total!O40*1000/Gasto_o_ing_total!O$479</f>
        <v>18.858779826320287</v>
      </c>
      <c r="Q40" s="336">
        <f>Gasto_o_ing_total!P40*1000/Gasto_o_ing_total!P$479</f>
        <v>18.858779826320287</v>
      </c>
      <c r="R40" s="336">
        <f>Gasto_o_ing_total!Q40*1000/Gasto_o_ing_total!Q$479</f>
        <v>18.858779826320287</v>
      </c>
      <c r="S40" s="336">
        <f>Gasto_o_ing_total!R40*1000/Gasto_o_ing_total!R$479</f>
        <v>18.858779826320291</v>
      </c>
      <c r="T40" s="336">
        <f>Gasto_o_ing_total!S40*1000/Gasto_o_ing_total!S$479</f>
        <v>18.858779826320291</v>
      </c>
      <c r="U40" s="336">
        <f>Gasto_o_ing_total!T40*1000/Gasto_o_ing_total!T$479</f>
        <v>18.858779826320287</v>
      </c>
      <c r="V40" s="336">
        <f>Gasto_o_ing_total!U40*1000/Gasto_o_ing_total!U$479</f>
        <v>18.858779826320287</v>
      </c>
      <c r="W40" s="105"/>
    </row>
    <row r="41" spans="1:23" s="102" customFormat="1">
      <c r="A41" s="355"/>
      <c r="B41" s="115" t="s">
        <v>147</v>
      </c>
      <c r="C41" s="333" t="str">
        <f>VLOOKUP(B41,Tot_res!C:D,2,FALSE)</f>
        <v>Gastos operativos de las fuerzas armadas</v>
      </c>
      <c r="D41" s="336">
        <f>Gasto_o_ing_total!V41*1000/Gasto_o_ing_total!V$479</f>
        <v>64.824109397668124</v>
      </c>
      <c r="E41" s="336">
        <f>Gasto_o_ing_total!D41*1000/Gasto_o_ing_total!D$479</f>
        <v>64.824109397668138</v>
      </c>
      <c r="F41" s="336">
        <f>Gasto_o_ing_total!E41*1000/Gasto_o_ing_total!E$479</f>
        <v>64.824109397668124</v>
      </c>
      <c r="G41" s="336">
        <f>Gasto_o_ing_total!F41*1000/Gasto_o_ing_total!F$479</f>
        <v>64.824109397668138</v>
      </c>
      <c r="H41" s="336">
        <f>Gasto_o_ing_total!G41*1000/Gasto_o_ing_total!G$479</f>
        <v>64.824109397668124</v>
      </c>
      <c r="I41" s="336">
        <f>Gasto_o_ing_total!H41*1000/Gasto_o_ing_total!H$479</f>
        <v>64.824109397668124</v>
      </c>
      <c r="J41" s="336">
        <f>Gasto_o_ing_total!I41*1000/Gasto_o_ing_total!I$479</f>
        <v>64.824109397668124</v>
      </c>
      <c r="K41" s="336">
        <f>Gasto_o_ing_total!J41*1000/Gasto_o_ing_total!J$479</f>
        <v>64.824109397668124</v>
      </c>
      <c r="L41" s="336">
        <f>Gasto_o_ing_total!K41*1000/Gasto_o_ing_total!K$479</f>
        <v>64.824109397668124</v>
      </c>
      <c r="M41" s="336">
        <f>Gasto_o_ing_total!L41*1000/Gasto_o_ing_total!L$479</f>
        <v>64.824109397668124</v>
      </c>
      <c r="N41" s="336">
        <f>Gasto_o_ing_total!M41*1000/Gasto_o_ing_total!M$479</f>
        <v>64.824109397668124</v>
      </c>
      <c r="O41" s="336">
        <f>Gasto_o_ing_total!N41*1000/Gasto_o_ing_total!N$479</f>
        <v>64.82410939766811</v>
      </c>
      <c r="P41" s="336">
        <f>Gasto_o_ing_total!O41*1000/Gasto_o_ing_total!O$479</f>
        <v>64.824109397668124</v>
      </c>
      <c r="Q41" s="336">
        <f>Gasto_o_ing_total!P41*1000/Gasto_o_ing_total!P$479</f>
        <v>64.824109397668138</v>
      </c>
      <c r="R41" s="336">
        <f>Gasto_o_ing_total!Q41*1000/Gasto_o_ing_total!Q$479</f>
        <v>64.824109397668124</v>
      </c>
      <c r="S41" s="336">
        <f>Gasto_o_ing_total!R41*1000/Gasto_o_ing_total!R$479</f>
        <v>64.824109397668124</v>
      </c>
      <c r="T41" s="336">
        <f>Gasto_o_ing_total!S41*1000/Gasto_o_ing_total!S$479</f>
        <v>64.824109397668124</v>
      </c>
      <c r="U41" s="336">
        <f>Gasto_o_ing_total!T41*1000/Gasto_o_ing_total!T$479</f>
        <v>64.824109397668124</v>
      </c>
      <c r="V41" s="336">
        <f>Gasto_o_ing_total!U41*1000/Gasto_o_ing_total!U$479</f>
        <v>64.824109397668124</v>
      </c>
      <c r="W41" s="105"/>
    </row>
    <row r="42" spans="1:23" s="102" customFormat="1">
      <c r="A42" s="355"/>
      <c r="B42" s="115" t="s">
        <v>148</v>
      </c>
      <c r="C42" s="333" t="str">
        <f>VLOOKUP(B42,Tot_res!C:D,2,FALSE)</f>
        <v>Apoyo logístico</v>
      </c>
      <c r="D42" s="336">
        <f>Gasto_o_ing_total!V42*1000/Gasto_o_ing_total!V$479</f>
        <v>29.055871766348609</v>
      </c>
      <c r="E42" s="336">
        <f>Gasto_o_ing_total!D42*1000/Gasto_o_ing_total!D$479</f>
        <v>29.055871766348609</v>
      </c>
      <c r="F42" s="336">
        <f>Gasto_o_ing_total!E42*1000/Gasto_o_ing_total!E$479</f>
        <v>29.055871766348613</v>
      </c>
      <c r="G42" s="336">
        <f>Gasto_o_ing_total!F42*1000/Gasto_o_ing_total!F$479</f>
        <v>29.055871766348613</v>
      </c>
      <c r="H42" s="336">
        <f>Gasto_o_ing_total!G42*1000/Gasto_o_ing_total!G$479</f>
        <v>29.055871766348609</v>
      </c>
      <c r="I42" s="336">
        <f>Gasto_o_ing_total!H42*1000/Gasto_o_ing_total!H$479</f>
        <v>29.055871766348609</v>
      </c>
      <c r="J42" s="336">
        <f>Gasto_o_ing_total!I42*1000/Gasto_o_ing_total!I$479</f>
        <v>29.055871766348613</v>
      </c>
      <c r="K42" s="336">
        <f>Gasto_o_ing_total!J42*1000/Gasto_o_ing_total!J$479</f>
        <v>29.055871766348613</v>
      </c>
      <c r="L42" s="336">
        <f>Gasto_o_ing_total!K42*1000/Gasto_o_ing_total!K$479</f>
        <v>29.055871766348613</v>
      </c>
      <c r="M42" s="336">
        <f>Gasto_o_ing_total!L42*1000/Gasto_o_ing_total!L$479</f>
        <v>29.055871766348609</v>
      </c>
      <c r="N42" s="336">
        <f>Gasto_o_ing_total!M42*1000/Gasto_o_ing_total!M$479</f>
        <v>29.055871766348616</v>
      </c>
      <c r="O42" s="336">
        <f>Gasto_o_ing_total!N42*1000/Gasto_o_ing_total!N$479</f>
        <v>29.055871766348609</v>
      </c>
      <c r="P42" s="336">
        <f>Gasto_o_ing_total!O42*1000/Gasto_o_ing_total!O$479</f>
        <v>29.055871766348609</v>
      </c>
      <c r="Q42" s="336">
        <f>Gasto_o_ing_total!P42*1000/Gasto_o_ing_total!P$479</f>
        <v>29.055871766348613</v>
      </c>
      <c r="R42" s="336">
        <f>Gasto_o_ing_total!Q42*1000/Gasto_o_ing_total!Q$479</f>
        <v>29.055871766348606</v>
      </c>
      <c r="S42" s="336">
        <f>Gasto_o_ing_total!R42*1000/Gasto_o_ing_total!R$479</f>
        <v>29.055871766348606</v>
      </c>
      <c r="T42" s="336">
        <f>Gasto_o_ing_total!S42*1000/Gasto_o_ing_total!S$479</f>
        <v>29.055871766348609</v>
      </c>
      <c r="U42" s="336">
        <f>Gasto_o_ing_total!T42*1000/Gasto_o_ing_total!T$479</f>
        <v>29.055871766348609</v>
      </c>
      <c r="V42" s="336">
        <f>Gasto_o_ing_total!U42*1000/Gasto_o_ing_total!U$479</f>
        <v>29.055871766348609</v>
      </c>
      <c r="W42" s="105"/>
    </row>
    <row r="43" spans="1:23" s="102" customFormat="1">
      <c r="A43" s="355"/>
      <c r="B43" s="115" t="s">
        <v>149</v>
      </c>
      <c r="C43" s="333" t="str">
        <f>VLOOKUP(B43,Tot_res!C:D,2,FALSE)</f>
        <v>Asistencia hospitalaria en las fuerzas armadas</v>
      </c>
      <c r="D43" s="336">
        <f>Gasto_o_ing_total!V43*1000/Gasto_o_ing_total!V$479</f>
        <v>3.7778808954406116</v>
      </c>
      <c r="E43" s="336">
        <f>Gasto_o_ing_total!D43*1000/Gasto_o_ing_total!D$479</f>
        <v>3.7778808954406125</v>
      </c>
      <c r="F43" s="336">
        <f>Gasto_o_ing_total!E43*1000/Gasto_o_ing_total!E$479</f>
        <v>3.7778808954406116</v>
      </c>
      <c r="G43" s="336">
        <f>Gasto_o_ing_total!F43*1000/Gasto_o_ing_total!F$479</f>
        <v>3.7778808954406129</v>
      </c>
      <c r="H43" s="336">
        <f>Gasto_o_ing_total!G43*1000/Gasto_o_ing_total!G$479</f>
        <v>3.777880895440612</v>
      </c>
      <c r="I43" s="336">
        <f>Gasto_o_ing_total!H43*1000/Gasto_o_ing_total!H$479</f>
        <v>3.7778808954406125</v>
      </c>
      <c r="J43" s="336">
        <f>Gasto_o_ing_total!I43*1000/Gasto_o_ing_total!I$479</f>
        <v>3.777880895440612</v>
      </c>
      <c r="K43" s="336">
        <f>Gasto_o_ing_total!J43*1000/Gasto_o_ing_total!J$479</f>
        <v>3.7778808954406125</v>
      </c>
      <c r="L43" s="336">
        <f>Gasto_o_ing_total!K43*1000/Gasto_o_ing_total!K$479</f>
        <v>3.7778808954406125</v>
      </c>
      <c r="M43" s="336">
        <f>Gasto_o_ing_total!L43*1000/Gasto_o_ing_total!L$479</f>
        <v>3.777880895440612</v>
      </c>
      <c r="N43" s="336">
        <f>Gasto_o_ing_total!M43*1000/Gasto_o_ing_total!M$479</f>
        <v>3.7778808954406125</v>
      </c>
      <c r="O43" s="336">
        <f>Gasto_o_ing_total!N43*1000/Gasto_o_ing_total!N$479</f>
        <v>3.7778808954406125</v>
      </c>
      <c r="P43" s="336">
        <f>Gasto_o_ing_total!O43*1000/Gasto_o_ing_total!O$479</f>
        <v>3.777880895440612</v>
      </c>
      <c r="Q43" s="336">
        <f>Gasto_o_ing_total!P43*1000/Gasto_o_ing_total!P$479</f>
        <v>3.7778808954406125</v>
      </c>
      <c r="R43" s="336">
        <f>Gasto_o_ing_total!Q43*1000/Gasto_o_ing_total!Q$479</f>
        <v>3.7778808954406125</v>
      </c>
      <c r="S43" s="336">
        <f>Gasto_o_ing_total!R43*1000/Gasto_o_ing_total!R$479</f>
        <v>3.7778808954406129</v>
      </c>
      <c r="T43" s="336">
        <f>Gasto_o_ing_total!S43*1000/Gasto_o_ing_total!S$479</f>
        <v>3.7778808954406129</v>
      </c>
      <c r="U43" s="336">
        <f>Gasto_o_ing_total!T43*1000/Gasto_o_ing_total!T$479</f>
        <v>3.7778808954406125</v>
      </c>
      <c r="V43" s="336">
        <f>Gasto_o_ing_total!U43*1000/Gasto_o_ing_total!U$479</f>
        <v>3.7778808954406125</v>
      </c>
      <c r="W43" s="105"/>
    </row>
    <row r="44" spans="1:23" s="102" customFormat="1">
      <c r="A44" s="355"/>
      <c r="B44" s="115" t="s">
        <v>150</v>
      </c>
      <c r="C44" s="333" t="str">
        <f>VLOOKUP(B44,Tot_res!C:D,2,FALSE)</f>
        <v>Investigación y estudios de las fuerzas armadas</v>
      </c>
      <c r="D44" s="336">
        <f>Gasto_o_ing_total!V44*1000/Gasto_o_ing_total!V$479</f>
        <v>3.1250491685275255</v>
      </c>
      <c r="E44" s="336">
        <f>Gasto_o_ing_total!D44*1000/Gasto_o_ing_total!D$479</f>
        <v>3.1250491685275246</v>
      </c>
      <c r="F44" s="336">
        <f>Gasto_o_ing_total!E44*1000/Gasto_o_ing_total!E$479</f>
        <v>3.1250491685275246</v>
      </c>
      <c r="G44" s="336">
        <f>Gasto_o_ing_total!F44*1000/Gasto_o_ing_total!F$479</f>
        <v>3.125049168527525</v>
      </c>
      <c r="H44" s="336">
        <f>Gasto_o_ing_total!G44*1000/Gasto_o_ing_total!G$479</f>
        <v>3.1250491685275246</v>
      </c>
      <c r="I44" s="336">
        <f>Gasto_o_ing_total!H44*1000/Gasto_o_ing_total!H$479</f>
        <v>3.125049168527525</v>
      </c>
      <c r="J44" s="336">
        <f>Gasto_o_ing_total!I44*1000/Gasto_o_ing_total!I$479</f>
        <v>3.125049168527525</v>
      </c>
      <c r="K44" s="336">
        <f>Gasto_o_ing_total!J44*1000/Gasto_o_ing_total!J$479</f>
        <v>3.125049168527525</v>
      </c>
      <c r="L44" s="336">
        <f>Gasto_o_ing_total!K44*1000/Gasto_o_ing_total!K$479</f>
        <v>3.125049168527525</v>
      </c>
      <c r="M44" s="336">
        <f>Gasto_o_ing_total!L44*1000/Gasto_o_ing_total!L$479</f>
        <v>3.1250491685275246</v>
      </c>
      <c r="N44" s="336">
        <f>Gasto_o_ing_total!M44*1000/Gasto_o_ing_total!M$479</f>
        <v>3.125049168527525</v>
      </c>
      <c r="O44" s="336">
        <f>Gasto_o_ing_total!N44*1000/Gasto_o_ing_total!N$479</f>
        <v>3.1250491685275246</v>
      </c>
      <c r="P44" s="336">
        <f>Gasto_o_ing_total!O44*1000/Gasto_o_ing_total!O$479</f>
        <v>3.1250491685275246</v>
      </c>
      <c r="Q44" s="336">
        <f>Gasto_o_ing_total!P44*1000/Gasto_o_ing_total!P$479</f>
        <v>3.1250491685275246</v>
      </c>
      <c r="R44" s="336">
        <f>Gasto_o_ing_total!Q44*1000/Gasto_o_ing_total!Q$479</f>
        <v>3.1250491685275246</v>
      </c>
      <c r="S44" s="336">
        <f>Gasto_o_ing_total!R44*1000/Gasto_o_ing_total!R$479</f>
        <v>3.1250491685275246</v>
      </c>
      <c r="T44" s="336">
        <f>Gasto_o_ing_total!S44*1000/Gasto_o_ing_total!S$479</f>
        <v>3.125049168527525</v>
      </c>
      <c r="U44" s="336">
        <f>Gasto_o_ing_total!T44*1000/Gasto_o_ing_total!T$479</f>
        <v>3.125049168527525</v>
      </c>
      <c r="V44" s="336">
        <f>Gasto_o_ing_total!U44*1000/Gasto_o_ing_total!U$479</f>
        <v>3.125049168527525</v>
      </c>
      <c r="W44" s="105"/>
    </row>
    <row r="45" spans="1:23" s="102" customFormat="1">
      <c r="A45" s="355"/>
      <c r="B45" s="115" t="s">
        <v>152</v>
      </c>
      <c r="C45" s="333" t="str">
        <f>VLOOKUP(B45,Tot_res!C:D,2,FALSE)</f>
        <v>Apoyo a la innovación tecnológica en el sector de la defensa</v>
      </c>
      <c r="D45" s="336">
        <f>Gasto_o_ing_total!V45*1000/Gasto_o_ing_total!V$479</f>
        <v>4.3383331598884798</v>
      </c>
      <c r="E45" s="336">
        <f>Gasto_o_ing_total!D45*1000/Gasto_o_ing_total!D$479</f>
        <v>4.3383331598884807</v>
      </c>
      <c r="F45" s="336">
        <f>Gasto_o_ing_total!E45*1000/Gasto_o_ing_total!E$479</f>
        <v>4.3383331598884798</v>
      </c>
      <c r="G45" s="336">
        <f>Gasto_o_ing_total!F45*1000/Gasto_o_ing_total!F$479</f>
        <v>4.3383331598884807</v>
      </c>
      <c r="H45" s="336">
        <f>Gasto_o_ing_total!G45*1000/Gasto_o_ing_total!G$479</f>
        <v>4.3383331598884798</v>
      </c>
      <c r="I45" s="336">
        <f>Gasto_o_ing_total!H45*1000/Gasto_o_ing_total!H$479</f>
        <v>4.3383331598884798</v>
      </c>
      <c r="J45" s="336">
        <f>Gasto_o_ing_total!I45*1000/Gasto_o_ing_total!I$479</f>
        <v>4.3383331598884798</v>
      </c>
      <c r="K45" s="336">
        <f>Gasto_o_ing_total!J45*1000/Gasto_o_ing_total!J$479</f>
        <v>4.3383331598884807</v>
      </c>
      <c r="L45" s="336">
        <f>Gasto_o_ing_total!K45*1000/Gasto_o_ing_total!K$479</f>
        <v>4.3383331598884798</v>
      </c>
      <c r="M45" s="336">
        <f>Gasto_o_ing_total!L45*1000/Gasto_o_ing_total!L$479</f>
        <v>4.3383331598884798</v>
      </c>
      <c r="N45" s="336">
        <f>Gasto_o_ing_total!M45*1000/Gasto_o_ing_total!M$479</f>
        <v>4.3383331598884798</v>
      </c>
      <c r="O45" s="336">
        <f>Gasto_o_ing_total!N45*1000/Gasto_o_ing_total!N$479</f>
        <v>4.3383331598884798</v>
      </c>
      <c r="P45" s="336">
        <f>Gasto_o_ing_total!O45*1000/Gasto_o_ing_total!O$479</f>
        <v>4.3383331598884798</v>
      </c>
      <c r="Q45" s="336">
        <f>Gasto_o_ing_total!P45*1000/Gasto_o_ing_total!P$479</f>
        <v>4.3383331598884798</v>
      </c>
      <c r="R45" s="336">
        <f>Gasto_o_ing_total!Q45*1000/Gasto_o_ing_total!Q$479</f>
        <v>4.3383331598884798</v>
      </c>
      <c r="S45" s="336">
        <f>Gasto_o_ing_total!R45*1000/Gasto_o_ing_total!R$479</f>
        <v>4.3383331598884807</v>
      </c>
      <c r="T45" s="336">
        <f>Gasto_o_ing_total!S45*1000/Gasto_o_ing_total!S$479</f>
        <v>4.3383331598884798</v>
      </c>
      <c r="U45" s="336">
        <f>Gasto_o_ing_total!T45*1000/Gasto_o_ing_total!T$479</f>
        <v>4.3383331598884798</v>
      </c>
      <c r="V45" s="336">
        <f>Gasto_o_ing_total!U45*1000/Gasto_o_ing_total!U$479</f>
        <v>4.3383331598884807</v>
      </c>
      <c r="W45" s="105"/>
    </row>
    <row r="46" spans="1:23" s="102" customFormat="1">
      <c r="A46" s="356"/>
      <c r="B46" s="115"/>
      <c r="D46" s="110"/>
      <c r="E46" s="110"/>
      <c r="F46" s="110"/>
      <c r="G46" s="110"/>
      <c r="H46" s="110"/>
      <c r="I46" s="110"/>
      <c r="J46" s="110"/>
      <c r="K46" s="110"/>
      <c r="L46" s="110"/>
      <c r="M46" s="110"/>
      <c r="N46" s="110"/>
      <c r="O46" s="110"/>
      <c r="P46" s="110"/>
      <c r="Q46" s="110"/>
      <c r="R46" s="110"/>
      <c r="S46" s="110"/>
      <c r="T46" s="110"/>
      <c r="U46" s="110"/>
      <c r="V46" s="110"/>
      <c r="W46" s="105"/>
    </row>
    <row r="47" spans="1:23" s="102" customFormat="1">
      <c r="A47" s="356"/>
      <c r="B47" s="115"/>
      <c r="C47" s="128" t="s">
        <v>30</v>
      </c>
      <c r="D47" s="113">
        <f>Gasto_o_ing_total!V47*1000/Gasto_o_ing_total!V$479</f>
        <v>48.989594435839969</v>
      </c>
      <c r="E47" s="113">
        <f>Gasto_o_ing_total!D47*1000/Gasto_o_ing_total!D$479</f>
        <v>48.989594435839983</v>
      </c>
      <c r="F47" s="113">
        <f>Gasto_o_ing_total!E47*1000/Gasto_o_ing_total!E$479</f>
        <v>48.989594435839976</v>
      </c>
      <c r="G47" s="113">
        <f>Gasto_o_ing_total!F47*1000/Gasto_o_ing_total!F$479</f>
        <v>48.989594435839983</v>
      </c>
      <c r="H47" s="113">
        <f>Gasto_o_ing_total!G47*1000/Gasto_o_ing_total!G$479</f>
        <v>48.989594435839976</v>
      </c>
      <c r="I47" s="113">
        <f>Gasto_o_ing_total!H47*1000/Gasto_o_ing_total!H$479</f>
        <v>48.989594435839976</v>
      </c>
      <c r="J47" s="113">
        <f>Gasto_o_ing_total!I47*1000/Gasto_o_ing_total!I$479</f>
        <v>48.989594435839976</v>
      </c>
      <c r="K47" s="113">
        <f>Gasto_o_ing_total!J47*1000/Gasto_o_ing_total!J$479</f>
        <v>48.989594435839976</v>
      </c>
      <c r="L47" s="113">
        <f>Gasto_o_ing_total!K47*1000/Gasto_o_ing_total!K$479</f>
        <v>48.989594435839983</v>
      </c>
      <c r="M47" s="113">
        <f>Gasto_o_ing_total!L47*1000/Gasto_o_ing_total!L$479</f>
        <v>48.989594435839983</v>
      </c>
      <c r="N47" s="113">
        <f>Gasto_o_ing_total!M47*1000/Gasto_o_ing_total!M$479</f>
        <v>48.989594435839976</v>
      </c>
      <c r="O47" s="113">
        <f>Gasto_o_ing_total!N47*1000/Gasto_o_ing_total!N$479</f>
        <v>48.989594435839983</v>
      </c>
      <c r="P47" s="113">
        <f>Gasto_o_ing_total!O47*1000/Gasto_o_ing_total!O$479</f>
        <v>48.989594435839976</v>
      </c>
      <c r="Q47" s="113">
        <f>Gasto_o_ing_total!P47*1000/Gasto_o_ing_total!P$479</f>
        <v>48.989594435839983</v>
      </c>
      <c r="R47" s="113">
        <f>Gasto_o_ing_total!Q47*1000/Gasto_o_ing_total!Q$479</f>
        <v>48.989594435839983</v>
      </c>
      <c r="S47" s="113">
        <f>Gasto_o_ing_total!R47*1000/Gasto_o_ing_total!R$479</f>
        <v>48.989594435839997</v>
      </c>
      <c r="T47" s="113">
        <f>Gasto_o_ing_total!S47*1000/Gasto_o_ing_total!S$479</f>
        <v>48.989594435839983</v>
      </c>
      <c r="U47" s="113">
        <f>Gasto_o_ing_total!T47*1000/Gasto_o_ing_total!T$479</f>
        <v>48.989594435839969</v>
      </c>
      <c r="V47" s="113">
        <f>Gasto_o_ing_total!U47*1000/Gasto_o_ing_total!U$479</f>
        <v>48.989594435839983</v>
      </c>
      <c r="W47" s="130"/>
    </row>
    <row r="48" spans="1:23" s="102" customFormat="1">
      <c r="A48" s="355"/>
      <c r="B48" s="115" t="s">
        <v>153</v>
      </c>
      <c r="C48" s="333" t="str">
        <f>VLOOKUP(B48,Tot_res!C:D,2,FALSE)</f>
        <v>Coordinación y relaciones financieras con los entes territoriales</v>
      </c>
      <c r="D48" s="336">
        <f>Gasto_o_ing_total!V48*1000/Gasto_o_ing_total!V$479</f>
        <v>0.14002746931974955</v>
      </c>
      <c r="E48" s="336">
        <f>Gasto_o_ing_total!D48*1000/Gasto_o_ing_total!D$479</f>
        <v>0.14002746931974955</v>
      </c>
      <c r="F48" s="336">
        <f>Gasto_o_ing_total!E48*1000/Gasto_o_ing_total!E$479</f>
        <v>0.14002746931974958</v>
      </c>
      <c r="G48" s="336">
        <f>Gasto_o_ing_total!F48*1000/Gasto_o_ing_total!F$479</f>
        <v>0.14002746931974958</v>
      </c>
      <c r="H48" s="336">
        <f>Gasto_o_ing_total!G48*1000/Gasto_o_ing_total!G$479</f>
        <v>0.14002746931974958</v>
      </c>
      <c r="I48" s="336">
        <f>Gasto_o_ing_total!H48*1000/Gasto_o_ing_total!H$479</f>
        <v>0.14002746931974958</v>
      </c>
      <c r="J48" s="336">
        <f>Gasto_o_ing_total!I48*1000/Gasto_o_ing_total!I$479</f>
        <v>0.14002746931974955</v>
      </c>
      <c r="K48" s="336">
        <f>Gasto_o_ing_total!J48*1000/Gasto_o_ing_total!J$479</f>
        <v>0.14002746931974958</v>
      </c>
      <c r="L48" s="336">
        <f>Gasto_o_ing_total!K48*1000/Gasto_o_ing_total!K$479</f>
        <v>0.14002746931974958</v>
      </c>
      <c r="M48" s="336">
        <f>Gasto_o_ing_total!L48*1000/Gasto_o_ing_total!L$479</f>
        <v>0.14002746931974958</v>
      </c>
      <c r="N48" s="336">
        <f>Gasto_o_ing_total!M48*1000/Gasto_o_ing_total!M$479</f>
        <v>0.14002746931974958</v>
      </c>
      <c r="O48" s="336">
        <f>Gasto_o_ing_total!N48*1000/Gasto_o_ing_total!N$479</f>
        <v>0.14002746931974955</v>
      </c>
      <c r="P48" s="336">
        <f>Gasto_o_ing_total!O48*1000/Gasto_o_ing_total!O$479</f>
        <v>0.14002746931974955</v>
      </c>
      <c r="Q48" s="336">
        <f>Gasto_o_ing_total!P48*1000/Gasto_o_ing_total!P$479</f>
        <v>0.14002746931974958</v>
      </c>
      <c r="R48" s="336">
        <f>Gasto_o_ing_total!Q48*1000/Gasto_o_ing_total!Q$479</f>
        <v>0.14002746931974955</v>
      </c>
      <c r="S48" s="336">
        <f>Gasto_o_ing_total!R48*1000/Gasto_o_ing_total!R$479</f>
        <v>0.14002746931974958</v>
      </c>
      <c r="T48" s="336">
        <f>Gasto_o_ing_total!S48*1000/Gasto_o_ing_total!S$479</f>
        <v>0.14002746931974958</v>
      </c>
      <c r="U48" s="336">
        <f>Gasto_o_ing_total!T48*1000/Gasto_o_ing_total!T$479</f>
        <v>0.14002746931974958</v>
      </c>
      <c r="V48" s="336">
        <f>Gasto_o_ing_total!U48*1000/Gasto_o_ing_total!U$479</f>
        <v>0.14002746931974958</v>
      </c>
      <c r="W48" s="105"/>
    </row>
    <row r="49" spans="1:23" s="102" customFormat="1">
      <c r="A49" s="355"/>
      <c r="B49" s="115" t="s">
        <v>630</v>
      </c>
      <c r="C49" s="333" t="str">
        <f>VLOOKUP(B49,Tot_res!C:D,2,FALSE)</f>
        <v>Gestión del patrimonio del estado</v>
      </c>
      <c r="D49" s="336">
        <f>Gasto_o_ing_total!V49*1000/Gasto_o_ing_total!V$479</f>
        <v>0.78323575679456203</v>
      </c>
      <c r="E49" s="336">
        <f>Gasto_o_ing_total!D49*1000/Gasto_o_ing_total!D$479</f>
        <v>0.78323575679456192</v>
      </c>
      <c r="F49" s="336">
        <f>Gasto_o_ing_total!E49*1000/Gasto_o_ing_total!E$479</f>
        <v>0.78323575679456192</v>
      </c>
      <c r="G49" s="336">
        <f>Gasto_o_ing_total!F49*1000/Gasto_o_ing_total!F$479</f>
        <v>0.78323575679456203</v>
      </c>
      <c r="H49" s="336">
        <f>Gasto_o_ing_total!G49*1000/Gasto_o_ing_total!G$479</f>
        <v>0.78323575679456192</v>
      </c>
      <c r="I49" s="336">
        <f>Gasto_o_ing_total!H49*1000/Gasto_o_ing_total!H$479</f>
        <v>0.78323575679456203</v>
      </c>
      <c r="J49" s="336">
        <f>Gasto_o_ing_total!I49*1000/Gasto_o_ing_total!I$479</f>
        <v>0.78323575679456203</v>
      </c>
      <c r="K49" s="336">
        <f>Gasto_o_ing_total!J49*1000/Gasto_o_ing_total!J$479</f>
        <v>0.78323575679456203</v>
      </c>
      <c r="L49" s="336">
        <f>Gasto_o_ing_total!K49*1000/Gasto_o_ing_total!K$479</f>
        <v>0.78323575679456203</v>
      </c>
      <c r="M49" s="336">
        <f>Gasto_o_ing_total!L49*1000/Gasto_o_ing_total!L$479</f>
        <v>0.78323575679456192</v>
      </c>
      <c r="N49" s="336">
        <f>Gasto_o_ing_total!M49*1000/Gasto_o_ing_total!M$479</f>
        <v>0.78323575679456203</v>
      </c>
      <c r="O49" s="336">
        <f>Gasto_o_ing_total!N49*1000/Gasto_o_ing_total!N$479</f>
        <v>0.78323575679456203</v>
      </c>
      <c r="P49" s="336">
        <f>Gasto_o_ing_total!O49*1000/Gasto_o_ing_total!O$479</f>
        <v>0.78323575679456203</v>
      </c>
      <c r="Q49" s="336">
        <f>Gasto_o_ing_total!P49*1000/Gasto_o_ing_total!P$479</f>
        <v>0.78323575679456192</v>
      </c>
      <c r="R49" s="336">
        <f>Gasto_o_ing_total!Q49*1000/Gasto_o_ing_total!Q$479</f>
        <v>0.78323575679456203</v>
      </c>
      <c r="S49" s="336">
        <f>Gasto_o_ing_total!R49*1000/Gasto_o_ing_total!R$479</f>
        <v>0.78323575679456203</v>
      </c>
      <c r="T49" s="336">
        <f>Gasto_o_ing_total!S49*1000/Gasto_o_ing_total!S$479</f>
        <v>0.78323575679456203</v>
      </c>
      <c r="U49" s="336">
        <f>Gasto_o_ing_total!T49*1000/Gasto_o_ing_total!T$479</f>
        <v>0.78323575679456203</v>
      </c>
      <c r="V49" s="336">
        <f>Gasto_o_ing_total!U49*1000/Gasto_o_ing_total!U$479</f>
        <v>0.78323575679456181</v>
      </c>
      <c r="W49" s="105"/>
    </row>
    <row r="50" spans="1:23" s="102" customFormat="1">
      <c r="A50" s="355"/>
      <c r="B50" s="115" t="s">
        <v>696</v>
      </c>
      <c r="C50" s="333" t="str">
        <f>VLOOKUP(B50,Tot_res!C:D,2,FALSE)</f>
        <v>Dirección y servicios generales de hacienda y administraciones públicas</v>
      </c>
      <c r="D50" s="336">
        <f>Gasto_o_ing_total!V50*1000/Gasto_o_ing_total!V$479</f>
        <v>3.0443411944674925</v>
      </c>
      <c r="E50" s="336">
        <f>Gasto_o_ing_total!D50*1000/Gasto_o_ing_total!D$479</f>
        <v>3.0443411944674916</v>
      </c>
      <c r="F50" s="336">
        <f>Gasto_o_ing_total!E50*1000/Gasto_o_ing_total!E$479</f>
        <v>3.0443411944674916</v>
      </c>
      <c r="G50" s="336">
        <f>Gasto_o_ing_total!F50*1000/Gasto_o_ing_total!F$479</f>
        <v>3.0443411944674916</v>
      </c>
      <c r="H50" s="336">
        <f>Gasto_o_ing_total!G50*1000/Gasto_o_ing_total!G$479</f>
        <v>3.0443411944674916</v>
      </c>
      <c r="I50" s="336">
        <f>Gasto_o_ing_total!H50*1000/Gasto_o_ing_total!H$479</f>
        <v>3.0443411944674921</v>
      </c>
      <c r="J50" s="336">
        <f>Gasto_o_ing_total!I50*1000/Gasto_o_ing_total!I$479</f>
        <v>3.0443411944674916</v>
      </c>
      <c r="K50" s="336">
        <f>Gasto_o_ing_total!J50*1000/Gasto_o_ing_total!J$479</f>
        <v>3.0443411944674921</v>
      </c>
      <c r="L50" s="336">
        <f>Gasto_o_ing_total!K50*1000/Gasto_o_ing_total!K$479</f>
        <v>3.0443411944674921</v>
      </c>
      <c r="M50" s="336">
        <f>Gasto_o_ing_total!L50*1000/Gasto_o_ing_total!L$479</f>
        <v>3.0443411944674921</v>
      </c>
      <c r="N50" s="336">
        <f>Gasto_o_ing_total!M50*1000/Gasto_o_ing_total!M$479</f>
        <v>3.0443411944674916</v>
      </c>
      <c r="O50" s="336">
        <f>Gasto_o_ing_total!N50*1000/Gasto_o_ing_total!N$479</f>
        <v>3.0443411944674916</v>
      </c>
      <c r="P50" s="336">
        <f>Gasto_o_ing_total!O50*1000/Gasto_o_ing_total!O$479</f>
        <v>3.0443411944674916</v>
      </c>
      <c r="Q50" s="336">
        <f>Gasto_o_ing_total!P50*1000/Gasto_o_ing_total!P$479</f>
        <v>3.0443411944674921</v>
      </c>
      <c r="R50" s="336">
        <f>Gasto_o_ing_total!Q50*1000/Gasto_o_ing_total!Q$479</f>
        <v>3.0443411944674912</v>
      </c>
      <c r="S50" s="336">
        <f>Gasto_o_ing_total!R50*1000/Gasto_o_ing_total!R$479</f>
        <v>3.0443411944674916</v>
      </c>
      <c r="T50" s="336">
        <f>Gasto_o_ing_total!S50*1000/Gasto_o_ing_total!S$479</f>
        <v>3.0443411944674921</v>
      </c>
      <c r="U50" s="336">
        <f>Gasto_o_ing_total!T50*1000/Gasto_o_ing_total!T$479</f>
        <v>3.0443411944674916</v>
      </c>
      <c r="V50" s="336">
        <f>Gasto_o_ing_total!U50*1000/Gasto_o_ing_total!U$479</f>
        <v>3.0443411944674916</v>
      </c>
      <c r="W50" s="105"/>
    </row>
    <row r="51" spans="1:23" s="102" customFormat="1">
      <c r="A51" s="355"/>
      <c r="B51" s="115" t="s">
        <v>154</v>
      </c>
      <c r="C51" s="333" t="str">
        <f>VLOOKUP(B51,Tot_res!C:D,2,FALSE)</f>
        <v>Formación del personal de economía y hacienda</v>
      </c>
      <c r="D51" s="336">
        <f>Gasto_o_ing_total!V51*1000/Gasto_o_ing_total!V$479</f>
        <v>0.12890990719131329</v>
      </c>
      <c r="E51" s="336">
        <f>Gasto_o_ing_total!D51*1000/Gasto_o_ing_total!D$479</f>
        <v>0.12890990719131326</v>
      </c>
      <c r="F51" s="336">
        <f>Gasto_o_ing_total!E51*1000/Gasto_o_ing_total!E$479</f>
        <v>0.12890990719131323</v>
      </c>
      <c r="G51" s="336">
        <f>Gasto_o_ing_total!F51*1000/Gasto_o_ing_total!F$479</f>
        <v>0.12890990719131323</v>
      </c>
      <c r="H51" s="336">
        <f>Gasto_o_ing_total!G51*1000/Gasto_o_ing_total!G$479</f>
        <v>0.12890990719131326</v>
      </c>
      <c r="I51" s="336">
        <f>Gasto_o_ing_total!H51*1000/Gasto_o_ing_total!H$479</f>
        <v>0.12890990719131326</v>
      </c>
      <c r="J51" s="336">
        <f>Gasto_o_ing_total!I51*1000/Gasto_o_ing_total!I$479</f>
        <v>0.12890990719131326</v>
      </c>
      <c r="K51" s="336">
        <f>Gasto_o_ing_total!J51*1000/Gasto_o_ing_total!J$479</f>
        <v>0.12890990719131323</v>
      </c>
      <c r="L51" s="336">
        <f>Gasto_o_ing_total!K51*1000/Gasto_o_ing_total!K$479</f>
        <v>0.12890990719131326</v>
      </c>
      <c r="M51" s="336">
        <f>Gasto_o_ing_total!L51*1000/Gasto_o_ing_total!L$479</f>
        <v>0.12890990719131326</v>
      </c>
      <c r="N51" s="336">
        <f>Gasto_o_ing_total!M51*1000/Gasto_o_ing_total!M$479</f>
        <v>0.12890990719131326</v>
      </c>
      <c r="O51" s="336">
        <f>Gasto_o_ing_total!N51*1000/Gasto_o_ing_total!N$479</f>
        <v>0.12890990719131323</v>
      </c>
      <c r="P51" s="336">
        <f>Gasto_o_ing_total!O51*1000/Gasto_o_ing_total!O$479</f>
        <v>0.12890990719131323</v>
      </c>
      <c r="Q51" s="336">
        <f>Gasto_o_ing_total!P51*1000/Gasto_o_ing_total!P$479</f>
        <v>0.12890990719131323</v>
      </c>
      <c r="R51" s="336">
        <f>Gasto_o_ing_total!Q51*1000/Gasto_o_ing_total!Q$479</f>
        <v>0.12890990719131323</v>
      </c>
      <c r="S51" s="336">
        <f>Gasto_o_ing_total!R51*1000/Gasto_o_ing_total!R$479</f>
        <v>0.12890990719131326</v>
      </c>
      <c r="T51" s="336">
        <f>Gasto_o_ing_total!S51*1000/Gasto_o_ing_total!S$479</f>
        <v>0.12890990719131326</v>
      </c>
      <c r="U51" s="336">
        <f>Gasto_o_ing_total!T51*1000/Gasto_o_ing_total!T$479</f>
        <v>0.12890990719131326</v>
      </c>
      <c r="V51" s="336">
        <f>Gasto_o_ing_total!U51*1000/Gasto_o_ing_total!U$479</f>
        <v>0.12890990719131323</v>
      </c>
      <c r="W51" s="105"/>
    </row>
    <row r="52" spans="1:23" s="102" customFormat="1">
      <c r="A52" s="355"/>
      <c r="B52" s="115" t="s">
        <v>698</v>
      </c>
      <c r="C52" s="333" t="str">
        <f>VLOOKUP(B52,Tot_res!C:D,2,FALSE)</f>
        <v>Gestión de la deuda y de la tesorería del estado</v>
      </c>
      <c r="D52" s="336">
        <f>Gasto_o_ing_total!V52*1000/Gasto_o_ing_total!V$479</f>
        <v>2.4694542061072666</v>
      </c>
      <c r="E52" s="336">
        <f>Gasto_o_ing_total!D52*1000/Gasto_o_ing_total!D$479</f>
        <v>2.4694542061072662</v>
      </c>
      <c r="F52" s="336">
        <f>Gasto_o_ing_total!E52*1000/Gasto_o_ing_total!E$479</f>
        <v>2.4694542061072666</v>
      </c>
      <c r="G52" s="336">
        <f>Gasto_o_ing_total!F52*1000/Gasto_o_ing_total!F$479</f>
        <v>2.4694542061072666</v>
      </c>
      <c r="H52" s="336">
        <f>Gasto_o_ing_total!G52*1000/Gasto_o_ing_total!G$479</f>
        <v>2.4694542061072666</v>
      </c>
      <c r="I52" s="336">
        <f>Gasto_o_ing_total!H52*1000/Gasto_o_ing_total!H$479</f>
        <v>2.4694542061072662</v>
      </c>
      <c r="J52" s="336">
        <f>Gasto_o_ing_total!I52*1000/Gasto_o_ing_total!I$479</f>
        <v>2.4694542061072666</v>
      </c>
      <c r="K52" s="336">
        <f>Gasto_o_ing_total!J52*1000/Gasto_o_ing_total!J$479</f>
        <v>2.4694542061072666</v>
      </c>
      <c r="L52" s="336">
        <f>Gasto_o_ing_total!K52*1000/Gasto_o_ing_total!K$479</f>
        <v>2.4694542061072666</v>
      </c>
      <c r="M52" s="336">
        <f>Gasto_o_ing_total!L52*1000/Gasto_o_ing_total!L$479</f>
        <v>2.4694542061072662</v>
      </c>
      <c r="N52" s="336">
        <f>Gasto_o_ing_total!M52*1000/Gasto_o_ing_total!M$479</f>
        <v>2.4694542061072666</v>
      </c>
      <c r="O52" s="336">
        <f>Gasto_o_ing_total!N52*1000/Gasto_o_ing_total!N$479</f>
        <v>2.4694542061072662</v>
      </c>
      <c r="P52" s="336">
        <f>Gasto_o_ing_total!O52*1000/Gasto_o_ing_total!O$479</f>
        <v>2.4694542061072666</v>
      </c>
      <c r="Q52" s="336">
        <f>Gasto_o_ing_total!P52*1000/Gasto_o_ing_total!P$479</f>
        <v>2.4694542061072666</v>
      </c>
      <c r="R52" s="336">
        <f>Gasto_o_ing_total!Q52*1000/Gasto_o_ing_total!Q$479</f>
        <v>2.4694542061072666</v>
      </c>
      <c r="S52" s="336">
        <f>Gasto_o_ing_total!R52*1000/Gasto_o_ing_total!R$479</f>
        <v>2.4694542061072666</v>
      </c>
      <c r="T52" s="336">
        <f>Gasto_o_ing_total!S52*1000/Gasto_o_ing_total!S$479</f>
        <v>2.4694542061072666</v>
      </c>
      <c r="U52" s="336">
        <f>Gasto_o_ing_total!T52*1000/Gasto_o_ing_total!T$479</f>
        <v>2.4694542061072666</v>
      </c>
      <c r="V52" s="336">
        <f>Gasto_o_ing_total!U52*1000/Gasto_o_ing_total!U$479</f>
        <v>2.4694542061072666</v>
      </c>
      <c r="W52" s="105"/>
    </row>
    <row r="53" spans="1:23" s="102" customFormat="1">
      <c r="A53" s="355"/>
      <c r="B53" s="115" t="s">
        <v>700</v>
      </c>
      <c r="C53" s="333" t="str">
        <f>VLOOKUP(B53,Tot_res!C:D,2,FALSE)</f>
        <v>Previsión y política económica</v>
      </c>
      <c r="D53" s="336">
        <f>Gasto_o_ing_total!V53*1000/Gasto_o_ing_total!V$479</f>
        <v>7.0054491198635693</v>
      </c>
      <c r="E53" s="336">
        <f>Gasto_o_ing_total!D53*1000/Gasto_o_ing_total!D$479</f>
        <v>7.0054491198635702</v>
      </c>
      <c r="F53" s="336">
        <f>Gasto_o_ing_total!E53*1000/Gasto_o_ing_total!E$479</f>
        <v>7.0054491198635702</v>
      </c>
      <c r="G53" s="336">
        <f>Gasto_o_ing_total!F53*1000/Gasto_o_ing_total!F$479</f>
        <v>7.0054491198635711</v>
      </c>
      <c r="H53" s="336">
        <f>Gasto_o_ing_total!G53*1000/Gasto_o_ing_total!G$479</f>
        <v>7.0054491198635693</v>
      </c>
      <c r="I53" s="336">
        <f>Gasto_o_ing_total!H53*1000/Gasto_o_ing_total!H$479</f>
        <v>7.0054491198635711</v>
      </c>
      <c r="J53" s="336">
        <f>Gasto_o_ing_total!I53*1000/Gasto_o_ing_total!I$479</f>
        <v>7.0054491198635711</v>
      </c>
      <c r="K53" s="336">
        <f>Gasto_o_ing_total!J53*1000/Gasto_o_ing_total!J$479</f>
        <v>7.0054491198635711</v>
      </c>
      <c r="L53" s="336">
        <f>Gasto_o_ing_total!K53*1000/Gasto_o_ing_total!K$479</f>
        <v>7.0054491198635711</v>
      </c>
      <c r="M53" s="336">
        <f>Gasto_o_ing_total!L53*1000/Gasto_o_ing_total!L$479</f>
        <v>7.0054491198635702</v>
      </c>
      <c r="N53" s="336">
        <f>Gasto_o_ing_total!M53*1000/Gasto_o_ing_total!M$479</f>
        <v>7.0054491198635711</v>
      </c>
      <c r="O53" s="336">
        <f>Gasto_o_ing_total!N53*1000/Gasto_o_ing_total!N$479</f>
        <v>7.0054491198635702</v>
      </c>
      <c r="P53" s="336">
        <f>Gasto_o_ing_total!O53*1000/Gasto_o_ing_total!O$479</f>
        <v>7.0054491198635711</v>
      </c>
      <c r="Q53" s="336">
        <f>Gasto_o_ing_total!P53*1000/Gasto_o_ing_total!P$479</f>
        <v>7.0054491198635702</v>
      </c>
      <c r="R53" s="336">
        <f>Gasto_o_ing_total!Q53*1000/Gasto_o_ing_total!Q$479</f>
        <v>7.0054491198635702</v>
      </c>
      <c r="S53" s="336">
        <f>Gasto_o_ing_total!R53*1000/Gasto_o_ing_total!R$479</f>
        <v>7.0054491198635711</v>
      </c>
      <c r="T53" s="336">
        <f>Gasto_o_ing_total!S53*1000/Gasto_o_ing_total!S$479</f>
        <v>7.0054491198635702</v>
      </c>
      <c r="U53" s="336">
        <f>Gasto_o_ing_total!T53*1000/Gasto_o_ing_total!T$479</f>
        <v>7.0054491198635711</v>
      </c>
      <c r="V53" s="336">
        <f>Gasto_o_ing_total!U53*1000/Gasto_o_ing_total!U$479</f>
        <v>7.0054491198635702</v>
      </c>
      <c r="W53" s="105"/>
    </row>
    <row r="54" spans="1:23" s="102" customFormat="1">
      <c r="A54" s="355"/>
      <c r="B54" s="115" t="s">
        <v>156</v>
      </c>
      <c r="C54" s="333" t="str">
        <f>VLOOKUP(B54,Tot_res!C:D,2,FALSE)</f>
        <v>Política presupuestaria</v>
      </c>
      <c r="D54" s="336">
        <f>Gasto_o_ing_total!V54*1000/Gasto_o_ing_total!V$479</f>
        <v>1.2729877094974922</v>
      </c>
      <c r="E54" s="336">
        <f>Gasto_o_ing_total!D54*1000/Gasto_o_ing_total!D$479</f>
        <v>1.272987709497492</v>
      </c>
      <c r="F54" s="336">
        <f>Gasto_o_ing_total!E54*1000/Gasto_o_ing_total!E$479</f>
        <v>1.2729877094974922</v>
      </c>
      <c r="G54" s="336">
        <f>Gasto_o_ing_total!F54*1000/Gasto_o_ing_total!F$479</f>
        <v>1.2729877094974922</v>
      </c>
      <c r="H54" s="336">
        <f>Gasto_o_ing_total!G54*1000/Gasto_o_ing_total!G$479</f>
        <v>1.272987709497492</v>
      </c>
      <c r="I54" s="336">
        <f>Gasto_o_ing_total!H54*1000/Gasto_o_ing_total!H$479</f>
        <v>1.2729877094974922</v>
      </c>
      <c r="J54" s="336">
        <f>Gasto_o_ing_total!I54*1000/Gasto_o_ing_total!I$479</f>
        <v>1.2729877094974922</v>
      </c>
      <c r="K54" s="336">
        <f>Gasto_o_ing_total!J54*1000/Gasto_o_ing_total!J$479</f>
        <v>1.2729877094974922</v>
      </c>
      <c r="L54" s="336">
        <f>Gasto_o_ing_total!K54*1000/Gasto_o_ing_total!K$479</f>
        <v>1.2729877094974922</v>
      </c>
      <c r="M54" s="336">
        <f>Gasto_o_ing_total!L54*1000/Gasto_o_ing_total!L$479</f>
        <v>1.2729877094974922</v>
      </c>
      <c r="N54" s="336">
        <f>Gasto_o_ing_total!M54*1000/Gasto_o_ing_total!M$479</f>
        <v>1.2729877094974922</v>
      </c>
      <c r="O54" s="336">
        <f>Gasto_o_ing_total!N54*1000/Gasto_o_ing_total!N$479</f>
        <v>1.2729877094974922</v>
      </c>
      <c r="P54" s="336">
        <f>Gasto_o_ing_total!O54*1000/Gasto_o_ing_total!O$479</f>
        <v>1.2729877094974922</v>
      </c>
      <c r="Q54" s="336">
        <f>Gasto_o_ing_total!P54*1000/Gasto_o_ing_total!P$479</f>
        <v>1.2729877094974922</v>
      </c>
      <c r="R54" s="336">
        <f>Gasto_o_ing_total!Q54*1000/Gasto_o_ing_total!Q$479</f>
        <v>1.272987709497492</v>
      </c>
      <c r="S54" s="336">
        <f>Gasto_o_ing_total!R54*1000/Gasto_o_ing_total!R$479</f>
        <v>1.2729877094974922</v>
      </c>
      <c r="T54" s="336">
        <f>Gasto_o_ing_total!S54*1000/Gasto_o_ing_total!S$479</f>
        <v>1.2729877094974922</v>
      </c>
      <c r="U54" s="336">
        <f>Gasto_o_ing_total!T54*1000/Gasto_o_ing_total!T$479</f>
        <v>1.2729877094974922</v>
      </c>
      <c r="V54" s="336">
        <f>Gasto_o_ing_total!U54*1000/Gasto_o_ing_total!U$479</f>
        <v>1.2729877094974922</v>
      </c>
      <c r="W54" s="105"/>
    </row>
    <row r="55" spans="1:23" s="102" customFormat="1">
      <c r="A55" s="355"/>
      <c r="B55" s="115" t="s">
        <v>158</v>
      </c>
      <c r="C55" s="333" t="str">
        <f>VLOOKUP(B55,Tot_res!C:D,2,FALSE)</f>
        <v>Política tributaria</v>
      </c>
      <c r="D55" s="336">
        <f>Gasto_o_ing_total!V55*1000/Gasto_o_ing_total!V$479</f>
        <v>0.12192793304582807</v>
      </c>
      <c r="E55" s="336">
        <f>Gasto_o_ing_total!D55*1000/Gasto_o_ing_total!D$479</f>
        <v>0.12192793304582807</v>
      </c>
      <c r="F55" s="336">
        <f>Gasto_o_ing_total!E55*1000/Gasto_o_ing_total!E$479</f>
        <v>0.12192793304582808</v>
      </c>
      <c r="G55" s="336">
        <f>Gasto_o_ing_total!F55*1000/Gasto_o_ing_total!F$479</f>
        <v>0.12192793304582808</v>
      </c>
      <c r="H55" s="336">
        <f>Gasto_o_ing_total!G55*1000/Gasto_o_ing_total!G$479</f>
        <v>0.12192793304582805</v>
      </c>
      <c r="I55" s="336">
        <f>Gasto_o_ing_total!H55*1000/Gasto_o_ing_total!H$479</f>
        <v>0.12192793304582805</v>
      </c>
      <c r="J55" s="336">
        <f>Gasto_o_ing_total!I55*1000/Gasto_o_ing_total!I$479</f>
        <v>0.12192793304582807</v>
      </c>
      <c r="K55" s="336">
        <f>Gasto_o_ing_total!J55*1000/Gasto_o_ing_total!J$479</f>
        <v>0.12192793304582807</v>
      </c>
      <c r="L55" s="336">
        <f>Gasto_o_ing_total!K55*1000/Gasto_o_ing_total!K$479</f>
        <v>0.12192793304582808</v>
      </c>
      <c r="M55" s="336">
        <f>Gasto_o_ing_total!L55*1000/Gasto_o_ing_total!L$479</f>
        <v>0.12192793304582808</v>
      </c>
      <c r="N55" s="336">
        <f>Gasto_o_ing_total!M55*1000/Gasto_o_ing_total!M$479</f>
        <v>0.12192793304582808</v>
      </c>
      <c r="O55" s="336">
        <f>Gasto_o_ing_total!N55*1000/Gasto_o_ing_total!N$479</f>
        <v>0.12192793304582807</v>
      </c>
      <c r="P55" s="336">
        <f>Gasto_o_ing_total!O55*1000/Gasto_o_ing_total!O$479</f>
        <v>0.12192793304582807</v>
      </c>
      <c r="Q55" s="336">
        <f>Gasto_o_ing_total!P55*1000/Gasto_o_ing_total!P$479</f>
        <v>0.12192793304582807</v>
      </c>
      <c r="R55" s="336">
        <f>Gasto_o_ing_total!Q55*1000/Gasto_o_ing_total!Q$479</f>
        <v>0.12192793304582807</v>
      </c>
      <c r="S55" s="336">
        <f>Gasto_o_ing_total!R55*1000/Gasto_o_ing_total!R$479</f>
        <v>0.12192793304582808</v>
      </c>
      <c r="T55" s="336">
        <f>Gasto_o_ing_total!S55*1000/Gasto_o_ing_total!S$479</f>
        <v>0.12192793304582807</v>
      </c>
      <c r="U55" s="336">
        <f>Gasto_o_ing_total!T55*1000/Gasto_o_ing_total!T$479</f>
        <v>0.12192793304582808</v>
      </c>
      <c r="V55" s="336">
        <f>Gasto_o_ing_total!U55*1000/Gasto_o_ing_total!U$479</f>
        <v>0.12192793304582805</v>
      </c>
      <c r="W55" s="105"/>
    </row>
    <row r="56" spans="1:23" s="102" customFormat="1">
      <c r="A56" s="355"/>
      <c r="B56" s="115" t="s">
        <v>160</v>
      </c>
      <c r="C56" s="333" t="str">
        <f>VLOOKUP(B56,Tot_res!C:D,2,FALSE)</f>
        <v>Control interno y contabilidad pública</v>
      </c>
      <c r="D56" s="336">
        <f>Gasto_o_ing_total!V56*1000/Gasto_o_ing_total!V$479</f>
        <v>1.5646595680792916</v>
      </c>
      <c r="E56" s="336">
        <f>Gasto_o_ing_total!D56*1000/Gasto_o_ing_total!D$479</f>
        <v>1.5646595680792914</v>
      </c>
      <c r="F56" s="336">
        <f>Gasto_o_ing_total!E56*1000/Gasto_o_ing_total!E$479</f>
        <v>1.5646595680792914</v>
      </c>
      <c r="G56" s="336">
        <f>Gasto_o_ing_total!F56*1000/Gasto_o_ing_total!F$479</f>
        <v>1.5646595680792916</v>
      </c>
      <c r="H56" s="336">
        <f>Gasto_o_ing_total!G56*1000/Gasto_o_ing_total!G$479</f>
        <v>1.5646595680792912</v>
      </c>
      <c r="I56" s="336">
        <f>Gasto_o_ing_total!H56*1000/Gasto_o_ing_total!H$479</f>
        <v>1.5646595680792916</v>
      </c>
      <c r="J56" s="336">
        <f>Gasto_o_ing_total!I56*1000/Gasto_o_ing_total!I$479</f>
        <v>1.5646595680792916</v>
      </c>
      <c r="K56" s="336">
        <f>Gasto_o_ing_total!J56*1000/Gasto_o_ing_total!J$479</f>
        <v>1.5646595680792916</v>
      </c>
      <c r="L56" s="336">
        <f>Gasto_o_ing_total!K56*1000/Gasto_o_ing_total!K$479</f>
        <v>1.5646595680792916</v>
      </c>
      <c r="M56" s="336">
        <f>Gasto_o_ing_total!L56*1000/Gasto_o_ing_total!L$479</f>
        <v>1.5646595680792916</v>
      </c>
      <c r="N56" s="336">
        <f>Gasto_o_ing_total!M56*1000/Gasto_o_ing_total!M$479</f>
        <v>1.5646595680792919</v>
      </c>
      <c r="O56" s="336">
        <f>Gasto_o_ing_total!N56*1000/Gasto_o_ing_total!N$479</f>
        <v>1.5646595680792914</v>
      </c>
      <c r="P56" s="336">
        <f>Gasto_o_ing_total!O56*1000/Gasto_o_ing_total!O$479</f>
        <v>1.5646595680792914</v>
      </c>
      <c r="Q56" s="336">
        <f>Gasto_o_ing_total!P56*1000/Gasto_o_ing_total!P$479</f>
        <v>1.5646595680792914</v>
      </c>
      <c r="R56" s="336">
        <f>Gasto_o_ing_total!Q56*1000/Gasto_o_ing_total!Q$479</f>
        <v>1.5646595680792914</v>
      </c>
      <c r="S56" s="336">
        <f>Gasto_o_ing_total!R56*1000/Gasto_o_ing_total!R$479</f>
        <v>1.5646595680792916</v>
      </c>
      <c r="T56" s="336">
        <f>Gasto_o_ing_total!S56*1000/Gasto_o_ing_total!S$479</f>
        <v>1.5646595680792916</v>
      </c>
      <c r="U56" s="336">
        <f>Gasto_o_ing_total!T56*1000/Gasto_o_ing_total!T$479</f>
        <v>1.5646595680792916</v>
      </c>
      <c r="V56" s="336">
        <f>Gasto_o_ing_total!U56*1000/Gasto_o_ing_total!U$479</f>
        <v>1.5646595680792914</v>
      </c>
      <c r="W56" s="105"/>
    </row>
    <row r="57" spans="1:23" s="102" customFormat="1">
      <c r="A57" s="355"/>
      <c r="B57" s="115" t="s">
        <v>161</v>
      </c>
      <c r="C57" s="333" t="str">
        <f>VLOOKUP(B57,Tot_res!C:D,2,FALSE)</f>
        <v>Aplicación del sistema tributario estatal +  AF01: ajuste forales, gestión tributaria</v>
      </c>
      <c r="D57" s="336">
        <f>Gasto_o_ing_total!V57*1000/Gasto_o_ing_total!V$479</f>
        <v>29.664360483353381</v>
      </c>
      <c r="E57" s="336">
        <f>Gasto_o_ing_total!D57*1000/Gasto_o_ing_total!D$479</f>
        <v>29.664360483353377</v>
      </c>
      <c r="F57" s="336">
        <f>Gasto_o_ing_total!E57*1000/Gasto_o_ing_total!E$479</f>
        <v>29.664360483353374</v>
      </c>
      <c r="G57" s="336">
        <f>Gasto_o_ing_total!F57*1000/Gasto_o_ing_total!F$479</f>
        <v>29.664360483353381</v>
      </c>
      <c r="H57" s="336">
        <f>Gasto_o_ing_total!G57*1000/Gasto_o_ing_total!G$479</f>
        <v>29.664360483353374</v>
      </c>
      <c r="I57" s="336">
        <f>Gasto_o_ing_total!H57*1000/Gasto_o_ing_total!H$479</f>
        <v>29.664360483353377</v>
      </c>
      <c r="J57" s="336">
        <f>Gasto_o_ing_total!I57*1000/Gasto_o_ing_total!I$479</f>
        <v>29.66436048335337</v>
      </c>
      <c r="K57" s="336">
        <f>Gasto_o_ing_total!J57*1000/Gasto_o_ing_total!J$479</f>
        <v>29.664360483353374</v>
      </c>
      <c r="L57" s="336">
        <f>Gasto_o_ing_total!K57*1000/Gasto_o_ing_total!K$479</f>
        <v>29.664360483353377</v>
      </c>
      <c r="M57" s="336">
        <f>Gasto_o_ing_total!L57*1000/Gasto_o_ing_total!L$479</f>
        <v>29.664360483353381</v>
      </c>
      <c r="N57" s="336">
        <f>Gasto_o_ing_total!M57*1000/Gasto_o_ing_total!M$479</f>
        <v>29.664360483353377</v>
      </c>
      <c r="O57" s="336">
        <f>Gasto_o_ing_total!N57*1000/Gasto_o_ing_total!N$479</f>
        <v>29.664360483353377</v>
      </c>
      <c r="P57" s="336">
        <f>Gasto_o_ing_total!O57*1000/Gasto_o_ing_total!O$479</f>
        <v>29.664360483353377</v>
      </c>
      <c r="Q57" s="336">
        <f>Gasto_o_ing_total!P57*1000/Gasto_o_ing_total!P$479</f>
        <v>29.664360483353377</v>
      </c>
      <c r="R57" s="336">
        <f>Gasto_o_ing_total!Q57*1000/Gasto_o_ing_total!Q$479</f>
        <v>29.664360483353381</v>
      </c>
      <c r="S57" s="336">
        <f>Gasto_o_ing_total!R57*1000/Gasto_o_ing_total!R$479</f>
        <v>29.664360483353391</v>
      </c>
      <c r="T57" s="336">
        <f>Gasto_o_ing_total!S57*1000/Gasto_o_ing_total!S$479</f>
        <v>29.664360483353388</v>
      </c>
      <c r="U57" s="336">
        <f>Gasto_o_ing_total!T57*1000/Gasto_o_ing_total!T$479</f>
        <v>29.664360483353377</v>
      </c>
      <c r="V57" s="336">
        <f>Gasto_o_ing_total!U57*1000/Gasto_o_ing_total!U$479</f>
        <v>29.664360483353377</v>
      </c>
      <c r="W57" s="105"/>
    </row>
    <row r="58" spans="1:23" s="102" customFormat="1">
      <c r="A58" s="355"/>
      <c r="B58" s="115" t="s">
        <v>162</v>
      </c>
      <c r="C58" s="333" t="str">
        <f>VLOOKUP(B58,Tot_res!C:D,2,FALSE)</f>
        <v>Gestión del catastro inmobiliario + AF02: corrección forales, catastro</v>
      </c>
      <c r="D58" s="336">
        <f>Gasto_o_ing_total!V58*1000/Gasto_o_ing_total!V$479</f>
        <v>2.1736419170174619</v>
      </c>
      <c r="E58" s="336">
        <f>Gasto_o_ing_total!D58*1000/Gasto_o_ing_total!D$479</f>
        <v>2.1736419170174619</v>
      </c>
      <c r="F58" s="336">
        <f>Gasto_o_ing_total!E58*1000/Gasto_o_ing_total!E$479</f>
        <v>2.1736419170174619</v>
      </c>
      <c r="G58" s="336">
        <f>Gasto_o_ing_total!F58*1000/Gasto_o_ing_total!F$479</f>
        <v>2.1736419170174623</v>
      </c>
      <c r="H58" s="336">
        <f>Gasto_o_ing_total!G58*1000/Gasto_o_ing_total!G$479</f>
        <v>2.1736419170174619</v>
      </c>
      <c r="I58" s="336">
        <f>Gasto_o_ing_total!H58*1000/Gasto_o_ing_total!H$479</f>
        <v>2.1736419170174623</v>
      </c>
      <c r="J58" s="336">
        <f>Gasto_o_ing_total!I58*1000/Gasto_o_ing_total!I$479</f>
        <v>2.1736419170174623</v>
      </c>
      <c r="K58" s="336">
        <f>Gasto_o_ing_total!J58*1000/Gasto_o_ing_total!J$479</f>
        <v>2.1736419170174619</v>
      </c>
      <c r="L58" s="336">
        <f>Gasto_o_ing_total!K58*1000/Gasto_o_ing_total!K$479</f>
        <v>2.1736419170174619</v>
      </c>
      <c r="M58" s="336">
        <f>Gasto_o_ing_total!L58*1000/Gasto_o_ing_total!L$479</f>
        <v>2.1736419170174619</v>
      </c>
      <c r="N58" s="336">
        <f>Gasto_o_ing_total!M58*1000/Gasto_o_ing_total!M$479</f>
        <v>2.1736419170174619</v>
      </c>
      <c r="O58" s="336">
        <f>Gasto_o_ing_total!N58*1000/Gasto_o_ing_total!N$479</f>
        <v>2.1736419170174623</v>
      </c>
      <c r="P58" s="336">
        <f>Gasto_o_ing_total!O58*1000/Gasto_o_ing_total!O$479</f>
        <v>2.1736419170174623</v>
      </c>
      <c r="Q58" s="336">
        <f>Gasto_o_ing_total!P58*1000/Gasto_o_ing_total!P$479</f>
        <v>2.1736419170174623</v>
      </c>
      <c r="R58" s="336">
        <f>Gasto_o_ing_total!Q58*1000/Gasto_o_ing_total!Q$479</f>
        <v>2.1736419170174623</v>
      </c>
      <c r="S58" s="336">
        <f>Gasto_o_ing_total!R58*1000/Gasto_o_ing_total!R$479</f>
        <v>2.1736419170174619</v>
      </c>
      <c r="T58" s="336">
        <f>Gasto_o_ing_total!S58*1000/Gasto_o_ing_total!S$479</f>
        <v>2.1736419170174619</v>
      </c>
      <c r="U58" s="336">
        <f>Gasto_o_ing_total!T58*1000/Gasto_o_ing_total!T$479</f>
        <v>2.1736419170174623</v>
      </c>
      <c r="V58" s="336">
        <f>Gasto_o_ing_total!U58*1000/Gasto_o_ing_total!U$479</f>
        <v>2.1736419170174623</v>
      </c>
      <c r="W58" s="105"/>
    </row>
    <row r="59" spans="1:23" s="102" customFormat="1">
      <c r="A59" s="355"/>
      <c r="B59" s="115" t="s">
        <v>163</v>
      </c>
      <c r="C59" s="333" t="str">
        <f>VLOOKUP(B59,Tot_res!C:D,2,FALSE)</f>
        <v>Resolución de reclamaciones económico-administrativas</v>
      </c>
      <c r="D59" s="336">
        <f>Gasto_o_ing_total!V59*1000/Gasto_o_ing_total!V$479</f>
        <v>0.62059917110257368</v>
      </c>
      <c r="E59" s="336">
        <f>Gasto_o_ing_total!D59*1000/Gasto_o_ing_total!D$479</f>
        <v>0.62059917110257379</v>
      </c>
      <c r="F59" s="336">
        <f>Gasto_o_ing_total!E59*1000/Gasto_o_ing_total!E$479</f>
        <v>0.62059917110257368</v>
      </c>
      <c r="G59" s="336">
        <f>Gasto_o_ing_total!F59*1000/Gasto_o_ing_total!F$479</f>
        <v>0.62059917110257379</v>
      </c>
      <c r="H59" s="336">
        <f>Gasto_o_ing_total!G59*1000/Gasto_o_ing_total!G$479</f>
        <v>0.62059917110257368</v>
      </c>
      <c r="I59" s="336">
        <f>Gasto_o_ing_total!H59*1000/Gasto_o_ing_total!H$479</f>
        <v>0.62059917110257379</v>
      </c>
      <c r="J59" s="336">
        <f>Gasto_o_ing_total!I59*1000/Gasto_o_ing_total!I$479</f>
        <v>0.62059917110257379</v>
      </c>
      <c r="K59" s="336">
        <f>Gasto_o_ing_total!J59*1000/Gasto_o_ing_total!J$479</f>
        <v>0.62059917110257379</v>
      </c>
      <c r="L59" s="336">
        <f>Gasto_o_ing_total!K59*1000/Gasto_o_ing_total!K$479</f>
        <v>0.62059917110257379</v>
      </c>
      <c r="M59" s="336">
        <f>Gasto_o_ing_total!L59*1000/Gasto_o_ing_total!L$479</f>
        <v>0.62059917110257379</v>
      </c>
      <c r="N59" s="336">
        <f>Gasto_o_ing_total!M59*1000/Gasto_o_ing_total!M$479</f>
        <v>0.62059917110257379</v>
      </c>
      <c r="O59" s="336">
        <f>Gasto_o_ing_total!N59*1000/Gasto_o_ing_total!N$479</f>
        <v>0.62059917110257368</v>
      </c>
      <c r="P59" s="336">
        <f>Gasto_o_ing_total!O59*1000/Gasto_o_ing_total!O$479</f>
        <v>0.62059917110257368</v>
      </c>
      <c r="Q59" s="336">
        <f>Gasto_o_ing_total!P59*1000/Gasto_o_ing_total!P$479</f>
        <v>0.62059917110257368</v>
      </c>
      <c r="R59" s="336">
        <f>Gasto_o_ing_total!Q59*1000/Gasto_o_ing_total!Q$479</f>
        <v>0.62059917110257357</v>
      </c>
      <c r="S59" s="336">
        <f>Gasto_o_ing_total!R59*1000/Gasto_o_ing_total!R$479</f>
        <v>0.62059917110257368</v>
      </c>
      <c r="T59" s="336">
        <f>Gasto_o_ing_total!S59*1000/Gasto_o_ing_total!S$479</f>
        <v>0.62059917110257379</v>
      </c>
      <c r="U59" s="336">
        <f>Gasto_o_ing_total!T59*1000/Gasto_o_ing_total!T$479</f>
        <v>0.62059917110257379</v>
      </c>
      <c r="V59" s="336">
        <f>Gasto_o_ing_total!U59*1000/Gasto_o_ing_total!U$479</f>
        <v>0.62059917110257368</v>
      </c>
      <c r="W59" s="105"/>
    </row>
    <row r="60" spans="1:23">
      <c r="A60" s="356"/>
      <c r="D60" s="19"/>
      <c r="E60" s="19"/>
      <c r="F60" s="19"/>
      <c r="G60" s="19"/>
      <c r="H60" s="19"/>
      <c r="I60" s="19"/>
      <c r="J60" s="19"/>
      <c r="K60" s="19"/>
      <c r="L60" s="19"/>
      <c r="M60" s="19"/>
      <c r="N60" s="19"/>
      <c r="O60" s="19"/>
      <c r="P60" s="19"/>
      <c r="Q60" s="19"/>
      <c r="R60" s="19"/>
      <c r="S60" s="19"/>
      <c r="T60" s="19"/>
      <c r="U60" s="19"/>
      <c r="V60" s="19"/>
      <c r="W60" s="2"/>
    </row>
    <row r="61" spans="1:23" s="102" customFormat="1">
      <c r="A61" s="356"/>
      <c r="B61" s="115"/>
      <c r="C61" s="128" t="s">
        <v>0</v>
      </c>
      <c r="D61" s="113">
        <f>Gasto_o_ing_total!V61*1000/Gasto_o_ing_total!V$479</f>
        <v>13.9613095894358</v>
      </c>
      <c r="E61" s="113">
        <f>Gasto_o_ing_total!D61*1000/Gasto_o_ing_total!D$479</f>
        <v>13.9613095894358</v>
      </c>
      <c r="F61" s="113">
        <f>Gasto_o_ing_total!E61*1000/Gasto_o_ing_total!E$479</f>
        <v>13.961309589435803</v>
      </c>
      <c r="G61" s="113">
        <f>Gasto_o_ing_total!F61*1000/Gasto_o_ing_total!F$479</f>
        <v>13.9613095894358</v>
      </c>
      <c r="H61" s="113">
        <f>Gasto_o_ing_total!G61*1000/Gasto_o_ing_total!G$479</f>
        <v>13.961309589435798</v>
      </c>
      <c r="I61" s="113">
        <f>Gasto_o_ing_total!H61*1000/Gasto_o_ing_total!H$479</f>
        <v>13.9613095894358</v>
      </c>
      <c r="J61" s="113">
        <f>Gasto_o_ing_total!I61*1000/Gasto_o_ing_total!I$479</f>
        <v>13.9613095894358</v>
      </c>
      <c r="K61" s="113">
        <f>Gasto_o_ing_total!J61*1000/Gasto_o_ing_total!J$479</f>
        <v>13.961309589435798</v>
      </c>
      <c r="L61" s="113">
        <f>Gasto_o_ing_total!K61*1000/Gasto_o_ing_total!K$479</f>
        <v>13.961309589435801</v>
      </c>
      <c r="M61" s="113">
        <f>Gasto_o_ing_total!L61*1000/Gasto_o_ing_total!L$479</f>
        <v>13.9613095894358</v>
      </c>
      <c r="N61" s="113">
        <f>Gasto_o_ing_total!M61*1000/Gasto_o_ing_total!M$479</f>
        <v>13.961309589435798</v>
      </c>
      <c r="O61" s="113">
        <f>Gasto_o_ing_total!N61*1000/Gasto_o_ing_total!N$479</f>
        <v>13.961309589435798</v>
      </c>
      <c r="P61" s="113">
        <f>Gasto_o_ing_total!O61*1000/Gasto_o_ing_total!O$479</f>
        <v>13.9613095894358</v>
      </c>
      <c r="Q61" s="113">
        <f>Gasto_o_ing_total!P61*1000/Gasto_o_ing_total!P$479</f>
        <v>13.9613095894358</v>
      </c>
      <c r="R61" s="113">
        <f>Gasto_o_ing_total!Q61*1000/Gasto_o_ing_total!Q$479</f>
        <v>13.961309589435798</v>
      </c>
      <c r="S61" s="113">
        <f>Gasto_o_ing_total!R61*1000/Gasto_o_ing_total!R$479</f>
        <v>13.9613095894358</v>
      </c>
      <c r="T61" s="113">
        <f>Gasto_o_ing_total!S61*1000/Gasto_o_ing_total!S$479</f>
        <v>13.9613095894358</v>
      </c>
      <c r="U61" s="113">
        <f>Gasto_o_ing_total!T61*1000/Gasto_o_ing_total!T$479</f>
        <v>13.961309589435801</v>
      </c>
      <c r="V61" s="113">
        <f>Gasto_o_ing_total!U61*1000/Gasto_o_ing_total!U$479</f>
        <v>13.961309589435798</v>
      </c>
      <c r="W61" s="130"/>
    </row>
    <row r="62" spans="1:23" s="102" customFormat="1">
      <c r="A62" s="355"/>
      <c r="B62" s="115" t="s">
        <v>164</v>
      </c>
      <c r="C62" s="333" t="str">
        <f>VLOOKUP(B62,Tot_res!C:D,2,FALSE)</f>
        <v>Registros vinculados con la fe pública</v>
      </c>
      <c r="D62" s="336">
        <f>Gasto_o_ing_total!V62*1000/Gasto_o_ing_total!V$479</f>
        <v>0.4585033261156703</v>
      </c>
      <c r="E62" s="336">
        <f>Gasto_o_ing_total!D62*1000/Gasto_o_ing_total!D$479</f>
        <v>0.4585033261156703</v>
      </c>
      <c r="F62" s="336">
        <f>Gasto_o_ing_total!E62*1000/Gasto_o_ing_total!E$479</f>
        <v>0.4585033261156703</v>
      </c>
      <c r="G62" s="336">
        <f>Gasto_o_ing_total!F62*1000/Gasto_o_ing_total!F$479</f>
        <v>0.45850332611567035</v>
      </c>
      <c r="H62" s="336">
        <f>Gasto_o_ing_total!G62*1000/Gasto_o_ing_total!G$479</f>
        <v>0.45850332611567024</v>
      </c>
      <c r="I62" s="336">
        <f>Gasto_o_ing_total!H62*1000/Gasto_o_ing_total!H$479</f>
        <v>0.4585033261156703</v>
      </c>
      <c r="J62" s="336">
        <f>Gasto_o_ing_total!I62*1000/Gasto_o_ing_total!I$479</f>
        <v>0.4585033261156703</v>
      </c>
      <c r="K62" s="336">
        <f>Gasto_o_ing_total!J62*1000/Gasto_o_ing_total!J$479</f>
        <v>0.45850332611567035</v>
      </c>
      <c r="L62" s="336">
        <f>Gasto_o_ing_total!K62*1000/Gasto_o_ing_total!K$479</f>
        <v>0.4585033261156703</v>
      </c>
      <c r="M62" s="336">
        <f>Gasto_o_ing_total!L62*1000/Gasto_o_ing_total!L$479</f>
        <v>0.4585033261156703</v>
      </c>
      <c r="N62" s="336">
        <f>Gasto_o_ing_total!M62*1000/Gasto_o_ing_total!M$479</f>
        <v>0.45850332611567035</v>
      </c>
      <c r="O62" s="336">
        <f>Gasto_o_ing_total!N62*1000/Gasto_o_ing_total!N$479</f>
        <v>0.4585033261156703</v>
      </c>
      <c r="P62" s="336">
        <f>Gasto_o_ing_total!O62*1000/Gasto_o_ing_total!O$479</f>
        <v>0.4585033261156703</v>
      </c>
      <c r="Q62" s="336">
        <f>Gasto_o_ing_total!P62*1000/Gasto_o_ing_total!P$479</f>
        <v>0.4585033261156703</v>
      </c>
      <c r="R62" s="336">
        <f>Gasto_o_ing_total!Q62*1000/Gasto_o_ing_total!Q$479</f>
        <v>0.4585033261156703</v>
      </c>
      <c r="S62" s="336">
        <f>Gasto_o_ing_total!R62*1000/Gasto_o_ing_total!R$479</f>
        <v>0.4585033261156703</v>
      </c>
      <c r="T62" s="336">
        <f>Gasto_o_ing_total!S62*1000/Gasto_o_ing_total!S$479</f>
        <v>0.45850332611567035</v>
      </c>
      <c r="U62" s="336">
        <f>Gasto_o_ing_total!T62*1000/Gasto_o_ing_total!T$479</f>
        <v>0.4585033261156703</v>
      </c>
      <c r="V62" s="336">
        <f>Gasto_o_ing_total!U62*1000/Gasto_o_ing_total!U$479</f>
        <v>0.45850332611567024</v>
      </c>
      <c r="W62" s="105"/>
    </row>
    <row r="63" spans="1:23" s="102" customFormat="1">
      <c r="A63" s="355"/>
      <c r="B63" s="115" t="s">
        <v>165</v>
      </c>
      <c r="C63" s="333" t="str">
        <f>VLOOKUP(B63,Tot_res!C:D,2,FALSE)</f>
        <v>Derecho de asilo y apátridas</v>
      </c>
      <c r="D63" s="336">
        <f>Gasto_o_ing_total!V63*1000/Gasto_o_ing_total!V$479</f>
        <v>5.6353278795683019E-2</v>
      </c>
      <c r="E63" s="336">
        <f>Gasto_o_ing_total!D63*1000/Gasto_o_ing_total!D$479</f>
        <v>5.6353278795682991E-2</v>
      </c>
      <c r="F63" s="336">
        <f>Gasto_o_ing_total!E63*1000/Gasto_o_ing_total!E$479</f>
        <v>5.6353278795682991E-2</v>
      </c>
      <c r="G63" s="336">
        <f>Gasto_o_ing_total!F63*1000/Gasto_o_ing_total!F$479</f>
        <v>5.6353278795682998E-2</v>
      </c>
      <c r="H63" s="336">
        <f>Gasto_o_ing_total!G63*1000/Gasto_o_ing_total!G$479</f>
        <v>5.6353278795682991E-2</v>
      </c>
      <c r="I63" s="336">
        <f>Gasto_o_ing_total!H63*1000/Gasto_o_ing_total!H$479</f>
        <v>5.6353278795682991E-2</v>
      </c>
      <c r="J63" s="336">
        <f>Gasto_o_ing_total!I63*1000/Gasto_o_ing_total!I$479</f>
        <v>5.6353278795682998E-2</v>
      </c>
      <c r="K63" s="336">
        <f>Gasto_o_ing_total!J63*1000/Gasto_o_ing_total!J$479</f>
        <v>5.6353278795682991E-2</v>
      </c>
      <c r="L63" s="336">
        <f>Gasto_o_ing_total!K63*1000/Gasto_o_ing_total!K$479</f>
        <v>5.6353278795682991E-2</v>
      </c>
      <c r="M63" s="336">
        <f>Gasto_o_ing_total!L63*1000/Gasto_o_ing_total!L$479</f>
        <v>5.6353278795682998E-2</v>
      </c>
      <c r="N63" s="336">
        <f>Gasto_o_ing_total!M63*1000/Gasto_o_ing_total!M$479</f>
        <v>5.6353278795682991E-2</v>
      </c>
      <c r="O63" s="336">
        <f>Gasto_o_ing_total!N63*1000/Gasto_o_ing_total!N$479</f>
        <v>5.6353278795682991E-2</v>
      </c>
      <c r="P63" s="336">
        <f>Gasto_o_ing_total!O63*1000/Gasto_o_ing_total!O$479</f>
        <v>5.6353278795682991E-2</v>
      </c>
      <c r="Q63" s="336">
        <f>Gasto_o_ing_total!P63*1000/Gasto_o_ing_total!P$479</f>
        <v>5.6353278795682998E-2</v>
      </c>
      <c r="R63" s="336">
        <f>Gasto_o_ing_total!Q63*1000/Gasto_o_ing_total!Q$479</f>
        <v>5.6353278795682991E-2</v>
      </c>
      <c r="S63" s="336">
        <f>Gasto_o_ing_total!R63*1000/Gasto_o_ing_total!R$479</f>
        <v>5.6353278795682991E-2</v>
      </c>
      <c r="T63" s="336">
        <f>Gasto_o_ing_total!S63*1000/Gasto_o_ing_total!S$479</f>
        <v>5.6353278795682998E-2</v>
      </c>
      <c r="U63" s="336">
        <f>Gasto_o_ing_total!T63*1000/Gasto_o_ing_total!T$479</f>
        <v>5.6353278795683005E-2</v>
      </c>
      <c r="V63" s="336">
        <f>Gasto_o_ing_total!U63*1000/Gasto_o_ing_total!U$479</f>
        <v>5.6353278795682991E-2</v>
      </c>
      <c r="W63" s="105"/>
    </row>
    <row r="64" spans="1:23" s="102" customFormat="1">
      <c r="A64" s="355"/>
      <c r="B64" s="115" t="s">
        <v>166</v>
      </c>
      <c r="C64" s="333" t="str">
        <f>VLOOKUP(B64,Tot_res!C:D,2,FALSE)</f>
        <v>Protección de datos de carácter personal</v>
      </c>
      <c r="D64" s="336">
        <f>Gasto_o_ing_total!V64*1000/Gasto_o_ing_total!V$479</f>
        <v>0.25111172939740312</v>
      </c>
      <c r="E64" s="336">
        <f>Gasto_o_ing_total!D64*1000/Gasto_o_ing_total!D$479</f>
        <v>0.25111172939740317</v>
      </c>
      <c r="F64" s="336">
        <f>Gasto_o_ing_total!E64*1000/Gasto_o_ing_total!E$479</f>
        <v>0.25111172939740312</v>
      </c>
      <c r="G64" s="336">
        <f>Gasto_o_ing_total!F64*1000/Gasto_o_ing_total!F$479</f>
        <v>0.25111172939740323</v>
      </c>
      <c r="H64" s="336">
        <f>Gasto_o_ing_total!G64*1000/Gasto_o_ing_total!G$479</f>
        <v>0.25111172939740317</v>
      </c>
      <c r="I64" s="336">
        <f>Gasto_o_ing_total!H64*1000/Gasto_o_ing_total!H$479</f>
        <v>0.25111172939740317</v>
      </c>
      <c r="J64" s="336">
        <f>Gasto_o_ing_total!I64*1000/Gasto_o_ing_total!I$479</f>
        <v>0.25111172939740317</v>
      </c>
      <c r="K64" s="336">
        <f>Gasto_o_ing_total!J64*1000/Gasto_o_ing_total!J$479</f>
        <v>0.25111172939740317</v>
      </c>
      <c r="L64" s="336">
        <f>Gasto_o_ing_total!K64*1000/Gasto_o_ing_total!K$479</f>
        <v>0.25111172939740323</v>
      </c>
      <c r="M64" s="336">
        <f>Gasto_o_ing_total!L64*1000/Gasto_o_ing_total!L$479</f>
        <v>0.25111172939740317</v>
      </c>
      <c r="N64" s="336">
        <f>Gasto_o_ing_total!M64*1000/Gasto_o_ing_total!M$479</f>
        <v>0.25111172939740317</v>
      </c>
      <c r="O64" s="336">
        <f>Gasto_o_ing_total!N64*1000/Gasto_o_ing_total!N$479</f>
        <v>0.25111172939740317</v>
      </c>
      <c r="P64" s="336">
        <f>Gasto_o_ing_total!O64*1000/Gasto_o_ing_total!O$479</f>
        <v>0.25111172939740317</v>
      </c>
      <c r="Q64" s="336">
        <f>Gasto_o_ing_total!P64*1000/Gasto_o_ing_total!P$479</f>
        <v>0.25111172939740317</v>
      </c>
      <c r="R64" s="336">
        <f>Gasto_o_ing_total!Q64*1000/Gasto_o_ing_total!Q$479</f>
        <v>0.25111172939740317</v>
      </c>
      <c r="S64" s="336">
        <f>Gasto_o_ing_total!R64*1000/Gasto_o_ing_total!R$479</f>
        <v>0.25111172939740323</v>
      </c>
      <c r="T64" s="336">
        <f>Gasto_o_ing_total!S64*1000/Gasto_o_ing_total!S$479</f>
        <v>0.25111172939740323</v>
      </c>
      <c r="U64" s="336">
        <f>Gasto_o_ing_total!T64*1000/Gasto_o_ing_total!T$479</f>
        <v>0.25111172939740323</v>
      </c>
      <c r="V64" s="336">
        <f>Gasto_o_ing_total!U64*1000/Gasto_o_ing_total!U$479</f>
        <v>0.25111172939740317</v>
      </c>
      <c r="W64" s="105"/>
    </row>
    <row r="65" spans="1:23" s="102" customFormat="1">
      <c r="A65" s="355"/>
      <c r="B65" s="115" t="s">
        <v>167</v>
      </c>
      <c r="C65" s="333" t="str">
        <f>VLOOKUP(B65,Tot_res!C:D,2,FALSE)</f>
        <v>Meteorología</v>
      </c>
      <c r="D65" s="336">
        <f>Gasto_o_ing_total!V65*1000/Gasto_o_ing_total!V$479</f>
        <v>1.9528985129081091</v>
      </c>
      <c r="E65" s="336">
        <f>Gasto_o_ing_total!D65*1000/Gasto_o_ing_total!D$479</f>
        <v>1.9528985129081091</v>
      </c>
      <c r="F65" s="336">
        <f>Gasto_o_ing_total!E65*1000/Gasto_o_ing_total!E$479</f>
        <v>1.9528985129081093</v>
      </c>
      <c r="G65" s="336">
        <f>Gasto_o_ing_total!F65*1000/Gasto_o_ing_total!F$479</f>
        <v>1.9528985129081096</v>
      </c>
      <c r="H65" s="336">
        <f>Gasto_o_ing_total!G65*1000/Gasto_o_ing_total!G$479</f>
        <v>1.9528985129081096</v>
      </c>
      <c r="I65" s="336">
        <f>Gasto_o_ing_total!H65*1000/Gasto_o_ing_total!H$479</f>
        <v>1.9528985129081093</v>
      </c>
      <c r="J65" s="336">
        <f>Gasto_o_ing_total!I65*1000/Gasto_o_ing_total!I$479</f>
        <v>1.9528985129081093</v>
      </c>
      <c r="K65" s="336">
        <f>Gasto_o_ing_total!J65*1000/Gasto_o_ing_total!J$479</f>
        <v>1.9528985129081096</v>
      </c>
      <c r="L65" s="336">
        <f>Gasto_o_ing_total!K65*1000/Gasto_o_ing_total!K$479</f>
        <v>1.9528985129081096</v>
      </c>
      <c r="M65" s="336">
        <f>Gasto_o_ing_total!L65*1000/Gasto_o_ing_total!L$479</f>
        <v>1.9528985129081093</v>
      </c>
      <c r="N65" s="336">
        <f>Gasto_o_ing_total!M65*1000/Gasto_o_ing_total!M$479</f>
        <v>1.9528985129081093</v>
      </c>
      <c r="O65" s="336">
        <f>Gasto_o_ing_total!N65*1000/Gasto_o_ing_total!N$479</f>
        <v>1.9528985129081091</v>
      </c>
      <c r="P65" s="336">
        <f>Gasto_o_ing_total!O65*1000/Gasto_o_ing_total!O$479</f>
        <v>1.9528985129081093</v>
      </c>
      <c r="Q65" s="336">
        <f>Gasto_o_ing_total!P65*1000/Gasto_o_ing_total!P$479</f>
        <v>1.9528985129081093</v>
      </c>
      <c r="R65" s="336">
        <f>Gasto_o_ing_total!Q65*1000/Gasto_o_ing_total!Q$479</f>
        <v>1.9528985129081091</v>
      </c>
      <c r="S65" s="336">
        <f>Gasto_o_ing_total!R65*1000/Gasto_o_ing_total!R$479</f>
        <v>1.9528985129081098</v>
      </c>
      <c r="T65" s="336">
        <f>Gasto_o_ing_total!S65*1000/Gasto_o_ing_total!S$479</f>
        <v>1.9528985129081096</v>
      </c>
      <c r="U65" s="336">
        <f>Gasto_o_ing_total!T65*1000/Gasto_o_ing_total!T$479</f>
        <v>1.9528985129081093</v>
      </c>
      <c r="V65" s="336">
        <f>Gasto_o_ing_total!U65*1000/Gasto_o_ing_total!U$479</f>
        <v>1.9528985129081093</v>
      </c>
      <c r="W65" s="105"/>
    </row>
    <row r="66" spans="1:23" s="102" customFormat="1">
      <c r="A66" s="355"/>
      <c r="B66" s="115" t="s">
        <v>169</v>
      </c>
      <c r="C66" s="333" t="str">
        <f>VLOOKUP(B66,Tot_res!C:D,2,FALSE)</f>
        <v>Metrología</v>
      </c>
      <c r="D66" s="336">
        <f>Gasto_o_ing_total!V66*1000/Gasto_o_ing_total!V$479</f>
        <v>0.11301608168183379</v>
      </c>
      <c r="E66" s="336">
        <f>Gasto_o_ing_total!D66*1000/Gasto_o_ing_total!D$479</f>
        <v>0.11301608168183376</v>
      </c>
      <c r="F66" s="336">
        <f>Gasto_o_ing_total!E66*1000/Gasto_o_ing_total!E$479</f>
        <v>0.11301608168183376</v>
      </c>
      <c r="G66" s="336">
        <f>Gasto_o_ing_total!F66*1000/Gasto_o_ing_total!F$479</f>
        <v>0.11301608168183377</v>
      </c>
      <c r="H66" s="336">
        <f>Gasto_o_ing_total!G66*1000/Gasto_o_ing_total!G$479</f>
        <v>0.11301608168183375</v>
      </c>
      <c r="I66" s="336">
        <f>Gasto_o_ing_total!H66*1000/Gasto_o_ing_total!H$479</f>
        <v>0.11301608168183377</v>
      </c>
      <c r="J66" s="336">
        <f>Gasto_o_ing_total!I66*1000/Gasto_o_ing_total!I$479</f>
        <v>0.11301608168183377</v>
      </c>
      <c r="K66" s="336">
        <f>Gasto_o_ing_total!J66*1000/Gasto_o_ing_total!J$479</f>
        <v>0.11301608168183375</v>
      </c>
      <c r="L66" s="336">
        <f>Gasto_o_ing_total!K66*1000/Gasto_o_ing_total!K$479</f>
        <v>0.11301608168183377</v>
      </c>
      <c r="M66" s="336">
        <f>Gasto_o_ing_total!L66*1000/Gasto_o_ing_total!L$479</f>
        <v>0.11301608168183376</v>
      </c>
      <c r="N66" s="336">
        <f>Gasto_o_ing_total!M66*1000/Gasto_o_ing_total!M$479</f>
        <v>0.11301608168183376</v>
      </c>
      <c r="O66" s="336">
        <f>Gasto_o_ing_total!N66*1000/Gasto_o_ing_total!N$479</f>
        <v>0.11301608168183376</v>
      </c>
      <c r="P66" s="336">
        <f>Gasto_o_ing_total!O66*1000/Gasto_o_ing_total!O$479</f>
        <v>0.11301608168183375</v>
      </c>
      <c r="Q66" s="336">
        <f>Gasto_o_ing_total!P66*1000/Gasto_o_ing_total!P$479</f>
        <v>0.11301608168183376</v>
      </c>
      <c r="R66" s="336">
        <f>Gasto_o_ing_total!Q66*1000/Gasto_o_ing_total!Q$479</f>
        <v>0.11301608168183375</v>
      </c>
      <c r="S66" s="336">
        <f>Gasto_o_ing_total!R66*1000/Gasto_o_ing_total!R$479</f>
        <v>0.11301608168183377</v>
      </c>
      <c r="T66" s="336">
        <f>Gasto_o_ing_total!S66*1000/Gasto_o_ing_total!S$479</f>
        <v>0.11301608168183376</v>
      </c>
      <c r="U66" s="336">
        <f>Gasto_o_ing_total!T66*1000/Gasto_o_ing_total!T$479</f>
        <v>0.11301608168183376</v>
      </c>
      <c r="V66" s="336">
        <f>Gasto_o_ing_total!U66*1000/Gasto_o_ing_total!U$479</f>
        <v>0.11301608168183377</v>
      </c>
      <c r="W66" s="105"/>
    </row>
    <row r="67" spans="1:23" s="102" customFormat="1">
      <c r="A67" s="355"/>
      <c r="B67" s="115" t="s">
        <v>170</v>
      </c>
      <c r="C67" s="333" t="str">
        <f>VLOOKUP(B67,Tot_res!C:D,2,FALSE)</f>
        <v>Dirección y organización de la administración pública</v>
      </c>
      <c r="D67" s="336">
        <f>Gasto_o_ing_total!V67*1000/Gasto_o_ing_total!V$479</f>
        <v>0.96611534149474088</v>
      </c>
      <c r="E67" s="336">
        <f>Gasto_o_ing_total!D67*1000/Gasto_o_ing_total!D$479</f>
        <v>0.96611534149474076</v>
      </c>
      <c r="F67" s="336">
        <f>Gasto_o_ing_total!E67*1000/Gasto_o_ing_total!E$479</f>
        <v>0.96611534149474088</v>
      </c>
      <c r="G67" s="336">
        <f>Gasto_o_ing_total!F67*1000/Gasto_o_ing_total!F$479</f>
        <v>0.96611534149474099</v>
      </c>
      <c r="H67" s="336">
        <f>Gasto_o_ing_total!G67*1000/Gasto_o_ing_total!G$479</f>
        <v>0.96611534149474065</v>
      </c>
      <c r="I67" s="336">
        <f>Gasto_o_ing_total!H67*1000/Gasto_o_ing_total!H$479</f>
        <v>0.96611534149474088</v>
      </c>
      <c r="J67" s="336">
        <f>Gasto_o_ing_total!I67*1000/Gasto_o_ing_total!I$479</f>
        <v>0.96611534149474076</v>
      </c>
      <c r="K67" s="336">
        <f>Gasto_o_ing_total!J67*1000/Gasto_o_ing_total!J$479</f>
        <v>0.96611534149474099</v>
      </c>
      <c r="L67" s="336">
        <f>Gasto_o_ing_total!K67*1000/Gasto_o_ing_total!K$479</f>
        <v>0.96611534149474099</v>
      </c>
      <c r="M67" s="336">
        <f>Gasto_o_ing_total!L67*1000/Gasto_o_ing_total!L$479</f>
        <v>0.96611534149474088</v>
      </c>
      <c r="N67" s="336">
        <f>Gasto_o_ing_total!M67*1000/Gasto_o_ing_total!M$479</f>
        <v>0.96611534149474099</v>
      </c>
      <c r="O67" s="336">
        <f>Gasto_o_ing_total!N67*1000/Gasto_o_ing_total!N$479</f>
        <v>0.96611534149474088</v>
      </c>
      <c r="P67" s="336">
        <f>Gasto_o_ing_total!O67*1000/Gasto_o_ing_total!O$479</f>
        <v>0.96611534149474099</v>
      </c>
      <c r="Q67" s="336">
        <f>Gasto_o_ing_total!P67*1000/Gasto_o_ing_total!P$479</f>
        <v>0.96611534149474076</v>
      </c>
      <c r="R67" s="336">
        <f>Gasto_o_ing_total!Q67*1000/Gasto_o_ing_total!Q$479</f>
        <v>0.96611534149474088</v>
      </c>
      <c r="S67" s="336">
        <f>Gasto_o_ing_total!R67*1000/Gasto_o_ing_total!R$479</f>
        <v>0.96611534149474088</v>
      </c>
      <c r="T67" s="336">
        <f>Gasto_o_ing_total!S67*1000/Gasto_o_ing_total!S$479</f>
        <v>0.96611534149474088</v>
      </c>
      <c r="U67" s="336">
        <f>Gasto_o_ing_total!T67*1000/Gasto_o_ing_total!T$479</f>
        <v>0.96611534149474088</v>
      </c>
      <c r="V67" s="336">
        <f>Gasto_o_ing_total!U67*1000/Gasto_o_ing_total!U$479</f>
        <v>0.96611534149474088</v>
      </c>
      <c r="W67" s="105"/>
    </row>
    <row r="68" spans="1:23" s="102" customFormat="1">
      <c r="A68" s="355"/>
      <c r="B68" s="115" t="s">
        <v>711</v>
      </c>
      <c r="C68" s="333" t="str">
        <f>VLOOKUP(B68,Tot_res!C:D,2,FALSE)</f>
        <v>Formación del personal de las administraciones públicas</v>
      </c>
      <c r="D68" s="336">
        <f>Gasto_o_ing_total!V68*1000/Gasto_o_ing_total!V$479</f>
        <v>0.30866578679079493</v>
      </c>
      <c r="E68" s="336">
        <f>Gasto_o_ing_total!D68*1000/Gasto_o_ing_total!D$479</f>
        <v>0.30866578679079498</v>
      </c>
      <c r="F68" s="336">
        <f>Gasto_o_ing_total!E68*1000/Gasto_o_ing_total!E$479</f>
        <v>0.30866578679079493</v>
      </c>
      <c r="G68" s="336">
        <f>Gasto_o_ing_total!F68*1000/Gasto_o_ing_total!F$479</f>
        <v>0.30866578679079498</v>
      </c>
      <c r="H68" s="336">
        <f>Gasto_o_ing_total!G68*1000/Gasto_o_ing_total!G$479</f>
        <v>0.30866578679079493</v>
      </c>
      <c r="I68" s="336">
        <f>Gasto_o_ing_total!H68*1000/Gasto_o_ing_total!H$479</f>
        <v>0.30866578679079498</v>
      </c>
      <c r="J68" s="336">
        <f>Gasto_o_ing_total!I68*1000/Gasto_o_ing_total!I$479</f>
        <v>0.30866578679079498</v>
      </c>
      <c r="K68" s="336">
        <f>Gasto_o_ing_total!J68*1000/Gasto_o_ing_total!J$479</f>
        <v>0.30866578679079498</v>
      </c>
      <c r="L68" s="336">
        <f>Gasto_o_ing_total!K68*1000/Gasto_o_ing_total!K$479</f>
        <v>0.30866578679079498</v>
      </c>
      <c r="M68" s="336">
        <f>Gasto_o_ing_total!L68*1000/Gasto_o_ing_total!L$479</f>
        <v>0.30866578679079498</v>
      </c>
      <c r="N68" s="336">
        <f>Gasto_o_ing_total!M68*1000/Gasto_o_ing_total!M$479</f>
        <v>0.30866578679079504</v>
      </c>
      <c r="O68" s="336">
        <f>Gasto_o_ing_total!N68*1000/Gasto_o_ing_total!N$479</f>
        <v>0.30866578679079498</v>
      </c>
      <c r="P68" s="336">
        <f>Gasto_o_ing_total!O68*1000/Gasto_o_ing_total!O$479</f>
        <v>0.30866578679079498</v>
      </c>
      <c r="Q68" s="336">
        <f>Gasto_o_ing_total!P68*1000/Gasto_o_ing_total!P$479</f>
        <v>0.30866578679079498</v>
      </c>
      <c r="R68" s="336">
        <f>Gasto_o_ing_total!Q68*1000/Gasto_o_ing_total!Q$479</f>
        <v>0.30866578679079493</v>
      </c>
      <c r="S68" s="336">
        <f>Gasto_o_ing_total!R68*1000/Gasto_o_ing_total!R$479</f>
        <v>0.30866578679079498</v>
      </c>
      <c r="T68" s="336">
        <f>Gasto_o_ing_total!S68*1000/Gasto_o_ing_total!S$479</f>
        <v>0.30866578679079498</v>
      </c>
      <c r="U68" s="336">
        <f>Gasto_o_ing_total!T68*1000/Gasto_o_ing_total!T$479</f>
        <v>0.30866578679079498</v>
      </c>
      <c r="V68" s="336">
        <f>Gasto_o_ing_total!U68*1000/Gasto_o_ing_total!U$479</f>
        <v>0.30866578679079498</v>
      </c>
      <c r="W68" s="105"/>
    </row>
    <row r="69" spans="1:23" s="102" customFormat="1">
      <c r="A69" s="355"/>
      <c r="B69" s="115" t="s">
        <v>171</v>
      </c>
      <c r="C69" s="333" t="str">
        <f>VLOOKUP(B69,Tot_res!C:D,2,FALSE)</f>
        <v>Administración periférica del estado</v>
      </c>
      <c r="D69" s="336">
        <f>Gasto_o_ing_total!V69*1000/Gasto_o_ing_total!V$479</f>
        <v>6.3119549774505375</v>
      </c>
      <c r="E69" s="336">
        <f>Gasto_o_ing_total!D69*1000/Gasto_o_ing_total!D$479</f>
        <v>6.3119549774505366</v>
      </c>
      <c r="F69" s="336">
        <f>Gasto_o_ing_total!E69*1000/Gasto_o_ing_total!E$479</f>
        <v>6.3119549774505357</v>
      </c>
      <c r="G69" s="336">
        <f>Gasto_o_ing_total!F69*1000/Gasto_o_ing_total!F$479</f>
        <v>6.3119549774505366</v>
      </c>
      <c r="H69" s="336">
        <f>Gasto_o_ing_total!G69*1000/Gasto_o_ing_total!G$479</f>
        <v>6.3119549774505357</v>
      </c>
      <c r="I69" s="336">
        <f>Gasto_o_ing_total!H69*1000/Gasto_o_ing_total!H$479</f>
        <v>6.3119549774505366</v>
      </c>
      <c r="J69" s="336">
        <f>Gasto_o_ing_total!I69*1000/Gasto_o_ing_total!I$479</f>
        <v>6.3119549774505366</v>
      </c>
      <c r="K69" s="336">
        <f>Gasto_o_ing_total!J69*1000/Gasto_o_ing_total!J$479</f>
        <v>6.3119549774505375</v>
      </c>
      <c r="L69" s="336">
        <f>Gasto_o_ing_total!K69*1000/Gasto_o_ing_total!K$479</f>
        <v>6.3119549774505375</v>
      </c>
      <c r="M69" s="336">
        <f>Gasto_o_ing_total!L69*1000/Gasto_o_ing_total!L$479</f>
        <v>6.3119549774505366</v>
      </c>
      <c r="N69" s="336">
        <f>Gasto_o_ing_total!M69*1000/Gasto_o_ing_total!M$479</f>
        <v>6.3119549774505366</v>
      </c>
      <c r="O69" s="336">
        <f>Gasto_o_ing_total!N69*1000/Gasto_o_ing_total!N$479</f>
        <v>6.3119549774505366</v>
      </c>
      <c r="P69" s="336">
        <f>Gasto_o_ing_total!O69*1000/Gasto_o_ing_total!O$479</f>
        <v>6.3119549774505366</v>
      </c>
      <c r="Q69" s="336">
        <f>Gasto_o_ing_total!P69*1000/Gasto_o_ing_total!P$479</f>
        <v>6.3119549774505366</v>
      </c>
      <c r="R69" s="336">
        <f>Gasto_o_ing_total!Q69*1000/Gasto_o_ing_total!Q$479</f>
        <v>6.3119549774505366</v>
      </c>
      <c r="S69" s="336">
        <f>Gasto_o_ing_total!R69*1000/Gasto_o_ing_total!R$479</f>
        <v>6.3119549774505366</v>
      </c>
      <c r="T69" s="336">
        <f>Gasto_o_ing_total!S69*1000/Gasto_o_ing_total!S$479</f>
        <v>6.3119549774505366</v>
      </c>
      <c r="U69" s="336">
        <f>Gasto_o_ing_total!T69*1000/Gasto_o_ing_total!T$479</f>
        <v>6.3119549774505366</v>
      </c>
      <c r="V69" s="336">
        <f>Gasto_o_ing_total!U69*1000/Gasto_o_ing_total!U$479</f>
        <v>6.3119549774505366</v>
      </c>
      <c r="W69" s="105"/>
    </row>
    <row r="70" spans="1:23" s="102" customFormat="1">
      <c r="A70" s="355"/>
      <c r="B70" s="115" t="s">
        <v>172</v>
      </c>
      <c r="C70" s="333" t="str">
        <f>VLOOKUP(B70,Tot_res!C:D,2,FALSE)</f>
        <v>Publicidad de las normas legales</v>
      </c>
      <c r="D70" s="336">
        <f>Gasto_o_ing_total!V70*1000/Gasto_o_ing_total!V$479</f>
        <v>0.54625466165878933</v>
      </c>
      <c r="E70" s="336">
        <f>Gasto_o_ing_total!D70*1000/Gasto_o_ing_total!D$479</f>
        <v>0.54625466165878911</v>
      </c>
      <c r="F70" s="336">
        <f>Gasto_o_ing_total!E70*1000/Gasto_o_ing_total!E$479</f>
        <v>0.54625466165878911</v>
      </c>
      <c r="G70" s="336">
        <f>Gasto_o_ing_total!F70*1000/Gasto_o_ing_total!F$479</f>
        <v>0.54625466165878922</v>
      </c>
      <c r="H70" s="336">
        <f>Gasto_o_ing_total!G70*1000/Gasto_o_ing_total!G$479</f>
        <v>0.54625466165878911</v>
      </c>
      <c r="I70" s="336">
        <f>Gasto_o_ing_total!H70*1000/Gasto_o_ing_total!H$479</f>
        <v>0.54625466165878933</v>
      </c>
      <c r="J70" s="336">
        <f>Gasto_o_ing_total!I70*1000/Gasto_o_ing_total!I$479</f>
        <v>0.54625466165878911</v>
      </c>
      <c r="K70" s="336">
        <f>Gasto_o_ing_total!J70*1000/Gasto_o_ing_total!J$479</f>
        <v>0.54625466165878922</v>
      </c>
      <c r="L70" s="336">
        <f>Gasto_o_ing_total!K70*1000/Gasto_o_ing_total!K$479</f>
        <v>0.54625466165878922</v>
      </c>
      <c r="M70" s="336">
        <f>Gasto_o_ing_total!L70*1000/Gasto_o_ing_total!L$479</f>
        <v>0.54625466165878911</v>
      </c>
      <c r="N70" s="336">
        <f>Gasto_o_ing_total!M70*1000/Gasto_o_ing_total!M$479</f>
        <v>0.54625466165878922</v>
      </c>
      <c r="O70" s="336">
        <f>Gasto_o_ing_total!N70*1000/Gasto_o_ing_total!N$479</f>
        <v>0.54625466165878922</v>
      </c>
      <c r="P70" s="336">
        <f>Gasto_o_ing_total!O70*1000/Gasto_o_ing_total!O$479</f>
        <v>0.54625466165878922</v>
      </c>
      <c r="Q70" s="336">
        <f>Gasto_o_ing_total!P70*1000/Gasto_o_ing_total!P$479</f>
        <v>0.54625466165878922</v>
      </c>
      <c r="R70" s="336">
        <f>Gasto_o_ing_total!Q70*1000/Gasto_o_ing_total!Q$479</f>
        <v>0.54625466165878911</v>
      </c>
      <c r="S70" s="336">
        <f>Gasto_o_ing_total!R70*1000/Gasto_o_ing_total!R$479</f>
        <v>0.54625466165878922</v>
      </c>
      <c r="T70" s="336">
        <f>Gasto_o_ing_total!S70*1000/Gasto_o_ing_total!S$479</f>
        <v>0.54625466165878911</v>
      </c>
      <c r="U70" s="336">
        <f>Gasto_o_ing_total!T70*1000/Gasto_o_ing_total!T$479</f>
        <v>0.54625466165878922</v>
      </c>
      <c r="V70" s="336">
        <f>Gasto_o_ing_total!U70*1000/Gasto_o_ing_total!U$479</f>
        <v>0.54625466165878922</v>
      </c>
      <c r="W70" s="105"/>
    </row>
    <row r="71" spans="1:23" s="102" customFormat="1">
      <c r="A71" s="355"/>
      <c r="B71" s="115" t="s">
        <v>174</v>
      </c>
      <c r="C71" s="333" t="str">
        <f>VLOOKUP(B71,Tot_res!C:D,2,FALSE)</f>
        <v>Asesoramiento y defensa intereses del estado</v>
      </c>
      <c r="D71" s="336">
        <f>Gasto_o_ing_total!V71*1000/Gasto_o_ing_total!V$479</f>
        <v>0.63834480341257682</v>
      </c>
      <c r="E71" s="336">
        <f>Gasto_o_ing_total!D71*1000/Gasto_o_ing_total!D$479</f>
        <v>0.63834480341257693</v>
      </c>
      <c r="F71" s="336">
        <f>Gasto_o_ing_total!E71*1000/Gasto_o_ing_total!E$479</f>
        <v>0.63834480341257693</v>
      </c>
      <c r="G71" s="336">
        <f>Gasto_o_ing_total!F71*1000/Gasto_o_ing_total!F$479</f>
        <v>0.63834480341257693</v>
      </c>
      <c r="H71" s="336">
        <f>Gasto_o_ing_total!G71*1000/Gasto_o_ing_total!G$479</f>
        <v>0.63834480341257682</v>
      </c>
      <c r="I71" s="336">
        <f>Gasto_o_ing_total!H71*1000/Gasto_o_ing_total!H$479</f>
        <v>0.63834480341257693</v>
      </c>
      <c r="J71" s="336">
        <f>Gasto_o_ing_total!I71*1000/Gasto_o_ing_total!I$479</f>
        <v>0.63834480341257693</v>
      </c>
      <c r="K71" s="336">
        <f>Gasto_o_ing_total!J71*1000/Gasto_o_ing_total!J$479</f>
        <v>0.63834480341257693</v>
      </c>
      <c r="L71" s="336">
        <f>Gasto_o_ing_total!K71*1000/Gasto_o_ing_total!K$479</f>
        <v>0.63834480341257693</v>
      </c>
      <c r="M71" s="336">
        <f>Gasto_o_ing_total!L71*1000/Gasto_o_ing_total!L$479</f>
        <v>0.63834480341257693</v>
      </c>
      <c r="N71" s="336">
        <f>Gasto_o_ing_total!M71*1000/Gasto_o_ing_total!M$479</f>
        <v>0.63834480341257693</v>
      </c>
      <c r="O71" s="336">
        <f>Gasto_o_ing_total!N71*1000/Gasto_o_ing_total!N$479</f>
        <v>0.63834480341257682</v>
      </c>
      <c r="P71" s="336">
        <f>Gasto_o_ing_total!O71*1000/Gasto_o_ing_total!O$479</f>
        <v>0.63834480341257693</v>
      </c>
      <c r="Q71" s="336">
        <f>Gasto_o_ing_total!P71*1000/Gasto_o_ing_total!P$479</f>
        <v>0.63834480341257682</v>
      </c>
      <c r="R71" s="336">
        <f>Gasto_o_ing_total!Q71*1000/Gasto_o_ing_total!Q$479</f>
        <v>0.63834480341257693</v>
      </c>
      <c r="S71" s="336">
        <f>Gasto_o_ing_total!R71*1000/Gasto_o_ing_total!R$479</f>
        <v>0.63834480341257693</v>
      </c>
      <c r="T71" s="336">
        <f>Gasto_o_ing_total!S71*1000/Gasto_o_ing_total!S$479</f>
        <v>0.63834480341257693</v>
      </c>
      <c r="U71" s="336">
        <f>Gasto_o_ing_total!T71*1000/Gasto_o_ing_total!T$479</f>
        <v>0.63834480341257693</v>
      </c>
      <c r="V71" s="336">
        <f>Gasto_o_ing_total!U71*1000/Gasto_o_ing_total!U$479</f>
        <v>0.63834480341257693</v>
      </c>
      <c r="W71" s="105"/>
    </row>
    <row r="72" spans="1:23" s="102" customFormat="1">
      <c r="A72" s="355"/>
      <c r="B72" s="115" t="s">
        <v>175</v>
      </c>
      <c r="C72" s="333" t="str">
        <f>VLOOKUP(B72,Tot_res!C:D,2,FALSE)</f>
        <v>Servicios de transportes de ministerios</v>
      </c>
      <c r="D72" s="336">
        <f>Gasto_o_ing_total!V72*1000/Gasto_o_ing_total!V$479</f>
        <v>0.77797788746383878</v>
      </c>
      <c r="E72" s="336">
        <f>Gasto_o_ing_total!D72*1000/Gasto_o_ing_total!D$479</f>
        <v>0.77797788746383889</v>
      </c>
      <c r="F72" s="336">
        <f>Gasto_o_ing_total!E72*1000/Gasto_o_ing_total!E$479</f>
        <v>0.77797788746383889</v>
      </c>
      <c r="G72" s="336">
        <f>Gasto_o_ing_total!F72*1000/Gasto_o_ing_total!F$479</f>
        <v>0.777977887463839</v>
      </c>
      <c r="H72" s="336">
        <f>Gasto_o_ing_total!G72*1000/Gasto_o_ing_total!G$479</f>
        <v>0.77797788746383889</v>
      </c>
      <c r="I72" s="336">
        <f>Gasto_o_ing_total!H72*1000/Gasto_o_ing_total!H$479</f>
        <v>0.77797788746383889</v>
      </c>
      <c r="J72" s="336">
        <f>Gasto_o_ing_total!I72*1000/Gasto_o_ing_total!I$479</f>
        <v>0.777977887463839</v>
      </c>
      <c r="K72" s="336">
        <f>Gasto_o_ing_total!J72*1000/Gasto_o_ing_total!J$479</f>
        <v>0.777977887463839</v>
      </c>
      <c r="L72" s="336">
        <f>Gasto_o_ing_total!K72*1000/Gasto_o_ing_total!K$479</f>
        <v>0.777977887463839</v>
      </c>
      <c r="M72" s="336">
        <f>Gasto_o_ing_total!L72*1000/Gasto_o_ing_total!L$479</f>
        <v>0.77797788746383889</v>
      </c>
      <c r="N72" s="336">
        <f>Gasto_o_ing_total!M72*1000/Gasto_o_ing_total!M$479</f>
        <v>0.77797788746383911</v>
      </c>
      <c r="O72" s="336">
        <f>Gasto_o_ing_total!N72*1000/Gasto_o_ing_total!N$479</f>
        <v>0.777977887463839</v>
      </c>
      <c r="P72" s="336">
        <f>Gasto_o_ing_total!O72*1000/Gasto_o_ing_total!O$479</f>
        <v>0.77797788746383889</v>
      </c>
      <c r="Q72" s="336">
        <f>Gasto_o_ing_total!P72*1000/Gasto_o_ing_total!P$479</f>
        <v>0.777977887463839</v>
      </c>
      <c r="R72" s="336">
        <f>Gasto_o_ing_total!Q72*1000/Gasto_o_ing_total!Q$479</f>
        <v>0.77797788746383889</v>
      </c>
      <c r="S72" s="336">
        <f>Gasto_o_ing_total!R72*1000/Gasto_o_ing_total!R$479</f>
        <v>0.777977887463839</v>
      </c>
      <c r="T72" s="336">
        <f>Gasto_o_ing_total!S72*1000/Gasto_o_ing_total!S$479</f>
        <v>0.77797788746383889</v>
      </c>
      <c r="U72" s="336">
        <f>Gasto_o_ing_total!T72*1000/Gasto_o_ing_total!T$479</f>
        <v>0.777977887463839</v>
      </c>
      <c r="V72" s="336">
        <f>Gasto_o_ing_total!U72*1000/Gasto_o_ing_total!U$479</f>
        <v>0.777977887463839</v>
      </c>
      <c r="W72" s="105"/>
    </row>
    <row r="73" spans="1:23" s="102" customFormat="1">
      <c r="A73" s="355"/>
      <c r="B73" s="115" t="s">
        <v>176</v>
      </c>
      <c r="C73" s="333" t="str">
        <f>VLOOKUP(B73,Tot_res!C:D,2,FALSE)</f>
        <v>Evaluación de políticas y programas públicos, calidad de los servicios e impacto normativo</v>
      </c>
      <c r="D73" s="336">
        <f>Gasto_o_ing_total!V73*1000/Gasto_o_ing_total!V$479</f>
        <v>7.4230762562543975E-2</v>
      </c>
      <c r="E73" s="336">
        <f>Gasto_o_ing_total!D73*1000/Gasto_o_ing_total!D$479</f>
        <v>7.4230762562543975E-2</v>
      </c>
      <c r="F73" s="336">
        <f>Gasto_o_ing_total!E73*1000/Gasto_o_ing_total!E$479</f>
        <v>7.4230762562543989E-2</v>
      </c>
      <c r="G73" s="336">
        <f>Gasto_o_ing_total!F73*1000/Gasto_o_ing_total!F$479</f>
        <v>7.4230762562543989E-2</v>
      </c>
      <c r="H73" s="336">
        <f>Gasto_o_ing_total!G73*1000/Gasto_o_ing_total!G$479</f>
        <v>7.4230762562543975E-2</v>
      </c>
      <c r="I73" s="336">
        <f>Gasto_o_ing_total!H73*1000/Gasto_o_ing_total!H$479</f>
        <v>7.4230762562543989E-2</v>
      </c>
      <c r="J73" s="336">
        <f>Gasto_o_ing_total!I73*1000/Gasto_o_ing_total!I$479</f>
        <v>7.4230762562543975E-2</v>
      </c>
      <c r="K73" s="336">
        <f>Gasto_o_ing_total!J73*1000/Gasto_o_ing_total!J$479</f>
        <v>7.4230762562543989E-2</v>
      </c>
      <c r="L73" s="336">
        <f>Gasto_o_ing_total!K73*1000/Gasto_o_ing_total!K$479</f>
        <v>7.4230762562543989E-2</v>
      </c>
      <c r="M73" s="336">
        <f>Gasto_o_ing_total!L73*1000/Gasto_o_ing_total!L$479</f>
        <v>7.4230762562543975E-2</v>
      </c>
      <c r="N73" s="336">
        <f>Gasto_o_ing_total!M73*1000/Gasto_o_ing_total!M$479</f>
        <v>7.4230762562543989E-2</v>
      </c>
      <c r="O73" s="336">
        <f>Gasto_o_ing_total!N73*1000/Gasto_o_ing_total!N$479</f>
        <v>7.4230762562543975E-2</v>
      </c>
      <c r="P73" s="336">
        <f>Gasto_o_ing_total!O73*1000/Gasto_o_ing_total!O$479</f>
        <v>7.4230762562543989E-2</v>
      </c>
      <c r="Q73" s="336">
        <f>Gasto_o_ing_total!P73*1000/Gasto_o_ing_total!P$479</f>
        <v>7.4230762562543989E-2</v>
      </c>
      <c r="R73" s="336">
        <f>Gasto_o_ing_total!Q73*1000/Gasto_o_ing_total!Q$479</f>
        <v>7.4230762562543989E-2</v>
      </c>
      <c r="S73" s="336">
        <f>Gasto_o_ing_total!R73*1000/Gasto_o_ing_total!R$479</f>
        <v>7.4230762562543975E-2</v>
      </c>
      <c r="T73" s="336">
        <f>Gasto_o_ing_total!S73*1000/Gasto_o_ing_total!S$479</f>
        <v>7.4230762562543989E-2</v>
      </c>
      <c r="U73" s="336">
        <f>Gasto_o_ing_total!T73*1000/Gasto_o_ing_total!T$479</f>
        <v>7.4230762562543989E-2</v>
      </c>
      <c r="V73" s="336">
        <f>Gasto_o_ing_total!U73*1000/Gasto_o_ing_total!U$479</f>
        <v>7.4230762562543989E-2</v>
      </c>
      <c r="W73" s="105"/>
    </row>
    <row r="74" spans="1:23" s="102" customFormat="1">
      <c r="A74" s="355"/>
      <c r="B74" s="115" t="s">
        <v>177</v>
      </c>
      <c r="C74" s="333" t="str">
        <f>VLOOKUP(B74,Tot_res!C:D,2,FALSE)</f>
        <v>Organización territorial del estado y desarrollo de sus sistemas de colaboración</v>
      </c>
      <c r="D74" s="336">
        <f>Gasto_o_ing_total!V74*1000/Gasto_o_ing_total!V$479</f>
        <v>5.0314374724630559E-2</v>
      </c>
      <c r="E74" s="336">
        <f>Gasto_o_ing_total!D74*1000/Gasto_o_ing_total!D$479</f>
        <v>5.0314374724630552E-2</v>
      </c>
      <c r="F74" s="336">
        <f>Gasto_o_ing_total!E74*1000/Gasto_o_ing_total!E$479</f>
        <v>5.0314374724630552E-2</v>
      </c>
      <c r="G74" s="336">
        <f>Gasto_o_ing_total!F74*1000/Gasto_o_ing_total!F$479</f>
        <v>5.0314374724630559E-2</v>
      </c>
      <c r="H74" s="336">
        <f>Gasto_o_ing_total!G74*1000/Gasto_o_ing_total!G$479</f>
        <v>5.0314374724630552E-2</v>
      </c>
      <c r="I74" s="336">
        <f>Gasto_o_ing_total!H74*1000/Gasto_o_ing_total!H$479</f>
        <v>5.0314374724630559E-2</v>
      </c>
      <c r="J74" s="336">
        <f>Gasto_o_ing_total!I74*1000/Gasto_o_ing_total!I$479</f>
        <v>5.0314374724630552E-2</v>
      </c>
      <c r="K74" s="336">
        <f>Gasto_o_ing_total!J74*1000/Gasto_o_ing_total!J$479</f>
        <v>5.0314374724630559E-2</v>
      </c>
      <c r="L74" s="336">
        <f>Gasto_o_ing_total!K74*1000/Gasto_o_ing_total!K$479</f>
        <v>5.0314374724630552E-2</v>
      </c>
      <c r="M74" s="336">
        <f>Gasto_o_ing_total!L74*1000/Gasto_o_ing_total!L$479</f>
        <v>5.0314374724630559E-2</v>
      </c>
      <c r="N74" s="336">
        <f>Gasto_o_ing_total!M74*1000/Gasto_o_ing_total!M$479</f>
        <v>5.0314374724630559E-2</v>
      </c>
      <c r="O74" s="336">
        <f>Gasto_o_ing_total!N74*1000/Gasto_o_ing_total!N$479</f>
        <v>5.0314374724630552E-2</v>
      </c>
      <c r="P74" s="336">
        <f>Gasto_o_ing_total!O74*1000/Gasto_o_ing_total!O$479</f>
        <v>5.0314374724630559E-2</v>
      </c>
      <c r="Q74" s="336">
        <f>Gasto_o_ing_total!P74*1000/Gasto_o_ing_total!P$479</f>
        <v>5.0314374724630552E-2</v>
      </c>
      <c r="R74" s="336">
        <f>Gasto_o_ing_total!Q74*1000/Gasto_o_ing_total!Q$479</f>
        <v>5.0314374724630538E-2</v>
      </c>
      <c r="S74" s="336">
        <f>Gasto_o_ing_total!R74*1000/Gasto_o_ing_total!R$479</f>
        <v>5.0314374724630566E-2</v>
      </c>
      <c r="T74" s="336">
        <f>Gasto_o_ing_total!S74*1000/Gasto_o_ing_total!S$479</f>
        <v>5.0314374724630559E-2</v>
      </c>
      <c r="U74" s="336">
        <f>Gasto_o_ing_total!T74*1000/Gasto_o_ing_total!T$479</f>
        <v>5.0314374724630552E-2</v>
      </c>
      <c r="V74" s="336">
        <f>Gasto_o_ing_total!U74*1000/Gasto_o_ing_total!U$479</f>
        <v>5.0314374724630552E-2</v>
      </c>
      <c r="W74" s="105"/>
    </row>
    <row r="75" spans="1:23" s="102" customFormat="1">
      <c r="A75" s="355"/>
      <c r="B75" s="115" t="s">
        <v>178</v>
      </c>
      <c r="C75" s="333" t="str">
        <f>VLOOKUP(B75,Tot_res!C:D,2,FALSE)</f>
        <v>Elecciones y partidos políticos</v>
      </c>
      <c r="D75" s="336">
        <f>Gasto_o_ing_total!V75*1000/Gasto_o_ing_total!V$479</f>
        <v>1.4555680649786475</v>
      </c>
      <c r="E75" s="336">
        <f>Gasto_o_ing_total!D75*1000/Gasto_o_ing_total!D$479</f>
        <v>1.4555680649786471</v>
      </c>
      <c r="F75" s="336">
        <f>Gasto_o_ing_total!E75*1000/Gasto_o_ing_total!E$479</f>
        <v>1.4555680649786471</v>
      </c>
      <c r="G75" s="336">
        <f>Gasto_o_ing_total!F75*1000/Gasto_o_ing_total!F$479</f>
        <v>1.4555680649786473</v>
      </c>
      <c r="H75" s="336">
        <f>Gasto_o_ing_total!G75*1000/Gasto_o_ing_total!G$479</f>
        <v>1.4555680649786471</v>
      </c>
      <c r="I75" s="336">
        <f>Gasto_o_ing_total!H75*1000/Gasto_o_ing_total!H$479</f>
        <v>1.4555680649786473</v>
      </c>
      <c r="J75" s="336">
        <f>Gasto_o_ing_total!I75*1000/Gasto_o_ing_total!I$479</f>
        <v>1.4555680649786473</v>
      </c>
      <c r="K75" s="336">
        <f>Gasto_o_ing_total!J75*1000/Gasto_o_ing_total!J$479</f>
        <v>1.4555680649786473</v>
      </c>
      <c r="L75" s="336">
        <f>Gasto_o_ing_total!K75*1000/Gasto_o_ing_total!K$479</f>
        <v>1.4555680649786475</v>
      </c>
      <c r="M75" s="336">
        <f>Gasto_o_ing_total!L75*1000/Gasto_o_ing_total!L$479</f>
        <v>1.4555680649786471</v>
      </c>
      <c r="N75" s="336">
        <f>Gasto_o_ing_total!M75*1000/Gasto_o_ing_total!M$479</f>
        <v>1.4555680649786475</v>
      </c>
      <c r="O75" s="336">
        <f>Gasto_o_ing_total!N75*1000/Gasto_o_ing_total!N$479</f>
        <v>1.4555680649786473</v>
      </c>
      <c r="P75" s="336">
        <f>Gasto_o_ing_total!O75*1000/Gasto_o_ing_total!O$479</f>
        <v>1.4555680649786473</v>
      </c>
      <c r="Q75" s="336">
        <f>Gasto_o_ing_total!P75*1000/Gasto_o_ing_total!P$479</f>
        <v>1.4555680649786473</v>
      </c>
      <c r="R75" s="336">
        <f>Gasto_o_ing_total!Q75*1000/Gasto_o_ing_total!Q$479</f>
        <v>1.4555680649786473</v>
      </c>
      <c r="S75" s="336">
        <f>Gasto_o_ing_total!R75*1000/Gasto_o_ing_total!R$479</f>
        <v>1.4555680649786473</v>
      </c>
      <c r="T75" s="336">
        <f>Gasto_o_ing_total!S75*1000/Gasto_o_ing_total!S$479</f>
        <v>1.4555680649786473</v>
      </c>
      <c r="U75" s="336">
        <f>Gasto_o_ing_total!T75*1000/Gasto_o_ing_total!T$479</f>
        <v>1.4555680649786473</v>
      </c>
      <c r="V75" s="336">
        <f>Gasto_o_ing_total!U75*1000/Gasto_o_ing_total!U$479</f>
        <v>1.4555680649786473</v>
      </c>
      <c r="W75" s="105"/>
    </row>
    <row r="76" spans="1:23" s="102" customFormat="1">
      <c r="A76" s="356"/>
      <c r="B76" s="115"/>
      <c r="D76" s="110"/>
      <c r="E76" s="110"/>
      <c r="F76" s="110"/>
      <c r="G76" s="110"/>
      <c r="H76" s="110"/>
      <c r="I76" s="110"/>
      <c r="J76" s="110"/>
      <c r="K76" s="110"/>
      <c r="L76" s="110"/>
      <c r="M76" s="110"/>
      <c r="N76" s="110"/>
      <c r="O76" s="110"/>
      <c r="P76" s="110"/>
      <c r="Q76" s="110"/>
      <c r="R76" s="110"/>
      <c r="S76" s="110"/>
      <c r="T76" s="110"/>
      <c r="U76" s="110"/>
      <c r="V76" s="110"/>
      <c r="W76" s="130"/>
    </row>
    <row r="77" spans="1:23" s="102" customFormat="1">
      <c r="A77" s="356"/>
      <c r="B77" s="115"/>
      <c r="C77" s="128" t="s">
        <v>25</v>
      </c>
      <c r="D77" s="113">
        <f>Gasto_o_ing_total!V77*1000/Gasto_o_ing_total!V$479</f>
        <v>45.731541197952019</v>
      </c>
      <c r="E77" s="113">
        <f>Gasto_o_ing_total!D77*1000/Gasto_o_ing_total!D$479</f>
        <v>45.731541197951998</v>
      </c>
      <c r="F77" s="113">
        <f>Gasto_o_ing_total!E77*1000/Gasto_o_ing_total!E$479</f>
        <v>45.731541197952005</v>
      </c>
      <c r="G77" s="113">
        <f>Gasto_o_ing_total!F77*1000/Gasto_o_ing_total!F$479</f>
        <v>45.731541197952005</v>
      </c>
      <c r="H77" s="113">
        <f>Gasto_o_ing_total!G77*1000/Gasto_o_ing_total!G$479</f>
        <v>45.731541197952005</v>
      </c>
      <c r="I77" s="113">
        <f>Gasto_o_ing_total!H77*1000/Gasto_o_ing_total!H$479</f>
        <v>45.731541197952005</v>
      </c>
      <c r="J77" s="113">
        <f>Gasto_o_ing_total!I77*1000/Gasto_o_ing_total!I$479</f>
        <v>45.731541197952005</v>
      </c>
      <c r="K77" s="113">
        <f>Gasto_o_ing_total!J77*1000/Gasto_o_ing_total!J$479</f>
        <v>45.731541197952005</v>
      </c>
      <c r="L77" s="113">
        <f>Gasto_o_ing_total!K77*1000/Gasto_o_ing_total!K$479</f>
        <v>45.731541197952019</v>
      </c>
      <c r="M77" s="113">
        <f>Gasto_o_ing_total!L77*1000/Gasto_o_ing_total!L$479</f>
        <v>45.731541197952012</v>
      </c>
      <c r="N77" s="113">
        <f>Gasto_o_ing_total!M77*1000/Gasto_o_ing_total!M$479</f>
        <v>45.731541197952012</v>
      </c>
      <c r="O77" s="113">
        <f>Gasto_o_ing_total!N77*1000/Gasto_o_ing_total!N$479</f>
        <v>45.731541197952012</v>
      </c>
      <c r="P77" s="113">
        <f>Gasto_o_ing_total!O77*1000/Gasto_o_ing_total!O$479</f>
        <v>45.731541197952005</v>
      </c>
      <c r="Q77" s="113">
        <f>Gasto_o_ing_total!P77*1000/Gasto_o_ing_total!P$479</f>
        <v>45.731541197952012</v>
      </c>
      <c r="R77" s="113">
        <f>Gasto_o_ing_total!Q77*1000/Gasto_o_ing_total!Q$479</f>
        <v>45.731541197952005</v>
      </c>
      <c r="S77" s="113">
        <f>Gasto_o_ing_total!R77*1000/Gasto_o_ing_total!R$479</f>
        <v>45.731541197952012</v>
      </c>
      <c r="T77" s="113">
        <f>Gasto_o_ing_total!S77*1000/Gasto_o_ing_total!S$479</f>
        <v>45.731541197952019</v>
      </c>
      <c r="U77" s="113">
        <f>Gasto_o_ing_total!T77*1000/Gasto_o_ing_total!T$479</f>
        <v>45.731541197952005</v>
      </c>
      <c r="V77" s="113">
        <f>Gasto_o_ing_total!U77*1000/Gasto_o_ing_total!U$479</f>
        <v>45.731541197952005</v>
      </c>
      <c r="W77" s="105"/>
    </row>
    <row r="78" spans="1:23" s="102" customFormat="1">
      <c r="A78" s="355"/>
      <c r="B78" s="115" t="s">
        <v>179</v>
      </c>
      <c r="C78" s="333" t="str">
        <f>VLOOKUP(B78,Tot_res!C:D,2,FALSE)</f>
        <v>Investigación y estudios sociológicos y constitucionales</v>
      </c>
      <c r="D78" s="336">
        <f>Gasto_o_ing_total!V78*1000/Gasto_o_ing_total!V$479</f>
        <v>0.22926143184398948</v>
      </c>
      <c r="E78" s="336">
        <f>Gasto_o_ing_total!D78*1000/Gasto_o_ing_total!D$479</f>
        <v>0.22926143184398937</v>
      </c>
      <c r="F78" s="336">
        <f>Gasto_o_ing_total!E78*1000/Gasto_o_ing_total!E$479</f>
        <v>0.22926143184398937</v>
      </c>
      <c r="G78" s="336">
        <f>Gasto_o_ing_total!F78*1000/Gasto_o_ing_total!F$479</f>
        <v>0.22926143184398939</v>
      </c>
      <c r="H78" s="336">
        <f>Gasto_o_ing_total!G78*1000/Gasto_o_ing_total!G$479</f>
        <v>0.22926143184398937</v>
      </c>
      <c r="I78" s="336">
        <f>Gasto_o_ing_total!H78*1000/Gasto_o_ing_total!H$479</f>
        <v>0.22926143184398939</v>
      </c>
      <c r="J78" s="336">
        <f>Gasto_o_ing_total!I78*1000/Gasto_o_ing_total!I$479</f>
        <v>0.22926143184398939</v>
      </c>
      <c r="K78" s="336">
        <f>Gasto_o_ing_total!J78*1000/Gasto_o_ing_total!J$479</f>
        <v>0.22926143184398939</v>
      </c>
      <c r="L78" s="336">
        <f>Gasto_o_ing_total!K78*1000/Gasto_o_ing_total!K$479</f>
        <v>0.22926143184398939</v>
      </c>
      <c r="M78" s="336">
        <f>Gasto_o_ing_total!L78*1000/Gasto_o_ing_total!L$479</f>
        <v>0.22926143184398937</v>
      </c>
      <c r="N78" s="336">
        <f>Gasto_o_ing_total!M78*1000/Gasto_o_ing_total!M$479</f>
        <v>0.22926143184398937</v>
      </c>
      <c r="O78" s="336">
        <f>Gasto_o_ing_total!N78*1000/Gasto_o_ing_total!N$479</f>
        <v>0.22926143184398939</v>
      </c>
      <c r="P78" s="336">
        <f>Gasto_o_ing_total!O78*1000/Gasto_o_ing_total!O$479</f>
        <v>0.22926143184398937</v>
      </c>
      <c r="Q78" s="336">
        <f>Gasto_o_ing_total!P78*1000/Gasto_o_ing_total!P$479</f>
        <v>0.22926143184398937</v>
      </c>
      <c r="R78" s="336">
        <f>Gasto_o_ing_total!Q78*1000/Gasto_o_ing_total!Q$479</f>
        <v>0.22926143184398934</v>
      </c>
      <c r="S78" s="336">
        <f>Gasto_o_ing_total!R78*1000/Gasto_o_ing_total!R$479</f>
        <v>0.22926143184398939</v>
      </c>
      <c r="T78" s="336">
        <f>Gasto_o_ing_total!S78*1000/Gasto_o_ing_total!S$479</f>
        <v>0.22926143184398937</v>
      </c>
      <c r="U78" s="336">
        <f>Gasto_o_ing_total!T78*1000/Gasto_o_ing_total!T$479</f>
        <v>0.22926143184398937</v>
      </c>
      <c r="V78" s="336">
        <f>Gasto_o_ing_total!U78*1000/Gasto_o_ing_total!U$479</f>
        <v>0.22926143184398939</v>
      </c>
      <c r="W78" s="105"/>
    </row>
    <row r="79" spans="1:23" s="102" customFormat="1">
      <c r="A79" s="355"/>
      <c r="B79" s="115" t="s">
        <v>181</v>
      </c>
      <c r="C79" s="333" t="str">
        <f>VLOOKUP(B79,Tot_res!C:D,2,FALSE)</f>
        <v>Investigación y estudios estadísticos y económicos</v>
      </c>
      <c r="D79" s="336">
        <f>Gasto_o_ing_total!V79*1000/Gasto_o_ing_total!V$479</f>
        <v>0.13979949292193777</v>
      </c>
      <c r="E79" s="336">
        <f>Gasto_o_ing_total!D79*1000/Gasto_o_ing_total!D$479</f>
        <v>0.13979949292193777</v>
      </c>
      <c r="F79" s="336">
        <f>Gasto_o_ing_total!E79*1000/Gasto_o_ing_total!E$479</f>
        <v>0.13979949292193777</v>
      </c>
      <c r="G79" s="336">
        <f>Gasto_o_ing_total!F79*1000/Gasto_o_ing_total!F$479</f>
        <v>0.1397994929219378</v>
      </c>
      <c r="H79" s="336">
        <f>Gasto_o_ing_total!G79*1000/Gasto_o_ing_total!G$479</f>
        <v>0.13979949292193777</v>
      </c>
      <c r="I79" s="336">
        <f>Gasto_o_ing_total!H79*1000/Gasto_o_ing_total!H$479</f>
        <v>0.1397994929219378</v>
      </c>
      <c r="J79" s="336">
        <f>Gasto_o_ing_total!I79*1000/Gasto_o_ing_total!I$479</f>
        <v>0.1397994929219378</v>
      </c>
      <c r="K79" s="336">
        <f>Gasto_o_ing_total!J79*1000/Gasto_o_ing_total!J$479</f>
        <v>0.1397994929219378</v>
      </c>
      <c r="L79" s="336">
        <f>Gasto_o_ing_total!K79*1000/Gasto_o_ing_total!K$479</f>
        <v>0.1397994929219378</v>
      </c>
      <c r="M79" s="336">
        <f>Gasto_o_ing_total!L79*1000/Gasto_o_ing_total!L$479</f>
        <v>0.1397994929219378</v>
      </c>
      <c r="N79" s="336">
        <f>Gasto_o_ing_total!M79*1000/Gasto_o_ing_total!M$479</f>
        <v>0.1397994929219378</v>
      </c>
      <c r="O79" s="336">
        <f>Gasto_o_ing_total!N79*1000/Gasto_o_ing_total!N$479</f>
        <v>0.13979949292193777</v>
      </c>
      <c r="P79" s="336">
        <f>Gasto_o_ing_total!O79*1000/Gasto_o_ing_total!O$479</f>
        <v>0.1397994929219378</v>
      </c>
      <c r="Q79" s="336">
        <f>Gasto_o_ing_total!P79*1000/Gasto_o_ing_total!P$479</f>
        <v>0.13979949292193777</v>
      </c>
      <c r="R79" s="336">
        <f>Gasto_o_ing_total!Q79*1000/Gasto_o_ing_total!Q$479</f>
        <v>0.13979949292193777</v>
      </c>
      <c r="S79" s="336">
        <f>Gasto_o_ing_total!R79*1000/Gasto_o_ing_total!R$479</f>
        <v>0.1397994929219378</v>
      </c>
      <c r="T79" s="336">
        <f>Gasto_o_ing_total!S79*1000/Gasto_o_ing_total!S$479</f>
        <v>0.13979949292193777</v>
      </c>
      <c r="U79" s="336">
        <f>Gasto_o_ing_total!T79*1000/Gasto_o_ing_total!T$479</f>
        <v>0.1397994929219378</v>
      </c>
      <c r="V79" s="336">
        <f>Gasto_o_ing_total!U79*1000/Gasto_o_ing_total!U$479</f>
        <v>0.1397994929219378</v>
      </c>
      <c r="W79" s="105"/>
    </row>
    <row r="80" spans="1:23" s="102" customFormat="1">
      <c r="A80" s="355"/>
      <c r="B80" s="115" t="s">
        <v>183</v>
      </c>
      <c r="C80" s="333" t="str">
        <f>VLOOKUP(B80,Tot_res!C:D,2,FALSE)</f>
        <v>Investigación científica</v>
      </c>
      <c r="D80" s="336">
        <f>Gasto_o_ing_total!V80*1000/Gasto_o_ing_total!V$479</f>
        <v>16.022028869430788</v>
      </c>
      <c r="E80" s="336">
        <f>Gasto_o_ing_total!D80*1000/Gasto_o_ing_total!D$479</f>
        <v>16.022028869430784</v>
      </c>
      <c r="F80" s="336">
        <f>Gasto_o_ing_total!E80*1000/Gasto_o_ing_total!E$479</f>
        <v>16.022028869430784</v>
      </c>
      <c r="G80" s="336">
        <f>Gasto_o_ing_total!F80*1000/Gasto_o_ing_total!F$479</f>
        <v>16.022028869430791</v>
      </c>
      <c r="H80" s="336">
        <f>Gasto_o_ing_total!G80*1000/Gasto_o_ing_total!G$479</f>
        <v>16.022028869430788</v>
      </c>
      <c r="I80" s="336">
        <f>Gasto_o_ing_total!H80*1000/Gasto_o_ing_total!H$479</f>
        <v>16.022028869430788</v>
      </c>
      <c r="J80" s="336">
        <f>Gasto_o_ing_total!I80*1000/Gasto_o_ing_total!I$479</f>
        <v>16.022028869430788</v>
      </c>
      <c r="K80" s="336">
        <f>Gasto_o_ing_total!J80*1000/Gasto_o_ing_total!J$479</f>
        <v>16.022028869430788</v>
      </c>
      <c r="L80" s="336">
        <f>Gasto_o_ing_total!K80*1000/Gasto_o_ing_total!K$479</f>
        <v>16.022028869430788</v>
      </c>
      <c r="M80" s="336">
        <f>Gasto_o_ing_total!L80*1000/Gasto_o_ing_total!L$479</f>
        <v>16.022028869430784</v>
      </c>
      <c r="N80" s="336">
        <f>Gasto_o_ing_total!M80*1000/Gasto_o_ing_total!M$479</f>
        <v>16.022028869430784</v>
      </c>
      <c r="O80" s="336">
        <f>Gasto_o_ing_total!N80*1000/Gasto_o_ing_total!N$479</f>
        <v>16.022028869430788</v>
      </c>
      <c r="P80" s="336">
        <f>Gasto_o_ing_total!O80*1000/Gasto_o_ing_total!O$479</f>
        <v>16.022028869430784</v>
      </c>
      <c r="Q80" s="336">
        <f>Gasto_o_ing_total!P80*1000/Gasto_o_ing_total!P$479</f>
        <v>16.022028869430788</v>
      </c>
      <c r="R80" s="336">
        <f>Gasto_o_ing_total!Q80*1000/Gasto_o_ing_total!Q$479</f>
        <v>16.022028869430784</v>
      </c>
      <c r="S80" s="336">
        <f>Gasto_o_ing_total!R80*1000/Gasto_o_ing_total!R$479</f>
        <v>16.022028869430784</v>
      </c>
      <c r="T80" s="336">
        <f>Gasto_o_ing_total!S80*1000/Gasto_o_ing_total!S$479</f>
        <v>16.022028869430788</v>
      </c>
      <c r="U80" s="336">
        <f>Gasto_o_ing_total!T80*1000/Gasto_o_ing_total!T$479</f>
        <v>16.022028869430788</v>
      </c>
      <c r="V80" s="336">
        <f>Gasto_o_ing_total!U80*1000/Gasto_o_ing_total!U$479</f>
        <v>16.022028869430784</v>
      </c>
      <c r="W80" s="105"/>
    </row>
    <row r="81" spans="1:23" s="102" customFormat="1">
      <c r="A81" s="355"/>
      <c r="B81" s="115" t="s">
        <v>185</v>
      </c>
      <c r="C81" s="333" t="str">
        <f>VLOOKUP(B81,Tot_res!C:D,2,FALSE)</f>
        <v>Fomento y coordinación de la investigación científica y técnica</v>
      </c>
      <c r="D81" s="336">
        <f>Gasto_o_ing_total!V81*1000/Gasto_o_ing_total!V$479</f>
        <v>11.060549081180325</v>
      </c>
      <c r="E81" s="336">
        <f>Gasto_o_ing_total!D81*1000/Gasto_o_ing_total!D$479</f>
        <v>11.060549081180326</v>
      </c>
      <c r="F81" s="336">
        <f>Gasto_o_ing_total!E81*1000/Gasto_o_ing_total!E$479</f>
        <v>11.060549081180325</v>
      </c>
      <c r="G81" s="336">
        <f>Gasto_o_ing_total!F81*1000/Gasto_o_ing_total!F$479</f>
        <v>11.060549081180326</v>
      </c>
      <c r="H81" s="336">
        <f>Gasto_o_ing_total!G81*1000/Gasto_o_ing_total!G$479</f>
        <v>11.060549081180325</v>
      </c>
      <c r="I81" s="336">
        <f>Gasto_o_ing_total!H81*1000/Gasto_o_ing_total!H$479</f>
        <v>11.060549081180328</v>
      </c>
      <c r="J81" s="336">
        <f>Gasto_o_ing_total!I81*1000/Gasto_o_ing_total!I$479</f>
        <v>11.060549081180326</v>
      </c>
      <c r="K81" s="336">
        <f>Gasto_o_ing_total!J81*1000/Gasto_o_ing_total!J$479</f>
        <v>11.060549081180326</v>
      </c>
      <c r="L81" s="336">
        <f>Gasto_o_ing_total!K81*1000/Gasto_o_ing_total!K$479</f>
        <v>11.060549081180326</v>
      </c>
      <c r="M81" s="336">
        <f>Gasto_o_ing_total!L81*1000/Gasto_o_ing_total!L$479</f>
        <v>11.060549081180328</v>
      </c>
      <c r="N81" s="336">
        <f>Gasto_o_ing_total!M81*1000/Gasto_o_ing_total!M$479</f>
        <v>11.060549081180326</v>
      </c>
      <c r="O81" s="336">
        <f>Gasto_o_ing_total!N81*1000/Gasto_o_ing_total!N$479</f>
        <v>11.060549081180326</v>
      </c>
      <c r="P81" s="336">
        <f>Gasto_o_ing_total!O81*1000/Gasto_o_ing_total!O$479</f>
        <v>11.060549081180326</v>
      </c>
      <c r="Q81" s="336">
        <f>Gasto_o_ing_total!P81*1000/Gasto_o_ing_total!P$479</f>
        <v>11.060549081180326</v>
      </c>
      <c r="R81" s="336">
        <f>Gasto_o_ing_total!Q81*1000/Gasto_o_ing_total!Q$479</f>
        <v>11.060549081180326</v>
      </c>
      <c r="S81" s="336">
        <f>Gasto_o_ing_total!R81*1000/Gasto_o_ing_total!R$479</f>
        <v>11.060549081180326</v>
      </c>
      <c r="T81" s="336">
        <f>Gasto_o_ing_total!S81*1000/Gasto_o_ing_total!S$479</f>
        <v>11.060549081180326</v>
      </c>
      <c r="U81" s="336">
        <f>Gasto_o_ing_total!T81*1000/Gasto_o_ing_total!T$479</f>
        <v>11.060549081180326</v>
      </c>
      <c r="V81" s="336">
        <f>Gasto_o_ing_total!U81*1000/Gasto_o_ing_total!U$479</f>
        <v>11.060549081180325</v>
      </c>
      <c r="W81" s="105"/>
    </row>
    <row r="82" spans="1:23" s="102" customFormat="1">
      <c r="A82" s="355"/>
      <c r="B82" s="115" t="s">
        <v>186</v>
      </c>
      <c r="C82" s="333" t="str">
        <f>VLOOKUP(B82,Tot_res!C:D,2,FALSE)</f>
        <v>Investigación sanitaria</v>
      </c>
      <c r="D82" s="336">
        <f>Gasto_o_ing_total!V82*1000/Gasto_o_ing_total!V$479</f>
        <v>5.8178086960918591</v>
      </c>
      <c r="E82" s="336">
        <f>Gasto_o_ing_total!D82*1000/Gasto_o_ing_total!D$479</f>
        <v>5.8178086960918591</v>
      </c>
      <c r="F82" s="336">
        <f>Gasto_o_ing_total!E82*1000/Gasto_o_ing_total!E$479</f>
        <v>5.8178086960918591</v>
      </c>
      <c r="G82" s="336">
        <f>Gasto_o_ing_total!F82*1000/Gasto_o_ing_total!F$479</f>
        <v>5.81780869609186</v>
      </c>
      <c r="H82" s="336">
        <f>Gasto_o_ing_total!G82*1000/Gasto_o_ing_total!G$479</f>
        <v>5.8178086960918591</v>
      </c>
      <c r="I82" s="336">
        <f>Gasto_o_ing_total!H82*1000/Gasto_o_ing_total!H$479</f>
        <v>5.81780869609186</v>
      </c>
      <c r="J82" s="336">
        <f>Gasto_o_ing_total!I82*1000/Gasto_o_ing_total!I$479</f>
        <v>5.81780869609186</v>
      </c>
      <c r="K82" s="336">
        <f>Gasto_o_ing_total!J82*1000/Gasto_o_ing_total!J$479</f>
        <v>5.81780869609186</v>
      </c>
      <c r="L82" s="336">
        <f>Gasto_o_ing_total!K82*1000/Gasto_o_ing_total!K$479</f>
        <v>5.81780869609186</v>
      </c>
      <c r="M82" s="336">
        <f>Gasto_o_ing_total!L82*1000/Gasto_o_ing_total!L$479</f>
        <v>5.81780869609186</v>
      </c>
      <c r="N82" s="336">
        <f>Gasto_o_ing_total!M82*1000/Gasto_o_ing_total!M$479</f>
        <v>5.81780869609186</v>
      </c>
      <c r="O82" s="336">
        <f>Gasto_o_ing_total!N82*1000/Gasto_o_ing_total!N$479</f>
        <v>5.8178086960918591</v>
      </c>
      <c r="P82" s="336">
        <f>Gasto_o_ing_total!O82*1000/Gasto_o_ing_total!O$479</f>
        <v>5.81780869609186</v>
      </c>
      <c r="Q82" s="336">
        <f>Gasto_o_ing_total!P82*1000/Gasto_o_ing_total!P$479</f>
        <v>5.81780869609186</v>
      </c>
      <c r="R82" s="336">
        <f>Gasto_o_ing_total!Q82*1000/Gasto_o_ing_total!Q$479</f>
        <v>5.81780869609186</v>
      </c>
      <c r="S82" s="336">
        <f>Gasto_o_ing_total!R82*1000/Gasto_o_ing_total!R$479</f>
        <v>5.8178086960918591</v>
      </c>
      <c r="T82" s="336">
        <f>Gasto_o_ing_total!S82*1000/Gasto_o_ing_total!S$479</f>
        <v>5.81780869609186</v>
      </c>
      <c r="U82" s="336">
        <f>Gasto_o_ing_total!T82*1000/Gasto_o_ing_total!T$479</f>
        <v>5.81780869609186</v>
      </c>
      <c r="V82" s="336">
        <f>Gasto_o_ing_total!U82*1000/Gasto_o_ing_total!U$479</f>
        <v>5.81780869609186</v>
      </c>
      <c r="W82" s="105"/>
    </row>
    <row r="83" spans="1:23" s="102" customFormat="1">
      <c r="A83" s="355"/>
      <c r="B83" s="115" t="s">
        <v>187</v>
      </c>
      <c r="C83" s="333" t="str">
        <f>VLOOKUP(B83,Tot_res!C:D,2,FALSE)</f>
        <v>Astronomía y astrofísica</v>
      </c>
      <c r="D83" s="336">
        <f>Gasto_o_ing_total!V83*1000/Gasto_o_ing_total!V$479</f>
        <v>0.43711678424637396</v>
      </c>
      <c r="E83" s="336">
        <f>Gasto_o_ing_total!D83*1000/Gasto_o_ing_total!D$479</f>
        <v>0.4371167842463739</v>
      </c>
      <c r="F83" s="336">
        <f>Gasto_o_ing_total!E83*1000/Gasto_o_ing_total!E$479</f>
        <v>0.4371167842463739</v>
      </c>
      <c r="G83" s="336">
        <f>Gasto_o_ing_total!F83*1000/Gasto_o_ing_total!F$479</f>
        <v>0.4371167842463739</v>
      </c>
      <c r="H83" s="336">
        <f>Gasto_o_ing_total!G83*1000/Gasto_o_ing_total!G$479</f>
        <v>0.4371167842463739</v>
      </c>
      <c r="I83" s="336">
        <f>Gasto_o_ing_total!H83*1000/Gasto_o_ing_total!H$479</f>
        <v>0.4371167842463739</v>
      </c>
      <c r="J83" s="336">
        <f>Gasto_o_ing_total!I83*1000/Gasto_o_ing_total!I$479</f>
        <v>0.43711678424637396</v>
      </c>
      <c r="K83" s="336">
        <f>Gasto_o_ing_total!J83*1000/Gasto_o_ing_total!J$479</f>
        <v>0.43711678424637396</v>
      </c>
      <c r="L83" s="336">
        <f>Gasto_o_ing_total!K83*1000/Gasto_o_ing_total!K$479</f>
        <v>0.4371167842463739</v>
      </c>
      <c r="M83" s="336">
        <f>Gasto_o_ing_total!L83*1000/Gasto_o_ing_total!L$479</f>
        <v>0.43711678424637385</v>
      </c>
      <c r="N83" s="336">
        <f>Gasto_o_ing_total!M83*1000/Gasto_o_ing_total!M$479</f>
        <v>0.4371167842463739</v>
      </c>
      <c r="O83" s="336">
        <f>Gasto_o_ing_total!N83*1000/Gasto_o_ing_total!N$479</f>
        <v>0.4371167842463739</v>
      </c>
      <c r="P83" s="336">
        <f>Gasto_o_ing_total!O83*1000/Gasto_o_ing_total!O$479</f>
        <v>0.4371167842463739</v>
      </c>
      <c r="Q83" s="336">
        <f>Gasto_o_ing_total!P83*1000/Gasto_o_ing_total!P$479</f>
        <v>0.4371167842463739</v>
      </c>
      <c r="R83" s="336">
        <f>Gasto_o_ing_total!Q83*1000/Gasto_o_ing_total!Q$479</f>
        <v>0.4371167842463739</v>
      </c>
      <c r="S83" s="336">
        <f>Gasto_o_ing_total!R83*1000/Gasto_o_ing_total!R$479</f>
        <v>0.43711678424637396</v>
      </c>
      <c r="T83" s="336">
        <f>Gasto_o_ing_total!S83*1000/Gasto_o_ing_total!S$479</f>
        <v>0.4371167842463739</v>
      </c>
      <c r="U83" s="336">
        <f>Gasto_o_ing_total!T83*1000/Gasto_o_ing_total!T$479</f>
        <v>0.4371167842463739</v>
      </c>
      <c r="V83" s="336">
        <f>Gasto_o_ing_total!U83*1000/Gasto_o_ing_total!U$479</f>
        <v>0.4371167842463739</v>
      </c>
      <c r="W83" s="105"/>
    </row>
    <row r="84" spans="1:23" s="102" customFormat="1">
      <c r="A84" s="355"/>
      <c r="B84" s="115" t="s">
        <v>723</v>
      </c>
      <c r="C84" s="333" t="str">
        <f>VLOOKUP(B84,Tot_res!C:D,2,FALSE)</f>
        <v>Investigación y desarrollo tecnológico-industrial</v>
      </c>
      <c r="D84" s="336">
        <f>Gasto_o_ing_total!V84*1000/Gasto_o_ing_total!V$479</f>
        <v>3.3055084622842208</v>
      </c>
      <c r="E84" s="336">
        <f>Gasto_o_ing_total!D84*1000/Gasto_o_ing_total!D$479</f>
        <v>3.3055084622842217</v>
      </c>
      <c r="F84" s="336">
        <f>Gasto_o_ing_total!E84*1000/Gasto_o_ing_total!E$479</f>
        <v>3.3055084622842212</v>
      </c>
      <c r="G84" s="336">
        <f>Gasto_o_ing_total!F84*1000/Gasto_o_ing_total!F$479</f>
        <v>3.3055084622842217</v>
      </c>
      <c r="H84" s="336">
        <f>Gasto_o_ing_total!G84*1000/Gasto_o_ing_total!G$479</f>
        <v>3.3055084622842217</v>
      </c>
      <c r="I84" s="336">
        <f>Gasto_o_ing_total!H84*1000/Gasto_o_ing_total!H$479</f>
        <v>3.3055084622842217</v>
      </c>
      <c r="J84" s="336">
        <f>Gasto_o_ing_total!I84*1000/Gasto_o_ing_total!I$479</f>
        <v>3.3055084622842221</v>
      </c>
      <c r="K84" s="336">
        <f>Gasto_o_ing_total!J84*1000/Gasto_o_ing_total!J$479</f>
        <v>3.3055084622842221</v>
      </c>
      <c r="L84" s="336">
        <f>Gasto_o_ing_total!K84*1000/Gasto_o_ing_total!K$479</f>
        <v>3.3055084622842217</v>
      </c>
      <c r="M84" s="336">
        <f>Gasto_o_ing_total!L84*1000/Gasto_o_ing_total!L$479</f>
        <v>3.3055084622842221</v>
      </c>
      <c r="N84" s="336">
        <f>Gasto_o_ing_total!M84*1000/Gasto_o_ing_total!M$479</f>
        <v>3.3055084622842221</v>
      </c>
      <c r="O84" s="336">
        <f>Gasto_o_ing_total!N84*1000/Gasto_o_ing_total!N$479</f>
        <v>3.3055084622842217</v>
      </c>
      <c r="P84" s="336">
        <f>Gasto_o_ing_total!O84*1000/Gasto_o_ing_total!O$479</f>
        <v>3.3055084622842212</v>
      </c>
      <c r="Q84" s="336">
        <f>Gasto_o_ing_total!P84*1000/Gasto_o_ing_total!P$479</f>
        <v>3.3055084622842212</v>
      </c>
      <c r="R84" s="336">
        <f>Gasto_o_ing_total!Q84*1000/Gasto_o_ing_total!Q$479</f>
        <v>3.3055084622842212</v>
      </c>
      <c r="S84" s="336">
        <f>Gasto_o_ing_total!R84*1000/Gasto_o_ing_total!R$479</f>
        <v>3.3055084622842217</v>
      </c>
      <c r="T84" s="336">
        <f>Gasto_o_ing_total!S84*1000/Gasto_o_ing_total!S$479</f>
        <v>3.3055084622842212</v>
      </c>
      <c r="U84" s="336">
        <f>Gasto_o_ing_total!T84*1000/Gasto_o_ing_total!T$479</f>
        <v>3.3055084622842221</v>
      </c>
      <c r="V84" s="336">
        <f>Gasto_o_ing_total!U84*1000/Gasto_o_ing_total!U$479</f>
        <v>3.3055084622842212</v>
      </c>
      <c r="W84" s="105"/>
    </row>
    <row r="85" spans="1:23" s="102" customFormat="1">
      <c r="A85" s="355"/>
      <c r="B85" s="115" t="s">
        <v>188</v>
      </c>
      <c r="C85" s="333" t="str">
        <f>VLOOKUP(B85,Tot_res!C:D,2,FALSE)</f>
        <v>Investigación y experimentación agraria</v>
      </c>
      <c r="D85" s="336">
        <f>Gasto_o_ing_total!V85*1000/Gasto_o_ing_total!V$479</f>
        <v>1.2344443725721537</v>
      </c>
      <c r="E85" s="336">
        <f>Gasto_o_ing_total!D85*1000/Gasto_o_ing_total!D$479</f>
        <v>1.2344443725721537</v>
      </c>
      <c r="F85" s="336">
        <f>Gasto_o_ing_total!E85*1000/Gasto_o_ing_total!E$479</f>
        <v>1.2344443725721537</v>
      </c>
      <c r="G85" s="336">
        <f>Gasto_o_ing_total!F85*1000/Gasto_o_ing_total!F$479</f>
        <v>1.2344443725721539</v>
      </c>
      <c r="H85" s="336">
        <f>Gasto_o_ing_total!G85*1000/Gasto_o_ing_total!G$479</f>
        <v>1.2344443725721537</v>
      </c>
      <c r="I85" s="336">
        <f>Gasto_o_ing_total!H85*1000/Gasto_o_ing_total!H$479</f>
        <v>1.2344443725721537</v>
      </c>
      <c r="J85" s="336">
        <f>Gasto_o_ing_total!I85*1000/Gasto_o_ing_total!I$479</f>
        <v>1.2344443725721537</v>
      </c>
      <c r="K85" s="336">
        <f>Gasto_o_ing_total!J85*1000/Gasto_o_ing_total!J$479</f>
        <v>1.2344443725721539</v>
      </c>
      <c r="L85" s="336">
        <f>Gasto_o_ing_total!K85*1000/Gasto_o_ing_total!K$479</f>
        <v>1.2344443725721539</v>
      </c>
      <c r="M85" s="336">
        <f>Gasto_o_ing_total!L85*1000/Gasto_o_ing_total!L$479</f>
        <v>1.2344443725721539</v>
      </c>
      <c r="N85" s="336">
        <f>Gasto_o_ing_total!M85*1000/Gasto_o_ing_total!M$479</f>
        <v>1.2344443725721539</v>
      </c>
      <c r="O85" s="336">
        <f>Gasto_o_ing_total!N85*1000/Gasto_o_ing_total!N$479</f>
        <v>1.2344443725721537</v>
      </c>
      <c r="P85" s="336">
        <f>Gasto_o_ing_total!O85*1000/Gasto_o_ing_total!O$479</f>
        <v>1.2344443725721537</v>
      </c>
      <c r="Q85" s="336">
        <f>Gasto_o_ing_total!P85*1000/Gasto_o_ing_total!P$479</f>
        <v>1.2344443725721539</v>
      </c>
      <c r="R85" s="336">
        <f>Gasto_o_ing_total!Q85*1000/Gasto_o_ing_total!Q$479</f>
        <v>1.2344443725721537</v>
      </c>
      <c r="S85" s="336">
        <f>Gasto_o_ing_total!R85*1000/Gasto_o_ing_total!R$479</f>
        <v>1.2344443725721537</v>
      </c>
      <c r="T85" s="336">
        <f>Gasto_o_ing_total!S85*1000/Gasto_o_ing_total!S$479</f>
        <v>1.2344443725721537</v>
      </c>
      <c r="U85" s="336">
        <f>Gasto_o_ing_total!T85*1000/Gasto_o_ing_total!T$479</f>
        <v>1.2344443725721539</v>
      </c>
      <c r="V85" s="336">
        <f>Gasto_o_ing_total!U85*1000/Gasto_o_ing_total!U$479</f>
        <v>1.2344443725721537</v>
      </c>
      <c r="W85" s="105"/>
    </row>
    <row r="86" spans="1:23" s="102" customFormat="1">
      <c r="A86" s="355"/>
      <c r="B86" s="115" t="s">
        <v>189</v>
      </c>
      <c r="C86" s="333" t="str">
        <f>VLOOKUP(B86,Tot_res!C:D,2,FALSE)</f>
        <v>Investigación oceanográfica y pesquera</v>
      </c>
      <c r="D86" s="336">
        <f>Gasto_o_ing_total!V86*1000/Gasto_o_ing_total!V$479</f>
        <v>1.2190366149397744</v>
      </c>
      <c r="E86" s="336">
        <f>Gasto_o_ing_total!D86*1000/Gasto_o_ing_total!D$479</f>
        <v>1.2190366149397742</v>
      </c>
      <c r="F86" s="336">
        <f>Gasto_o_ing_total!E86*1000/Gasto_o_ing_total!E$479</f>
        <v>1.2190366149397744</v>
      </c>
      <c r="G86" s="336">
        <f>Gasto_o_ing_total!F86*1000/Gasto_o_ing_total!F$479</f>
        <v>1.2190366149397744</v>
      </c>
      <c r="H86" s="336">
        <f>Gasto_o_ing_total!G86*1000/Gasto_o_ing_total!G$479</f>
        <v>1.2190366149397744</v>
      </c>
      <c r="I86" s="336">
        <f>Gasto_o_ing_total!H86*1000/Gasto_o_ing_total!H$479</f>
        <v>1.2190366149397744</v>
      </c>
      <c r="J86" s="336">
        <f>Gasto_o_ing_total!I86*1000/Gasto_o_ing_total!I$479</f>
        <v>1.2190366149397744</v>
      </c>
      <c r="K86" s="336">
        <f>Gasto_o_ing_total!J86*1000/Gasto_o_ing_total!J$479</f>
        <v>1.2190366149397744</v>
      </c>
      <c r="L86" s="336">
        <f>Gasto_o_ing_total!K86*1000/Gasto_o_ing_total!K$479</f>
        <v>1.2190366149397744</v>
      </c>
      <c r="M86" s="336">
        <f>Gasto_o_ing_total!L86*1000/Gasto_o_ing_total!L$479</f>
        <v>1.2190366149397744</v>
      </c>
      <c r="N86" s="336">
        <f>Gasto_o_ing_total!M86*1000/Gasto_o_ing_total!M$479</f>
        <v>1.2190366149397744</v>
      </c>
      <c r="O86" s="336">
        <f>Gasto_o_ing_total!N86*1000/Gasto_o_ing_total!N$479</f>
        <v>1.2190366149397744</v>
      </c>
      <c r="P86" s="336">
        <f>Gasto_o_ing_total!O86*1000/Gasto_o_ing_total!O$479</f>
        <v>1.2190366149397744</v>
      </c>
      <c r="Q86" s="336">
        <f>Gasto_o_ing_total!P86*1000/Gasto_o_ing_total!P$479</f>
        <v>1.2190366149397744</v>
      </c>
      <c r="R86" s="336">
        <f>Gasto_o_ing_total!Q86*1000/Gasto_o_ing_total!Q$479</f>
        <v>1.2190366149397742</v>
      </c>
      <c r="S86" s="336">
        <f>Gasto_o_ing_total!R86*1000/Gasto_o_ing_total!R$479</f>
        <v>1.2190366149397742</v>
      </c>
      <c r="T86" s="336">
        <f>Gasto_o_ing_total!S86*1000/Gasto_o_ing_total!S$479</f>
        <v>1.2190366149397744</v>
      </c>
      <c r="U86" s="336">
        <f>Gasto_o_ing_total!T86*1000/Gasto_o_ing_total!T$479</f>
        <v>1.2190366149397747</v>
      </c>
      <c r="V86" s="336">
        <f>Gasto_o_ing_total!U86*1000/Gasto_o_ing_total!U$479</f>
        <v>1.2190366149397744</v>
      </c>
      <c r="W86" s="105"/>
    </row>
    <row r="87" spans="1:23" s="102" customFormat="1">
      <c r="A87" s="355"/>
      <c r="B87" s="115" t="s">
        <v>190</v>
      </c>
      <c r="C87" s="333" t="str">
        <f>VLOOKUP(B87,Tot_res!C:D,2,FALSE)</f>
        <v>Investigación geológico-minera y medioambiental</v>
      </c>
      <c r="D87" s="336">
        <f>Gasto_o_ing_total!V87*1000/Gasto_o_ing_total!V$479</f>
        <v>0.50745725833910171</v>
      </c>
      <c r="E87" s="336">
        <f>Gasto_o_ing_total!D87*1000/Gasto_o_ing_total!D$479</f>
        <v>0.50745725833910149</v>
      </c>
      <c r="F87" s="336">
        <f>Gasto_o_ing_total!E87*1000/Gasto_o_ing_total!E$479</f>
        <v>0.50745725833910149</v>
      </c>
      <c r="G87" s="336">
        <f>Gasto_o_ing_total!F87*1000/Gasto_o_ing_total!F$479</f>
        <v>0.5074572583391016</v>
      </c>
      <c r="H87" s="336">
        <f>Gasto_o_ing_total!G87*1000/Gasto_o_ing_total!G$479</f>
        <v>0.50745725833910138</v>
      </c>
      <c r="I87" s="336">
        <f>Gasto_o_ing_total!H87*1000/Gasto_o_ing_total!H$479</f>
        <v>0.5074572583391016</v>
      </c>
      <c r="J87" s="336">
        <f>Gasto_o_ing_total!I87*1000/Gasto_o_ing_total!I$479</f>
        <v>0.5074572583391016</v>
      </c>
      <c r="K87" s="336">
        <f>Gasto_o_ing_total!J87*1000/Gasto_o_ing_total!J$479</f>
        <v>0.5074572583391016</v>
      </c>
      <c r="L87" s="336">
        <f>Gasto_o_ing_total!K87*1000/Gasto_o_ing_total!K$479</f>
        <v>0.5074572583391016</v>
      </c>
      <c r="M87" s="336">
        <f>Gasto_o_ing_total!L87*1000/Gasto_o_ing_total!L$479</f>
        <v>0.5074572583391016</v>
      </c>
      <c r="N87" s="336">
        <f>Gasto_o_ing_total!M87*1000/Gasto_o_ing_total!M$479</f>
        <v>0.5074572583391016</v>
      </c>
      <c r="O87" s="336">
        <f>Gasto_o_ing_total!N87*1000/Gasto_o_ing_total!N$479</f>
        <v>0.5074572583391016</v>
      </c>
      <c r="P87" s="336">
        <f>Gasto_o_ing_total!O87*1000/Gasto_o_ing_total!O$479</f>
        <v>0.50745725833910149</v>
      </c>
      <c r="Q87" s="336">
        <f>Gasto_o_ing_total!P87*1000/Gasto_o_ing_total!P$479</f>
        <v>0.50745725833910149</v>
      </c>
      <c r="R87" s="336">
        <f>Gasto_o_ing_total!Q87*1000/Gasto_o_ing_total!Q$479</f>
        <v>0.50745725833910149</v>
      </c>
      <c r="S87" s="336">
        <f>Gasto_o_ing_total!R87*1000/Gasto_o_ing_total!R$479</f>
        <v>0.5074572583391016</v>
      </c>
      <c r="T87" s="336">
        <f>Gasto_o_ing_total!S87*1000/Gasto_o_ing_total!S$479</f>
        <v>0.50745725833910149</v>
      </c>
      <c r="U87" s="336">
        <f>Gasto_o_ing_total!T87*1000/Gasto_o_ing_total!T$479</f>
        <v>0.5074572583391016</v>
      </c>
      <c r="V87" s="336">
        <f>Gasto_o_ing_total!U87*1000/Gasto_o_ing_total!U$479</f>
        <v>0.5074572583391016</v>
      </c>
      <c r="W87" s="105"/>
    </row>
    <row r="88" spans="1:23" s="102" customFormat="1">
      <c r="A88" s="355"/>
      <c r="B88" s="115" t="s">
        <v>192</v>
      </c>
      <c r="C88" s="333" t="str">
        <f>VLOOKUP(B88,Tot_res!C:D,2,FALSE)</f>
        <v>Investigación energética, medioambiental y tecnológica</v>
      </c>
      <c r="D88" s="336">
        <f>Gasto_o_ing_total!V88*1000/Gasto_o_ing_total!V$479</f>
        <v>1.9183738680273945</v>
      </c>
      <c r="E88" s="336">
        <f>Gasto_o_ing_total!D88*1000/Gasto_o_ing_total!D$479</f>
        <v>1.9183738680273941</v>
      </c>
      <c r="F88" s="336">
        <f>Gasto_o_ing_total!E88*1000/Gasto_o_ing_total!E$479</f>
        <v>1.9183738680273938</v>
      </c>
      <c r="G88" s="336">
        <f>Gasto_o_ing_total!F88*1000/Gasto_o_ing_total!F$479</f>
        <v>1.9183738680273943</v>
      </c>
      <c r="H88" s="336">
        <f>Gasto_o_ing_total!G88*1000/Gasto_o_ing_total!G$479</f>
        <v>1.9183738680273938</v>
      </c>
      <c r="I88" s="336">
        <f>Gasto_o_ing_total!H88*1000/Gasto_o_ing_total!H$479</f>
        <v>1.9183738680273941</v>
      </c>
      <c r="J88" s="336">
        <f>Gasto_o_ing_total!I88*1000/Gasto_o_ing_total!I$479</f>
        <v>1.9183738680273943</v>
      </c>
      <c r="K88" s="336">
        <f>Gasto_o_ing_total!J88*1000/Gasto_o_ing_total!J$479</f>
        <v>1.9183738680273943</v>
      </c>
      <c r="L88" s="336">
        <f>Gasto_o_ing_total!K88*1000/Gasto_o_ing_total!K$479</f>
        <v>1.9183738680273943</v>
      </c>
      <c r="M88" s="336">
        <f>Gasto_o_ing_total!L88*1000/Gasto_o_ing_total!L$479</f>
        <v>1.9183738680273941</v>
      </c>
      <c r="N88" s="336">
        <f>Gasto_o_ing_total!M88*1000/Gasto_o_ing_total!M$479</f>
        <v>1.9183738680273945</v>
      </c>
      <c r="O88" s="336">
        <f>Gasto_o_ing_total!N88*1000/Gasto_o_ing_total!N$479</f>
        <v>1.9183738680273943</v>
      </c>
      <c r="P88" s="336">
        <f>Gasto_o_ing_total!O88*1000/Gasto_o_ing_total!O$479</f>
        <v>1.9183738680273938</v>
      </c>
      <c r="Q88" s="336">
        <f>Gasto_o_ing_total!P88*1000/Gasto_o_ing_total!P$479</f>
        <v>1.9183738680273943</v>
      </c>
      <c r="R88" s="336">
        <f>Gasto_o_ing_total!Q88*1000/Gasto_o_ing_total!Q$479</f>
        <v>1.9183738680273941</v>
      </c>
      <c r="S88" s="336">
        <f>Gasto_o_ing_total!R88*1000/Gasto_o_ing_total!R$479</f>
        <v>1.9183738680273945</v>
      </c>
      <c r="T88" s="336">
        <f>Gasto_o_ing_total!S88*1000/Gasto_o_ing_total!S$479</f>
        <v>1.9183738680273943</v>
      </c>
      <c r="U88" s="336">
        <f>Gasto_o_ing_total!T88*1000/Gasto_o_ing_total!T$479</f>
        <v>1.9183738680273945</v>
      </c>
      <c r="V88" s="336">
        <f>Gasto_o_ing_total!U88*1000/Gasto_o_ing_total!U$479</f>
        <v>1.9183738680273945</v>
      </c>
      <c r="W88" s="105"/>
    </row>
    <row r="89" spans="1:23" s="102" customFormat="1">
      <c r="A89" s="355"/>
      <c r="B89" s="115" t="s">
        <v>193</v>
      </c>
      <c r="C89" s="333" t="str">
        <f>VLOOKUP(B89,Tot_res!C:D,2,FALSE)</f>
        <v>Desarrollo y aplicación de la información geográfica española</v>
      </c>
      <c r="D89" s="336">
        <f>Gasto_o_ing_total!V89*1000/Gasto_o_ing_total!V$479</f>
        <v>0.61507866891987362</v>
      </c>
      <c r="E89" s="336">
        <f>Gasto_o_ing_total!D89*1000/Gasto_o_ing_total!D$479</f>
        <v>0.61507866891987362</v>
      </c>
      <c r="F89" s="336">
        <f>Gasto_o_ing_total!E89*1000/Gasto_o_ing_total!E$479</f>
        <v>0.61507866891987351</v>
      </c>
      <c r="G89" s="336">
        <f>Gasto_o_ing_total!F89*1000/Gasto_o_ing_total!F$479</f>
        <v>0.61507866891987362</v>
      </c>
      <c r="H89" s="336">
        <f>Gasto_o_ing_total!G89*1000/Gasto_o_ing_total!G$479</f>
        <v>0.61507866891987351</v>
      </c>
      <c r="I89" s="336">
        <f>Gasto_o_ing_total!H89*1000/Gasto_o_ing_total!H$479</f>
        <v>0.61507866891987373</v>
      </c>
      <c r="J89" s="336">
        <f>Gasto_o_ing_total!I89*1000/Gasto_o_ing_total!I$479</f>
        <v>0.61507866891987362</v>
      </c>
      <c r="K89" s="336">
        <f>Gasto_o_ing_total!J89*1000/Gasto_o_ing_total!J$479</f>
        <v>0.61507866891987362</v>
      </c>
      <c r="L89" s="336">
        <f>Gasto_o_ing_total!K89*1000/Gasto_o_ing_total!K$479</f>
        <v>0.61507866891987362</v>
      </c>
      <c r="M89" s="336">
        <f>Gasto_o_ing_total!L89*1000/Gasto_o_ing_total!L$479</f>
        <v>0.61507866891987351</v>
      </c>
      <c r="N89" s="336">
        <f>Gasto_o_ing_total!M89*1000/Gasto_o_ing_total!M$479</f>
        <v>0.61507866891987373</v>
      </c>
      <c r="O89" s="336">
        <f>Gasto_o_ing_total!N89*1000/Gasto_o_ing_total!N$479</f>
        <v>0.61507866891987362</v>
      </c>
      <c r="P89" s="336">
        <f>Gasto_o_ing_total!O89*1000/Gasto_o_ing_total!O$479</f>
        <v>0.61507866891987362</v>
      </c>
      <c r="Q89" s="336">
        <f>Gasto_o_ing_total!P89*1000/Gasto_o_ing_total!P$479</f>
        <v>0.61507866891987362</v>
      </c>
      <c r="R89" s="336">
        <f>Gasto_o_ing_total!Q89*1000/Gasto_o_ing_total!Q$479</f>
        <v>0.61507866891987351</v>
      </c>
      <c r="S89" s="336">
        <f>Gasto_o_ing_total!R89*1000/Gasto_o_ing_total!R$479</f>
        <v>0.61507866891987373</v>
      </c>
      <c r="T89" s="336">
        <f>Gasto_o_ing_total!S89*1000/Gasto_o_ing_total!S$479</f>
        <v>0.61507866891987362</v>
      </c>
      <c r="U89" s="336">
        <f>Gasto_o_ing_total!T89*1000/Gasto_o_ing_total!T$479</f>
        <v>0.61507866891987362</v>
      </c>
      <c r="V89" s="336">
        <f>Gasto_o_ing_total!U89*1000/Gasto_o_ing_total!U$479</f>
        <v>0.61507866891987362</v>
      </c>
      <c r="W89" s="105"/>
    </row>
    <row r="90" spans="1:23" s="102" customFormat="1">
      <c r="A90" s="355"/>
      <c r="B90" s="115" t="s">
        <v>194</v>
      </c>
      <c r="C90" s="333" t="str">
        <f>VLOOKUP(B90,Tot_res!C:D,2,FALSE)</f>
        <v>Elaboración y difusión estadística</v>
      </c>
      <c r="D90" s="336">
        <f>Gasto_o_ing_total!V90*1000/Gasto_o_ing_total!V$479</f>
        <v>3.2250775971542152</v>
      </c>
      <c r="E90" s="336">
        <f>Gasto_o_ing_total!D90*1000/Gasto_o_ing_total!D$479</f>
        <v>3.2250775971542156</v>
      </c>
      <c r="F90" s="336">
        <f>Gasto_o_ing_total!E90*1000/Gasto_o_ing_total!E$479</f>
        <v>3.2250775971542165</v>
      </c>
      <c r="G90" s="336">
        <f>Gasto_o_ing_total!F90*1000/Gasto_o_ing_total!F$479</f>
        <v>3.225077597154216</v>
      </c>
      <c r="H90" s="336">
        <f>Gasto_o_ing_total!G90*1000/Gasto_o_ing_total!G$479</f>
        <v>3.225077597154216</v>
      </c>
      <c r="I90" s="336">
        <f>Gasto_o_ing_total!H90*1000/Gasto_o_ing_total!H$479</f>
        <v>3.225077597154216</v>
      </c>
      <c r="J90" s="336">
        <f>Gasto_o_ing_total!I90*1000/Gasto_o_ing_total!I$479</f>
        <v>3.225077597154216</v>
      </c>
      <c r="K90" s="336">
        <f>Gasto_o_ing_total!J90*1000/Gasto_o_ing_total!J$479</f>
        <v>3.225077597154216</v>
      </c>
      <c r="L90" s="336">
        <f>Gasto_o_ing_total!K90*1000/Gasto_o_ing_total!K$479</f>
        <v>3.2250775971542165</v>
      </c>
      <c r="M90" s="336">
        <f>Gasto_o_ing_total!L90*1000/Gasto_o_ing_total!L$479</f>
        <v>3.225077597154216</v>
      </c>
      <c r="N90" s="336">
        <f>Gasto_o_ing_total!M90*1000/Gasto_o_ing_total!M$479</f>
        <v>3.225077597154216</v>
      </c>
      <c r="O90" s="336">
        <f>Gasto_o_ing_total!N90*1000/Gasto_o_ing_total!N$479</f>
        <v>3.2250775971542156</v>
      </c>
      <c r="P90" s="336">
        <f>Gasto_o_ing_total!O90*1000/Gasto_o_ing_total!O$479</f>
        <v>3.2250775971542156</v>
      </c>
      <c r="Q90" s="336">
        <f>Gasto_o_ing_total!P90*1000/Gasto_o_ing_total!P$479</f>
        <v>3.2250775971542156</v>
      </c>
      <c r="R90" s="336">
        <f>Gasto_o_ing_total!Q90*1000/Gasto_o_ing_total!Q$479</f>
        <v>3.2250775971542156</v>
      </c>
      <c r="S90" s="336">
        <f>Gasto_o_ing_total!R90*1000/Gasto_o_ing_total!R$479</f>
        <v>3.2250775971542165</v>
      </c>
      <c r="T90" s="336">
        <f>Gasto_o_ing_total!S90*1000/Gasto_o_ing_total!S$479</f>
        <v>3.225077597154216</v>
      </c>
      <c r="U90" s="336">
        <f>Gasto_o_ing_total!T90*1000/Gasto_o_ing_total!T$479</f>
        <v>3.2250775971542165</v>
      </c>
      <c r="V90" s="336">
        <f>Gasto_o_ing_total!U90*1000/Gasto_o_ing_total!U$479</f>
        <v>3.225077597154216</v>
      </c>
      <c r="W90" s="105"/>
    </row>
    <row r="91" spans="1:23" s="102" customFormat="1">
      <c r="A91" s="356"/>
      <c r="B91" s="115"/>
      <c r="C91" s="129"/>
      <c r="D91" s="110"/>
      <c r="E91" s="110"/>
      <c r="F91" s="110"/>
      <c r="G91" s="110"/>
      <c r="H91" s="110"/>
      <c r="I91" s="110"/>
      <c r="J91" s="110"/>
      <c r="K91" s="110"/>
      <c r="L91" s="110"/>
      <c r="M91" s="110"/>
      <c r="N91" s="110"/>
      <c r="O91" s="110"/>
      <c r="P91" s="110"/>
      <c r="Q91" s="110"/>
      <c r="R91" s="110"/>
      <c r="S91" s="110"/>
      <c r="T91" s="110"/>
      <c r="U91" s="110"/>
      <c r="V91" s="110"/>
      <c r="W91" s="114"/>
    </row>
    <row r="92" spans="1:23" s="102" customFormat="1">
      <c r="A92" s="356"/>
      <c r="B92" s="115"/>
      <c r="C92" s="128" t="s">
        <v>21</v>
      </c>
      <c r="D92" s="113">
        <f>Gasto_o_ing_total!V92*1000/Gasto_o_ing_total!V$479</f>
        <v>12.000337025358714</v>
      </c>
      <c r="E92" s="113">
        <f>Gasto_o_ing_total!D92*1000/Gasto_o_ing_total!D$479</f>
        <v>12.000337025358716</v>
      </c>
      <c r="F92" s="113">
        <f>Gasto_o_ing_total!E92*1000/Gasto_o_ing_total!E$479</f>
        <v>12.000337025358716</v>
      </c>
      <c r="G92" s="113">
        <f>Gasto_o_ing_total!F92*1000/Gasto_o_ing_total!F$479</f>
        <v>12.000337025358718</v>
      </c>
      <c r="H92" s="113">
        <f>Gasto_o_ing_total!G92*1000/Gasto_o_ing_total!G$479</f>
        <v>12.000337025358718</v>
      </c>
      <c r="I92" s="113">
        <f>Gasto_o_ing_total!H92*1000/Gasto_o_ing_total!H$479</f>
        <v>12.000337025358716</v>
      </c>
      <c r="J92" s="113">
        <f>Gasto_o_ing_total!I92*1000/Gasto_o_ing_total!I$479</f>
        <v>12.000337025358716</v>
      </c>
      <c r="K92" s="113">
        <f>Gasto_o_ing_total!J92*1000/Gasto_o_ing_total!J$479</f>
        <v>12.000337025358718</v>
      </c>
      <c r="L92" s="113">
        <f>Gasto_o_ing_total!K92*1000/Gasto_o_ing_total!K$479</f>
        <v>12.000337025358718</v>
      </c>
      <c r="M92" s="113">
        <f>Gasto_o_ing_total!L92*1000/Gasto_o_ing_total!L$479</f>
        <v>12.00033702535872</v>
      </c>
      <c r="N92" s="113">
        <f>Gasto_o_ing_total!M92*1000/Gasto_o_ing_total!M$479</f>
        <v>12.000337025358718</v>
      </c>
      <c r="O92" s="113">
        <f>Gasto_o_ing_total!N92*1000/Gasto_o_ing_total!N$479</f>
        <v>12.000337025358716</v>
      </c>
      <c r="P92" s="113">
        <f>Gasto_o_ing_total!O92*1000/Gasto_o_ing_total!O$479</f>
        <v>12.000337025358716</v>
      </c>
      <c r="Q92" s="113">
        <f>Gasto_o_ing_total!P92*1000/Gasto_o_ing_total!P$479</f>
        <v>12.000337025358716</v>
      </c>
      <c r="R92" s="113">
        <f>Gasto_o_ing_total!Q92*1000/Gasto_o_ing_total!Q$479</f>
        <v>12.000337025358716</v>
      </c>
      <c r="S92" s="113">
        <f>Gasto_o_ing_total!R92*1000/Gasto_o_ing_total!R$479</f>
        <v>12.000337025358714</v>
      </c>
      <c r="T92" s="113">
        <f>Gasto_o_ing_total!S92*1000/Gasto_o_ing_total!S$479</f>
        <v>12.000337025358716</v>
      </c>
      <c r="U92" s="113">
        <f>Gasto_o_ing_total!T92*1000/Gasto_o_ing_total!T$479</f>
        <v>12.000337025358718</v>
      </c>
      <c r="V92" s="113">
        <f>Gasto_o_ing_total!U92*1000/Gasto_o_ing_total!U$479</f>
        <v>12.000337025358716</v>
      </c>
      <c r="W92" s="105"/>
    </row>
    <row r="93" spans="1:23" s="102" customFormat="1">
      <c r="A93" s="355"/>
      <c r="B93" s="115" t="s">
        <v>196</v>
      </c>
      <c r="C93" s="333" t="str">
        <f>VLOOKUP(B93,Tot_res!C:D,2,FALSE)</f>
        <v>Dirección, control y gestión de seguros</v>
      </c>
      <c r="D93" s="336">
        <f>Gasto_o_ing_total!V93*1000/Gasto_o_ing_total!V$479</f>
        <v>0.24524962576592804</v>
      </c>
      <c r="E93" s="336">
        <f>Gasto_o_ing_total!D93*1000/Gasto_o_ing_total!D$479</f>
        <v>0.24524962576592801</v>
      </c>
      <c r="F93" s="336">
        <f>Gasto_o_ing_total!E93*1000/Gasto_o_ing_total!E$479</f>
        <v>0.24524962576592799</v>
      </c>
      <c r="G93" s="336">
        <f>Gasto_o_ing_total!F93*1000/Gasto_o_ing_total!F$479</f>
        <v>0.24524962576592804</v>
      </c>
      <c r="H93" s="336">
        <f>Gasto_o_ing_total!G93*1000/Gasto_o_ing_total!G$479</f>
        <v>0.24524962576592801</v>
      </c>
      <c r="I93" s="336">
        <f>Gasto_o_ing_total!H93*1000/Gasto_o_ing_total!H$479</f>
        <v>0.24524962576592801</v>
      </c>
      <c r="J93" s="336">
        <f>Gasto_o_ing_total!I93*1000/Gasto_o_ing_total!I$479</f>
        <v>0.24524962576592799</v>
      </c>
      <c r="K93" s="336">
        <f>Gasto_o_ing_total!J93*1000/Gasto_o_ing_total!J$479</f>
        <v>0.24524962576592804</v>
      </c>
      <c r="L93" s="336">
        <f>Gasto_o_ing_total!K93*1000/Gasto_o_ing_total!K$479</f>
        <v>0.24524962576592804</v>
      </c>
      <c r="M93" s="336">
        <f>Gasto_o_ing_total!L93*1000/Gasto_o_ing_total!L$479</f>
        <v>0.24524962576592799</v>
      </c>
      <c r="N93" s="336">
        <f>Gasto_o_ing_total!M93*1000/Gasto_o_ing_total!M$479</f>
        <v>0.24524962576592801</v>
      </c>
      <c r="O93" s="336">
        <f>Gasto_o_ing_total!N93*1000/Gasto_o_ing_total!N$479</f>
        <v>0.24524962576592801</v>
      </c>
      <c r="P93" s="336">
        <f>Gasto_o_ing_total!O93*1000/Gasto_o_ing_total!O$479</f>
        <v>0.24524962576592804</v>
      </c>
      <c r="Q93" s="336">
        <f>Gasto_o_ing_total!P93*1000/Gasto_o_ing_total!P$479</f>
        <v>0.24524962576592801</v>
      </c>
      <c r="R93" s="336">
        <f>Gasto_o_ing_total!Q93*1000/Gasto_o_ing_total!Q$479</f>
        <v>0.24524962576592801</v>
      </c>
      <c r="S93" s="336">
        <f>Gasto_o_ing_total!R93*1000/Gasto_o_ing_total!R$479</f>
        <v>0.24524962576592801</v>
      </c>
      <c r="T93" s="336">
        <f>Gasto_o_ing_total!S93*1000/Gasto_o_ing_total!S$479</f>
        <v>0.24524962576592801</v>
      </c>
      <c r="U93" s="336">
        <f>Gasto_o_ing_total!T93*1000/Gasto_o_ing_total!T$479</f>
        <v>0.24524962576592801</v>
      </c>
      <c r="V93" s="336">
        <f>Gasto_o_ing_total!U93*1000/Gasto_o_ing_total!U$479</f>
        <v>0.24524962576592801</v>
      </c>
      <c r="W93" s="105"/>
    </row>
    <row r="94" spans="1:23" s="102" customFormat="1">
      <c r="A94" s="355"/>
      <c r="B94" s="115" t="s">
        <v>198</v>
      </c>
      <c r="C94" s="333" t="str">
        <f>VLOOKUP(B94,Tot_res!C:D,2,FALSE)</f>
        <v>Regulación contable y de auditorias</v>
      </c>
      <c r="D94" s="336">
        <f>Gasto_o_ing_total!V94*1000/Gasto_o_ing_total!V$479</f>
        <v>0.10907697334911561</v>
      </c>
      <c r="E94" s="336">
        <f>Gasto_o_ing_total!D94*1000/Gasto_o_ing_total!D$479</f>
        <v>0.10907697334911561</v>
      </c>
      <c r="F94" s="336">
        <f>Gasto_o_ing_total!E94*1000/Gasto_o_ing_total!E$479</f>
        <v>0.10907697334911559</v>
      </c>
      <c r="G94" s="336">
        <f>Gasto_o_ing_total!F94*1000/Gasto_o_ing_total!F$479</f>
        <v>0.10907697334911561</v>
      </c>
      <c r="H94" s="336">
        <f>Gasto_o_ing_total!G94*1000/Gasto_o_ing_total!G$479</f>
        <v>0.10907697334911559</v>
      </c>
      <c r="I94" s="336">
        <f>Gasto_o_ing_total!H94*1000/Gasto_o_ing_total!H$479</f>
        <v>0.10907697334911561</v>
      </c>
      <c r="J94" s="336">
        <f>Gasto_o_ing_total!I94*1000/Gasto_o_ing_total!I$479</f>
        <v>0.10907697334911562</v>
      </c>
      <c r="K94" s="336">
        <f>Gasto_o_ing_total!J94*1000/Gasto_o_ing_total!J$479</f>
        <v>0.10907697334911561</v>
      </c>
      <c r="L94" s="336">
        <f>Gasto_o_ing_total!K94*1000/Gasto_o_ing_total!K$479</f>
        <v>0.10907697334911561</v>
      </c>
      <c r="M94" s="336">
        <f>Gasto_o_ing_total!L94*1000/Gasto_o_ing_total!L$479</f>
        <v>0.10907697334911559</v>
      </c>
      <c r="N94" s="336">
        <f>Gasto_o_ing_total!M94*1000/Gasto_o_ing_total!M$479</f>
        <v>0.10907697334911561</v>
      </c>
      <c r="O94" s="336">
        <f>Gasto_o_ing_total!N94*1000/Gasto_o_ing_total!N$479</f>
        <v>0.10907697334911561</v>
      </c>
      <c r="P94" s="336">
        <f>Gasto_o_ing_total!O94*1000/Gasto_o_ing_total!O$479</f>
        <v>0.10907697334911559</v>
      </c>
      <c r="Q94" s="336">
        <f>Gasto_o_ing_total!P94*1000/Gasto_o_ing_total!P$479</f>
        <v>0.10907697334911562</v>
      </c>
      <c r="R94" s="336">
        <f>Gasto_o_ing_total!Q94*1000/Gasto_o_ing_total!Q$479</f>
        <v>0.10907697334911559</v>
      </c>
      <c r="S94" s="336">
        <f>Gasto_o_ing_total!R94*1000/Gasto_o_ing_total!R$479</f>
        <v>0.10907697334911561</v>
      </c>
      <c r="T94" s="336">
        <f>Gasto_o_ing_total!S94*1000/Gasto_o_ing_total!S$479</f>
        <v>0.10907697334911561</v>
      </c>
      <c r="U94" s="336">
        <f>Gasto_o_ing_total!T94*1000/Gasto_o_ing_total!T$479</f>
        <v>0.10907697334911563</v>
      </c>
      <c r="V94" s="336">
        <f>Gasto_o_ing_total!U94*1000/Gasto_o_ing_total!U$479</f>
        <v>0.10907697334911561</v>
      </c>
      <c r="W94" s="105"/>
    </row>
    <row r="95" spans="1:23" s="102" customFormat="1">
      <c r="A95" s="355"/>
      <c r="B95" s="115" t="s">
        <v>481</v>
      </c>
      <c r="C95" s="333" t="str">
        <f>VLOOKUP(B95,Tot_res!C:D,2,FALSE)</f>
        <v>Regulación del juego</v>
      </c>
      <c r="D95" s="336">
        <f>Gasto_o_ing_total!V95*1000/Gasto_o_ing_total!V$479</f>
        <v>0.13083864171849527</v>
      </c>
      <c r="E95" s="336">
        <f>Gasto_o_ing_total!D95*1000/Gasto_o_ing_total!D$479</f>
        <v>0.1308386417184953</v>
      </c>
      <c r="F95" s="336">
        <f>Gasto_o_ing_total!E95*1000/Gasto_o_ing_total!E$479</f>
        <v>0.1308386417184953</v>
      </c>
      <c r="G95" s="336">
        <f>Gasto_o_ing_total!F95*1000/Gasto_o_ing_total!F$479</f>
        <v>0.1308386417184953</v>
      </c>
      <c r="H95" s="336">
        <f>Gasto_o_ing_total!G95*1000/Gasto_o_ing_total!G$479</f>
        <v>0.1308386417184953</v>
      </c>
      <c r="I95" s="336">
        <f>Gasto_o_ing_total!H95*1000/Gasto_o_ing_total!H$479</f>
        <v>0.1308386417184953</v>
      </c>
      <c r="J95" s="336">
        <f>Gasto_o_ing_total!I95*1000/Gasto_o_ing_total!I$479</f>
        <v>0.1308386417184953</v>
      </c>
      <c r="K95" s="336">
        <f>Gasto_o_ing_total!J95*1000/Gasto_o_ing_total!J$479</f>
        <v>0.1308386417184953</v>
      </c>
      <c r="L95" s="336">
        <f>Gasto_o_ing_total!K95*1000/Gasto_o_ing_total!K$479</f>
        <v>0.13083864171849532</v>
      </c>
      <c r="M95" s="336">
        <f>Gasto_o_ing_total!L95*1000/Gasto_o_ing_total!L$479</f>
        <v>0.1308386417184953</v>
      </c>
      <c r="N95" s="336">
        <f>Gasto_o_ing_total!M95*1000/Gasto_o_ing_total!M$479</f>
        <v>0.1308386417184953</v>
      </c>
      <c r="O95" s="336">
        <f>Gasto_o_ing_total!N95*1000/Gasto_o_ing_total!N$479</f>
        <v>0.1308386417184953</v>
      </c>
      <c r="P95" s="336">
        <f>Gasto_o_ing_total!O95*1000/Gasto_o_ing_total!O$479</f>
        <v>0.1308386417184953</v>
      </c>
      <c r="Q95" s="336">
        <f>Gasto_o_ing_total!P95*1000/Gasto_o_ing_total!P$479</f>
        <v>0.1308386417184953</v>
      </c>
      <c r="R95" s="336">
        <f>Gasto_o_ing_total!Q95*1000/Gasto_o_ing_total!Q$479</f>
        <v>0.13083864171849527</v>
      </c>
      <c r="S95" s="336">
        <f>Gasto_o_ing_total!R95*1000/Gasto_o_ing_total!R$479</f>
        <v>0.1308386417184953</v>
      </c>
      <c r="T95" s="336">
        <f>Gasto_o_ing_total!S95*1000/Gasto_o_ing_total!S$479</f>
        <v>0.13083864171849532</v>
      </c>
      <c r="U95" s="336">
        <f>Gasto_o_ing_total!T95*1000/Gasto_o_ing_total!T$479</f>
        <v>0.1308386417184953</v>
      </c>
      <c r="V95" s="336">
        <f>Gasto_o_ing_total!U95*1000/Gasto_o_ing_total!U$479</f>
        <v>0.1308386417184953</v>
      </c>
      <c r="W95" s="105"/>
    </row>
    <row r="96" spans="1:23" s="102" customFormat="1">
      <c r="A96" s="355"/>
      <c r="B96" s="115" t="s">
        <v>632</v>
      </c>
      <c r="C96" s="333" t="str">
        <f>VLOOKUP(B96,Tot_res!C:D,2,FALSE)</f>
        <v>Comisión Nacional de la Competencia</v>
      </c>
      <c r="D96" s="336">
        <f>Gasto_o_ing_total!V96*1000/Gasto_o_ing_total!V$479</f>
        <v>0.24844133175658259</v>
      </c>
      <c r="E96" s="336">
        <f>Gasto_o_ing_total!D96*1000/Gasto_o_ing_total!D$479</f>
        <v>0.24844133175658262</v>
      </c>
      <c r="F96" s="336">
        <f>Gasto_o_ing_total!E96*1000/Gasto_o_ing_total!E$479</f>
        <v>0.24844133175658265</v>
      </c>
      <c r="G96" s="336">
        <f>Gasto_o_ing_total!F96*1000/Gasto_o_ing_total!F$479</f>
        <v>0.24844133175658262</v>
      </c>
      <c r="H96" s="336">
        <f>Gasto_o_ing_total!G96*1000/Gasto_o_ing_total!G$479</f>
        <v>0.24844133175658259</v>
      </c>
      <c r="I96" s="336">
        <f>Gasto_o_ing_total!H96*1000/Gasto_o_ing_total!H$479</f>
        <v>0.24844133175658262</v>
      </c>
      <c r="J96" s="336">
        <f>Gasto_o_ing_total!I96*1000/Gasto_o_ing_total!I$479</f>
        <v>0.24844133175658256</v>
      </c>
      <c r="K96" s="336">
        <f>Gasto_o_ing_total!J96*1000/Gasto_o_ing_total!J$479</f>
        <v>0.24844133175658262</v>
      </c>
      <c r="L96" s="336">
        <f>Gasto_o_ing_total!K96*1000/Gasto_o_ing_total!K$479</f>
        <v>0.24844133175658265</v>
      </c>
      <c r="M96" s="336">
        <f>Gasto_o_ing_total!L96*1000/Gasto_o_ing_total!L$479</f>
        <v>0.24844133175658262</v>
      </c>
      <c r="N96" s="336">
        <f>Gasto_o_ing_total!M96*1000/Gasto_o_ing_total!M$479</f>
        <v>0.24844133175658265</v>
      </c>
      <c r="O96" s="336">
        <f>Gasto_o_ing_total!N96*1000/Gasto_o_ing_total!N$479</f>
        <v>0.24844133175658259</v>
      </c>
      <c r="P96" s="336">
        <f>Gasto_o_ing_total!O96*1000/Gasto_o_ing_total!O$479</f>
        <v>0.24844133175658262</v>
      </c>
      <c r="Q96" s="336">
        <f>Gasto_o_ing_total!P96*1000/Gasto_o_ing_total!P$479</f>
        <v>0.24844133175658265</v>
      </c>
      <c r="R96" s="336">
        <f>Gasto_o_ing_total!Q96*1000/Gasto_o_ing_total!Q$479</f>
        <v>0.24844133175658259</v>
      </c>
      <c r="S96" s="336">
        <f>Gasto_o_ing_total!R96*1000/Gasto_o_ing_total!R$479</f>
        <v>0.24844133175658259</v>
      </c>
      <c r="T96" s="336">
        <f>Gasto_o_ing_total!S96*1000/Gasto_o_ing_total!S$479</f>
        <v>0.24844133175658259</v>
      </c>
      <c r="U96" s="336">
        <f>Gasto_o_ing_total!T96*1000/Gasto_o_ing_total!T$479</f>
        <v>0.24844133175658262</v>
      </c>
      <c r="V96" s="336">
        <f>Gasto_o_ing_total!U96*1000/Gasto_o_ing_total!U$479</f>
        <v>0.24844133175658262</v>
      </c>
      <c r="W96" s="105"/>
    </row>
    <row r="97" spans="1:23" s="102" customFormat="1">
      <c r="A97" s="355"/>
      <c r="B97" s="115" t="s">
        <v>199</v>
      </c>
      <c r="C97" s="333" t="str">
        <f>VLOOKUP(B97,Tot_res!C:D,2,FALSE)</f>
        <v>Comisión Nacional del Mercado de las Telecomunicaciones</v>
      </c>
      <c r="D97" s="336">
        <f>Gasto_o_ing_total!V97*1000/Gasto_o_ing_total!V$479</f>
        <v>0.32957058788774463</v>
      </c>
      <c r="E97" s="336">
        <f>Gasto_o_ing_total!D97*1000/Gasto_o_ing_total!D$479</f>
        <v>0.32957058788774457</v>
      </c>
      <c r="F97" s="336">
        <f>Gasto_o_ing_total!E97*1000/Gasto_o_ing_total!E$479</f>
        <v>0.32957058788774457</v>
      </c>
      <c r="G97" s="336">
        <f>Gasto_o_ing_total!F97*1000/Gasto_o_ing_total!F$479</f>
        <v>0.32957058788774457</v>
      </c>
      <c r="H97" s="336">
        <f>Gasto_o_ing_total!G97*1000/Gasto_o_ing_total!G$479</f>
        <v>0.32957058788774451</v>
      </c>
      <c r="I97" s="336">
        <f>Gasto_o_ing_total!H97*1000/Gasto_o_ing_total!H$479</f>
        <v>0.32957058788774457</v>
      </c>
      <c r="J97" s="336">
        <f>Gasto_o_ing_total!I97*1000/Gasto_o_ing_total!I$479</f>
        <v>0.32957058788774457</v>
      </c>
      <c r="K97" s="336">
        <f>Gasto_o_ing_total!J97*1000/Gasto_o_ing_total!J$479</f>
        <v>0.32957058788774457</v>
      </c>
      <c r="L97" s="336">
        <f>Gasto_o_ing_total!K97*1000/Gasto_o_ing_total!K$479</f>
        <v>0.32957058788774457</v>
      </c>
      <c r="M97" s="336">
        <f>Gasto_o_ing_total!L97*1000/Gasto_o_ing_total!L$479</f>
        <v>0.32957058788774457</v>
      </c>
      <c r="N97" s="336">
        <f>Gasto_o_ing_total!M97*1000/Gasto_o_ing_total!M$479</f>
        <v>0.32957058788774463</v>
      </c>
      <c r="O97" s="336">
        <f>Gasto_o_ing_total!N97*1000/Gasto_o_ing_total!N$479</f>
        <v>0.32957058788774457</v>
      </c>
      <c r="P97" s="336">
        <f>Gasto_o_ing_total!O97*1000/Gasto_o_ing_total!O$479</f>
        <v>0.32957058788774457</v>
      </c>
      <c r="Q97" s="336">
        <f>Gasto_o_ing_total!P97*1000/Gasto_o_ing_total!P$479</f>
        <v>0.32957058788774463</v>
      </c>
      <c r="R97" s="336">
        <f>Gasto_o_ing_total!Q97*1000/Gasto_o_ing_total!Q$479</f>
        <v>0.32957058788774451</v>
      </c>
      <c r="S97" s="336">
        <f>Gasto_o_ing_total!R97*1000/Gasto_o_ing_total!R$479</f>
        <v>0.32957058788774457</v>
      </c>
      <c r="T97" s="336">
        <f>Gasto_o_ing_total!S97*1000/Gasto_o_ing_total!S$479</f>
        <v>0.32957058788774457</v>
      </c>
      <c r="U97" s="336">
        <f>Gasto_o_ing_total!T97*1000/Gasto_o_ing_total!T$479</f>
        <v>0.32957058788774457</v>
      </c>
      <c r="V97" s="336">
        <f>Gasto_o_ing_total!U97*1000/Gasto_o_ing_total!U$479</f>
        <v>0.32957058788774457</v>
      </c>
      <c r="W97" s="105"/>
    </row>
    <row r="98" spans="1:23" s="102" customFormat="1">
      <c r="A98" s="355"/>
      <c r="B98" s="115" t="s">
        <v>201</v>
      </c>
      <c r="C98" s="333" t="str">
        <f>VLOOKUP(B98,Tot_res!C:D,2,FALSE)</f>
        <v>Comisión Nacional de Energía</v>
      </c>
      <c r="D98" s="336">
        <f>Gasto_o_ing_total!V98*1000/Gasto_o_ing_total!V$479</f>
        <v>0.49536126063837094</v>
      </c>
      <c r="E98" s="336">
        <f>Gasto_o_ing_total!D98*1000/Gasto_o_ing_total!D$479</f>
        <v>0.49536126063837099</v>
      </c>
      <c r="F98" s="336">
        <f>Gasto_o_ing_total!E98*1000/Gasto_o_ing_total!E$479</f>
        <v>0.49536126063837099</v>
      </c>
      <c r="G98" s="336">
        <f>Gasto_o_ing_total!F98*1000/Gasto_o_ing_total!F$479</f>
        <v>0.4953612606383711</v>
      </c>
      <c r="H98" s="336">
        <f>Gasto_o_ing_total!G98*1000/Gasto_o_ing_total!G$479</f>
        <v>0.49536126063837099</v>
      </c>
      <c r="I98" s="336">
        <f>Gasto_o_ing_total!H98*1000/Gasto_o_ing_total!H$479</f>
        <v>0.49536126063837094</v>
      </c>
      <c r="J98" s="336">
        <f>Gasto_o_ing_total!I98*1000/Gasto_o_ing_total!I$479</f>
        <v>0.49536126063837099</v>
      </c>
      <c r="K98" s="336">
        <f>Gasto_o_ing_total!J98*1000/Gasto_o_ing_total!J$479</f>
        <v>0.49536126063837105</v>
      </c>
      <c r="L98" s="336">
        <f>Gasto_o_ing_total!K98*1000/Gasto_o_ing_total!K$479</f>
        <v>0.49536126063837105</v>
      </c>
      <c r="M98" s="336">
        <f>Gasto_o_ing_total!L98*1000/Gasto_o_ing_total!L$479</f>
        <v>0.49536126063837105</v>
      </c>
      <c r="N98" s="336">
        <f>Gasto_o_ing_total!M98*1000/Gasto_o_ing_total!M$479</f>
        <v>0.49536126063837099</v>
      </c>
      <c r="O98" s="336">
        <f>Gasto_o_ing_total!N98*1000/Gasto_o_ing_total!N$479</f>
        <v>0.49536126063837099</v>
      </c>
      <c r="P98" s="336">
        <f>Gasto_o_ing_total!O98*1000/Gasto_o_ing_total!O$479</f>
        <v>0.49536126063837105</v>
      </c>
      <c r="Q98" s="336">
        <f>Gasto_o_ing_total!P98*1000/Gasto_o_ing_total!P$479</f>
        <v>0.49536126063837105</v>
      </c>
      <c r="R98" s="336">
        <f>Gasto_o_ing_total!Q98*1000/Gasto_o_ing_total!Q$479</f>
        <v>0.49536126063837099</v>
      </c>
      <c r="S98" s="336">
        <f>Gasto_o_ing_total!R98*1000/Gasto_o_ing_total!R$479</f>
        <v>0.49536126063837099</v>
      </c>
      <c r="T98" s="336">
        <f>Gasto_o_ing_total!S98*1000/Gasto_o_ing_total!S$479</f>
        <v>0.49536126063837099</v>
      </c>
      <c r="U98" s="336">
        <f>Gasto_o_ing_total!T98*1000/Gasto_o_ing_total!T$479</f>
        <v>0.49536126063837105</v>
      </c>
      <c r="V98" s="336">
        <f>Gasto_o_ing_total!U98*1000/Gasto_o_ing_total!U$479</f>
        <v>0.49536126063837099</v>
      </c>
      <c r="W98" s="105"/>
    </row>
    <row r="99" spans="1:23" s="102" customFormat="1">
      <c r="A99" s="355"/>
      <c r="B99" s="115" t="s">
        <v>203</v>
      </c>
      <c r="C99" s="333" t="str">
        <f>VLOOKUP(B99,Tot_res!C:D,2,FALSE)</f>
        <v>Comisión Nacional del Mercado de Valores</v>
      </c>
      <c r="D99" s="336">
        <f>Gasto_o_ing_total!V99*1000/Gasto_o_ing_total!V$479</f>
        <v>0.91582104512401785</v>
      </c>
      <c r="E99" s="336">
        <f>Gasto_o_ing_total!D99*1000/Gasto_o_ing_total!D$479</f>
        <v>0.91582104512401785</v>
      </c>
      <c r="F99" s="336">
        <f>Gasto_o_ing_total!E99*1000/Gasto_o_ing_total!E$479</f>
        <v>0.91582104512401796</v>
      </c>
      <c r="G99" s="336">
        <f>Gasto_o_ing_total!F99*1000/Gasto_o_ing_total!F$479</f>
        <v>0.91582104512401785</v>
      </c>
      <c r="H99" s="336">
        <f>Gasto_o_ing_total!G99*1000/Gasto_o_ing_total!G$479</f>
        <v>0.91582104512401774</v>
      </c>
      <c r="I99" s="336">
        <f>Gasto_o_ing_total!H99*1000/Gasto_o_ing_total!H$479</f>
        <v>0.91582104512401796</v>
      </c>
      <c r="J99" s="336">
        <f>Gasto_o_ing_total!I99*1000/Gasto_o_ing_total!I$479</f>
        <v>0.91582104512401796</v>
      </c>
      <c r="K99" s="336">
        <f>Gasto_o_ing_total!J99*1000/Gasto_o_ing_total!J$479</f>
        <v>0.91582104512401796</v>
      </c>
      <c r="L99" s="336">
        <f>Gasto_o_ing_total!K99*1000/Gasto_o_ing_total!K$479</f>
        <v>0.91582104512401807</v>
      </c>
      <c r="M99" s="336">
        <f>Gasto_o_ing_total!L99*1000/Gasto_o_ing_total!L$479</f>
        <v>0.91582104512401785</v>
      </c>
      <c r="N99" s="336">
        <f>Gasto_o_ing_total!M99*1000/Gasto_o_ing_total!M$479</f>
        <v>0.91582104512401796</v>
      </c>
      <c r="O99" s="336">
        <f>Gasto_o_ing_total!N99*1000/Gasto_o_ing_total!N$479</f>
        <v>0.91582104512401785</v>
      </c>
      <c r="P99" s="336">
        <f>Gasto_o_ing_total!O99*1000/Gasto_o_ing_total!O$479</f>
        <v>0.91582104512401796</v>
      </c>
      <c r="Q99" s="336">
        <f>Gasto_o_ing_total!P99*1000/Gasto_o_ing_total!P$479</f>
        <v>0.91582104512401796</v>
      </c>
      <c r="R99" s="336">
        <f>Gasto_o_ing_total!Q99*1000/Gasto_o_ing_total!Q$479</f>
        <v>0.91582104512401774</v>
      </c>
      <c r="S99" s="336">
        <f>Gasto_o_ing_total!R99*1000/Gasto_o_ing_total!R$479</f>
        <v>0.91582104512401796</v>
      </c>
      <c r="T99" s="336">
        <f>Gasto_o_ing_total!S99*1000/Gasto_o_ing_total!S$479</f>
        <v>0.91582104512401796</v>
      </c>
      <c r="U99" s="336">
        <f>Gasto_o_ing_total!T99*1000/Gasto_o_ing_total!T$479</f>
        <v>0.91582104512401796</v>
      </c>
      <c r="V99" s="336">
        <f>Gasto_o_ing_total!U99*1000/Gasto_o_ing_total!U$479</f>
        <v>0.91582104512401796</v>
      </c>
      <c r="W99" s="105"/>
    </row>
    <row r="100" spans="1:23" s="102" customFormat="1">
      <c r="A100" s="355"/>
      <c r="B100" s="115" t="s">
        <v>205</v>
      </c>
      <c r="C100" s="333" t="str">
        <f>VLOOKUP(B100,Tot_res!C:D,2,FALSE)</f>
        <v>Banco de España</v>
      </c>
      <c r="D100" s="336">
        <f>Gasto_o_ing_total!V100*1000/Gasto_o_ing_total!V$479</f>
        <v>9.525977559118461</v>
      </c>
      <c r="E100" s="336">
        <f>Gasto_o_ing_total!D100*1000/Gasto_o_ing_total!D$479</f>
        <v>9.525977559118461</v>
      </c>
      <c r="F100" s="336">
        <f>Gasto_o_ing_total!E100*1000/Gasto_o_ing_total!E$479</f>
        <v>9.525977559118461</v>
      </c>
      <c r="G100" s="336">
        <f>Gasto_o_ing_total!F100*1000/Gasto_o_ing_total!F$479</f>
        <v>9.5259775591184628</v>
      </c>
      <c r="H100" s="336">
        <f>Gasto_o_ing_total!G100*1000/Gasto_o_ing_total!G$479</f>
        <v>9.525977559118461</v>
      </c>
      <c r="I100" s="336">
        <f>Gasto_o_ing_total!H100*1000/Gasto_o_ing_total!H$479</f>
        <v>9.5259775591184628</v>
      </c>
      <c r="J100" s="336">
        <f>Gasto_o_ing_total!I100*1000/Gasto_o_ing_total!I$479</f>
        <v>9.525977559118461</v>
      </c>
      <c r="K100" s="336">
        <f>Gasto_o_ing_total!J100*1000/Gasto_o_ing_total!J$479</f>
        <v>9.525977559118461</v>
      </c>
      <c r="L100" s="336">
        <f>Gasto_o_ing_total!K100*1000/Gasto_o_ing_total!K$479</f>
        <v>9.5259775591184628</v>
      </c>
      <c r="M100" s="336">
        <f>Gasto_o_ing_total!L100*1000/Gasto_o_ing_total!L$479</f>
        <v>9.5259775591184628</v>
      </c>
      <c r="N100" s="336">
        <f>Gasto_o_ing_total!M100*1000/Gasto_o_ing_total!M$479</f>
        <v>9.5259775591184628</v>
      </c>
      <c r="O100" s="336">
        <f>Gasto_o_ing_total!N100*1000/Gasto_o_ing_total!N$479</f>
        <v>9.525977559118461</v>
      </c>
      <c r="P100" s="336">
        <f>Gasto_o_ing_total!O100*1000/Gasto_o_ing_total!O$479</f>
        <v>9.525977559118461</v>
      </c>
      <c r="Q100" s="336">
        <f>Gasto_o_ing_total!P100*1000/Gasto_o_ing_total!P$479</f>
        <v>9.525977559118461</v>
      </c>
      <c r="R100" s="336">
        <f>Gasto_o_ing_total!Q100*1000/Gasto_o_ing_total!Q$479</f>
        <v>9.525977559118461</v>
      </c>
      <c r="S100" s="336">
        <f>Gasto_o_ing_total!R100*1000/Gasto_o_ing_total!R$479</f>
        <v>9.525977559118461</v>
      </c>
      <c r="T100" s="336">
        <f>Gasto_o_ing_total!S100*1000/Gasto_o_ing_total!S$479</f>
        <v>9.525977559118461</v>
      </c>
      <c r="U100" s="336">
        <f>Gasto_o_ing_total!T100*1000/Gasto_o_ing_total!T$479</f>
        <v>9.525977559118461</v>
      </c>
      <c r="V100" s="336">
        <f>Gasto_o_ing_total!U100*1000/Gasto_o_ing_total!U$479</f>
        <v>9.525977559118461</v>
      </c>
      <c r="W100" s="105"/>
    </row>
    <row r="101" spans="1:23" s="102" customFormat="1">
      <c r="A101" s="356"/>
      <c r="B101" s="115"/>
      <c r="D101" s="110"/>
      <c r="E101" s="110"/>
      <c r="F101" s="110"/>
      <c r="G101" s="110"/>
      <c r="H101" s="110"/>
      <c r="I101" s="110"/>
      <c r="J101" s="110"/>
      <c r="K101" s="110"/>
      <c r="L101" s="110"/>
      <c r="M101" s="110"/>
      <c r="N101" s="110"/>
      <c r="O101" s="110"/>
      <c r="P101" s="110"/>
      <c r="Q101" s="110"/>
      <c r="R101" s="110"/>
      <c r="S101" s="110"/>
      <c r="T101" s="110"/>
      <c r="U101" s="110"/>
      <c r="V101" s="110"/>
      <c r="W101" s="105"/>
    </row>
    <row r="102" spans="1:23" s="102" customFormat="1">
      <c r="A102" s="356"/>
      <c r="B102" s="115"/>
      <c r="D102" s="110"/>
      <c r="E102" s="110"/>
      <c r="F102" s="110"/>
      <c r="G102" s="110"/>
      <c r="H102" s="110"/>
      <c r="I102" s="110"/>
      <c r="J102" s="110"/>
      <c r="K102" s="110"/>
      <c r="L102" s="110"/>
      <c r="M102" s="110"/>
      <c r="N102" s="110"/>
      <c r="O102" s="110"/>
      <c r="P102" s="110"/>
      <c r="Q102" s="110"/>
      <c r="R102" s="110"/>
      <c r="S102" s="110"/>
      <c r="T102" s="110"/>
      <c r="U102" s="110"/>
      <c r="V102" s="110"/>
      <c r="W102" s="111"/>
    </row>
    <row r="103" spans="1:23" s="102" customFormat="1">
      <c r="A103" s="356"/>
      <c r="B103" s="115"/>
      <c r="C103" s="134" t="s">
        <v>77</v>
      </c>
      <c r="D103" s="110">
        <f>Gasto_o_ing_total!V103*1000/Gasto_o_ing_total!V$479</f>
        <v>3798.0687134512232</v>
      </c>
      <c r="E103" s="110">
        <f>Gasto_o_ing_total!D103*1000/Gasto_o_ing_total!D$479</f>
        <v>3511.0559788418636</v>
      </c>
      <c r="F103" s="110">
        <f>Gasto_o_ing_total!E103*1000/Gasto_o_ing_total!E$479</f>
        <v>4167.1112651498979</v>
      </c>
      <c r="G103" s="110">
        <f>Gasto_o_ing_total!F103*1000/Gasto_o_ing_total!F$479</f>
        <v>4117.5637782186468</v>
      </c>
      <c r="H103" s="110">
        <f>Gasto_o_ing_total!G103*1000/Gasto_o_ing_total!G$479</f>
        <v>3860.5657264133984</v>
      </c>
      <c r="I103" s="110">
        <f>Gasto_o_ing_total!H103*1000/Gasto_o_ing_total!H$479</f>
        <v>4196.8147691569538</v>
      </c>
      <c r="J103" s="110">
        <f>Gasto_o_ing_total!I103*1000/Gasto_o_ing_total!I$479</f>
        <v>4292.3367735904176</v>
      </c>
      <c r="K103" s="110">
        <f>Gasto_o_ing_total!J103*1000/Gasto_o_ing_total!J$479</f>
        <v>4298.052372829643</v>
      </c>
      <c r="L103" s="110">
        <f>Gasto_o_ing_total!K103*1000/Gasto_o_ing_total!K$479</f>
        <v>3651.5980793634535</v>
      </c>
      <c r="M103" s="110">
        <f>Gasto_o_ing_total!L103*1000/Gasto_o_ing_total!L$479</f>
        <v>3775.2299315257733</v>
      </c>
      <c r="N103" s="110">
        <f>Gasto_o_ing_total!M103*1000/Gasto_o_ing_total!M$479</f>
        <v>3233.5315906958945</v>
      </c>
      <c r="O103" s="110">
        <f>Gasto_o_ing_total!N103*1000/Gasto_o_ing_total!N$479</f>
        <v>4335.9668675938419</v>
      </c>
      <c r="P103" s="110">
        <f>Gasto_o_ing_total!O103*1000/Gasto_o_ing_total!O$479</f>
        <v>3873.0090206255481</v>
      </c>
      <c r="Q103" s="110">
        <f>Gasto_o_ing_total!P103*1000/Gasto_o_ing_total!P$479</f>
        <v>3495.2417714892845</v>
      </c>
      <c r="R103" s="110">
        <f>Gasto_o_ing_total!Q103*1000/Gasto_o_ing_total!Q$479</f>
        <v>3265.7300363162758</v>
      </c>
      <c r="S103" s="110">
        <f>Gasto_o_ing_total!R103*1000/Gasto_o_ing_total!R$479</f>
        <v>4184.998427175643</v>
      </c>
      <c r="T103" s="110">
        <f>Gasto_o_ing_total!S103*1000/Gasto_o_ing_total!S$479</f>
        <v>5478.476649791688</v>
      </c>
      <c r="U103" s="110">
        <f>Gasto_o_ing_total!T103*1000/Gasto_o_ing_total!T$479</f>
        <v>4129.2496589543198</v>
      </c>
      <c r="V103" s="110">
        <f>Gasto_o_ing_total!U103*1000/Gasto_o_ing_total!U$479</f>
        <v>5989.7499937129014</v>
      </c>
      <c r="W103" s="114"/>
    </row>
    <row r="104" spans="1:23" s="102" customFormat="1">
      <c r="A104" s="356"/>
      <c r="B104" s="115"/>
      <c r="C104" s="134" t="s">
        <v>44</v>
      </c>
      <c r="D104" s="110">
        <f>Gasto_o_ing_total!V104*1000/Gasto_o_ing_total!V$479</f>
        <v>3745.7355704759561</v>
      </c>
      <c r="E104" s="110">
        <f>Gasto_o_ing_total!D104*1000/Gasto_o_ing_total!D$479</f>
        <v>3419.0785455222235</v>
      </c>
      <c r="F104" s="110">
        <f>Gasto_o_ing_total!E104*1000/Gasto_o_ing_total!E$479</f>
        <v>4082.6285100634313</v>
      </c>
      <c r="G104" s="110">
        <f>Gasto_o_ing_total!F104*1000/Gasto_o_ing_total!F$479</f>
        <v>3940.5621801567731</v>
      </c>
      <c r="H104" s="110">
        <f>Gasto_o_ing_total!G104*1000/Gasto_o_ing_total!G$479</f>
        <v>3698.862965817696</v>
      </c>
      <c r="I104" s="110">
        <f>Gasto_o_ing_total!H104*1000/Gasto_o_ing_total!H$479</f>
        <v>4167.9821488421494</v>
      </c>
      <c r="J104" s="110">
        <f>Gasto_o_ing_total!I104*1000/Gasto_o_ing_total!I$479</f>
        <v>4155.1988263781504</v>
      </c>
      <c r="K104" s="110">
        <f>Gasto_o_ing_total!J104*1000/Gasto_o_ing_total!J$479</f>
        <v>4232.9575051681204</v>
      </c>
      <c r="L104" s="110">
        <f>Gasto_o_ing_total!K104*1000/Gasto_o_ing_total!K$479</f>
        <v>3694.6496063724553</v>
      </c>
      <c r="M104" s="110">
        <f>Gasto_o_ing_total!L104*1000/Gasto_o_ing_total!L$479</f>
        <v>3591.8399062388094</v>
      </c>
      <c r="N104" s="110">
        <f>Gasto_o_ing_total!M104*1000/Gasto_o_ing_total!M$479</f>
        <v>3146.8304083581588</v>
      </c>
      <c r="O104" s="110">
        <f>Gasto_o_ing_total!N104*1000/Gasto_o_ing_total!N$479</f>
        <v>4121.8251489793056</v>
      </c>
      <c r="P104" s="110">
        <f>Gasto_o_ing_total!O104*1000/Gasto_o_ing_total!O$479</f>
        <v>3819.6238142468096</v>
      </c>
      <c r="Q104" s="110">
        <f>Gasto_o_ing_total!P104*1000/Gasto_o_ing_total!P$479</f>
        <v>3526.0962367347083</v>
      </c>
      <c r="R104" s="110">
        <f>Gasto_o_ing_total!Q104*1000/Gasto_o_ing_total!Q$479</f>
        <v>3172.6941137647987</v>
      </c>
      <c r="S104" s="110">
        <f>Gasto_o_ing_total!R104*1000/Gasto_o_ing_total!R$479</f>
        <v>4726.7973800568352</v>
      </c>
      <c r="T104" s="110">
        <f>Gasto_o_ing_total!S104*1000/Gasto_o_ing_total!S$479</f>
        <v>5855.0547734415168</v>
      </c>
      <c r="U104" s="110">
        <f>Gasto_o_ing_total!T104*1000/Gasto_o_ing_total!T$479</f>
        <v>4069.5255462882583</v>
      </c>
      <c r="V104" s="110">
        <f>Gasto_o_ing_total!U104*1000/Gasto_o_ing_total!U$479</f>
        <v>5989.7499937129014</v>
      </c>
      <c r="W104" s="105"/>
    </row>
    <row r="105" spans="1:23" s="102" customFormat="1">
      <c r="A105" s="356"/>
      <c r="B105" s="115"/>
      <c r="C105" s="129"/>
      <c r="D105" s="110"/>
      <c r="E105" s="110"/>
      <c r="F105" s="110"/>
      <c r="G105" s="110"/>
      <c r="H105" s="110"/>
      <c r="I105" s="110"/>
      <c r="J105" s="110"/>
      <c r="K105" s="110"/>
      <c r="L105" s="110"/>
      <c r="M105" s="110"/>
      <c r="N105" s="110"/>
      <c r="O105" s="110"/>
      <c r="P105" s="110"/>
      <c r="Q105" s="110"/>
      <c r="R105" s="110"/>
      <c r="S105" s="110"/>
      <c r="T105" s="110"/>
      <c r="U105" s="110"/>
      <c r="V105" s="110"/>
      <c r="W105" s="114"/>
    </row>
    <row r="106" spans="1:23" s="102" customFormat="1">
      <c r="A106" s="356"/>
      <c r="B106" s="115"/>
      <c r="C106" s="128" t="s">
        <v>43</v>
      </c>
      <c r="D106" s="113">
        <f>Gasto_o_ing_total!V106*1000/Gasto_o_ing_total!V$479</f>
        <v>2206.9957389268566</v>
      </c>
      <c r="E106" s="113">
        <f>Gasto_o_ing_total!D106*1000/Gasto_o_ing_total!D$479</f>
        <v>1990.125055218261</v>
      </c>
      <c r="F106" s="113">
        <f>Gasto_o_ing_total!E106*1000/Gasto_o_ing_total!E$479</f>
        <v>2389.640918223306</v>
      </c>
      <c r="G106" s="113">
        <f>Gasto_o_ing_total!F106*1000/Gasto_o_ing_total!F$479</f>
        <v>2459.5377416396245</v>
      </c>
      <c r="H106" s="113">
        <f>Gasto_o_ing_total!G106*1000/Gasto_o_ing_total!G$479</f>
        <v>2214.7777538252412</v>
      </c>
      <c r="I106" s="113">
        <f>Gasto_o_ing_total!H106*1000/Gasto_o_ing_total!H$479</f>
        <v>2158.1527677703612</v>
      </c>
      <c r="J106" s="113">
        <f>Gasto_o_ing_total!I106*1000/Gasto_o_ing_total!I$479</f>
        <v>2683.9224119491751</v>
      </c>
      <c r="K106" s="113">
        <f>Gasto_o_ing_total!J106*1000/Gasto_o_ing_total!J$479</f>
        <v>2485.7816189408845</v>
      </c>
      <c r="L106" s="113">
        <f>Gasto_o_ing_total!K106*1000/Gasto_o_ing_total!K$479</f>
        <v>2125.8254413093073</v>
      </c>
      <c r="M106" s="113">
        <f>Gasto_o_ing_total!L106*1000/Gasto_o_ing_total!L$479</f>
        <v>2156.8230698548628</v>
      </c>
      <c r="N106" s="113">
        <f>Gasto_o_ing_total!M106*1000/Gasto_o_ing_total!M$479</f>
        <v>1910.7867436640493</v>
      </c>
      <c r="O106" s="113">
        <f>Gasto_o_ing_total!N106*1000/Gasto_o_ing_total!N$479</f>
        <v>2607.5932729011665</v>
      </c>
      <c r="P106" s="113">
        <f>Gasto_o_ing_total!O106*1000/Gasto_o_ing_total!O$479</f>
        <v>2384.6656488985973</v>
      </c>
      <c r="Q106" s="113">
        <f>Gasto_o_ing_total!P106*1000/Gasto_o_ing_total!P$479</f>
        <v>1844.027089445771</v>
      </c>
      <c r="R106" s="113">
        <f>Gasto_o_ing_total!Q106*1000/Gasto_o_ing_total!Q$479</f>
        <v>1973.0778261242149</v>
      </c>
      <c r="S106" s="113">
        <f>Gasto_o_ing_total!R106*1000/Gasto_o_ing_total!R$479</f>
        <v>2723.8950882270096</v>
      </c>
      <c r="T106" s="113">
        <f>Gasto_o_ing_total!S106*1000/Gasto_o_ing_total!S$479</f>
        <v>3793.136884885766</v>
      </c>
      <c r="U106" s="113">
        <f>Gasto_o_ing_total!T106*1000/Gasto_o_ing_total!T$479</f>
        <v>2540.9940037454026</v>
      </c>
      <c r="V106" s="113">
        <f>Gasto_o_ing_total!U106*1000/Gasto_o_ing_total!U$479</f>
        <v>4121.7339735624946</v>
      </c>
      <c r="W106" s="105"/>
    </row>
    <row r="107" spans="1:23" s="102" customFormat="1">
      <c r="A107" s="356"/>
      <c r="B107" s="115"/>
      <c r="C107" s="129"/>
      <c r="D107" s="110"/>
      <c r="E107" s="110"/>
      <c r="F107" s="110"/>
      <c r="G107" s="110"/>
      <c r="H107" s="110"/>
      <c r="I107" s="110"/>
      <c r="J107" s="110"/>
      <c r="K107" s="110"/>
      <c r="L107" s="110"/>
      <c r="M107" s="110"/>
      <c r="N107" s="110"/>
      <c r="O107" s="110"/>
      <c r="P107" s="110"/>
      <c r="Q107" s="110"/>
      <c r="R107" s="110"/>
      <c r="S107" s="110"/>
      <c r="T107" s="110"/>
      <c r="U107" s="110"/>
      <c r="V107" s="110"/>
      <c r="W107" s="114"/>
    </row>
    <row r="108" spans="1:23" s="102" customFormat="1">
      <c r="A108" s="356"/>
      <c r="B108" s="115"/>
      <c r="C108" s="128" t="s">
        <v>207</v>
      </c>
      <c r="D108" s="113">
        <f>Gasto_o_ing_total!V108*1000/Gasto_o_ing_total!V$479</f>
        <v>2012.6959968709111</v>
      </c>
      <c r="E108" s="113">
        <f>Gasto_o_ing_total!D108*1000/Gasto_o_ing_total!D$479</f>
        <v>1995.8989380421533</v>
      </c>
      <c r="F108" s="113">
        <f>Gasto_o_ing_total!E108*1000/Gasto_o_ing_total!E$479</f>
        <v>2369.5420642479849</v>
      </c>
      <c r="G108" s="113">
        <f>Gasto_o_ing_total!F108*1000/Gasto_o_ing_total!F$479</f>
        <v>2353.0467102838347</v>
      </c>
      <c r="H108" s="113">
        <f>Gasto_o_ing_total!G108*1000/Gasto_o_ing_total!G$479</f>
        <v>2104.2961722276796</v>
      </c>
      <c r="I108" s="113">
        <f>Gasto_o_ing_total!H108*1000/Gasto_o_ing_total!H$479</f>
        <v>2254.5793979423047</v>
      </c>
      <c r="J108" s="113">
        <f>Gasto_o_ing_total!I108*1000/Gasto_o_ing_total!I$479</f>
        <v>2763.1974312064967</v>
      </c>
      <c r="K108" s="113">
        <f>Gasto_o_ing_total!J108*1000/Gasto_o_ing_total!J$479</f>
        <v>2426.9186332283671</v>
      </c>
      <c r="L108" s="113">
        <f>Gasto_o_ing_total!K108*1000/Gasto_o_ing_total!K$479</f>
        <v>2174.3077697484546</v>
      </c>
      <c r="M108" s="113">
        <f>Gasto_o_ing_total!L108*1000/Gasto_o_ing_total!L$479</f>
        <v>2263.8639509823515</v>
      </c>
      <c r="N108" s="113">
        <f>Gasto_o_ing_total!M108*1000/Gasto_o_ing_total!M$479</f>
        <v>1866.4719386005231</v>
      </c>
      <c r="O108" s="113">
        <f>Gasto_o_ing_total!N108*1000/Gasto_o_ing_total!N$479</f>
        <v>2400.3989054812755</v>
      </c>
      <c r="P108" s="113">
        <f>Gasto_o_ing_total!O108*1000/Gasto_o_ing_total!O$479</f>
        <v>2412.9489380460509</v>
      </c>
      <c r="Q108" s="113">
        <f>Gasto_o_ing_total!P108*1000/Gasto_o_ing_total!P$479</f>
        <v>2029.9651022458663</v>
      </c>
      <c r="R108" s="113">
        <f>Gasto_o_ing_total!Q108*1000/Gasto_o_ing_total!Q$479</f>
        <v>1892.5816315943894</v>
      </c>
      <c r="S108" s="113">
        <f>Gasto_o_ing_total!R108*1000/Gasto_o_ing_total!R$479</f>
        <v>0</v>
      </c>
      <c r="T108" s="113">
        <f>Gasto_o_ing_total!S108*1000/Gasto_o_ing_total!S$479</f>
        <v>0</v>
      </c>
      <c r="U108" s="113">
        <f>Gasto_o_ing_total!T108*1000/Gasto_o_ing_total!T$479</f>
        <v>2697.8669605303153</v>
      </c>
      <c r="V108" s="113">
        <f>Gasto_o_ing_total!U108*1000/Gasto_o_ing_total!U$479</f>
        <v>433.65454108872297</v>
      </c>
      <c r="W108" s="105"/>
    </row>
    <row r="109" spans="1:23" s="102" customFormat="1">
      <c r="A109" s="355"/>
      <c r="B109" s="102" t="s">
        <v>1006</v>
      </c>
      <c r="C109" s="333" t="str">
        <f>VLOOKUP(B109,Tot_res!C:D,2,FALSE)</f>
        <v>Transferencias a Comunidades Autónomas por participación en ingresos del Estado</v>
      </c>
      <c r="D109" s="336">
        <f>Gasto_o_ing_total!V109*1000/Gasto_o_ing_total!V$479</f>
        <v>421.40159161247095</v>
      </c>
      <c r="E109" s="336">
        <f>Gasto_o_ing_total!D109*1000/Gasto_o_ing_total!D$479</f>
        <v>628.79240658318588</v>
      </c>
      <c r="F109" s="336">
        <f>Gasto_o_ing_total!E109*1000/Gasto_o_ing_total!E$479</f>
        <v>421.02993575762332</v>
      </c>
      <c r="G109" s="336">
        <f>Gasto_o_ing_total!F109*1000/Gasto_o_ing_total!F$479</f>
        <v>484.22398566895203</v>
      </c>
      <c r="H109" s="336">
        <f>Gasto_o_ing_total!G109*1000/Gasto_o_ing_total!G$479</f>
        <v>468.49365398471224</v>
      </c>
      <c r="I109" s="336">
        <f>Gasto_o_ing_total!H109*1000/Gasto_o_ing_total!H$479</f>
        <v>1286.3072740437183</v>
      </c>
      <c r="J109" s="336">
        <f>Gasto_o_ing_total!I109*1000/Gasto_o_ing_total!I$479</f>
        <v>856.33415903176842</v>
      </c>
      <c r="K109" s="336">
        <f>Gasto_o_ing_total!J109*1000/Gasto_o_ing_total!J$479</f>
        <v>587.06137605602771</v>
      </c>
      <c r="L109" s="336">
        <f>Gasto_o_ing_total!K109*1000/Gasto_o_ing_total!K$479</f>
        <v>611.89997861043946</v>
      </c>
      <c r="M109" s="336">
        <f>Gasto_o_ing_total!L109*1000/Gasto_o_ing_total!L$479</f>
        <v>181.33852793086876</v>
      </c>
      <c r="N109" s="336">
        <f>Gasto_o_ing_total!M109*1000/Gasto_o_ing_total!M$479</f>
        <v>526.30083951440599</v>
      </c>
      <c r="O109" s="336">
        <f>Gasto_o_ing_total!N109*1000/Gasto_o_ing_total!N$479</f>
        <v>1063.2548916064179</v>
      </c>
      <c r="P109" s="336">
        <f>Gasto_o_ing_total!O109*1000/Gasto_o_ing_total!O$479</f>
        <v>763.33886714895914</v>
      </c>
      <c r="Q109" s="336">
        <f>Gasto_o_ing_total!P109*1000/Gasto_o_ing_total!P$479</f>
        <v>-241.54060113400857</v>
      </c>
      <c r="R109" s="336">
        <f>Gasto_o_ing_total!Q109*1000/Gasto_o_ing_total!Q$479</f>
        <v>523.74925671015399</v>
      </c>
      <c r="S109" s="336">
        <f>Gasto_o_ing_total!R109*1000/Gasto_o_ing_total!R$479</f>
        <v>0</v>
      </c>
      <c r="T109" s="336">
        <f>Gasto_o_ing_total!S109*1000/Gasto_o_ing_total!S$479</f>
        <v>0</v>
      </c>
      <c r="U109" s="336">
        <f>Gasto_o_ing_total!T109*1000/Gasto_o_ing_total!T$479</f>
        <v>1039.0428616490049</v>
      </c>
      <c r="V109" s="336">
        <f>Gasto_o_ing_total!U109*1000/Gasto_o_ing_total!U$479</f>
        <v>449.33439262919796</v>
      </c>
      <c r="W109" s="105"/>
    </row>
    <row r="110" spans="1:23" s="102" customFormat="1">
      <c r="A110" s="355"/>
      <c r="B110" s="115" t="s">
        <v>208</v>
      </c>
      <c r="C110" s="333" t="str">
        <f>VLOOKUP(B110,Tot_res!C:D,2,FALSE)</f>
        <v>Transferencias al Estado por Fondos de Suficiencia negativos</v>
      </c>
      <c r="D110" s="336">
        <f>Gasto_o_ing_total!V110*1000/Gasto_o_ing_total!V$479</f>
        <v>-71.742650056670229</v>
      </c>
      <c r="E110" s="336">
        <f>Gasto_o_ing_total!D110*1000/Gasto_o_ing_total!D$479</f>
        <v>-9.6166851742945934</v>
      </c>
      <c r="F110" s="336">
        <f>Gasto_o_ing_total!E110*1000/Gasto_o_ing_total!E$479</f>
        <v>-23.351808249471009</v>
      </c>
      <c r="G110" s="336">
        <f>Gasto_o_ing_total!F110*1000/Gasto_o_ing_total!F$479</f>
        <v>-16.002526488071624</v>
      </c>
      <c r="H110" s="336">
        <f>Gasto_o_ing_total!G110*1000/Gasto_o_ing_total!G$479</f>
        <v>-585.15942396696164</v>
      </c>
      <c r="I110" s="336">
        <f>Gasto_o_ing_total!H110*1000/Gasto_o_ing_total!H$479</f>
        <v>-20.514475697136071</v>
      </c>
      <c r="J110" s="336">
        <f>Gasto_o_ing_total!I110*1000/Gasto_o_ing_total!I$479</f>
        <v>0</v>
      </c>
      <c r="K110" s="336">
        <f>Gasto_o_ing_total!J110*1000/Gasto_o_ing_total!J$479</f>
        <v>-12.539122274369275</v>
      </c>
      <c r="L110" s="336">
        <f>Gasto_o_ing_total!K110*1000/Gasto_o_ing_total!K$479</f>
        <v>0</v>
      </c>
      <c r="M110" s="336">
        <f>Gasto_o_ing_total!L110*1000/Gasto_o_ing_total!L$479</f>
        <v>-20.996630676966269</v>
      </c>
      <c r="N110" s="336">
        <f>Gasto_o_ing_total!M110*1000/Gasto_o_ing_total!M$479</f>
        <v>-270.56345938725673</v>
      </c>
      <c r="O110" s="336">
        <f>Gasto_o_ing_total!N110*1000/Gasto_o_ing_total!N$479</f>
        <v>-11.19234263735027</v>
      </c>
      <c r="P110" s="336">
        <f>Gasto_o_ing_total!O110*1000/Gasto_o_ing_total!O$479</f>
        <v>-17.512085499765622</v>
      </c>
      <c r="Q110" s="336">
        <f>Gasto_o_ing_total!P110*1000/Gasto_o_ing_total!P$479</f>
        <v>-116.13957388696254</v>
      </c>
      <c r="R110" s="336">
        <f>Gasto_o_ing_total!Q110*1000/Gasto_o_ing_total!Q$479</f>
        <v>-106.34547872360334</v>
      </c>
      <c r="S110" s="336">
        <f>Gasto_o_ing_total!R110*1000/Gasto_o_ing_total!R$479</f>
        <v>0</v>
      </c>
      <c r="T110" s="336">
        <f>Gasto_o_ing_total!S110*1000/Gasto_o_ing_total!S$479</f>
        <v>0</v>
      </c>
      <c r="U110" s="336">
        <f>Gasto_o_ing_total!T110*1000/Gasto_o_ing_total!T$479</f>
        <v>-58.657356375452594</v>
      </c>
      <c r="V110" s="336">
        <f>Gasto_o_ing_total!U110*1000/Gasto_o_ing_total!U$479</f>
        <v>-8.7243686468187036</v>
      </c>
      <c r="W110" s="105"/>
    </row>
    <row r="111" spans="1:23" s="102" customFormat="1">
      <c r="A111" s="355"/>
      <c r="B111" s="115" t="s">
        <v>209</v>
      </c>
      <c r="C111" s="333" t="str">
        <f>VLOOKUP(B111,Tot_res!C:D,2,FALSE)</f>
        <v>Otros Flujos de financiación regional, en parte extrapresupuestarios</v>
      </c>
      <c r="D111" s="336">
        <f>Gasto_o_ing_total!V111*1000/Gasto_o_ing_total!V$479</f>
        <v>-49.835634067809458</v>
      </c>
      <c r="E111" s="336">
        <f>Gasto_o_ing_total!D111*1000/Gasto_o_ing_total!D$479</f>
        <v>-69.12387184761505</v>
      </c>
      <c r="F111" s="336">
        <f>Gasto_o_ing_total!E111*1000/Gasto_o_ing_total!E$479</f>
        <v>-64.68862482998351</v>
      </c>
      <c r="G111" s="336">
        <f>Gasto_o_ing_total!F111*1000/Gasto_o_ing_total!F$479</f>
        <v>-68.223852246163119</v>
      </c>
      <c r="H111" s="336">
        <f>Gasto_o_ing_total!G111*1000/Gasto_o_ing_total!G$479</f>
        <v>-28.765840786667614</v>
      </c>
      <c r="I111" s="336">
        <f>Gasto_o_ing_total!H111*1000/Gasto_o_ing_total!H$479</f>
        <v>-65.176172661781919</v>
      </c>
      <c r="J111" s="336">
        <f>Gasto_o_ing_total!I111*1000/Gasto_o_ing_total!I$479</f>
        <v>-77.010856401794427</v>
      </c>
      <c r="K111" s="336">
        <f>Gasto_o_ing_total!J111*1000/Gasto_o_ing_total!J$479</f>
        <v>-71.565756699600087</v>
      </c>
      <c r="L111" s="336">
        <f>Gasto_o_ing_total!K111*1000/Gasto_o_ing_total!K$479</f>
        <v>-59.700169140223409</v>
      </c>
      <c r="M111" s="336">
        <f>Gasto_o_ing_total!L111*1000/Gasto_o_ing_total!L$479</f>
        <v>-41.081522334006735</v>
      </c>
      <c r="N111" s="336">
        <f>Gasto_o_ing_total!M111*1000/Gasto_o_ing_total!M$479</f>
        <v>-43.8319113550521</v>
      </c>
      <c r="O111" s="336">
        <f>Gasto_o_ing_total!N111*1000/Gasto_o_ing_total!N$479</f>
        <v>-87.697271436843494</v>
      </c>
      <c r="P111" s="336">
        <f>Gasto_o_ing_total!O111*1000/Gasto_o_ing_total!O$479</f>
        <v>-74.756679178223038</v>
      </c>
      <c r="Q111" s="336">
        <f>Gasto_o_ing_total!P111*1000/Gasto_o_ing_total!P$479</f>
        <v>-22.803845611939032</v>
      </c>
      <c r="R111" s="336">
        <f>Gasto_o_ing_total!Q111*1000/Gasto_o_ing_total!Q$479</f>
        <v>-49.339185577299013</v>
      </c>
      <c r="S111" s="336">
        <f>Gasto_o_ing_total!R111*1000/Gasto_o_ing_total!R$479</f>
        <v>0</v>
      </c>
      <c r="T111" s="336">
        <f>Gasto_o_ing_total!S111*1000/Gasto_o_ing_total!S$479</f>
        <v>0</v>
      </c>
      <c r="U111" s="336">
        <f>Gasto_o_ing_total!T111*1000/Gasto_o_ing_total!T$479</f>
        <v>-74.88786310759734</v>
      </c>
      <c r="V111" s="336">
        <f>Gasto_o_ing_total!U111*1000/Gasto_o_ing_total!U$479</f>
        <v>-6.9554828936563791</v>
      </c>
      <c r="W111" s="105"/>
    </row>
    <row r="112" spans="1:23" s="102" customFormat="1">
      <c r="A112" s="355"/>
      <c r="B112" s="115" t="s">
        <v>959</v>
      </c>
      <c r="C112" s="333" t="str">
        <f>VLOOKUP(B112,Tot_res!C:D,2,FALSE)</f>
        <v>Participación CCAARC en IRPF, sin ejercicio de la capacidad normativa</v>
      </c>
      <c r="D112" s="336">
        <f>Gasto_o_ing_total!V112*1000/Gasto_o_ing_total!V$479</f>
        <v>686.78045187325631</v>
      </c>
      <c r="E112" s="336">
        <f>Gasto_o_ing_total!D112*1000/Gasto_o_ing_total!D$479</f>
        <v>469.61238105479862</v>
      </c>
      <c r="F112" s="336">
        <f>Gasto_o_ing_total!E112*1000/Gasto_o_ing_total!E$479</f>
        <v>788.93522152126047</v>
      </c>
      <c r="G112" s="336">
        <f>Gasto_o_ing_total!F112*1000/Gasto_o_ing_total!F$479</f>
        <v>810.12863517666892</v>
      </c>
      <c r="H112" s="336">
        <f>Gasto_o_ing_total!G112*1000/Gasto_o_ing_total!G$479</f>
        <v>659.0570861505181</v>
      </c>
      <c r="I112" s="336">
        <f>Gasto_o_ing_total!H112*1000/Gasto_o_ing_total!H$479</f>
        <v>498.59843049522448</v>
      </c>
      <c r="J112" s="336">
        <f>Gasto_o_ing_total!I112*1000/Gasto_o_ing_total!I$479</f>
        <v>755.53995715026554</v>
      </c>
      <c r="K112" s="336">
        <f>Gasto_o_ing_total!J112*1000/Gasto_o_ing_total!J$479</f>
        <v>703.87649568558572</v>
      </c>
      <c r="L112" s="336">
        <f>Gasto_o_ing_total!K112*1000/Gasto_o_ing_total!K$479</f>
        <v>525.28617284189318</v>
      </c>
      <c r="M112" s="336">
        <f>Gasto_o_ing_total!L112*1000/Gasto_o_ing_total!L$479</f>
        <v>934.30548560355862</v>
      </c>
      <c r="N112" s="336">
        <f>Gasto_o_ing_total!M112*1000/Gasto_o_ing_total!M$479</f>
        <v>561.00126295582982</v>
      </c>
      <c r="O112" s="336">
        <f>Gasto_o_ing_total!N112*1000/Gasto_o_ing_total!N$479</f>
        <v>449.51922818354979</v>
      </c>
      <c r="P112" s="336">
        <f>Gasto_o_ing_total!O112*1000/Gasto_o_ing_total!O$479</f>
        <v>645.75612380683947</v>
      </c>
      <c r="Q112" s="336">
        <f>Gasto_o_ing_total!P112*1000/Gasto_o_ing_total!P$479</f>
        <v>1264.4485586330286</v>
      </c>
      <c r="R112" s="336">
        <f>Gasto_o_ing_total!Q112*1000/Gasto_o_ing_total!Q$479</f>
        <v>493.29109754358149</v>
      </c>
      <c r="S112" s="336">
        <f>Gasto_o_ing_total!R112*1000/Gasto_o_ing_total!R$479</f>
        <v>0</v>
      </c>
      <c r="T112" s="336">
        <f>Gasto_o_ing_total!S112*1000/Gasto_o_ing_total!S$479</f>
        <v>0</v>
      </c>
      <c r="U112" s="336">
        <f>Gasto_o_ing_total!T112*1000/Gasto_o_ing_total!T$479</f>
        <v>667.96429105176378</v>
      </c>
      <c r="V112" s="336">
        <f>Gasto_o_ing_total!U112*1000/Gasto_o_ing_total!U$479</f>
        <v>0</v>
      </c>
      <c r="W112" s="105"/>
    </row>
    <row r="113" spans="1:23" s="102" customFormat="1">
      <c r="A113" s="355"/>
      <c r="B113" s="115" t="s">
        <v>210</v>
      </c>
      <c r="C113" s="333" t="str">
        <f>VLOOKUP(B113,Tot_res!C:D,2,FALSE)</f>
        <v>Participación CCAARC en el IVA</v>
      </c>
      <c r="D113" s="336">
        <f>Gasto_o_ing_total!V113*1000/Gasto_o_ing_total!V$479</f>
        <v>584.58272533564138</v>
      </c>
      <c r="E113" s="336">
        <f>Gasto_o_ing_total!D113*1000/Gasto_o_ing_total!D$479</f>
        <v>580.85653258507205</v>
      </c>
      <c r="F113" s="336">
        <f>Gasto_o_ing_total!E113*1000/Gasto_o_ing_total!E$479</f>
        <v>710.70059699872968</v>
      </c>
      <c r="G113" s="336">
        <f>Gasto_o_ing_total!F113*1000/Gasto_o_ing_total!F$479</f>
        <v>687.20820161874565</v>
      </c>
      <c r="H113" s="336">
        <f>Gasto_o_ing_total!G113*1000/Gasto_o_ing_total!G$479</f>
        <v>950.85856451761424</v>
      </c>
      <c r="I113" s="336">
        <f>Gasto_o_ing_total!H113*1000/Gasto_o_ing_total!H$479</f>
        <v>0</v>
      </c>
      <c r="J113" s="336">
        <f>Gasto_o_ing_total!I113*1000/Gasto_o_ing_total!I$479</f>
        <v>690.7942948335683</v>
      </c>
      <c r="K113" s="336">
        <f>Gasto_o_ing_total!J113*1000/Gasto_o_ing_total!J$479</f>
        <v>682.4824390063942</v>
      </c>
      <c r="L113" s="336">
        <f>Gasto_o_ing_total!K113*1000/Gasto_o_ing_total!K$479</f>
        <v>604.32141379731922</v>
      </c>
      <c r="M113" s="336">
        <f>Gasto_o_ing_total!L113*1000/Gasto_o_ing_total!L$479</f>
        <v>713.66018882136302</v>
      </c>
      <c r="N113" s="336">
        <f>Gasto_o_ing_total!M113*1000/Gasto_o_ing_total!M$479</f>
        <v>626.75271891265436</v>
      </c>
      <c r="O113" s="336">
        <f>Gasto_o_ing_total!N113*1000/Gasto_o_ing_total!N$479</f>
        <v>567.34211094754301</v>
      </c>
      <c r="P113" s="336">
        <f>Gasto_o_ing_total!O113*1000/Gasto_o_ing_total!O$479</f>
        <v>654.90243325260883</v>
      </c>
      <c r="Q113" s="336">
        <f>Gasto_o_ing_total!P113*1000/Gasto_o_ing_total!P$479</f>
        <v>680.16853139125749</v>
      </c>
      <c r="R113" s="336">
        <f>Gasto_o_ing_total!Q113*1000/Gasto_o_ing_total!Q$479</f>
        <v>573.49556819005431</v>
      </c>
      <c r="S113" s="336">
        <f>Gasto_o_ing_total!R113*1000/Gasto_o_ing_total!R$479</f>
        <v>0</v>
      </c>
      <c r="T113" s="336">
        <f>Gasto_o_ing_total!S113*1000/Gasto_o_ing_total!S$479</f>
        <v>0</v>
      </c>
      <c r="U113" s="336">
        <f>Gasto_o_ing_total!T113*1000/Gasto_o_ing_total!T$479</f>
        <v>659.56195429535944</v>
      </c>
      <c r="V113" s="336">
        <f>Gasto_o_ing_total!U113*1000/Gasto_o_ing_total!U$479</f>
        <v>0</v>
      </c>
      <c r="W113" s="105"/>
    </row>
    <row r="114" spans="1:23" s="102" customFormat="1">
      <c r="A114" s="355"/>
      <c r="B114" s="115" t="s">
        <v>1117</v>
      </c>
      <c r="C114" s="333" t="str">
        <f>VLOOKUP(B114,Tot_res!C:D,2,FALSE)</f>
        <v>Participación de las CCAARC en los impuestos especiales (excluyendo electricidad), sin ejercicio de la capacidad normativa en el IH</v>
      </c>
      <c r="D114" s="336">
        <f>Gasto_o_ing_total!V114*1000/Gasto_o_ing_total!V$479</f>
        <v>212.67310602160632</v>
      </c>
      <c r="E114" s="336">
        <f>Gasto_o_ing_total!D114*1000/Gasto_o_ing_total!D$479</f>
        <v>200.77362498259623</v>
      </c>
      <c r="F114" s="336">
        <f>Gasto_o_ing_total!E114*1000/Gasto_o_ing_total!E$479</f>
        <v>293.2391306381395</v>
      </c>
      <c r="G114" s="336">
        <f>Gasto_o_ing_total!F114*1000/Gasto_o_ing_total!F$479</f>
        <v>231.06071070241572</v>
      </c>
      <c r="H114" s="336">
        <f>Gasto_o_ing_total!G114*1000/Gasto_o_ing_total!G$479</f>
        <v>279.64470483712819</v>
      </c>
      <c r="I114" s="336">
        <f>Gasto_o_ing_total!H114*1000/Gasto_o_ing_total!H$479</f>
        <v>13.040245824902318</v>
      </c>
      <c r="J114" s="336">
        <f>Gasto_o_ing_total!I114*1000/Gasto_o_ing_total!I$479</f>
        <v>275.249291851892</v>
      </c>
      <c r="K114" s="336">
        <f>Gasto_o_ing_total!J114*1000/Gasto_o_ing_total!J$479</f>
        <v>326.39872852922372</v>
      </c>
      <c r="L114" s="336">
        <f>Gasto_o_ing_total!K114*1000/Gasto_o_ing_total!K$479</f>
        <v>283.1867095702014</v>
      </c>
      <c r="M114" s="336">
        <f>Gasto_o_ing_total!L114*1000/Gasto_o_ing_total!L$479</f>
        <v>251.50262201765025</v>
      </c>
      <c r="N114" s="336">
        <f>Gasto_o_ing_total!M114*1000/Gasto_o_ing_total!M$479</f>
        <v>228.74476153411234</v>
      </c>
      <c r="O114" s="336">
        <f>Gasto_o_ing_total!N114*1000/Gasto_o_ing_total!N$479</f>
        <v>270.85650261658458</v>
      </c>
      <c r="P114" s="336">
        <f>Gasto_o_ing_total!O114*1000/Gasto_o_ing_total!O$479</f>
        <v>244.38774642383405</v>
      </c>
      <c r="Q114" s="336">
        <f>Gasto_o_ing_total!P114*1000/Gasto_o_ing_total!P$479</f>
        <v>193.06581139708899</v>
      </c>
      <c r="R114" s="336">
        <f>Gasto_o_ing_total!Q114*1000/Gasto_o_ing_total!Q$479</f>
        <v>268.24120996288707</v>
      </c>
      <c r="S114" s="336">
        <f>Gasto_o_ing_total!R114*1000/Gasto_o_ing_total!R$479</f>
        <v>0</v>
      </c>
      <c r="T114" s="336">
        <f>Gasto_o_ing_total!S114*1000/Gasto_o_ing_total!S$479</f>
        <v>0</v>
      </c>
      <c r="U114" s="336">
        <f>Gasto_o_ing_total!T114*1000/Gasto_o_ing_total!T$479</f>
        <v>241.05652006383485</v>
      </c>
      <c r="V114" s="336">
        <f>Gasto_o_ing_total!U114*1000/Gasto_o_ing_total!U$479</f>
        <v>0</v>
      </c>
      <c r="W114" s="105"/>
    </row>
    <row r="115" spans="1:23" s="102" customFormat="1">
      <c r="A115" s="355"/>
      <c r="B115" s="115" t="s">
        <v>211</v>
      </c>
      <c r="C115" s="333" t="str">
        <f>VLOOKUP(B115,Tot_res!C:D,2,FALSE)</f>
        <v>Participación de las CCAARC en el impuesto sobre la electricidad</v>
      </c>
      <c r="D115" s="336">
        <f>Gasto_o_ing_total!V115*1000/Gasto_o_ing_total!V$479</f>
        <v>30.234977165981533</v>
      </c>
      <c r="E115" s="336">
        <f>Gasto_o_ing_total!D115*1000/Gasto_o_ing_total!D$479</f>
        <v>26.346620371373668</v>
      </c>
      <c r="F115" s="336">
        <f>Gasto_o_ing_total!E115*1000/Gasto_o_ing_total!E$479</f>
        <v>50.286435911971218</v>
      </c>
      <c r="G115" s="336">
        <f>Gasto_o_ing_total!F115*1000/Gasto_o_ing_total!F$479</f>
        <v>58.720487755179654</v>
      </c>
      <c r="H115" s="336">
        <f>Gasto_o_ing_total!G115*1000/Gasto_o_ing_total!G$479</f>
        <v>30.003602520138905</v>
      </c>
      <c r="I115" s="336">
        <f>Gasto_o_ing_total!H115*1000/Gasto_o_ing_total!H$479</f>
        <v>22.245491529051542</v>
      </c>
      <c r="J115" s="336">
        <f>Gasto_o_ing_total!I115*1000/Gasto_o_ing_total!I$479</f>
        <v>45.55320259134772</v>
      </c>
      <c r="K115" s="336">
        <f>Gasto_o_ing_total!J115*1000/Gasto_o_ing_total!J$479</f>
        <v>32.008586814871983</v>
      </c>
      <c r="L115" s="336">
        <f>Gasto_o_ing_total!K115*1000/Gasto_o_ing_total!K$479</f>
        <v>34.65616999102069</v>
      </c>
      <c r="M115" s="336">
        <f>Gasto_o_ing_total!L115*1000/Gasto_o_ing_total!L$479</f>
        <v>36.40178807133735</v>
      </c>
      <c r="N115" s="336">
        <f>Gasto_o_ing_total!M115*1000/Gasto_o_ing_total!M$479</f>
        <v>29.880647228056596</v>
      </c>
      <c r="O115" s="336">
        <f>Gasto_o_ing_total!N115*1000/Gasto_o_ing_total!N$479</f>
        <v>27.69557222699212</v>
      </c>
      <c r="P115" s="336">
        <f>Gasto_o_ing_total!O115*1000/Gasto_o_ing_total!O$479</f>
        <v>41.402232423360751</v>
      </c>
      <c r="Q115" s="336">
        <f>Gasto_o_ing_total!P115*1000/Gasto_o_ing_total!P$479</f>
        <v>28.112712974086236</v>
      </c>
      <c r="R115" s="336">
        <f>Gasto_o_ing_total!Q115*1000/Gasto_o_ing_total!Q$479</f>
        <v>31.364529255662138</v>
      </c>
      <c r="S115" s="336">
        <f>Gasto_o_ing_total!R115*1000/Gasto_o_ing_total!R$479</f>
        <v>0</v>
      </c>
      <c r="T115" s="336">
        <f>Gasto_o_ing_total!S115*1000/Gasto_o_ing_total!S$479</f>
        <v>0</v>
      </c>
      <c r="U115" s="336">
        <f>Gasto_o_ing_total!T115*1000/Gasto_o_ing_total!T$479</f>
        <v>30.780791508652488</v>
      </c>
      <c r="V115" s="336">
        <f>Gasto_o_ing_total!U115*1000/Gasto_o_ing_total!U$479</f>
        <v>0</v>
      </c>
      <c r="W115" s="105"/>
    </row>
    <row r="116" spans="1:23" s="102" customFormat="1">
      <c r="A116" s="355"/>
      <c r="B116" s="115" t="s">
        <v>960</v>
      </c>
      <c r="C116" s="333" t="str">
        <f>VLOOKUP(B116,Tot_res!C:D,2,FALSE)</f>
        <v>Sucesiones y donaciones, ingresos homogeneizados de las CCAARC</v>
      </c>
      <c r="D116" s="336">
        <f>Gasto_o_ing_total!V116*1000/Gasto_o_ing_total!V$479</f>
        <v>45.214368253994479</v>
      </c>
      <c r="E116" s="336">
        <f>Gasto_o_ing_total!D116*1000/Gasto_o_ing_total!D$479</f>
        <v>28.803475044049215</v>
      </c>
      <c r="F116" s="336">
        <f>Gasto_o_ing_total!E116*1000/Gasto_o_ing_total!E$479</f>
        <v>70.520771343541739</v>
      </c>
      <c r="G116" s="336">
        <f>Gasto_o_ing_total!F116*1000/Gasto_o_ing_total!F$479</f>
        <v>69.653160092506056</v>
      </c>
      <c r="H116" s="336">
        <f>Gasto_o_ing_total!G116*1000/Gasto_o_ing_total!G$479</f>
        <v>39.238735586480551</v>
      </c>
      <c r="I116" s="336">
        <f>Gasto_o_ing_total!H116*1000/Gasto_o_ing_total!H$479</f>
        <v>26.076849052240334</v>
      </c>
      <c r="J116" s="336">
        <f>Gasto_o_ing_total!I116*1000/Gasto_o_ing_total!I$479</f>
        <v>73.658545784288222</v>
      </c>
      <c r="K116" s="336">
        <f>Gasto_o_ing_total!J116*1000/Gasto_o_ing_total!J$479</f>
        <v>63.240855004094421</v>
      </c>
      <c r="L116" s="336">
        <f>Gasto_o_ing_total!K116*1000/Gasto_o_ing_total!K$479</f>
        <v>33.566435488519026</v>
      </c>
      <c r="M116" s="336">
        <f>Gasto_o_ing_total!L116*1000/Gasto_o_ing_total!L$479</f>
        <v>57.03983377006729</v>
      </c>
      <c r="N116" s="336">
        <f>Gasto_o_ing_total!M116*1000/Gasto_o_ing_total!M$479</f>
        <v>44.349293383029689</v>
      </c>
      <c r="O116" s="336">
        <f>Gasto_o_ing_total!N116*1000/Gasto_o_ing_total!N$479</f>
        <v>34.010211159500187</v>
      </c>
      <c r="P116" s="336">
        <f>Gasto_o_ing_total!O116*1000/Gasto_o_ing_total!O$479</f>
        <v>64.127025577404893</v>
      </c>
      <c r="Q116" s="336">
        <f>Gasto_o_ing_total!P116*1000/Gasto_o_ing_total!P$479</f>
        <v>63.340913832837558</v>
      </c>
      <c r="R116" s="336">
        <f>Gasto_o_ing_total!Q116*1000/Gasto_o_ing_total!Q$479</f>
        <v>28.491295894114504</v>
      </c>
      <c r="S116" s="336">
        <f>Gasto_o_ing_total!R116*1000/Gasto_o_ing_total!R$479</f>
        <v>0</v>
      </c>
      <c r="T116" s="336">
        <f>Gasto_o_ing_total!S116*1000/Gasto_o_ing_total!S$479</f>
        <v>0</v>
      </c>
      <c r="U116" s="336">
        <f>Gasto_o_ing_total!T116*1000/Gasto_o_ing_total!T$479</f>
        <v>64.304949327603566</v>
      </c>
      <c r="V116" s="336">
        <f>Gasto_o_ing_total!U116*1000/Gasto_o_ing_total!U$479</f>
        <v>0</v>
      </c>
      <c r="W116" s="105"/>
    </row>
    <row r="117" spans="1:23" s="102" customFormat="1">
      <c r="A117" s="355"/>
      <c r="B117" s="115" t="s">
        <v>961</v>
      </c>
      <c r="C117" s="333" t="str">
        <f>VLOOKUP(B117,Tot_res!C:D,2,FALSE)</f>
        <v>ITP y AJD, ingresos homogeneizados de las CCAARC</v>
      </c>
      <c r="D117" s="336">
        <f>Gasto_o_ing_total!V117*1000/Gasto_o_ing_total!V$479</f>
        <v>104.32709607262632</v>
      </c>
      <c r="E117" s="336">
        <f>Gasto_o_ing_total!D117*1000/Gasto_o_ing_total!D$479</f>
        <v>113.6061201245938</v>
      </c>
      <c r="F117" s="336">
        <f>Gasto_o_ing_total!E117*1000/Gasto_o_ing_total!E$479</f>
        <v>90.216217935405894</v>
      </c>
      <c r="G117" s="336">
        <f>Gasto_o_ing_total!F117*1000/Gasto_o_ing_total!F$479</f>
        <v>67.597268895707046</v>
      </c>
      <c r="H117" s="336">
        <f>Gasto_o_ing_total!G117*1000/Gasto_o_ing_total!G$479</f>
        <v>240.72914297028163</v>
      </c>
      <c r="I117" s="336">
        <f>Gasto_o_ing_total!H117*1000/Gasto_o_ing_total!H$479</f>
        <v>101.53393918265905</v>
      </c>
      <c r="J117" s="336">
        <f>Gasto_o_ing_total!I117*1000/Gasto_o_ing_total!I$479</f>
        <v>108.37971511622048</v>
      </c>
      <c r="K117" s="336">
        <f>Gasto_o_ing_total!J117*1000/Gasto_o_ing_total!J$479</f>
        <v>80.907144643880159</v>
      </c>
      <c r="L117" s="336">
        <f>Gasto_o_ing_total!K117*1000/Gasto_o_ing_total!K$479</f>
        <v>111.20930778718703</v>
      </c>
      <c r="M117" s="336">
        <f>Gasto_o_ing_total!L117*1000/Gasto_o_ing_total!L$479</f>
        <v>121.39911567620183</v>
      </c>
      <c r="N117" s="336">
        <f>Gasto_o_ing_total!M117*1000/Gasto_o_ing_total!M$479</f>
        <v>125.27081525779043</v>
      </c>
      <c r="O117" s="336">
        <f>Gasto_o_ing_total!N117*1000/Gasto_o_ing_total!N$479</f>
        <v>62.010802141543017</v>
      </c>
      <c r="P117" s="336">
        <f>Gasto_o_ing_total!O117*1000/Gasto_o_ing_total!O$479</f>
        <v>63.78855301977449</v>
      </c>
      <c r="Q117" s="336">
        <f>Gasto_o_ing_total!P117*1000/Gasto_o_ing_total!P$479</f>
        <v>121.95020058315099</v>
      </c>
      <c r="R117" s="336">
        <f>Gasto_o_ing_total!Q117*1000/Gasto_o_ing_total!Q$479</f>
        <v>104.40656660185843</v>
      </c>
      <c r="S117" s="336">
        <f>Gasto_o_ing_total!R117*1000/Gasto_o_ing_total!R$479</f>
        <v>0</v>
      </c>
      <c r="T117" s="336">
        <f>Gasto_o_ing_total!S117*1000/Gasto_o_ing_total!S$479</f>
        <v>0</v>
      </c>
      <c r="U117" s="336">
        <f>Gasto_o_ing_total!T117*1000/Gasto_o_ing_total!T$479</f>
        <v>102.17322461230304</v>
      </c>
      <c r="V117" s="336">
        <f>Gasto_o_ing_total!U117*1000/Gasto_o_ing_total!U$479</f>
        <v>0</v>
      </c>
      <c r="W117" s="105"/>
    </row>
    <row r="118" spans="1:23" s="102" customFormat="1">
      <c r="A118" s="355"/>
      <c r="B118" s="115" t="s">
        <v>962</v>
      </c>
      <c r="C118" s="333" t="str">
        <f>VLOOKUP(B118,Tot_res!C:D,2,FALSE)</f>
        <v>Tasas sobre el juego, ingresos homogeneizados de las CCAARC</v>
      </c>
      <c r="D118" s="336">
        <f>Gasto_o_ing_total!V118*1000/Gasto_o_ing_total!V$479</f>
        <v>22.131769157523607</v>
      </c>
      <c r="E118" s="336">
        <f>Gasto_o_ing_total!D118*1000/Gasto_o_ing_total!D$479</f>
        <v>18.408423449498329</v>
      </c>
      <c r="F118" s="336">
        <f>Gasto_o_ing_total!E118*1000/Gasto_o_ing_total!E$479</f>
        <v>21.987715125921852</v>
      </c>
      <c r="G118" s="336">
        <f>Gasto_o_ing_total!F118*1000/Gasto_o_ing_total!F$479</f>
        <v>20.031050695930322</v>
      </c>
      <c r="H118" s="336">
        <f>Gasto_o_ing_total!G118*1000/Gasto_o_ing_total!G$479</f>
        <v>34.63147936169397</v>
      </c>
      <c r="I118" s="336">
        <f>Gasto_o_ing_total!H118*1000/Gasto_o_ing_total!H$479</f>
        <v>18.53470653557893</v>
      </c>
      <c r="J118" s="336">
        <f>Gasto_o_ing_total!I118*1000/Gasto_o_ing_total!I$479</f>
        <v>23.946180231917378</v>
      </c>
      <c r="K118" s="336">
        <f>Gasto_o_ing_total!J118*1000/Gasto_o_ing_total!J$479</f>
        <v>24.881077712322483</v>
      </c>
      <c r="L118" s="336">
        <f>Gasto_o_ing_total!K118*1000/Gasto_o_ing_total!K$479</f>
        <v>20.825276859200176</v>
      </c>
      <c r="M118" s="336">
        <f>Gasto_o_ing_total!L118*1000/Gasto_o_ing_total!L$479</f>
        <v>19.555316969017014</v>
      </c>
      <c r="N118" s="336">
        <f>Gasto_o_ing_total!M118*1000/Gasto_o_ing_total!M$479</f>
        <v>28.450209037466792</v>
      </c>
      <c r="O118" s="336">
        <f>Gasto_o_ing_total!N118*1000/Gasto_o_ing_total!N$479</f>
        <v>16.724315710487318</v>
      </c>
      <c r="P118" s="336">
        <f>Gasto_o_ing_total!O118*1000/Gasto_o_ing_total!O$479</f>
        <v>18.229733034878532</v>
      </c>
      <c r="Q118" s="336">
        <f>Gasto_o_ing_total!P118*1000/Gasto_o_ing_total!P$479</f>
        <v>38.317838901226594</v>
      </c>
      <c r="R118" s="336">
        <f>Gasto_o_ing_total!Q118*1000/Gasto_o_ing_total!Q$479</f>
        <v>15.414806785861318</v>
      </c>
      <c r="S118" s="336">
        <f>Gasto_o_ing_total!R118*1000/Gasto_o_ing_total!R$479</f>
        <v>0</v>
      </c>
      <c r="T118" s="336">
        <f>Gasto_o_ing_total!S118*1000/Gasto_o_ing_total!S$479</f>
        <v>0</v>
      </c>
      <c r="U118" s="336">
        <f>Gasto_o_ing_total!T118*1000/Gasto_o_ing_total!T$479</f>
        <v>15.787979780387738</v>
      </c>
      <c r="V118" s="336">
        <f>Gasto_o_ing_total!U118*1000/Gasto_o_ing_total!U$479</f>
        <v>0</v>
      </c>
      <c r="W118" s="105"/>
    </row>
    <row r="119" spans="1:23" s="102" customFormat="1">
      <c r="A119" s="355"/>
      <c r="B119" s="115" t="s">
        <v>963</v>
      </c>
      <c r="C119" s="333" t="str">
        <f>VLOOKUP(B119,Tot_res!C:D,2,FALSE)</f>
        <v>Impuesto sobre la venta minorista de hidrocarburos (IVMH),  sin ejercicio capacidad normativa</v>
      </c>
      <c r="D119" s="336">
        <f>Gasto_o_ing_total!V119*1000/Gasto_o_ing_total!V$479</f>
        <v>3.8199544874457518</v>
      </c>
      <c r="E119" s="336">
        <f>Gasto_o_ing_total!D119*1000/Gasto_o_ing_total!D$479</f>
        <v>3.6288982612844034</v>
      </c>
      <c r="F119" s="336">
        <f>Gasto_o_ing_total!E119*1000/Gasto_o_ing_total!E$479</f>
        <v>6.407122825332503</v>
      </c>
      <c r="G119" s="336">
        <f>Gasto_o_ing_total!F119*1000/Gasto_o_ing_total!F$479</f>
        <v>4.2044845794750136</v>
      </c>
      <c r="H119" s="336">
        <f>Gasto_o_ing_total!G119*1000/Gasto_o_ing_total!G$479</f>
        <v>3.4688386522421397</v>
      </c>
      <c r="I119" s="336">
        <f>Gasto_o_ing_total!H119*1000/Gasto_o_ing_total!H$479</f>
        <v>0</v>
      </c>
      <c r="J119" s="336">
        <f>Gasto_o_ing_total!I119*1000/Gasto_o_ing_total!I$479</f>
        <v>4.804649381979833</v>
      </c>
      <c r="K119" s="336">
        <f>Gasto_o_ing_total!J119*1000/Gasto_o_ing_total!J$479</f>
        <v>5.9775279106380985</v>
      </c>
      <c r="L119" s="336">
        <f>Gasto_o_ing_total!K119*1000/Gasto_o_ing_total!K$479</f>
        <v>5.5986624586175404</v>
      </c>
      <c r="M119" s="336">
        <f>Gasto_o_ing_total!L119*1000/Gasto_o_ing_total!L$479</f>
        <v>4.1392815138881911</v>
      </c>
      <c r="N119" s="336">
        <f>Gasto_o_ing_total!M119*1000/Gasto_o_ing_total!M$479</f>
        <v>3.8638914504382447</v>
      </c>
      <c r="O119" s="336">
        <f>Gasto_o_ing_total!N119*1000/Gasto_o_ing_total!N$479</f>
        <v>5.0224174954484315</v>
      </c>
      <c r="P119" s="336">
        <f>Gasto_o_ing_total!O119*1000/Gasto_o_ing_total!O$479</f>
        <v>5.0295187260806928</v>
      </c>
      <c r="Q119" s="336">
        <f>Gasto_o_ing_total!P119*1000/Gasto_o_ing_total!P$479</f>
        <v>3.5808936083430485</v>
      </c>
      <c r="R119" s="336">
        <f>Gasto_o_ing_total!Q119*1000/Gasto_o_ing_total!Q$479</f>
        <v>5.0369343015522645</v>
      </c>
      <c r="S119" s="336">
        <f>Gasto_o_ing_total!R119*1000/Gasto_o_ing_total!R$479</f>
        <v>0</v>
      </c>
      <c r="T119" s="336">
        <f>Gasto_o_ing_total!S119*1000/Gasto_o_ing_total!S$479</f>
        <v>0</v>
      </c>
      <c r="U119" s="336">
        <f>Gasto_o_ing_total!T119*1000/Gasto_o_ing_total!T$479</f>
        <v>5.1511554079456623</v>
      </c>
      <c r="V119" s="336">
        <f>Gasto_o_ing_total!U119*1000/Gasto_o_ing_total!U$479</f>
        <v>0</v>
      </c>
      <c r="W119" s="105"/>
    </row>
    <row r="120" spans="1:23" s="102" customFormat="1">
      <c r="A120" s="355"/>
      <c r="B120" s="115" t="s">
        <v>964</v>
      </c>
      <c r="C120" s="333" t="str">
        <f>VLOOKUP(B120,Tot_res!C:D,2,FALSE)</f>
        <v>Impuesto de matriculación, ingresos de las CCAARC sin ej cap normativa</v>
      </c>
      <c r="D120" s="336">
        <f>Gasto_o_ing_total!V120*1000/Gasto_o_ing_total!V$479</f>
        <v>6.2894407951921849</v>
      </c>
      <c r="E120" s="336">
        <f>Gasto_o_ing_total!D120*1000/Gasto_o_ing_total!D$479</f>
        <v>3.8110126076102837</v>
      </c>
      <c r="F120" s="336">
        <f>Gasto_o_ing_total!E120*1000/Gasto_o_ing_total!E$479</f>
        <v>4.259349269513776</v>
      </c>
      <c r="G120" s="336">
        <f>Gasto_o_ing_total!F120*1000/Gasto_o_ing_total!F$479</f>
        <v>4.4451038324895622</v>
      </c>
      <c r="H120" s="336">
        <f>Gasto_o_ing_total!G120*1000/Gasto_o_ing_total!G$479</f>
        <v>12.095628400499116</v>
      </c>
      <c r="I120" s="336">
        <f>Gasto_o_ing_total!H120*1000/Gasto_o_ing_total!H$479</f>
        <v>0</v>
      </c>
      <c r="J120" s="336">
        <f>Gasto_o_ing_total!I120*1000/Gasto_o_ing_total!I$479</f>
        <v>5.9482916350428274</v>
      </c>
      <c r="K120" s="336">
        <f>Gasto_o_ing_total!J120*1000/Gasto_o_ing_total!J$479</f>
        <v>4.1892808392983376</v>
      </c>
      <c r="L120" s="336">
        <f>Gasto_o_ing_total!K120*1000/Gasto_o_ing_total!K$479</f>
        <v>3.457811484279989</v>
      </c>
      <c r="M120" s="336">
        <f>Gasto_o_ing_total!L120*1000/Gasto_o_ing_total!L$479</f>
        <v>6.5999436193722456</v>
      </c>
      <c r="N120" s="336">
        <f>Gasto_o_ing_total!M120*1000/Gasto_o_ing_total!M$479</f>
        <v>6.2528700690476873</v>
      </c>
      <c r="O120" s="336">
        <f>Gasto_o_ing_total!N120*1000/Gasto_o_ing_total!N$479</f>
        <v>2.8524674674038724</v>
      </c>
      <c r="P120" s="336">
        <f>Gasto_o_ing_total!O120*1000/Gasto_o_ing_total!O$479</f>
        <v>4.2554693102988681</v>
      </c>
      <c r="Q120" s="336">
        <f>Gasto_o_ing_total!P120*1000/Gasto_o_ing_total!P$479</f>
        <v>17.463661557757067</v>
      </c>
      <c r="R120" s="336">
        <f>Gasto_o_ing_total!Q120*1000/Gasto_o_ing_total!Q$479</f>
        <v>4.775030649566653</v>
      </c>
      <c r="S120" s="336">
        <f>Gasto_o_ing_total!R120*1000/Gasto_o_ing_total!R$479</f>
        <v>0</v>
      </c>
      <c r="T120" s="336">
        <f>Gasto_o_ing_total!S120*1000/Gasto_o_ing_total!S$479</f>
        <v>0</v>
      </c>
      <c r="U120" s="336">
        <f>Gasto_o_ing_total!T120*1000/Gasto_o_ing_total!T$479</f>
        <v>5.5884523165098612</v>
      </c>
      <c r="V120" s="336">
        <f>Gasto_o_ing_total!U120*1000/Gasto_o_ing_total!U$479</f>
        <v>0</v>
      </c>
      <c r="W120" s="105"/>
    </row>
    <row r="121" spans="1:23" s="102" customFormat="1">
      <c r="A121" s="355"/>
      <c r="B121" s="115" t="s">
        <v>965</v>
      </c>
      <c r="C121" s="333" t="str">
        <f>VLOOKUP(B121,Tot_res!C:D,2,FALSE)</f>
        <v>Recursos REF de la comunidad autónoma de Canarias, neto de compensación por supresión del IGTE</v>
      </c>
      <c r="D121" s="336">
        <f>Gasto_o_ing_total!V121*1000/Gasto_o_ing_total!V$479</f>
        <v>16.818800219652239</v>
      </c>
      <c r="E121" s="336">
        <f>Gasto_o_ing_total!D121*1000/Gasto_o_ing_total!D$479</f>
        <v>0</v>
      </c>
      <c r="F121" s="336">
        <f>Gasto_o_ing_total!E121*1000/Gasto_o_ing_total!E$479</f>
        <v>0</v>
      </c>
      <c r="G121" s="336">
        <f>Gasto_o_ing_total!F121*1000/Gasto_o_ing_total!F$479</f>
        <v>0</v>
      </c>
      <c r="H121" s="336">
        <f>Gasto_o_ing_total!G121*1000/Gasto_o_ing_total!G$479</f>
        <v>0</v>
      </c>
      <c r="I121" s="336">
        <f>Gasto_o_ing_total!H121*1000/Gasto_o_ing_total!H$479</f>
        <v>373.93310963784774</v>
      </c>
      <c r="J121" s="336">
        <f>Gasto_o_ing_total!I121*1000/Gasto_o_ing_total!I$479</f>
        <v>0</v>
      </c>
      <c r="K121" s="336">
        <f>Gasto_o_ing_total!J121*1000/Gasto_o_ing_total!J$479</f>
        <v>0</v>
      </c>
      <c r="L121" s="336">
        <f>Gasto_o_ing_total!K121*1000/Gasto_o_ing_total!K$479</f>
        <v>0</v>
      </c>
      <c r="M121" s="336">
        <f>Gasto_o_ing_total!L121*1000/Gasto_o_ing_total!L$479</f>
        <v>0</v>
      </c>
      <c r="N121" s="336">
        <f>Gasto_o_ing_total!M121*1000/Gasto_o_ing_total!M$479</f>
        <v>0</v>
      </c>
      <c r="O121" s="336">
        <f>Gasto_o_ing_total!N121*1000/Gasto_o_ing_total!N$479</f>
        <v>0</v>
      </c>
      <c r="P121" s="336">
        <f>Gasto_o_ing_total!O121*1000/Gasto_o_ing_total!O$479</f>
        <v>0</v>
      </c>
      <c r="Q121" s="336">
        <f>Gasto_o_ing_total!P121*1000/Gasto_o_ing_total!P$479</f>
        <v>0</v>
      </c>
      <c r="R121" s="336">
        <f>Gasto_o_ing_total!Q121*1000/Gasto_o_ing_total!Q$479</f>
        <v>0</v>
      </c>
      <c r="S121" s="336">
        <f>Gasto_o_ing_total!R121*1000/Gasto_o_ing_total!R$479</f>
        <v>0</v>
      </c>
      <c r="T121" s="336">
        <f>Gasto_o_ing_total!S121*1000/Gasto_o_ing_total!S$479</f>
        <v>0</v>
      </c>
      <c r="U121" s="336">
        <f>Gasto_o_ing_total!T121*1000/Gasto_o_ing_total!T$479</f>
        <v>0</v>
      </c>
      <c r="V121" s="336">
        <f>Gasto_o_ing_total!U121*1000/Gasto_o_ing_total!U$479</f>
        <v>0</v>
      </c>
      <c r="W121" s="114"/>
    </row>
    <row r="122" spans="1:23" s="102" customFormat="1">
      <c r="A122" s="356"/>
      <c r="B122" s="115"/>
      <c r="C122" s="138"/>
      <c r="D122" s="110"/>
      <c r="E122" s="110"/>
      <c r="F122" s="110"/>
      <c r="G122" s="110"/>
      <c r="H122" s="110"/>
      <c r="I122" s="110"/>
      <c r="J122" s="110"/>
      <c r="K122" s="110"/>
      <c r="L122" s="110"/>
      <c r="M122" s="110"/>
      <c r="N122" s="110"/>
      <c r="O122" s="110"/>
      <c r="P122" s="110"/>
      <c r="Q122" s="110"/>
      <c r="R122" s="110"/>
      <c r="S122" s="110"/>
      <c r="T122" s="110"/>
      <c r="U122" s="110"/>
      <c r="V122" s="110"/>
      <c r="W122" s="105"/>
    </row>
    <row r="123" spans="1:23" s="102" customFormat="1">
      <c r="A123" s="356"/>
      <c r="B123" s="115"/>
      <c r="C123" s="128" t="s">
        <v>36</v>
      </c>
      <c r="D123" s="113">
        <f>Gasto_o_ing_total!V123*1000/Gasto_o_ing_total!V$479</f>
        <v>-110.50668594054675</v>
      </c>
      <c r="E123" s="113">
        <f>Gasto_o_ing_total!D123*1000/Gasto_o_ing_total!D$479</f>
        <v>-97.751316143532662</v>
      </c>
      <c r="F123" s="113">
        <f>Gasto_o_ing_total!E123*1000/Gasto_o_ing_total!E$479</f>
        <v>-64.383901111146017</v>
      </c>
      <c r="G123" s="113">
        <f>Gasto_o_ing_total!F123*1000/Gasto_o_ing_total!F$479</f>
        <v>-70.510566706084077</v>
      </c>
      <c r="H123" s="113">
        <f>Gasto_o_ing_total!G123*1000/Gasto_o_ing_total!G$479</f>
        <v>-51.221178998140324</v>
      </c>
      <c r="I123" s="113">
        <f>Gasto_o_ing_total!H123*1000/Gasto_o_ing_total!H$479</f>
        <v>-125.2592504867483</v>
      </c>
      <c r="J123" s="113">
        <f>Gasto_o_ing_total!I123*1000/Gasto_o_ing_total!I$479</f>
        <v>-216.41296646958781</v>
      </c>
      <c r="K123" s="113">
        <f>Gasto_o_ing_total!J123*1000/Gasto_o_ing_total!J$479</f>
        <v>-6.2318819490051451</v>
      </c>
      <c r="L123" s="113">
        <f>Gasto_o_ing_total!K123*1000/Gasto_o_ing_total!K$479</f>
        <v>-5.4308014301451868</v>
      </c>
      <c r="M123" s="113">
        <f>Gasto_o_ing_total!L123*1000/Gasto_o_ing_total!L$479</f>
        <v>-290.43090641445298</v>
      </c>
      <c r="N123" s="113">
        <f>Gasto_o_ing_total!M123*1000/Gasto_o_ing_total!M$479</f>
        <v>-42.386377274209785</v>
      </c>
      <c r="O123" s="113">
        <f>Gasto_o_ing_total!N123*1000/Gasto_o_ing_total!N$479</f>
        <v>-6.9473511946453455</v>
      </c>
      <c r="P123" s="113">
        <f>Gasto_o_ing_total!O123*1000/Gasto_o_ing_total!O$479</f>
        <v>-81.668495526192117</v>
      </c>
      <c r="Q123" s="113">
        <f>Gasto_o_ing_total!P123*1000/Gasto_o_ing_total!P$479</f>
        <v>-155.08354755467181</v>
      </c>
      <c r="R123" s="113">
        <f>Gasto_o_ing_total!Q123*1000/Gasto_o_ing_total!Q$479</f>
        <v>-12.5397280216515</v>
      </c>
      <c r="S123" s="113">
        <f>Gasto_o_ing_total!R123*1000/Gasto_o_ing_total!R$479</f>
        <v>0</v>
      </c>
      <c r="T123" s="113">
        <f>Gasto_o_ing_total!S123*1000/Gasto_o_ing_total!S$479</f>
        <v>0</v>
      </c>
      <c r="U123" s="113">
        <f>Gasto_o_ing_total!T123*1000/Gasto_o_ing_total!T$479</f>
        <v>-216.59706945097369</v>
      </c>
      <c r="V123" s="113">
        <f>Gasto_o_ing_total!U123*1000/Gasto_o_ing_total!U$479</f>
        <v>0</v>
      </c>
      <c r="W123" s="105"/>
    </row>
    <row r="124" spans="1:23" s="102" customFormat="1">
      <c r="A124" s="355"/>
      <c r="B124" s="115" t="s">
        <v>966</v>
      </c>
      <c r="C124" s="333" t="str">
        <f>VLOOKUP(B124,Tot_res!C:D,2,FALSE)</f>
        <v>Financiación para competencias no homogéneas de las comunidades de régimen común (caja)</v>
      </c>
      <c r="D124" s="336">
        <f>Gasto_o_ing_total!V124*1000/Gasto_o_ing_total!V$479</f>
        <v>-110.50668594054675</v>
      </c>
      <c r="E124" s="336">
        <f>Gasto_o_ing_total!D124*1000/Gasto_o_ing_total!D$479</f>
        <v>-97.751316143532662</v>
      </c>
      <c r="F124" s="336">
        <f>Gasto_o_ing_total!E124*1000/Gasto_o_ing_total!E$479</f>
        <v>-64.383901111146017</v>
      </c>
      <c r="G124" s="336">
        <f>Gasto_o_ing_total!F124*1000/Gasto_o_ing_total!F$479</f>
        <v>-70.510566706084077</v>
      </c>
      <c r="H124" s="336">
        <f>Gasto_o_ing_total!G124*1000/Gasto_o_ing_total!G$479</f>
        <v>-51.221178998140324</v>
      </c>
      <c r="I124" s="336">
        <f>Gasto_o_ing_total!H124*1000/Gasto_o_ing_total!H$479</f>
        <v>-125.2592504867483</v>
      </c>
      <c r="J124" s="336">
        <f>Gasto_o_ing_total!I124*1000/Gasto_o_ing_total!I$479</f>
        <v>-216.41296646958781</v>
      </c>
      <c r="K124" s="336">
        <f>Gasto_o_ing_total!J124*1000/Gasto_o_ing_total!J$479</f>
        <v>-6.2318819490051451</v>
      </c>
      <c r="L124" s="336">
        <f>Gasto_o_ing_total!K124*1000/Gasto_o_ing_total!K$479</f>
        <v>-5.4308014301451868</v>
      </c>
      <c r="M124" s="336">
        <f>Gasto_o_ing_total!L124*1000/Gasto_o_ing_total!L$479</f>
        <v>-290.43090641445298</v>
      </c>
      <c r="N124" s="336">
        <f>Gasto_o_ing_total!M124*1000/Gasto_o_ing_total!M$479</f>
        <v>-42.386377274209785</v>
      </c>
      <c r="O124" s="336">
        <f>Gasto_o_ing_total!N124*1000/Gasto_o_ing_total!N$479</f>
        <v>-6.9473511946453455</v>
      </c>
      <c r="P124" s="336">
        <f>Gasto_o_ing_total!O124*1000/Gasto_o_ing_total!O$479</f>
        <v>-81.668495526192117</v>
      </c>
      <c r="Q124" s="336">
        <f>Gasto_o_ing_total!P124*1000/Gasto_o_ing_total!P$479</f>
        <v>-155.08354755467181</v>
      </c>
      <c r="R124" s="336">
        <f>Gasto_o_ing_total!Q124*1000/Gasto_o_ing_total!Q$479</f>
        <v>-12.5397280216515</v>
      </c>
      <c r="S124" s="336">
        <f>Gasto_o_ing_total!R124*1000/Gasto_o_ing_total!R$479</f>
        <v>0</v>
      </c>
      <c r="T124" s="336">
        <f>Gasto_o_ing_total!S124*1000/Gasto_o_ing_total!S$479</f>
        <v>0</v>
      </c>
      <c r="U124" s="336">
        <f>Gasto_o_ing_total!T124*1000/Gasto_o_ing_total!T$479</f>
        <v>-216.59706945097369</v>
      </c>
      <c r="V124" s="336">
        <f>Gasto_o_ing_total!U124*1000/Gasto_o_ing_total!U$479</f>
        <v>0</v>
      </c>
      <c r="W124" s="114"/>
    </row>
    <row r="125" spans="1:23" s="102" customFormat="1">
      <c r="A125" s="356"/>
      <c r="B125" s="115"/>
      <c r="C125" s="129"/>
      <c r="D125" s="110"/>
      <c r="E125" s="110"/>
      <c r="F125" s="110"/>
      <c r="G125" s="110"/>
      <c r="H125" s="110"/>
      <c r="I125" s="110"/>
      <c r="J125" s="110"/>
      <c r="K125" s="110"/>
      <c r="L125" s="110"/>
      <c r="M125" s="110"/>
      <c r="N125" s="110"/>
      <c r="O125" s="110"/>
      <c r="P125" s="110"/>
      <c r="Q125" s="110"/>
      <c r="R125" s="110"/>
      <c r="S125" s="110"/>
      <c r="T125" s="110"/>
      <c r="U125" s="110"/>
      <c r="V125" s="110"/>
      <c r="W125" s="105"/>
    </row>
    <row r="126" spans="1:23" s="102" customFormat="1">
      <c r="A126" s="356"/>
      <c r="B126" s="115"/>
      <c r="C126" s="128" t="s">
        <v>70</v>
      </c>
      <c r="D126" s="113">
        <f>Gasto_o_ing_total!V126*1000/Gasto_o_ing_total!V$479</f>
        <v>13.249080203084787</v>
      </c>
      <c r="E126" s="113">
        <f>Gasto_o_ing_total!D126*1000/Gasto_o_ing_total!D$479</f>
        <v>0</v>
      </c>
      <c r="F126" s="113">
        <f>Gasto_o_ing_total!E126*1000/Gasto_o_ing_total!E$479</f>
        <v>0</v>
      </c>
      <c r="G126" s="113">
        <f>Gasto_o_ing_total!F126*1000/Gasto_o_ing_total!F$479</f>
        <v>0</v>
      </c>
      <c r="H126" s="113">
        <f>Gasto_o_ing_total!G126*1000/Gasto_o_ing_total!G$479</f>
        <v>0</v>
      </c>
      <c r="I126" s="113">
        <f>Gasto_o_ing_total!H126*1000/Gasto_o_ing_total!H$479</f>
        <v>0</v>
      </c>
      <c r="J126" s="113">
        <f>Gasto_o_ing_total!I126*1000/Gasto_o_ing_total!I$479</f>
        <v>0</v>
      </c>
      <c r="K126" s="113">
        <f>Gasto_o_ing_total!J126*1000/Gasto_o_ing_total!J$479</f>
        <v>0</v>
      </c>
      <c r="L126" s="113">
        <f>Gasto_o_ing_total!K126*1000/Gasto_o_ing_total!K$479</f>
        <v>0</v>
      </c>
      <c r="M126" s="113">
        <f>Gasto_o_ing_total!L126*1000/Gasto_o_ing_total!L$479</f>
        <v>0</v>
      </c>
      <c r="N126" s="113">
        <f>Gasto_o_ing_total!M126*1000/Gasto_o_ing_total!M$479</f>
        <v>0</v>
      </c>
      <c r="O126" s="113">
        <f>Gasto_o_ing_total!N126*1000/Gasto_o_ing_total!N$479</f>
        <v>0</v>
      </c>
      <c r="P126" s="113">
        <f>Gasto_o_ing_total!O126*1000/Gasto_o_ing_total!O$479</f>
        <v>0</v>
      </c>
      <c r="Q126" s="113">
        <f>Gasto_o_ing_total!P126*1000/Gasto_o_ing_total!P$479</f>
        <v>0</v>
      </c>
      <c r="R126" s="113">
        <f>Gasto_o_ing_total!Q126*1000/Gasto_o_ing_total!Q$479</f>
        <v>0</v>
      </c>
      <c r="S126" s="113">
        <f>Gasto_o_ing_total!R126*1000/Gasto_o_ing_total!R$479</f>
        <v>0</v>
      </c>
      <c r="T126" s="113">
        <f>Gasto_o_ing_total!S126*1000/Gasto_o_ing_total!S$479</f>
        <v>0</v>
      </c>
      <c r="U126" s="113">
        <f>Gasto_o_ing_total!T126*1000/Gasto_o_ing_total!T$479</f>
        <v>0</v>
      </c>
      <c r="V126" s="113">
        <f>Gasto_o_ing_total!U126*1000/Gasto_o_ing_total!U$479</f>
        <v>3688.0794324737712</v>
      </c>
      <c r="W126" s="105"/>
    </row>
    <row r="127" spans="1:23" s="102" customFormat="1">
      <c r="A127" s="355"/>
      <c r="B127" s="115" t="s">
        <v>967</v>
      </c>
      <c r="C127" s="333" t="str">
        <f>VLOOKUP(B127,Tot_res!C:D,2,FALSE)</f>
        <v>Dirección y Servicios Generales de la Educación, gasto directo en Ceuta y Melilla</v>
      </c>
      <c r="D127" s="336">
        <f>Gasto_o_ing_total!V127*1000/Gasto_o_ing_total!V$479</f>
        <v>0.11303890024073752</v>
      </c>
      <c r="E127" s="336">
        <f>Gasto_o_ing_total!D127*1000/Gasto_o_ing_total!D$479</f>
        <v>0</v>
      </c>
      <c r="F127" s="336">
        <f>Gasto_o_ing_total!E127*1000/Gasto_o_ing_total!E$479</f>
        <v>0</v>
      </c>
      <c r="G127" s="336">
        <f>Gasto_o_ing_total!F127*1000/Gasto_o_ing_total!F$479</f>
        <v>0</v>
      </c>
      <c r="H127" s="336">
        <f>Gasto_o_ing_total!G127*1000/Gasto_o_ing_total!G$479</f>
        <v>0</v>
      </c>
      <c r="I127" s="336">
        <f>Gasto_o_ing_total!H127*1000/Gasto_o_ing_total!H$479</f>
        <v>0</v>
      </c>
      <c r="J127" s="336">
        <f>Gasto_o_ing_total!I127*1000/Gasto_o_ing_total!I$479</f>
        <v>0</v>
      </c>
      <c r="K127" s="336">
        <f>Gasto_o_ing_total!J127*1000/Gasto_o_ing_total!J$479</f>
        <v>0</v>
      </c>
      <c r="L127" s="336">
        <f>Gasto_o_ing_total!K127*1000/Gasto_o_ing_total!K$479</f>
        <v>0</v>
      </c>
      <c r="M127" s="336">
        <f>Gasto_o_ing_total!L127*1000/Gasto_o_ing_total!L$479</f>
        <v>0</v>
      </c>
      <c r="N127" s="336">
        <f>Gasto_o_ing_total!M127*1000/Gasto_o_ing_total!M$479</f>
        <v>0</v>
      </c>
      <c r="O127" s="336">
        <f>Gasto_o_ing_total!N127*1000/Gasto_o_ing_total!N$479</f>
        <v>0</v>
      </c>
      <c r="P127" s="336">
        <f>Gasto_o_ing_total!O127*1000/Gasto_o_ing_total!O$479</f>
        <v>0</v>
      </c>
      <c r="Q127" s="336">
        <f>Gasto_o_ing_total!P127*1000/Gasto_o_ing_total!P$479</f>
        <v>0</v>
      </c>
      <c r="R127" s="336">
        <f>Gasto_o_ing_total!Q127*1000/Gasto_o_ing_total!Q$479</f>
        <v>0</v>
      </c>
      <c r="S127" s="336">
        <f>Gasto_o_ing_total!R127*1000/Gasto_o_ing_total!R$479</f>
        <v>0</v>
      </c>
      <c r="T127" s="336">
        <f>Gasto_o_ing_total!S127*1000/Gasto_o_ing_total!S$479</f>
        <v>0</v>
      </c>
      <c r="U127" s="336">
        <f>Gasto_o_ing_total!T127*1000/Gasto_o_ing_total!T$479</f>
        <v>0</v>
      </c>
      <c r="V127" s="336">
        <f>Gasto_o_ing_total!U127*1000/Gasto_o_ing_total!U$479</f>
        <v>31.46606682554857</v>
      </c>
      <c r="W127" s="105"/>
    </row>
    <row r="128" spans="1:23" s="102" customFormat="1">
      <c r="A128" s="355"/>
      <c r="B128" s="115" t="s">
        <v>968</v>
      </c>
      <c r="C128" s="333" t="str">
        <f>VLOOKUP(B128,Tot_res!C:D,2,FALSE)</f>
        <v>Formación permanente del profesorado de Educación, gasto directo del Estado en Ceuta y Melilla</v>
      </c>
      <c r="D128" s="336">
        <f>Gasto_o_ing_total!V128*1000/Gasto_o_ing_total!V$479</f>
        <v>9.0786210397225918E-3</v>
      </c>
      <c r="E128" s="336">
        <f>Gasto_o_ing_total!D128*1000/Gasto_o_ing_total!D$479</f>
        <v>0</v>
      </c>
      <c r="F128" s="336">
        <f>Gasto_o_ing_total!E128*1000/Gasto_o_ing_total!E$479</f>
        <v>0</v>
      </c>
      <c r="G128" s="336">
        <f>Gasto_o_ing_total!F128*1000/Gasto_o_ing_total!F$479</f>
        <v>0</v>
      </c>
      <c r="H128" s="336">
        <f>Gasto_o_ing_total!G128*1000/Gasto_o_ing_total!G$479</f>
        <v>0</v>
      </c>
      <c r="I128" s="336">
        <f>Gasto_o_ing_total!H128*1000/Gasto_o_ing_total!H$479</f>
        <v>0</v>
      </c>
      <c r="J128" s="336">
        <f>Gasto_o_ing_total!I128*1000/Gasto_o_ing_total!I$479</f>
        <v>0</v>
      </c>
      <c r="K128" s="336">
        <f>Gasto_o_ing_total!J128*1000/Gasto_o_ing_total!J$479</f>
        <v>0</v>
      </c>
      <c r="L128" s="336">
        <f>Gasto_o_ing_total!K128*1000/Gasto_o_ing_total!K$479</f>
        <v>0</v>
      </c>
      <c r="M128" s="336">
        <f>Gasto_o_ing_total!L128*1000/Gasto_o_ing_total!L$479</f>
        <v>0</v>
      </c>
      <c r="N128" s="336">
        <f>Gasto_o_ing_total!M128*1000/Gasto_o_ing_total!M$479</f>
        <v>0</v>
      </c>
      <c r="O128" s="336">
        <f>Gasto_o_ing_total!N128*1000/Gasto_o_ing_total!N$479</f>
        <v>0</v>
      </c>
      <c r="P128" s="336">
        <f>Gasto_o_ing_total!O128*1000/Gasto_o_ing_total!O$479</f>
        <v>0</v>
      </c>
      <c r="Q128" s="336">
        <f>Gasto_o_ing_total!P128*1000/Gasto_o_ing_total!P$479</f>
        <v>0</v>
      </c>
      <c r="R128" s="336">
        <f>Gasto_o_ing_total!Q128*1000/Gasto_o_ing_total!Q$479</f>
        <v>0</v>
      </c>
      <c r="S128" s="336">
        <f>Gasto_o_ing_total!R128*1000/Gasto_o_ing_total!R$479</f>
        <v>0</v>
      </c>
      <c r="T128" s="336">
        <f>Gasto_o_ing_total!S128*1000/Gasto_o_ing_total!S$479</f>
        <v>0</v>
      </c>
      <c r="U128" s="336">
        <f>Gasto_o_ing_total!T128*1000/Gasto_o_ing_total!T$479</f>
        <v>0</v>
      </c>
      <c r="V128" s="336">
        <f>Gasto_o_ing_total!U128*1000/Gasto_o_ing_total!U$479</f>
        <v>2.5271698124394142</v>
      </c>
      <c r="W128" s="105"/>
    </row>
    <row r="129" spans="1:23" s="102" customFormat="1">
      <c r="A129" s="355"/>
      <c r="B129" s="115" t="s">
        <v>969</v>
      </c>
      <c r="C129" s="333" t="str">
        <f>VLOOKUP(B129,Tot_res!C:D,2,FALSE)</f>
        <v xml:space="preserve">Educación infantil y primaria, gasto directo del Estado en Ceuta y Melilla  </v>
      </c>
      <c r="D129" s="336">
        <f>Gasto_o_ing_total!V129*1000/Gasto_o_ing_total!V$479</f>
        <v>1.2062294800645836</v>
      </c>
      <c r="E129" s="336">
        <f>Gasto_o_ing_total!D129*1000/Gasto_o_ing_total!D$479</f>
        <v>0</v>
      </c>
      <c r="F129" s="336">
        <f>Gasto_o_ing_total!E129*1000/Gasto_o_ing_total!E$479</f>
        <v>0</v>
      </c>
      <c r="G129" s="336">
        <f>Gasto_o_ing_total!F129*1000/Gasto_o_ing_total!F$479</f>
        <v>0</v>
      </c>
      <c r="H129" s="336">
        <f>Gasto_o_ing_total!G129*1000/Gasto_o_ing_total!G$479</f>
        <v>0</v>
      </c>
      <c r="I129" s="336">
        <f>Gasto_o_ing_total!H129*1000/Gasto_o_ing_total!H$479</f>
        <v>0</v>
      </c>
      <c r="J129" s="336">
        <f>Gasto_o_ing_total!I129*1000/Gasto_o_ing_total!I$479</f>
        <v>0</v>
      </c>
      <c r="K129" s="336">
        <f>Gasto_o_ing_total!J129*1000/Gasto_o_ing_total!J$479</f>
        <v>0</v>
      </c>
      <c r="L129" s="336">
        <f>Gasto_o_ing_total!K129*1000/Gasto_o_ing_total!K$479</f>
        <v>0</v>
      </c>
      <c r="M129" s="336">
        <f>Gasto_o_ing_total!L129*1000/Gasto_o_ing_total!L$479</f>
        <v>0</v>
      </c>
      <c r="N129" s="336">
        <f>Gasto_o_ing_total!M129*1000/Gasto_o_ing_total!M$479</f>
        <v>0</v>
      </c>
      <c r="O129" s="336">
        <f>Gasto_o_ing_total!N129*1000/Gasto_o_ing_total!N$479</f>
        <v>0</v>
      </c>
      <c r="P129" s="336">
        <f>Gasto_o_ing_total!O129*1000/Gasto_o_ing_total!O$479</f>
        <v>0</v>
      </c>
      <c r="Q129" s="336">
        <f>Gasto_o_ing_total!P129*1000/Gasto_o_ing_total!P$479</f>
        <v>0</v>
      </c>
      <c r="R129" s="336">
        <f>Gasto_o_ing_total!Q129*1000/Gasto_o_ing_total!Q$479</f>
        <v>0</v>
      </c>
      <c r="S129" s="336">
        <f>Gasto_o_ing_total!R129*1000/Gasto_o_ing_total!R$479</f>
        <v>0</v>
      </c>
      <c r="T129" s="336">
        <f>Gasto_o_ing_total!S129*1000/Gasto_o_ing_total!S$479</f>
        <v>0</v>
      </c>
      <c r="U129" s="336">
        <f>Gasto_o_ing_total!T129*1000/Gasto_o_ing_total!T$479</f>
        <v>0</v>
      </c>
      <c r="V129" s="336">
        <f>Gasto_o_ing_total!U129*1000/Gasto_o_ing_total!U$479</f>
        <v>335.77199836362507</v>
      </c>
      <c r="W129" s="105"/>
    </row>
    <row r="130" spans="1:23" s="102" customFormat="1">
      <c r="A130" s="355"/>
      <c r="B130" s="115" t="s">
        <v>970</v>
      </c>
      <c r="C130" s="333" t="str">
        <f>VLOOKUP(B130,Tot_res!C:D,2,FALSE)</f>
        <v>Educ. secundaria, formación profesional y EE.OO de Idiomas, gasto directo del Estado en Ceuta y Melilla</v>
      </c>
      <c r="D130" s="336">
        <f>Gasto_o_ing_total!V130*1000/Gasto_o_ing_total!V$479</f>
        <v>1.4289203684079437</v>
      </c>
      <c r="E130" s="336">
        <f>Gasto_o_ing_total!D130*1000/Gasto_o_ing_total!D$479</f>
        <v>0</v>
      </c>
      <c r="F130" s="336">
        <f>Gasto_o_ing_total!E130*1000/Gasto_o_ing_total!E$479</f>
        <v>0</v>
      </c>
      <c r="G130" s="336">
        <f>Gasto_o_ing_total!F130*1000/Gasto_o_ing_total!F$479</f>
        <v>0</v>
      </c>
      <c r="H130" s="336">
        <f>Gasto_o_ing_total!G130*1000/Gasto_o_ing_total!G$479</f>
        <v>0</v>
      </c>
      <c r="I130" s="336">
        <f>Gasto_o_ing_total!H130*1000/Gasto_o_ing_total!H$479</f>
        <v>0</v>
      </c>
      <c r="J130" s="336">
        <f>Gasto_o_ing_total!I130*1000/Gasto_o_ing_total!I$479</f>
        <v>0</v>
      </c>
      <c r="K130" s="336">
        <f>Gasto_o_ing_total!J130*1000/Gasto_o_ing_total!J$479</f>
        <v>0</v>
      </c>
      <c r="L130" s="336">
        <f>Gasto_o_ing_total!K130*1000/Gasto_o_ing_total!K$479</f>
        <v>0</v>
      </c>
      <c r="M130" s="336">
        <f>Gasto_o_ing_total!L130*1000/Gasto_o_ing_total!L$479</f>
        <v>0</v>
      </c>
      <c r="N130" s="336">
        <f>Gasto_o_ing_total!M130*1000/Gasto_o_ing_total!M$479</f>
        <v>0</v>
      </c>
      <c r="O130" s="336">
        <f>Gasto_o_ing_total!N130*1000/Gasto_o_ing_total!N$479</f>
        <v>0</v>
      </c>
      <c r="P130" s="336">
        <f>Gasto_o_ing_total!O130*1000/Gasto_o_ing_total!O$479</f>
        <v>0</v>
      </c>
      <c r="Q130" s="336">
        <f>Gasto_o_ing_total!P130*1000/Gasto_o_ing_total!P$479</f>
        <v>0</v>
      </c>
      <c r="R130" s="336">
        <f>Gasto_o_ing_total!Q130*1000/Gasto_o_ing_total!Q$479</f>
        <v>0</v>
      </c>
      <c r="S130" s="336">
        <f>Gasto_o_ing_total!R130*1000/Gasto_o_ing_total!R$479</f>
        <v>0</v>
      </c>
      <c r="T130" s="336">
        <f>Gasto_o_ing_total!S130*1000/Gasto_o_ing_total!S$479</f>
        <v>0</v>
      </c>
      <c r="U130" s="336">
        <f>Gasto_o_ing_total!T130*1000/Gasto_o_ing_total!T$479</f>
        <v>0</v>
      </c>
      <c r="V130" s="336">
        <f>Gasto_o_ing_total!U130*1000/Gasto_o_ing_total!U$479</f>
        <v>397.76133441634477</v>
      </c>
      <c r="W130" s="105"/>
    </row>
    <row r="131" spans="1:23" s="102" customFormat="1">
      <c r="A131" s="355"/>
      <c r="B131" s="115" t="s">
        <v>971</v>
      </c>
      <c r="C131" s="333" t="str">
        <f>VLOOKUP(B131,Tot_res!C:D,2,FALSE)</f>
        <v>Enseñanzas universitarias, gasto directo del Estado en Ceuta y Melilla</v>
      </c>
      <c r="D131" s="336">
        <f>Gasto_o_ing_total!V131*1000/Gasto_o_ing_total!V$479</f>
        <v>0.17678169645764838</v>
      </c>
      <c r="E131" s="336">
        <f>Gasto_o_ing_total!D131*1000/Gasto_o_ing_total!D$479</f>
        <v>0</v>
      </c>
      <c r="F131" s="336">
        <f>Gasto_o_ing_total!E131*1000/Gasto_o_ing_total!E$479</f>
        <v>0</v>
      </c>
      <c r="G131" s="336">
        <f>Gasto_o_ing_total!F131*1000/Gasto_o_ing_total!F$479</f>
        <v>0</v>
      </c>
      <c r="H131" s="336">
        <f>Gasto_o_ing_total!G131*1000/Gasto_o_ing_total!G$479</f>
        <v>0</v>
      </c>
      <c r="I131" s="336">
        <f>Gasto_o_ing_total!H131*1000/Gasto_o_ing_total!H$479</f>
        <v>0</v>
      </c>
      <c r="J131" s="336">
        <f>Gasto_o_ing_total!I131*1000/Gasto_o_ing_total!I$479</f>
        <v>0</v>
      </c>
      <c r="K131" s="336">
        <f>Gasto_o_ing_total!J131*1000/Gasto_o_ing_total!J$479</f>
        <v>0</v>
      </c>
      <c r="L131" s="336">
        <f>Gasto_o_ing_total!K131*1000/Gasto_o_ing_total!K$479</f>
        <v>0</v>
      </c>
      <c r="M131" s="336">
        <f>Gasto_o_ing_total!L131*1000/Gasto_o_ing_total!L$479</f>
        <v>0</v>
      </c>
      <c r="N131" s="336">
        <f>Gasto_o_ing_total!M131*1000/Gasto_o_ing_total!M$479</f>
        <v>0</v>
      </c>
      <c r="O131" s="336">
        <f>Gasto_o_ing_total!N131*1000/Gasto_o_ing_total!N$479</f>
        <v>0</v>
      </c>
      <c r="P131" s="336">
        <f>Gasto_o_ing_total!O131*1000/Gasto_o_ing_total!O$479</f>
        <v>0</v>
      </c>
      <c r="Q131" s="336">
        <f>Gasto_o_ing_total!P131*1000/Gasto_o_ing_total!P$479</f>
        <v>0</v>
      </c>
      <c r="R131" s="336">
        <f>Gasto_o_ing_total!Q131*1000/Gasto_o_ing_total!Q$479</f>
        <v>0</v>
      </c>
      <c r="S131" s="336">
        <f>Gasto_o_ing_total!R131*1000/Gasto_o_ing_total!R$479</f>
        <v>0</v>
      </c>
      <c r="T131" s="336">
        <f>Gasto_o_ing_total!S131*1000/Gasto_o_ing_total!S$479</f>
        <v>0</v>
      </c>
      <c r="U131" s="336">
        <f>Gasto_o_ing_total!T131*1000/Gasto_o_ing_total!T$479</f>
        <v>0</v>
      </c>
      <c r="V131" s="336">
        <f>Gasto_o_ing_total!U131*1000/Gasto_o_ing_total!U$479</f>
        <v>49.209826550183649</v>
      </c>
      <c r="W131" s="105"/>
    </row>
    <row r="132" spans="1:23" s="102" customFormat="1">
      <c r="A132" s="355"/>
      <c r="B132" s="115" t="s">
        <v>972</v>
      </c>
      <c r="C132" s="333" t="str">
        <f>VLOOKUP(B132,Tot_res!C:D,2,FALSE)</f>
        <v>Enseñanzas artísticas, gasto directo del Estado en Ceuta y Melilla</v>
      </c>
      <c r="D132" s="336">
        <f>Gasto_o_ing_total!V132*1000/Gasto_o_ing_total!V$479</f>
        <v>7.7806583018111691E-2</v>
      </c>
      <c r="E132" s="336">
        <f>Gasto_o_ing_total!D132*1000/Gasto_o_ing_total!D$479</f>
        <v>0</v>
      </c>
      <c r="F132" s="336">
        <f>Gasto_o_ing_total!E132*1000/Gasto_o_ing_total!E$479</f>
        <v>0</v>
      </c>
      <c r="G132" s="336">
        <f>Gasto_o_ing_total!F132*1000/Gasto_o_ing_total!F$479</f>
        <v>0</v>
      </c>
      <c r="H132" s="336">
        <f>Gasto_o_ing_total!G132*1000/Gasto_o_ing_total!G$479</f>
        <v>0</v>
      </c>
      <c r="I132" s="336">
        <f>Gasto_o_ing_total!H132*1000/Gasto_o_ing_total!H$479</f>
        <v>0</v>
      </c>
      <c r="J132" s="336">
        <f>Gasto_o_ing_total!I132*1000/Gasto_o_ing_total!I$479</f>
        <v>0</v>
      </c>
      <c r="K132" s="336">
        <f>Gasto_o_ing_total!J132*1000/Gasto_o_ing_total!J$479</f>
        <v>0</v>
      </c>
      <c r="L132" s="336">
        <f>Gasto_o_ing_total!K132*1000/Gasto_o_ing_total!K$479</f>
        <v>0</v>
      </c>
      <c r="M132" s="336">
        <f>Gasto_o_ing_total!L132*1000/Gasto_o_ing_total!L$479</f>
        <v>0</v>
      </c>
      <c r="N132" s="336">
        <f>Gasto_o_ing_total!M132*1000/Gasto_o_ing_total!M$479</f>
        <v>0</v>
      </c>
      <c r="O132" s="336">
        <f>Gasto_o_ing_total!N132*1000/Gasto_o_ing_total!N$479</f>
        <v>0</v>
      </c>
      <c r="P132" s="336">
        <f>Gasto_o_ing_total!O132*1000/Gasto_o_ing_total!O$479</f>
        <v>0</v>
      </c>
      <c r="Q132" s="336">
        <f>Gasto_o_ing_total!P132*1000/Gasto_o_ing_total!P$479</f>
        <v>0</v>
      </c>
      <c r="R132" s="336">
        <f>Gasto_o_ing_total!Q132*1000/Gasto_o_ing_total!Q$479</f>
        <v>0</v>
      </c>
      <c r="S132" s="336">
        <f>Gasto_o_ing_total!R132*1000/Gasto_o_ing_total!R$479</f>
        <v>0</v>
      </c>
      <c r="T132" s="336">
        <f>Gasto_o_ing_total!S132*1000/Gasto_o_ing_total!S$479</f>
        <v>0</v>
      </c>
      <c r="U132" s="336">
        <f>Gasto_o_ing_total!T132*1000/Gasto_o_ing_total!T$479</f>
        <v>0</v>
      </c>
      <c r="V132" s="336">
        <f>Gasto_o_ing_total!U132*1000/Gasto_o_ing_total!U$479</f>
        <v>21.658624911437133</v>
      </c>
      <c r="W132" s="105"/>
    </row>
    <row r="133" spans="1:23" s="102" customFormat="1">
      <c r="A133" s="355"/>
      <c r="B133" s="115" t="s">
        <v>973</v>
      </c>
      <c r="C133" s="333" t="str">
        <f>VLOOKUP(B133,Tot_res!C:D,2,FALSE)</f>
        <v>Educación compensatoria, gasto directo del Estado en Ceuta y Melilla</v>
      </c>
      <c r="D133" s="336">
        <f>Gasto_o_ing_total!V133*1000/Gasto_o_ing_total!V$479</f>
        <v>7.8504879451709211E-2</v>
      </c>
      <c r="E133" s="336">
        <f>Gasto_o_ing_total!D133*1000/Gasto_o_ing_total!D$479</f>
        <v>0</v>
      </c>
      <c r="F133" s="336">
        <f>Gasto_o_ing_total!E133*1000/Gasto_o_ing_total!E$479</f>
        <v>0</v>
      </c>
      <c r="G133" s="336">
        <f>Gasto_o_ing_total!F133*1000/Gasto_o_ing_total!F$479</f>
        <v>0</v>
      </c>
      <c r="H133" s="336">
        <f>Gasto_o_ing_total!G133*1000/Gasto_o_ing_total!G$479</f>
        <v>0</v>
      </c>
      <c r="I133" s="336">
        <f>Gasto_o_ing_total!H133*1000/Gasto_o_ing_total!H$479</f>
        <v>0</v>
      </c>
      <c r="J133" s="336">
        <f>Gasto_o_ing_total!I133*1000/Gasto_o_ing_total!I$479</f>
        <v>0</v>
      </c>
      <c r="K133" s="336">
        <f>Gasto_o_ing_total!J133*1000/Gasto_o_ing_total!J$479</f>
        <v>0</v>
      </c>
      <c r="L133" s="336">
        <f>Gasto_o_ing_total!K133*1000/Gasto_o_ing_total!K$479</f>
        <v>0</v>
      </c>
      <c r="M133" s="336">
        <f>Gasto_o_ing_total!L133*1000/Gasto_o_ing_total!L$479</f>
        <v>0</v>
      </c>
      <c r="N133" s="336">
        <f>Gasto_o_ing_total!M133*1000/Gasto_o_ing_total!M$479</f>
        <v>0</v>
      </c>
      <c r="O133" s="336">
        <f>Gasto_o_ing_total!N133*1000/Gasto_o_ing_total!N$479</f>
        <v>0</v>
      </c>
      <c r="P133" s="336">
        <f>Gasto_o_ing_total!O133*1000/Gasto_o_ing_total!O$479</f>
        <v>0</v>
      </c>
      <c r="Q133" s="336">
        <f>Gasto_o_ing_total!P133*1000/Gasto_o_ing_total!P$479</f>
        <v>0</v>
      </c>
      <c r="R133" s="336">
        <f>Gasto_o_ing_total!Q133*1000/Gasto_o_ing_total!Q$479</f>
        <v>0</v>
      </c>
      <c r="S133" s="336">
        <f>Gasto_o_ing_total!R133*1000/Gasto_o_ing_total!R$479</f>
        <v>0</v>
      </c>
      <c r="T133" s="336">
        <f>Gasto_o_ing_total!S133*1000/Gasto_o_ing_total!S$479</f>
        <v>0</v>
      </c>
      <c r="U133" s="336">
        <f>Gasto_o_ing_total!T133*1000/Gasto_o_ing_total!T$479</f>
        <v>0</v>
      </c>
      <c r="V133" s="336">
        <f>Gasto_o_ing_total!U133*1000/Gasto_o_ing_total!U$479</f>
        <v>21.853006157157211</v>
      </c>
      <c r="W133" s="105"/>
    </row>
    <row r="134" spans="1:23" s="102" customFormat="1">
      <c r="A134" s="355"/>
      <c r="B134" s="115" t="s">
        <v>974</v>
      </c>
      <c r="C134" s="333" t="str">
        <f>VLOOKUP(B134,Tot_res!C:D,2,FALSE)</f>
        <v xml:space="preserve">Deporte en edad escolar y en la universidad, gasto directo del Estado en Ceuta y Melilla  </v>
      </c>
      <c r="D134" s="336">
        <f>Gasto_o_ing_total!V134*1000/Gasto_o_ing_total!V$479</f>
        <v>1.7156980996308416E-3</v>
      </c>
      <c r="E134" s="336">
        <f>Gasto_o_ing_total!D134*1000/Gasto_o_ing_total!D$479</f>
        <v>0</v>
      </c>
      <c r="F134" s="336">
        <f>Gasto_o_ing_total!E134*1000/Gasto_o_ing_total!E$479</f>
        <v>0</v>
      </c>
      <c r="G134" s="336">
        <f>Gasto_o_ing_total!F134*1000/Gasto_o_ing_total!F$479</f>
        <v>0</v>
      </c>
      <c r="H134" s="336">
        <f>Gasto_o_ing_total!G134*1000/Gasto_o_ing_total!G$479</f>
        <v>0</v>
      </c>
      <c r="I134" s="336">
        <f>Gasto_o_ing_total!H134*1000/Gasto_o_ing_total!H$479</f>
        <v>0</v>
      </c>
      <c r="J134" s="336">
        <f>Gasto_o_ing_total!I134*1000/Gasto_o_ing_total!I$479</f>
        <v>0</v>
      </c>
      <c r="K134" s="336">
        <f>Gasto_o_ing_total!J134*1000/Gasto_o_ing_total!J$479</f>
        <v>0</v>
      </c>
      <c r="L134" s="336">
        <f>Gasto_o_ing_total!K134*1000/Gasto_o_ing_total!K$479</f>
        <v>0</v>
      </c>
      <c r="M134" s="336">
        <f>Gasto_o_ing_total!L134*1000/Gasto_o_ing_total!L$479</f>
        <v>0</v>
      </c>
      <c r="N134" s="336">
        <f>Gasto_o_ing_total!M134*1000/Gasto_o_ing_total!M$479</f>
        <v>0</v>
      </c>
      <c r="O134" s="336">
        <f>Gasto_o_ing_total!N134*1000/Gasto_o_ing_total!N$479</f>
        <v>0</v>
      </c>
      <c r="P134" s="336">
        <f>Gasto_o_ing_total!O134*1000/Gasto_o_ing_total!O$479</f>
        <v>0</v>
      </c>
      <c r="Q134" s="336">
        <f>Gasto_o_ing_total!P134*1000/Gasto_o_ing_total!P$479</f>
        <v>0</v>
      </c>
      <c r="R134" s="336">
        <f>Gasto_o_ing_total!Q134*1000/Gasto_o_ing_total!Q$479</f>
        <v>0</v>
      </c>
      <c r="S134" s="336">
        <f>Gasto_o_ing_total!R134*1000/Gasto_o_ing_total!R$479</f>
        <v>0</v>
      </c>
      <c r="T134" s="336">
        <f>Gasto_o_ing_total!S134*1000/Gasto_o_ing_total!S$479</f>
        <v>0</v>
      </c>
      <c r="U134" s="336">
        <f>Gasto_o_ing_total!T134*1000/Gasto_o_ing_total!T$479</f>
        <v>0</v>
      </c>
      <c r="V134" s="336">
        <f>Gasto_o_ing_total!U134*1000/Gasto_o_ing_total!U$479</f>
        <v>0.47759020072273228</v>
      </c>
      <c r="W134" s="105"/>
    </row>
    <row r="135" spans="1:23" s="102" customFormat="1">
      <c r="A135" s="355"/>
      <c r="B135" s="115" t="s">
        <v>975</v>
      </c>
      <c r="C135" s="333" t="str">
        <f>VLOOKUP(B135,Tot_res!C:D,2,FALSE)</f>
        <v>Otras enseñanzas y actividades educativas, gasto directo en Ceuta y Melilla</v>
      </c>
      <c r="D135" s="336">
        <f>Gasto_o_ing_total!V135*1000/Gasto_o_ing_total!V$479</f>
        <v>0.33822238570860985</v>
      </c>
      <c r="E135" s="336">
        <f>Gasto_o_ing_total!D135*1000/Gasto_o_ing_total!D$479</f>
        <v>0</v>
      </c>
      <c r="F135" s="336">
        <f>Gasto_o_ing_total!E135*1000/Gasto_o_ing_total!E$479</f>
        <v>0</v>
      </c>
      <c r="G135" s="336">
        <f>Gasto_o_ing_total!F135*1000/Gasto_o_ing_total!F$479</f>
        <v>0</v>
      </c>
      <c r="H135" s="336">
        <f>Gasto_o_ing_total!G135*1000/Gasto_o_ing_total!G$479</f>
        <v>0</v>
      </c>
      <c r="I135" s="336">
        <f>Gasto_o_ing_total!H135*1000/Gasto_o_ing_total!H$479</f>
        <v>0</v>
      </c>
      <c r="J135" s="336">
        <f>Gasto_o_ing_total!I135*1000/Gasto_o_ing_total!I$479</f>
        <v>0</v>
      </c>
      <c r="K135" s="336">
        <f>Gasto_o_ing_total!J135*1000/Gasto_o_ing_total!J$479</f>
        <v>0</v>
      </c>
      <c r="L135" s="336">
        <f>Gasto_o_ing_total!K135*1000/Gasto_o_ing_total!K$479</f>
        <v>0</v>
      </c>
      <c r="M135" s="336">
        <f>Gasto_o_ing_total!L135*1000/Gasto_o_ing_total!L$479</f>
        <v>0</v>
      </c>
      <c r="N135" s="336">
        <f>Gasto_o_ing_total!M135*1000/Gasto_o_ing_total!M$479</f>
        <v>0</v>
      </c>
      <c r="O135" s="336">
        <f>Gasto_o_ing_total!N135*1000/Gasto_o_ing_total!N$479</f>
        <v>0</v>
      </c>
      <c r="P135" s="336">
        <f>Gasto_o_ing_total!O135*1000/Gasto_o_ing_total!O$479</f>
        <v>0</v>
      </c>
      <c r="Q135" s="336">
        <f>Gasto_o_ing_total!P135*1000/Gasto_o_ing_total!P$479</f>
        <v>0</v>
      </c>
      <c r="R135" s="336">
        <f>Gasto_o_ing_total!Q135*1000/Gasto_o_ing_total!Q$479</f>
        <v>0</v>
      </c>
      <c r="S135" s="336">
        <f>Gasto_o_ing_total!R135*1000/Gasto_o_ing_total!R$479</f>
        <v>0</v>
      </c>
      <c r="T135" s="336">
        <f>Gasto_o_ing_total!S135*1000/Gasto_o_ing_total!S$479</f>
        <v>0</v>
      </c>
      <c r="U135" s="336">
        <f>Gasto_o_ing_total!T135*1000/Gasto_o_ing_total!T$479</f>
        <v>0</v>
      </c>
      <c r="V135" s="336">
        <f>Gasto_o_ing_total!U135*1000/Gasto_o_ing_total!U$479</f>
        <v>94.149254530416712</v>
      </c>
      <c r="W135" s="105"/>
    </row>
    <row r="136" spans="1:23" s="102" customFormat="1">
      <c r="A136" s="355"/>
      <c r="B136" s="115" t="s">
        <v>976</v>
      </c>
      <c r="C136" s="333" t="str">
        <f>VLOOKUP(B136,Tot_res!C:D,2,FALSE)</f>
        <v>Servicios complementarios de la enseñanza, gasto directo del Estado en Ceuta y Melilla</v>
      </c>
      <c r="D136" s="336">
        <f>Gasto_o_ing_total!V136*1000/Gasto_o_ing_total!V$479</f>
        <v>3.4673362802345162E-2</v>
      </c>
      <c r="E136" s="336">
        <f>Gasto_o_ing_total!D136*1000/Gasto_o_ing_total!D$479</f>
        <v>0</v>
      </c>
      <c r="F136" s="336">
        <f>Gasto_o_ing_total!E136*1000/Gasto_o_ing_total!E$479</f>
        <v>0</v>
      </c>
      <c r="G136" s="336">
        <f>Gasto_o_ing_total!F136*1000/Gasto_o_ing_total!F$479</f>
        <v>0</v>
      </c>
      <c r="H136" s="336">
        <f>Gasto_o_ing_total!G136*1000/Gasto_o_ing_total!G$479</f>
        <v>0</v>
      </c>
      <c r="I136" s="336">
        <f>Gasto_o_ing_total!H136*1000/Gasto_o_ing_total!H$479</f>
        <v>0</v>
      </c>
      <c r="J136" s="336">
        <f>Gasto_o_ing_total!I136*1000/Gasto_o_ing_total!I$479</f>
        <v>0</v>
      </c>
      <c r="K136" s="336">
        <f>Gasto_o_ing_total!J136*1000/Gasto_o_ing_total!J$479</f>
        <v>0</v>
      </c>
      <c r="L136" s="336">
        <f>Gasto_o_ing_total!K136*1000/Gasto_o_ing_total!K$479</f>
        <v>0</v>
      </c>
      <c r="M136" s="336">
        <f>Gasto_o_ing_total!L136*1000/Gasto_o_ing_total!L$479</f>
        <v>0</v>
      </c>
      <c r="N136" s="336">
        <f>Gasto_o_ing_total!M136*1000/Gasto_o_ing_total!M$479</f>
        <v>0</v>
      </c>
      <c r="O136" s="336">
        <f>Gasto_o_ing_total!N136*1000/Gasto_o_ing_total!N$479</f>
        <v>0</v>
      </c>
      <c r="P136" s="336">
        <f>Gasto_o_ing_total!O136*1000/Gasto_o_ing_total!O$479</f>
        <v>0</v>
      </c>
      <c r="Q136" s="336">
        <f>Gasto_o_ing_total!P136*1000/Gasto_o_ing_total!P$479</f>
        <v>0</v>
      </c>
      <c r="R136" s="336">
        <f>Gasto_o_ing_total!Q136*1000/Gasto_o_ing_total!Q$479</f>
        <v>0</v>
      </c>
      <c r="S136" s="336">
        <f>Gasto_o_ing_total!R136*1000/Gasto_o_ing_total!R$479</f>
        <v>0</v>
      </c>
      <c r="T136" s="336">
        <f>Gasto_o_ing_total!S136*1000/Gasto_o_ing_total!S$479</f>
        <v>0</v>
      </c>
      <c r="U136" s="336">
        <f>Gasto_o_ing_total!T136*1000/Gasto_o_ing_total!T$479</f>
        <v>0</v>
      </c>
      <c r="V136" s="336">
        <f>Gasto_o_ing_total!U136*1000/Gasto_o_ing_total!U$479</f>
        <v>9.6518485997432801</v>
      </c>
      <c r="W136" s="105"/>
    </row>
    <row r="137" spans="1:23" s="102" customFormat="1">
      <c r="A137" s="355"/>
      <c r="B137" s="115" t="s">
        <v>1007</v>
      </c>
      <c r="C137" s="333" t="str">
        <f>VLOOKUP(B137,Tot_res!C:D,2,FALSE)</f>
        <v xml:space="preserve">Atención Primaria de Salud, INGESA, Ceuta y Melilla </v>
      </c>
      <c r="D137" s="336">
        <f>Gasto_o_ing_total!V137*1000/Gasto_o_ing_total!V$479</f>
        <v>1.1837816763513929</v>
      </c>
      <c r="E137" s="336">
        <f>Gasto_o_ing_total!D137*1000/Gasto_o_ing_total!D$479</f>
        <v>0</v>
      </c>
      <c r="F137" s="336">
        <f>Gasto_o_ing_total!E137*1000/Gasto_o_ing_total!E$479</f>
        <v>0</v>
      </c>
      <c r="G137" s="336">
        <f>Gasto_o_ing_total!F137*1000/Gasto_o_ing_total!F$479</f>
        <v>0</v>
      </c>
      <c r="H137" s="336">
        <f>Gasto_o_ing_total!G137*1000/Gasto_o_ing_total!G$479</f>
        <v>0</v>
      </c>
      <c r="I137" s="336">
        <f>Gasto_o_ing_total!H137*1000/Gasto_o_ing_total!H$479</f>
        <v>0</v>
      </c>
      <c r="J137" s="336">
        <f>Gasto_o_ing_total!I137*1000/Gasto_o_ing_total!I$479</f>
        <v>0</v>
      </c>
      <c r="K137" s="336">
        <f>Gasto_o_ing_total!J137*1000/Gasto_o_ing_total!J$479</f>
        <v>0</v>
      </c>
      <c r="L137" s="336">
        <f>Gasto_o_ing_total!K137*1000/Gasto_o_ing_total!K$479</f>
        <v>0</v>
      </c>
      <c r="M137" s="336">
        <f>Gasto_o_ing_total!L137*1000/Gasto_o_ing_total!L$479</f>
        <v>0</v>
      </c>
      <c r="N137" s="336">
        <f>Gasto_o_ing_total!M137*1000/Gasto_o_ing_total!M$479</f>
        <v>0</v>
      </c>
      <c r="O137" s="336">
        <f>Gasto_o_ing_total!N137*1000/Gasto_o_ing_total!N$479</f>
        <v>0</v>
      </c>
      <c r="P137" s="336">
        <f>Gasto_o_ing_total!O137*1000/Gasto_o_ing_total!O$479</f>
        <v>0</v>
      </c>
      <c r="Q137" s="336">
        <f>Gasto_o_ing_total!P137*1000/Gasto_o_ing_total!P$479</f>
        <v>0</v>
      </c>
      <c r="R137" s="336">
        <f>Gasto_o_ing_total!Q137*1000/Gasto_o_ing_total!Q$479</f>
        <v>0</v>
      </c>
      <c r="S137" s="336">
        <f>Gasto_o_ing_total!R137*1000/Gasto_o_ing_total!R$479</f>
        <v>0</v>
      </c>
      <c r="T137" s="336">
        <f>Gasto_o_ing_total!S137*1000/Gasto_o_ing_total!S$479</f>
        <v>0</v>
      </c>
      <c r="U137" s="336">
        <f>Gasto_o_ing_total!T137*1000/Gasto_o_ing_total!T$479</f>
        <v>0</v>
      </c>
      <c r="V137" s="336">
        <f>Gasto_o_ing_total!U137*1000/Gasto_o_ing_total!U$479</f>
        <v>329.52331680159847</v>
      </c>
      <c r="W137" s="105"/>
    </row>
    <row r="138" spans="1:23" s="102" customFormat="1">
      <c r="A138" s="355"/>
      <c r="B138" s="115" t="s">
        <v>1008</v>
      </c>
      <c r="C138" s="333" t="str">
        <f>VLOOKUP(B138,Tot_res!C:D,2,FALSE)</f>
        <v>Atención Especializada, gasto directo del INGESA en Ceuta y Melilla</v>
      </c>
      <c r="D138" s="336">
        <f>Gasto_o_ing_total!V138*1000/Gasto_o_ing_total!V$479</f>
        <v>2.9268866190484522</v>
      </c>
      <c r="E138" s="336">
        <f>Gasto_o_ing_total!D138*1000/Gasto_o_ing_total!D$479</f>
        <v>0</v>
      </c>
      <c r="F138" s="336">
        <f>Gasto_o_ing_total!E138*1000/Gasto_o_ing_total!E$479</f>
        <v>0</v>
      </c>
      <c r="G138" s="336">
        <f>Gasto_o_ing_total!F138*1000/Gasto_o_ing_total!F$479</f>
        <v>0</v>
      </c>
      <c r="H138" s="336">
        <f>Gasto_o_ing_total!G138*1000/Gasto_o_ing_total!G$479</f>
        <v>0</v>
      </c>
      <c r="I138" s="336">
        <f>Gasto_o_ing_total!H138*1000/Gasto_o_ing_total!H$479</f>
        <v>0</v>
      </c>
      <c r="J138" s="336">
        <f>Gasto_o_ing_total!I138*1000/Gasto_o_ing_total!I$479</f>
        <v>0</v>
      </c>
      <c r="K138" s="336">
        <f>Gasto_o_ing_total!J138*1000/Gasto_o_ing_total!J$479</f>
        <v>0</v>
      </c>
      <c r="L138" s="336">
        <f>Gasto_o_ing_total!K138*1000/Gasto_o_ing_total!K$479</f>
        <v>0</v>
      </c>
      <c r="M138" s="336">
        <f>Gasto_o_ing_total!L138*1000/Gasto_o_ing_total!L$479</f>
        <v>0</v>
      </c>
      <c r="N138" s="336">
        <f>Gasto_o_ing_total!M138*1000/Gasto_o_ing_total!M$479</f>
        <v>0</v>
      </c>
      <c r="O138" s="336">
        <f>Gasto_o_ing_total!N138*1000/Gasto_o_ing_total!N$479</f>
        <v>0</v>
      </c>
      <c r="P138" s="336">
        <f>Gasto_o_ing_total!O138*1000/Gasto_o_ing_total!O$479</f>
        <v>0</v>
      </c>
      <c r="Q138" s="336">
        <f>Gasto_o_ing_total!P138*1000/Gasto_o_ing_total!P$479</f>
        <v>0</v>
      </c>
      <c r="R138" s="336">
        <f>Gasto_o_ing_total!Q138*1000/Gasto_o_ing_total!Q$479</f>
        <v>0</v>
      </c>
      <c r="S138" s="336">
        <f>Gasto_o_ing_total!R138*1000/Gasto_o_ing_total!R$479</f>
        <v>0</v>
      </c>
      <c r="T138" s="336">
        <f>Gasto_o_ing_total!S138*1000/Gasto_o_ing_total!S$479</f>
        <v>0</v>
      </c>
      <c r="U138" s="336">
        <f>Gasto_o_ing_total!T138*1000/Gasto_o_ing_total!T$479</f>
        <v>0</v>
      </c>
      <c r="V138" s="336">
        <f>Gasto_o_ing_total!U138*1000/Gasto_o_ing_total!U$479</f>
        <v>814.74262178456615</v>
      </c>
      <c r="W138" s="105"/>
    </row>
    <row r="139" spans="1:23" s="102" customFormat="1">
      <c r="A139" s="355"/>
      <c r="B139" s="115" t="s">
        <v>977</v>
      </c>
      <c r="C139" s="333" t="str">
        <f>VLOOKUP(B139,Tot_res!C:D,2,FALSE)</f>
        <v>Admón.,Ser.Grales.y Cont.Int.Asist.San, gasto directo del INGESA en Ceuta y Melila</v>
      </c>
      <c r="D139" s="336">
        <f>Gasto_o_ing_total!V139*1000/Gasto_o_ing_total!V$479</f>
        <v>0.25522250620948062</v>
      </c>
      <c r="E139" s="336">
        <f>Gasto_o_ing_total!D139*1000/Gasto_o_ing_total!D$479</f>
        <v>0</v>
      </c>
      <c r="F139" s="336">
        <f>Gasto_o_ing_total!E139*1000/Gasto_o_ing_total!E$479</f>
        <v>0</v>
      </c>
      <c r="G139" s="336">
        <f>Gasto_o_ing_total!F139*1000/Gasto_o_ing_total!F$479</f>
        <v>0</v>
      </c>
      <c r="H139" s="336">
        <f>Gasto_o_ing_total!G139*1000/Gasto_o_ing_total!G$479</f>
        <v>0</v>
      </c>
      <c r="I139" s="336">
        <f>Gasto_o_ing_total!H139*1000/Gasto_o_ing_total!H$479</f>
        <v>0</v>
      </c>
      <c r="J139" s="336">
        <f>Gasto_o_ing_total!I139*1000/Gasto_o_ing_total!I$479</f>
        <v>0</v>
      </c>
      <c r="K139" s="336">
        <f>Gasto_o_ing_total!J139*1000/Gasto_o_ing_total!J$479</f>
        <v>0</v>
      </c>
      <c r="L139" s="336">
        <f>Gasto_o_ing_total!K139*1000/Gasto_o_ing_total!K$479</f>
        <v>0</v>
      </c>
      <c r="M139" s="336">
        <f>Gasto_o_ing_total!L139*1000/Gasto_o_ing_total!L$479</f>
        <v>0</v>
      </c>
      <c r="N139" s="336">
        <f>Gasto_o_ing_total!M139*1000/Gasto_o_ing_total!M$479</f>
        <v>0</v>
      </c>
      <c r="O139" s="336">
        <f>Gasto_o_ing_total!N139*1000/Gasto_o_ing_total!N$479</f>
        <v>0</v>
      </c>
      <c r="P139" s="336">
        <f>Gasto_o_ing_total!O139*1000/Gasto_o_ing_total!O$479</f>
        <v>0</v>
      </c>
      <c r="Q139" s="336">
        <f>Gasto_o_ing_total!P139*1000/Gasto_o_ing_total!P$479</f>
        <v>0</v>
      </c>
      <c r="R139" s="336">
        <f>Gasto_o_ing_total!Q139*1000/Gasto_o_ing_total!Q$479</f>
        <v>0</v>
      </c>
      <c r="S139" s="336">
        <f>Gasto_o_ing_total!R139*1000/Gasto_o_ing_total!R$479</f>
        <v>0</v>
      </c>
      <c r="T139" s="336">
        <f>Gasto_o_ing_total!S139*1000/Gasto_o_ing_total!S$479</f>
        <v>0</v>
      </c>
      <c r="U139" s="336">
        <f>Gasto_o_ing_total!T139*1000/Gasto_o_ing_total!T$479</f>
        <v>0</v>
      </c>
      <c r="V139" s="336">
        <f>Gasto_o_ing_total!U139*1000/Gasto_o_ing_total!U$479</f>
        <v>71.044997949098104</v>
      </c>
      <c r="W139" s="105"/>
    </row>
    <row r="140" spans="1:23" s="102" customFormat="1">
      <c r="A140" s="355"/>
      <c r="B140" s="115" t="s">
        <v>978</v>
      </c>
      <c r="C140" s="333" t="str">
        <f>VLOOKUP(B140,Tot_res!C:D,2,FALSE)</f>
        <v>Formación del Personal Sanitario, gasto directo del INGESA en Ceuta y Melilla</v>
      </c>
      <c r="D140" s="336">
        <f>Gasto_o_ing_total!V140*1000/Gasto_o_ing_total!V$479</f>
        <v>4.0271019972029309E-2</v>
      </c>
      <c r="E140" s="336">
        <f>Gasto_o_ing_total!D140*1000/Gasto_o_ing_total!D$479</f>
        <v>0</v>
      </c>
      <c r="F140" s="336">
        <f>Gasto_o_ing_total!E140*1000/Gasto_o_ing_total!E$479</f>
        <v>0</v>
      </c>
      <c r="G140" s="336">
        <f>Gasto_o_ing_total!F140*1000/Gasto_o_ing_total!F$479</f>
        <v>0</v>
      </c>
      <c r="H140" s="336">
        <f>Gasto_o_ing_total!G140*1000/Gasto_o_ing_total!G$479</f>
        <v>0</v>
      </c>
      <c r="I140" s="336">
        <f>Gasto_o_ing_total!H140*1000/Gasto_o_ing_total!H$479</f>
        <v>0</v>
      </c>
      <c r="J140" s="336">
        <f>Gasto_o_ing_total!I140*1000/Gasto_o_ing_total!I$479</f>
        <v>0</v>
      </c>
      <c r="K140" s="336">
        <f>Gasto_o_ing_total!J140*1000/Gasto_o_ing_total!J$479</f>
        <v>0</v>
      </c>
      <c r="L140" s="336">
        <f>Gasto_o_ing_total!K140*1000/Gasto_o_ing_total!K$479</f>
        <v>0</v>
      </c>
      <c r="M140" s="336">
        <f>Gasto_o_ing_total!L140*1000/Gasto_o_ing_total!L$479</f>
        <v>0</v>
      </c>
      <c r="N140" s="336">
        <f>Gasto_o_ing_total!M140*1000/Gasto_o_ing_total!M$479</f>
        <v>0</v>
      </c>
      <c r="O140" s="336">
        <f>Gasto_o_ing_total!N140*1000/Gasto_o_ing_total!N$479</f>
        <v>0</v>
      </c>
      <c r="P140" s="336">
        <f>Gasto_o_ing_total!O140*1000/Gasto_o_ing_total!O$479</f>
        <v>0</v>
      </c>
      <c r="Q140" s="336">
        <f>Gasto_o_ing_total!P140*1000/Gasto_o_ing_total!P$479</f>
        <v>0</v>
      </c>
      <c r="R140" s="336">
        <f>Gasto_o_ing_total!Q140*1000/Gasto_o_ing_total!Q$479</f>
        <v>0</v>
      </c>
      <c r="S140" s="336">
        <f>Gasto_o_ing_total!R140*1000/Gasto_o_ing_total!R$479</f>
        <v>0</v>
      </c>
      <c r="T140" s="336">
        <f>Gasto_o_ing_total!S140*1000/Gasto_o_ing_total!S$479</f>
        <v>0</v>
      </c>
      <c r="U140" s="336">
        <f>Gasto_o_ing_total!T140*1000/Gasto_o_ing_total!T$479</f>
        <v>0</v>
      </c>
      <c r="V140" s="336">
        <f>Gasto_o_ing_total!U140*1000/Gasto_o_ing_total!U$479</f>
        <v>11.210040108973088</v>
      </c>
      <c r="W140" s="105"/>
    </row>
    <row r="141" spans="1:23" s="102" customFormat="1">
      <c r="A141" s="355"/>
      <c r="B141" s="115" t="s">
        <v>979</v>
      </c>
      <c r="C141" s="333" t="str">
        <f>VLOOKUP(B141,Tot_res!C:D,2,FALSE)</f>
        <v>Servicios Sociales Generales, gasto directo del IMSERSO en Ceuta y Melilla</v>
      </c>
      <c r="D141" s="336">
        <f>Gasto_o_ing_total!V141*1000/Gasto_o_ing_total!V$479</f>
        <v>0.47595343688435304</v>
      </c>
      <c r="E141" s="336">
        <f>Gasto_o_ing_total!D141*1000/Gasto_o_ing_total!D$479</f>
        <v>0</v>
      </c>
      <c r="F141" s="336">
        <f>Gasto_o_ing_total!E141*1000/Gasto_o_ing_total!E$479</f>
        <v>0</v>
      </c>
      <c r="G141" s="336">
        <f>Gasto_o_ing_total!F141*1000/Gasto_o_ing_total!F$479</f>
        <v>0</v>
      </c>
      <c r="H141" s="336">
        <f>Gasto_o_ing_total!G141*1000/Gasto_o_ing_total!G$479</f>
        <v>0</v>
      </c>
      <c r="I141" s="336">
        <f>Gasto_o_ing_total!H141*1000/Gasto_o_ing_total!H$479</f>
        <v>0</v>
      </c>
      <c r="J141" s="336">
        <f>Gasto_o_ing_total!I141*1000/Gasto_o_ing_total!I$479</f>
        <v>0</v>
      </c>
      <c r="K141" s="336">
        <f>Gasto_o_ing_total!J141*1000/Gasto_o_ing_total!J$479</f>
        <v>0</v>
      </c>
      <c r="L141" s="336">
        <f>Gasto_o_ing_total!K141*1000/Gasto_o_ing_total!K$479</f>
        <v>0</v>
      </c>
      <c r="M141" s="336">
        <f>Gasto_o_ing_total!L141*1000/Gasto_o_ing_total!L$479</f>
        <v>0</v>
      </c>
      <c r="N141" s="336">
        <f>Gasto_o_ing_total!M141*1000/Gasto_o_ing_total!M$479</f>
        <v>0</v>
      </c>
      <c r="O141" s="336">
        <f>Gasto_o_ing_total!N141*1000/Gasto_o_ing_total!N$479</f>
        <v>0</v>
      </c>
      <c r="P141" s="336">
        <f>Gasto_o_ing_total!O141*1000/Gasto_o_ing_total!O$479</f>
        <v>0</v>
      </c>
      <c r="Q141" s="336">
        <f>Gasto_o_ing_total!P141*1000/Gasto_o_ing_total!P$479</f>
        <v>0</v>
      </c>
      <c r="R141" s="336">
        <f>Gasto_o_ing_total!Q141*1000/Gasto_o_ing_total!Q$479</f>
        <v>0</v>
      </c>
      <c r="S141" s="336">
        <f>Gasto_o_ing_total!R141*1000/Gasto_o_ing_total!R$479</f>
        <v>0</v>
      </c>
      <c r="T141" s="336">
        <f>Gasto_o_ing_total!S141*1000/Gasto_o_ing_total!S$479</f>
        <v>0</v>
      </c>
      <c r="U141" s="336">
        <f>Gasto_o_ing_total!T141*1000/Gasto_o_ing_total!T$479</f>
        <v>0</v>
      </c>
      <c r="V141" s="336">
        <f>Gasto_o_ing_total!U141*1000/Gasto_o_ing_total!U$479</f>
        <v>132.48875050055824</v>
      </c>
      <c r="W141" s="105"/>
    </row>
    <row r="142" spans="1:23" s="102" customFormat="1">
      <c r="A142" s="355"/>
      <c r="B142" s="115" t="s">
        <v>980</v>
      </c>
      <c r="C142" s="333" t="str">
        <f>VLOOKUP(B142,Tot_res!C:D,2,FALSE)</f>
        <v>Administración y Servicios Generales de Servicios Sociales, gasto directo del IMSERSO en Ceuta y Melilla</v>
      </c>
      <c r="D142" s="336">
        <f>Gasto_o_ing_total!V142*1000/Gasto_o_ing_total!V$479</f>
        <v>4.0939063732613044E-2</v>
      </c>
      <c r="E142" s="336">
        <f>Gasto_o_ing_total!D142*1000/Gasto_o_ing_total!D$479</f>
        <v>0</v>
      </c>
      <c r="F142" s="336">
        <f>Gasto_o_ing_total!E142*1000/Gasto_o_ing_total!E$479</f>
        <v>0</v>
      </c>
      <c r="G142" s="336">
        <f>Gasto_o_ing_total!F142*1000/Gasto_o_ing_total!F$479</f>
        <v>0</v>
      </c>
      <c r="H142" s="336">
        <f>Gasto_o_ing_total!G142*1000/Gasto_o_ing_total!G$479</f>
        <v>0</v>
      </c>
      <c r="I142" s="336">
        <f>Gasto_o_ing_total!H142*1000/Gasto_o_ing_total!H$479</f>
        <v>0</v>
      </c>
      <c r="J142" s="336">
        <f>Gasto_o_ing_total!I142*1000/Gasto_o_ing_total!I$479</f>
        <v>0</v>
      </c>
      <c r="K142" s="336">
        <f>Gasto_o_ing_total!J142*1000/Gasto_o_ing_total!J$479</f>
        <v>0</v>
      </c>
      <c r="L142" s="336">
        <f>Gasto_o_ing_total!K142*1000/Gasto_o_ing_total!K$479</f>
        <v>0</v>
      </c>
      <c r="M142" s="336">
        <f>Gasto_o_ing_total!L142*1000/Gasto_o_ing_total!L$479</f>
        <v>0</v>
      </c>
      <c r="N142" s="336">
        <f>Gasto_o_ing_total!M142*1000/Gasto_o_ing_total!M$479</f>
        <v>0</v>
      </c>
      <c r="O142" s="336">
        <f>Gasto_o_ing_total!N142*1000/Gasto_o_ing_total!N$479</f>
        <v>0</v>
      </c>
      <c r="P142" s="336">
        <f>Gasto_o_ing_total!O142*1000/Gasto_o_ing_total!O$479</f>
        <v>0</v>
      </c>
      <c r="Q142" s="336">
        <f>Gasto_o_ing_total!P142*1000/Gasto_o_ing_total!P$479</f>
        <v>0</v>
      </c>
      <c r="R142" s="336">
        <f>Gasto_o_ing_total!Q142*1000/Gasto_o_ing_total!Q$479</f>
        <v>0</v>
      </c>
      <c r="S142" s="336">
        <f>Gasto_o_ing_total!R142*1000/Gasto_o_ing_total!R$479</f>
        <v>0</v>
      </c>
      <c r="T142" s="336">
        <f>Gasto_o_ing_total!S142*1000/Gasto_o_ing_total!S$479</f>
        <v>0</v>
      </c>
      <c r="U142" s="336">
        <f>Gasto_o_ing_total!T142*1000/Gasto_o_ing_total!T$479</f>
        <v>0</v>
      </c>
      <c r="V142" s="336">
        <f>Gasto_o_ing_total!U142*1000/Gasto_o_ing_total!U$479</f>
        <v>11.396000071146737</v>
      </c>
      <c r="W142" s="105"/>
    </row>
    <row r="143" spans="1:23" s="102" customFormat="1">
      <c r="A143" s="355"/>
      <c r="B143" s="115" t="s">
        <v>219</v>
      </c>
      <c r="C143" s="333" t="str">
        <f>VLOOKUP(B143,Tot_res!C:D,2,FALSE)</f>
        <v>Recaudación IPSI</v>
      </c>
      <c r="D143" s="336">
        <f>Gasto_o_ing_total!V143*1000/Gasto_o_ing_total!V$479</f>
        <v>3.1352979331749</v>
      </c>
      <c r="E143" s="336">
        <f>Gasto_o_ing_total!D143*1000/Gasto_o_ing_total!D$479</f>
        <v>0</v>
      </c>
      <c r="F143" s="336">
        <f>Gasto_o_ing_total!E143*1000/Gasto_o_ing_total!E$479</f>
        <v>0</v>
      </c>
      <c r="G143" s="336">
        <f>Gasto_o_ing_total!F143*1000/Gasto_o_ing_total!F$479</f>
        <v>0</v>
      </c>
      <c r="H143" s="336">
        <f>Gasto_o_ing_total!G143*1000/Gasto_o_ing_total!G$479</f>
        <v>0</v>
      </c>
      <c r="I143" s="336">
        <f>Gasto_o_ing_total!H143*1000/Gasto_o_ing_total!H$479</f>
        <v>0</v>
      </c>
      <c r="J143" s="336">
        <f>Gasto_o_ing_total!I143*1000/Gasto_o_ing_total!I$479</f>
        <v>0</v>
      </c>
      <c r="K143" s="336">
        <f>Gasto_o_ing_total!J143*1000/Gasto_o_ing_total!J$479</f>
        <v>0</v>
      </c>
      <c r="L143" s="336">
        <f>Gasto_o_ing_total!K143*1000/Gasto_o_ing_total!K$479</f>
        <v>0</v>
      </c>
      <c r="M143" s="336">
        <f>Gasto_o_ing_total!L143*1000/Gasto_o_ing_total!L$479</f>
        <v>0</v>
      </c>
      <c r="N143" s="336">
        <f>Gasto_o_ing_total!M143*1000/Gasto_o_ing_total!M$479</f>
        <v>0</v>
      </c>
      <c r="O143" s="336">
        <f>Gasto_o_ing_total!N143*1000/Gasto_o_ing_total!N$479</f>
        <v>0</v>
      </c>
      <c r="P143" s="336">
        <f>Gasto_o_ing_total!O143*1000/Gasto_o_ing_total!O$479</f>
        <v>0</v>
      </c>
      <c r="Q143" s="336">
        <f>Gasto_o_ing_total!P143*1000/Gasto_o_ing_total!P$479</f>
        <v>0</v>
      </c>
      <c r="R143" s="336">
        <f>Gasto_o_ing_total!Q143*1000/Gasto_o_ing_total!Q$479</f>
        <v>0</v>
      </c>
      <c r="S143" s="336">
        <f>Gasto_o_ing_total!R143*1000/Gasto_o_ing_total!R$479</f>
        <v>0</v>
      </c>
      <c r="T143" s="336">
        <f>Gasto_o_ing_total!S143*1000/Gasto_o_ing_total!S$479</f>
        <v>0</v>
      </c>
      <c r="U143" s="336">
        <f>Gasto_o_ing_total!T143*1000/Gasto_o_ing_total!T$479</f>
        <v>0</v>
      </c>
      <c r="V143" s="336">
        <f>Gasto_o_ing_total!U143*1000/Gasto_o_ing_total!U$479</f>
        <v>872.75702499918475</v>
      </c>
      <c r="W143" s="105"/>
    </row>
    <row r="144" spans="1:23" s="102" customFormat="1">
      <c r="A144" s="355"/>
      <c r="B144" s="115" t="s">
        <v>981</v>
      </c>
      <c r="C144" s="333" t="str">
        <f>VLOOKUP(B144,Tot_res!C:D,2,FALSE)</f>
        <v xml:space="preserve">Otras aportaciones a Corporaciones Locales, compensaciones IPSI Ceuta y Melilla </v>
      </c>
      <c r="D144" s="336">
        <f>Gasto_o_ing_total!V144*1000/Gasto_o_ing_total!V$479</f>
        <v>1.7257559724205218</v>
      </c>
      <c r="E144" s="336">
        <f>Gasto_o_ing_total!D144*1000/Gasto_o_ing_total!D$479</f>
        <v>0</v>
      </c>
      <c r="F144" s="336">
        <f>Gasto_o_ing_total!E144*1000/Gasto_o_ing_total!E$479</f>
        <v>0</v>
      </c>
      <c r="G144" s="336">
        <f>Gasto_o_ing_total!F144*1000/Gasto_o_ing_total!F$479</f>
        <v>0</v>
      </c>
      <c r="H144" s="336">
        <f>Gasto_o_ing_total!G144*1000/Gasto_o_ing_total!G$479</f>
        <v>0</v>
      </c>
      <c r="I144" s="336">
        <f>Gasto_o_ing_total!H144*1000/Gasto_o_ing_total!H$479</f>
        <v>0</v>
      </c>
      <c r="J144" s="336">
        <f>Gasto_o_ing_total!I144*1000/Gasto_o_ing_total!I$479</f>
        <v>0</v>
      </c>
      <c r="K144" s="336">
        <f>Gasto_o_ing_total!J144*1000/Gasto_o_ing_total!J$479</f>
        <v>0</v>
      </c>
      <c r="L144" s="336">
        <f>Gasto_o_ing_total!K144*1000/Gasto_o_ing_total!K$479</f>
        <v>0</v>
      </c>
      <c r="M144" s="336">
        <f>Gasto_o_ing_total!L144*1000/Gasto_o_ing_total!L$479</f>
        <v>0</v>
      </c>
      <c r="N144" s="336">
        <f>Gasto_o_ing_total!M144*1000/Gasto_o_ing_total!M$479</f>
        <v>0</v>
      </c>
      <c r="O144" s="336">
        <f>Gasto_o_ing_total!N144*1000/Gasto_o_ing_total!N$479</f>
        <v>0</v>
      </c>
      <c r="P144" s="336">
        <f>Gasto_o_ing_total!O144*1000/Gasto_o_ing_total!O$479</f>
        <v>0</v>
      </c>
      <c r="Q144" s="336">
        <f>Gasto_o_ing_total!P144*1000/Gasto_o_ing_total!P$479</f>
        <v>0</v>
      </c>
      <c r="R144" s="336">
        <f>Gasto_o_ing_total!Q144*1000/Gasto_o_ing_total!Q$479</f>
        <v>0</v>
      </c>
      <c r="S144" s="336">
        <f>Gasto_o_ing_total!R144*1000/Gasto_o_ing_total!R$479</f>
        <v>0</v>
      </c>
      <c r="T144" s="336">
        <f>Gasto_o_ing_total!S144*1000/Gasto_o_ing_total!S$479</f>
        <v>0</v>
      </c>
      <c r="U144" s="336">
        <f>Gasto_o_ing_total!T144*1000/Gasto_o_ing_total!T$479</f>
        <v>0</v>
      </c>
      <c r="V144" s="336">
        <f>Gasto_o_ing_total!U144*1000/Gasto_o_ing_total!U$479</f>
        <v>480.38995989102693</v>
      </c>
      <c r="W144" s="114"/>
    </row>
    <row r="145" spans="1:23" s="102" customFormat="1">
      <c r="A145" s="356"/>
      <c r="B145" s="115"/>
      <c r="C145" s="140"/>
      <c r="D145" s="110"/>
      <c r="E145" s="110"/>
      <c r="F145" s="110"/>
      <c r="G145" s="110"/>
      <c r="H145" s="110"/>
      <c r="I145" s="110"/>
      <c r="J145" s="110"/>
      <c r="K145" s="110"/>
      <c r="L145" s="110"/>
      <c r="M145" s="110"/>
      <c r="N145" s="110"/>
      <c r="O145" s="110"/>
      <c r="P145" s="110"/>
      <c r="Q145" s="110"/>
      <c r="R145" s="110"/>
      <c r="S145" s="110"/>
      <c r="T145" s="110"/>
      <c r="U145" s="110"/>
      <c r="V145" s="110"/>
      <c r="W145" s="105"/>
    </row>
    <row r="146" spans="1:23" s="102" customFormat="1">
      <c r="A146" s="356"/>
      <c r="B146" s="115"/>
      <c r="C146" s="117" t="s">
        <v>220</v>
      </c>
      <c r="D146" s="113">
        <f>Gasto_o_ing_total!V146*1000/Gasto_o_ing_total!V$479</f>
        <v>334.49438681870811</v>
      </c>
      <c r="E146" s="113">
        <f>Gasto_o_ing_total!D146*1000/Gasto_o_ing_total!D$479</f>
        <v>0</v>
      </c>
      <c r="F146" s="113">
        <f>Gasto_o_ing_total!E146*1000/Gasto_o_ing_total!E$479</f>
        <v>0</v>
      </c>
      <c r="G146" s="113">
        <f>Gasto_o_ing_total!F146*1000/Gasto_o_ing_total!F$479</f>
        <v>0</v>
      </c>
      <c r="H146" s="113">
        <f>Gasto_o_ing_total!G146*1000/Gasto_o_ing_total!G$479</f>
        <v>0</v>
      </c>
      <c r="I146" s="113">
        <f>Gasto_o_ing_total!H146*1000/Gasto_o_ing_total!H$479</f>
        <v>0</v>
      </c>
      <c r="J146" s="113">
        <f>Gasto_o_ing_total!I146*1000/Gasto_o_ing_total!I$479</f>
        <v>0</v>
      </c>
      <c r="K146" s="113">
        <f>Gasto_o_ing_total!J146*1000/Gasto_o_ing_total!J$479</f>
        <v>0</v>
      </c>
      <c r="L146" s="113">
        <f>Gasto_o_ing_total!K146*1000/Gasto_o_ing_total!K$479</f>
        <v>0</v>
      </c>
      <c r="M146" s="113">
        <f>Gasto_o_ing_total!L146*1000/Gasto_o_ing_total!L$479</f>
        <v>0</v>
      </c>
      <c r="N146" s="113">
        <f>Gasto_o_ing_total!M146*1000/Gasto_o_ing_total!M$479</f>
        <v>0</v>
      </c>
      <c r="O146" s="113">
        <f>Gasto_o_ing_total!N146*1000/Gasto_o_ing_total!N$479</f>
        <v>0</v>
      </c>
      <c r="P146" s="113">
        <f>Gasto_o_ing_total!O146*1000/Gasto_o_ing_total!O$479</f>
        <v>0</v>
      </c>
      <c r="Q146" s="113">
        <f>Gasto_o_ing_total!P146*1000/Gasto_o_ing_total!P$479</f>
        <v>0</v>
      </c>
      <c r="R146" s="113">
        <f>Gasto_o_ing_total!Q146*1000/Gasto_o_ing_total!Q$479</f>
        <v>0</v>
      </c>
      <c r="S146" s="113">
        <f>Gasto_o_ing_total!R146*1000/Gasto_o_ing_total!R$479</f>
        <v>4992.3310213152217</v>
      </c>
      <c r="T146" s="113">
        <f>Gasto_o_ing_total!S146*1000/Gasto_o_ing_total!S$479</f>
        <v>5705.2774335950944</v>
      </c>
      <c r="U146" s="113">
        <f>Gasto_o_ing_total!T146*1000/Gasto_o_ing_total!T$479</f>
        <v>0</v>
      </c>
      <c r="V146" s="113">
        <f>Gasto_o_ing_total!U146*1000/Gasto_o_ing_total!U$479</f>
        <v>0</v>
      </c>
      <c r="W146" s="105"/>
    </row>
    <row r="147" spans="1:23" s="102" customFormat="1">
      <c r="A147" s="355"/>
      <c r="B147" s="115" t="s">
        <v>982</v>
      </c>
      <c r="C147" s="333" t="str">
        <f>VLOOKUP(B147,Tot_res!C:D,2,FALSE)</f>
        <v>IRPF, ingresos homogeneizados de las comunidades forales</v>
      </c>
      <c r="D147" s="336">
        <f>Gasto_o_ing_total!V147*1000/Gasto_o_ing_total!V$479</f>
        <v>136.96793135338214</v>
      </c>
      <c r="E147" s="336">
        <f>Gasto_o_ing_total!D147*1000/Gasto_o_ing_total!D$479</f>
        <v>0</v>
      </c>
      <c r="F147" s="336">
        <f>Gasto_o_ing_total!E147*1000/Gasto_o_ing_total!E$479</f>
        <v>0</v>
      </c>
      <c r="G147" s="336">
        <f>Gasto_o_ing_total!F147*1000/Gasto_o_ing_total!F$479</f>
        <v>0</v>
      </c>
      <c r="H147" s="336">
        <f>Gasto_o_ing_total!G147*1000/Gasto_o_ing_total!G$479</f>
        <v>0</v>
      </c>
      <c r="I147" s="336">
        <f>Gasto_o_ing_total!H147*1000/Gasto_o_ing_total!H$479</f>
        <v>0</v>
      </c>
      <c r="J147" s="336">
        <f>Gasto_o_ing_total!I147*1000/Gasto_o_ing_total!I$479</f>
        <v>0</v>
      </c>
      <c r="K147" s="336">
        <f>Gasto_o_ing_total!J147*1000/Gasto_o_ing_total!J$479</f>
        <v>0</v>
      </c>
      <c r="L147" s="336">
        <f>Gasto_o_ing_total!K147*1000/Gasto_o_ing_total!K$479</f>
        <v>0</v>
      </c>
      <c r="M147" s="336">
        <f>Gasto_o_ing_total!L147*1000/Gasto_o_ing_total!L$479</f>
        <v>0</v>
      </c>
      <c r="N147" s="336">
        <f>Gasto_o_ing_total!M147*1000/Gasto_o_ing_total!M$479</f>
        <v>0</v>
      </c>
      <c r="O147" s="336">
        <f>Gasto_o_ing_total!N147*1000/Gasto_o_ing_total!N$479</f>
        <v>0</v>
      </c>
      <c r="P147" s="336">
        <f>Gasto_o_ing_total!O147*1000/Gasto_o_ing_total!O$479</f>
        <v>0</v>
      </c>
      <c r="Q147" s="336">
        <f>Gasto_o_ing_total!P147*1000/Gasto_o_ing_total!P$479</f>
        <v>0</v>
      </c>
      <c r="R147" s="336">
        <f>Gasto_o_ing_total!Q147*1000/Gasto_o_ing_total!Q$479</f>
        <v>0</v>
      </c>
      <c r="S147" s="336">
        <f>Gasto_o_ing_total!R147*1000/Gasto_o_ing_total!R$479</f>
        <v>2094.8299286543402</v>
      </c>
      <c r="T147" s="336">
        <f>Gasto_o_ing_total!S147*1000/Gasto_o_ing_total!S$479</f>
        <v>2321.3421445012018</v>
      </c>
      <c r="U147" s="336">
        <f>Gasto_o_ing_total!T147*1000/Gasto_o_ing_total!T$479</f>
        <v>0</v>
      </c>
      <c r="V147" s="336">
        <f>Gasto_o_ing_total!U147*1000/Gasto_o_ing_total!U$479</f>
        <v>0</v>
      </c>
      <c r="W147" s="105"/>
    </row>
    <row r="148" spans="1:23" s="102" customFormat="1">
      <c r="A148" s="355"/>
      <c r="B148" s="115" t="s">
        <v>983</v>
      </c>
      <c r="C148" s="333" t="str">
        <f>VLOOKUP(B148,Tot_res!C:D,2,FALSE)</f>
        <v>Sociedades, ingresos homogeneizados de las comunidades forales</v>
      </c>
      <c r="D148" s="336">
        <f>Gasto_o_ing_total!V148*1000/Gasto_o_ing_total!V$479</f>
        <v>33.900743847415072</v>
      </c>
      <c r="E148" s="336">
        <f>Gasto_o_ing_total!D148*1000/Gasto_o_ing_total!D$479</f>
        <v>0</v>
      </c>
      <c r="F148" s="336">
        <f>Gasto_o_ing_total!E148*1000/Gasto_o_ing_total!E$479</f>
        <v>0</v>
      </c>
      <c r="G148" s="336">
        <f>Gasto_o_ing_total!F148*1000/Gasto_o_ing_total!F$479</f>
        <v>0</v>
      </c>
      <c r="H148" s="336">
        <f>Gasto_o_ing_total!G148*1000/Gasto_o_ing_total!G$479</f>
        <v>0</v>
      </c>
      <c r="I148" s="336">
        <f>Gasto_o_ing_total!H148*1000/Gasto_o_ing_total!H$479</f>
        <v>0</v>
      </c>
      <c r="J148" s="336">
        <f>Gasto_o_ing_total!I148*1000/Gasto_o_ing_total!I$479</f>
        <v>0</v>
      </c>
      <c r="K148" s="336">
        <f>Gasto_o_ing_total!J148*1000/Gasto_o_ing_total!J$479</f>
        <v>0</v>
      </c>
      <c r="L148" s="336">
        <f>Gasto_o_ing_total!K148*1000/Gasto_o_ing_total!K$479</f>
        <v>0</v>
      </c>
      <c r="M148" s="336">
        <f>Gasto_o_ing_total!L148*1000/Gasto_o_ing_total!L$479</f>
        <v>0</v>
      </c>
      <c r="N148" s="336">
        <f>Gasto_o_ing_total!M148*1000/Gasto_o_ing_total!M$479</f>
        <v>0</v>
      </c>
      <c r="O148" s="336">
        <f>Gasto_o_ing_total!N148*1000/Gasto_o_ing_total!N$479</f>
        <v>0</v>
      </c>
      <c r="P148" s="336">
        <f>Gasto_o_ing_total!O148*1000/Gasto_o_ing_total!O$479</f>
        <v>0</v>
      </c>
      <c r="Q148" s="336">
        <f>Gasto_o_ing_total!P148*1000/Gasto_o_ing_total!P$479</f>
        <v>0</v>
      </c>
      <c r="R148" s="336">
        <f>Gasto_o_ing_total!Q148*1000/Gasto_o_ing_total!Q$479</f>
        <v>0</v>
      </c>
      <c r="S148" s="336">
        <f>Gasto_o_ing_total!R148*1000/Gasto_o_ing_total!R$479</f>
        <v>549.83289554665521</v>
      </c>
      <c r="T148" s="336">
        <f>Gasto_o_ing_total!S148*1000/Gasto_o_ing_total!S$479</f>
        <v>565.35588656882533</v>
      </c>
      <c r="U148" s="336">
        <f>Gasto_o_ing_total!T148*1000/Gasto_o_ing_total!T$479</f>
        <v>0</v>
      </c>
      <c r="V148" s="336">
        <f>Gasto_o_ing_total!U148*1000/Gasto_o_ing_total!U$479</f>
        <v>0</v>
      </c>
      <c r="W148" s="105"/>
    </row>
    <row r="149" spans="1:23" s="102" customFormat="1">
      <c r="A149" s="355"/>
      <c r="B149" s="115" t="s">
        <v>221</v>
      </c>
      <c r="C149" s="333" t="str">
        <f>VLOOKUP(B149,Tot_res!C:D,2,FALSE)</f>
        <v>No residentes, ingresos comunidades forales</v>
      </c>
      <c r="D149" s="336">
        <f>Gasto_o_ing_total!V149*1000/Gasto_o_ing_total!V$479</f>
        <v>1.0615421387288186</v>
      </c>
      <c r="E149" s="336">
        <f>Gasto_o_ing_total!D149*1000/Gasto_o_ing_total!D$479</f>
        <v>0</v>
      </c>
      <c r="F149" s="336">
        <f>Gasto_o_ing_total!E149*1000/Gasto_o_ing_total!E$479</f>
        <v>0</v>
      </c>
      <c r="G149" s="336">
        <f>Gasto_o_ing_total!F149*1000/Gasto_o_ing_total!F$479</f>
        <v>0</v>
      </c>
      <c r="H149" s="336">
        <f>Gasto_o_ing_total!G149*1000/Gasto_o_ing_total!G$479</f>
        <v>0</v>
      </c>
      <c r="I149" s="336">
        <f>Gasto_o_ing_total!H149*1000/Gasto_o_ing_total!H$479</f>
        <v>0</v>
      </c>
      <c r="J149" s="336">
        <f>Gasto_o_ing_total!I149*1000/Gasto_o_ing_total!I$479</f>
        <v>0</v>
      </c>
      <c r="K149" s="336">
        <f>Gasto_o_ing_total!J149*1000/Gasto_o_ing_total!J$479</f>
        <v>0</v>
      </c>
      <c r="L149" s="336">
        <f>Gasto_o_ing_total!K149*1000/Gasto_o_ing_total!K$479</f>
        <v>0</v>
      </c>
      <c r="M149" s="336">
        <f>Gasto_o_ing_total!L149*1000/Gasto_o_ing_total!L$479</f>
        <v>0</v>
      </c>
      <c r="N149" s="336">
        <f>Gasto_o_ing_total!M149*1000/Gasto_o_ing_total!M$479</f>
        <v>0</v>
      </c>
      <c r="O149" s="336">
        <f>Gasto_o_ing_total!N149*1000/Gasto_o_ing_total!N$479</f>
        <v>0</v>
      </c>
      <c r="P149" s="336">
        <f>Gasto_o_ing_total!O149*1000/Gasto_o_ing_total!O$479</f>
        <v>0</v>
      </c>
      <c r="Q149" s="336">
        <f>Gasto_o_ing_total!P149*1000/Gasto_o_ing_total!P$479</f>
        <v>0</v>
      </c>
      <c r="R149" s="336">
        <f>Gasto_o_ing_total!Q149*1000/Gasto_o_ing_total!Q$479</f>
        <v>0</v>
      </c>
      <c r="S149" s="336">
        <f>Gasto_o_ing_total!R149*1000/Gasto_o_ing_total!R$479</f>
        <v>10.433629743858669</v>
      </c>
      <c r="T149" s="336">
        <f>Gasto_o_ing_total!S149*1000/Gasto_o_ing_total!S$479</f>
        <v>19.693348067771414</v>
      </c>
      <c r="U149" s="336">
        <f>Gasto_o_ing_total!T149*1000/Gasto_o_ing_total!T$479</f>
        <v>0</v>
      </c>
      <c r="V149" s="336">
        <f>Gasto_o_ing_total!U149*1000/Gasto_o_ing_total!U$479</f>
        <v>0</v>
      </c>
      <c r="W149" s="105"/>
    </row>
    <row r="150" spans="1:23" s="102" customFormat="1">
      <c r="A150" s="355"/>
      <c r="B150" s="115" t="s">
        <v>222</v>
      </c>
      <c r="C150" s="333" t="str">
        <f>VLOOKUP(B150,Tot_res!C:D,2,FALSE)</f>
        <v xml:space="preserve"> IVA, ingresos comunidades forales</v>
      </c>
      <c r="D150" s="336">
        <f>Gasto_o_ing_total!V150*1000/Gasto_o_ing_total!V$479</f>
        <v>110.7155650234815</v>
      </c>
      <c r="E150" s="336">
        <f>Gasto_o_ing_total!D150*1000/Gasto_o_ing_total!D$479</f>
        <v>0</v>
      </c>
      <c r="F150" s="336">
        <f>Gasto_o_ing_total!E150*1000/Gasto_o_ing_total!E$479</f>
        <v>0</v>
      </c>
      <c r="G150" s="336">
        <f>Gasto_o_ing_total!F150*1000/Gasto_o_ing_total!F$479</f>
        <v>0</v>
      </c>
      <c r="H150" s="336">
        <f>Gasto_o_ing_total!G150*1000/Gasto_o_ing_total!G$479</f>
        <v>0</v>
      </c>
      <c r="I150" s="336">
        <f>Gasto_o_ing_total!H150*1000/Gasto_o_ing_total!H$479</f>
        <v>0</v>
      </c>
      <c r="J150" s="336">
        <f>Gasto_o_ing_total!I150*1000/Gasto_o_ing_total!I$479</f>
        <v>0</v>
      </c>
      <c r="K150" s="336">
        <f>Gasto_o_ing_total!J150*1000/Gasto_o_ing_total!J$479</f>
        <v>0</v>
      </c>
      <c r="L150" s="336">
        <f>Gasto_o_ing_total!K150*1000/Gasto_o_ing_total!K$479</f>
        <v>0</v>
      </c>
      <c r="M150" s="336">
        <f>Gasto_o_ing_total!L150*1000/Gasto_o_ing_total!L$479</f>
        <v>0</v>
      </c>
      <c r="N150" s="336">
        <f>Gasto_o_ing_total!M150*1000/Gasto_o_ing_total!M$479</f>
        <v>0</v>
      </c>
      <c r="O150" s="336">
        <f>Gasto_o_ing_total!N150*1000/Gasto_o_ing_total!N$479</f>
        <v>0</v>
      </c>
      <c r="P150" s="336">
        <f>Gasto_o_ing_total!O150*1000/Gasto_o_ing_total!O$479</f>
        <v>0</v>
      </c>
      <c r="Q150" s="336">
        <f>Gasto_o_ing_total!P150*1000/Gasto_o_ing_total!P$479</f>
        <v>0</v>
      </c>
      <c r="R150" s="336">
        <f>Gasto_o_ing_total!Q150*1000/Gasto_o_ing_total!Q$479</f>
        <v>0</v>
      </c>
      <c r="S150" s="336">
        <f>Gasto_o_ing_total!R150*1000/Gasto_o_ing_total!R$479</f>
        <v>1430.7859767659172</v>
      </c>
      <c r="T150" s="336">
        <f>Gasto_o_ing_total!S150*1000/Gasto_o_ing_total!S$479</f>
        <v>1953.44088012168</v>
      </c>
      <c r="U150" s="336">
        <f>Gasto_o_ing_total!T150*1000/Gasto_o_ing_total!T$479</f>
        <v>0</v>
      </c>
      <c r="V150" s="336">
        <f>Gasto_o_ing_total!U150*1000/Gasto_o_ing_total!U$479</f>
        <v>0</v>
      </c>
      <c r="W150" s="105"/>
    </row>
    <row r="151" spans="1:23" s="102" customFormat="1">
      <c r="A151" s="355"/>
      <c r="B151" s="115" t="s">
        <v>1119</v>
      </c>
      <c r="C151" s="333" t="str">
        <f>VLOOKUP(B151,Tot_res!C:D,2,FALSE)</f>
        <v>Imp. Especiales (incl. Matriculación y electricidad),  sin ejercicio de la capacidad normativa en el IH</v>
      </c>
      <c r="D151" s="336">
        <f>Gasto_o_ing_total!V151*1000/Gasto_o_ing_total!V$479</f>
        <v>38.800816397895304</v>
      </c>
      <c r="E151" s="336">
        <f>Gasto_o_ing_total!D151*1000/Gasto_o_ing_total!D$479</f>
        <v>0</v>
      </c>
      <c r="F151" s="336">
        <f>Gasto_o_ing_total!E151*1000/Gasto_o_ing_total!E$479</f>
        <v>0</v>
      </c>
      <c r="G151" s="336">
        <f>Gasto_o_ing_total!F151*1000/Gasto_o_ing_total!F$479</f>
        <v>0</v>
      </c>
      <c r="H151" s="336">
        <f>Gasto_o_ing_total!G151*1000/Gasto_o_ing_total!G$479</f>
        <v>0</v>
      </c>
      <c r="I151" s="336">
        <f>Gasto_o_ing_total!H151*1000/Gasto_o_ing_total!H$479</f>
        <v>0</v>
      </c>
      <c r="J151" s="336">
        <f>Gasto_o_ing_total!I151*1000/Gasto_o_ing_total!I$479</f>
        <v>0</v>
      </c>
      <c r="K151" s="336">
        <f>Gasto_o_ing_total!J151*1000/Gasto_o_ing_total!J$479</f>
        <v>0</v>
      </c>
      <c r="L151" s="336">
        <f>Gasto_o_ing_total!K151*1000/Gasto_o_ing_total!K$479</f>
        <v>0</v>
      </c>
      <c r="M151" s="336">
        <f>Gasto_o_ing_total!L151*1000/Gasto_o_ing_total!L$479</f>
        <v>0</v>
      </c>
      <c r="N151" s="336">
        <f>Gasto_o_ing_total!M151*1000/Gasto_o_ing_total!M$479</f>
        <v>0</v>
      </c>
      <c r="O151" s="336">
        <f>Gasto_o_ing_total!N151*1000/Gasto_o_ing_total!N$479</f>
        <v>0</v>
      </c>
      <c r="P151" s="336">
        <f>Gasto_o_ing_total!O151*1000/Gasto_o_ing_total!O$479</f>
        <v>0</v>
      </c>
      <c r="Q151" s="336">
        <f>Gasto_o_ing_total!P151*1000/Gasto_o_ing_total!P$479</f>
        <v>0</v>
      </c>
      <c r="R151" s="336">
        <f>Gasto_o_ing_total!Q151*1000/Gasto_o_ing_total!Q$479</f>
        <v>0</v>
      </c>
      <c r="S151" s="336">
        <f>Gasto_o_ing_total!R151*1000/Gasto_o_ing_total!R$479</f>
        <v>698.06372674315924</v>
      </c>
      <c r="T151" s="336">
        <f>Gasto_o_ing_total!S151*1000/Gasto_o_ing_total!S$479</f>
        <v>626.90042406784175</v>
      </c>
      <c r="U151" s="336">
        <f>Gasto_o_ing_total!T151*1000/Gasto_o_ing_total!T$479</f>
        <v>0</v>
      </c>
      <c r="V151" s="336">
        <f>Gasto_o_ing_total!U151*1000/Gasto_o_ing_total!U$479</f>
        <v>0</v>
      </c>
      <c r="W151" s="105"/>
    </row>
    <row r="152" spans="1:23" s="102" customFormat="1">
      <c r="A152" s="355"/>
      <c r="B152" s="115" t="s">
        <v>223</v>
      </c>
      <c r="C152" s="333" t="str">
        <f>VLOOKUP(B152,Tot_res!C:D,2,FALSE)</f>
        <v>Primas de seguross, ingresos comunidades forales</v>
      </c>
      <c r="D152" s="336">
        <f>Gasto_o_ing_total!V152*1000/Gasto_o_ing_total!V$479</f>
        <v>1.9675589825740532</v>
      </c>
      <c r="E152" s="336">
        <f>Gasto_o_ing_total!D152*1000/Gasto_o_ing_total!D$479</f>
        <v>0</v>
      </c>
      <c r="F152" s="336">
        <f>Gasto_o_ing_total!E152*1000/Gasto_o_ing_total!E$479</f>
        <v>0</v>
      </c>
      <c r="G152" s="336">
        <f>Gasto_o_ing_total!F152*1000/Gasto_o_ing_total!F$479</f>
        <v>0</v>
      </c>
      <c r="H152" s="336">
        <f>Gasto_o_ing_total!G152*1000/Gasto_o_ing_total!G$479</f>
        <v>0</v>
      </c>
      <c r="I152" s="336">
        <f>Gasto_o_ing_total!H152*1000/Gasto_o_ing_total!H$479</f>
        <v>0</v>
      </c>
      <c r="J152" s="336">
        <f>Gasto_o_ing_total!I152*1000/Gasto_o_ing_total!I$479</f>
        <v>0</v>
      </c>
      <c r="K152" s="336">
        <f>Gasto_o_ing_total!J152*1000/Gasto_o_ing_total!J$479</f>
        <v>0</v>
      </c>
      <c r="L152" s="336">
        <f>Gasto_o_ing_total!K152*1000/Gasto_o_ing_total!K$479</f>
        <v>0</v>
      </c>
      <c r="M152" s="336">
        <f>Gasto_o_ing_total!L152*1000/Gasto_o_ing_total!L$479</f>
        <v>0</v>
      </c>
      <c r="N152" s="336">
        <f>Gasto_o_ing_total!M152*1000/Gasto_o_ing_total!M$479</f>
        <v>0</v>
      </c>
      <c r="O152" s="336">
        <f>Gasto_o_ing_total!N152*1000/Gasto_o_ing_total!N$479</f>
        <v>0</v>
      </c>
      <c r="P152" s="336">
        <f>Gasto_o_ing_total!O152*1000/Gasto_o_ing_total!O$479</f>
        <v>0</v>
      </c>
      <c r="Q152" s="336">
        <f>Gasto_o_ing_total!P152*1000/Gasto_o_ing_total!P$479</f>
        <v>0</v>
      </c>
      <c r="R152" s="336">
        <f>Gasto_o_ing_total!Q152*1000/Gasto_o_ing_total!Q$479</f>
        <v>0</v>
      </c>
      <c r="S152" s="336">
        <f>Gasto_o_ing_total!R152*1000/Gasto_o_ing_total!R$479</f>
        <v>33.236673780623015</v>
      </c>
      <c r="T152" s="336">
        <f>Gasto_o_ing_total!S152*1000/Gasto_o_ing_total!S$479</f>
        <v>32.423829521851353</v>
      </c>
      <c r="U152" s="336">
        <f>Gasto_o_ing_total!T152*1000/Gasto_o_ing_total!T$479</f>
        <v>0</v>
      </c>
      <c r="V152" s="336">
        <f>Gasto_o_ing_total!U152*1000/Gasto_o_ing_total!U$479</f>
        <v>0</v>
      </c>
      <c r="W152" s="105"/>
    </row>
    <row r="153" spans="1:23" s="102" customFormat="1">
      <c r="A153" s="355"/>
      <c r="B153" s="115" t="s">
        <v>984</v>
      </c>
      <c r="C153" s="333" t="str">
        <f>VLOOKUP(B153,Tot_res!C:D,2,FALSE)</f>
        <v>Sucesiones y donaciones, ingresos homogeneizados de las comunidades forales</v>
      </c>
      <c r="D153" s="336">
        <f>Gasto_o_ing_total!V153*1000/Gasto_o_ing_total!V$479</f>
        <v>4.8493938623473012</v>
      </c>
      <c r="E153" s="336">
        <f>Gasto_o_ing_total!D153*1000/Gasto_o_ing_total!D$479</f>
        <v>0</v>
      </c>
      <c r="F153" s="336">
        <f>Gasto_o_ing_total!E153*1000/Gasto_o_ing_total!E$479</f>
        <v>0</v>
      </c>
      <c r="G153" s="336">
        <f>Gasto_o_ing_total!F153*1000/Gasto_o_ing_total!F$479</f>
        <v>0</v>
      </c>
      <c r="H153" s="336">
        <f>Gasto_o_ing_total!G153*1000/Gasto_o_ing_total!G$479</f>
        <v>0</v>
      </c>
      <c r="I153" s="336">
        <f>Gasto_o_ing_total!H153*1000/Gasto_o_ing_total!H$479</f>
        <v>0</v>
      </c>
      <c r="J153" s="336">
        <f>Gasto_o_ing_total!I153*1000/Gasto_o_ing_total!I$479</f>
        <v>0</v>
      </c>
      <c r="K153" s="336">
        <f>Gasto_o_ing_total!J153*1000/Gasto_o_ing_total!J$479</f>
        <v>0</v>
      </c>
      <c r="L153" s="336">
        <f>Gasto_o_ing_total!K153*1000/Gasto_o_ing_total!K$479</f>
        <v>0</v>
      </c>
      <c r="M153" s="336">
        <f>Gasto_o_ing_total!L153*1000/Gasto_o_ing_total!L$479</f>
        <v>0</v>
      </c>
      <c r="N153" s="336">
        <f>Gasto_o_ing_total!M153*1000/Gasto_o_ing_total!M$479</f>
        <v>0</v>
      </c>
      <c r="O153" s="336">
        <f>Gasto_o_ing_total!N153*1000/Gasto_o_ing_total!N$479</f>
        <v>0</v>
      </c>
      <c r="P153" s="336">
        <f>Gasto_o_ing_total!O153*1000/Gasto_o_ing_total!O$479</f>
        <v>0</v>
      </c>
      <c r="Q153" s="336">
        <f>Gasto_o_ing_total!P153*1000/Gasto_o_ing_total!P$479</f>
        <v>0</v>
      </c>
      <c r="R153" s="336">
        <f>Gasto_o_ing_total!Q153*1000/Gasto_o_ing_total!Q$479</f>
        <v>0</v>
      </c>
      <c r="S153" s="336">
        <f>Gasto_o_ing_total!R153*1000/Gasto_o_ing_total!R$479</f>
        <v>69.067133562651634</v>
      </c>
      <c r="T153" s="336">
        <f>Gasto_o_ing_total!S153*1000/Gasto_o_ing_total!S$479</f>
        <v>83.684477007826501</v>
      </c>
      <c r="U153" s="336">
        <f>Gasto_o_ing_total!T153*1000/Gasto_o_ing_total!T$479</f>
        <v>0</v>
      </c>
      <c r="V153" s="336">
        <f>Gasto_o_ing_total!U153*1000/Gasto_o_ing_total!U$479</f>
        <v>0</v>
      </c>
      <c r="W153" s="105"/>
    </row>
    <row r="154" spans="1:23" s="102" customFormat="1">
      <c r="A154" s="355"/>
      <c r="B154" s="115" t="s">
        <v>1109</v>
      </c>
      <c r="C154" s="333" t="str">
        <f>VLOOKUP(B154,Tot_res!C:D,2,FALSE)</f>
        <v>Venta minorista de hidrocarburos, ingresos de las comunidades forales</v>
      </c>
      <c r="D154" s="336">
        <f>Gasto_o_ing_total!V154*1000/Gasto_o_ing_total!V$479</f>
        <v>0.38917677045058585</v>
      </c>
      <c r="E154" s="336">
        <f>Gasto_o_ing_total!D154*1000/Gasto_o_ing_total!D$479</f>
        <v>0</v>
      </c>
      <c r="F154" s="336">
        <f>Gasto_o_ing_total!E154*1000/Gasto_o_ing_total!E$479</f>
        <v>0</v>
      </c>
      <c r="G154" s="336">
        <f>Gasto_o_ing_total!F154*1000/Gasto_o_ing_total!F$479</f>
        <v>0</v>
      </c>
      <c r="H154" s="336">
        <f>Gasto_o_ing_total!G154*1000/Gasto_o_ing_total!G$479</f>
        <v>0</v>
      </c>
      <c r="I154" s="336">
        <f>Gasto_o_ing_total!H154*1000/Gasto_o_ing_total!H$479</f>
        <v>0</v>
      </c>
      <c r="J154" s="336">
        <f>Gasto_o_ing_total!I154*1000/Gasto_o_ing_total!I$479</f>
        <v>0</v>
      </c>
      <c r="K154" s="336">
        <f>Gasto_o_ing_total!J154*1000/Gasto_o_ing_total!J$479</f>
        <v>0</v>
      </c>
      <c r="L154" s="336">
        <f>Gasto_o_ing_total!K154*1000/Gasto_o_ing_total!K$479</f>
        <v>0</v>
      </c>
      <c r="M154" s="336">
        <f>Gasto_o_ing_total!L154*1000/Gasto_o_ing_total!L$479</f>
        <v>0</v>
      </c>
      <c r="N154" s="336">
        <f>Gasto_o_ing_total!M154*1000/Gasto_o_ing_total!M$479</f>
        <v>0</v>
      </c>
      <c r="O154" s="336">
        <f>Gasto_o_ing_total!N154*1000/Gasto_o_ing_total!N$479</f>
        <v>0</v>
      </c>
      <c r="P154" s="336">
        <f>Gasto_o_ing_total!O154*1000/Gasto_o_ing_total!O$479</f>
        <v>0</v>
      </c>
      <c r="Q154" s="336">
        <f>Gasto_o_ing_total!P154*1000/Gasto_o_ing_total!P$479</f>
        <v>0</v>
      </c>
      <c r="R154" s="336">
        <f>Gasto_o_ing_total!Q154*1000/Gasto_o_ing_total!Q$479</f>
        <v>0</v>
      </c>
      <c r="S154" s="336">
        <f>Gasto_o_ing_total!R154*1000/Gasto_o_ing_total!R$479</f>
        <v>9.3429117685274736</v>
      </c>
      <c r="T154" s="336">
        <f>Gasto_o_ing_total!S154*1000/Gasto_o_ing_total!S$479</f>
        <v>5.6009735503748628</v>
      </c>
      <c r="U154" s="336">
        <f>Gasto_o_ing_total!T154*1000/Gasto_o_ing_total!T$479</f>
        <v>0</v>
      </c>
      <c r="V154" s="336">
        <f>Gasto_o_ing_total!U154*1000/Gasto_o_ing_total!U$479</f>
        <v>0</v>
      </c>
      <c r="W154" s="105"/>
    </row>
    <row r="155" spans="1:23" s="102" customFormat="1">
      <c r="A155" s="355"/>
      <c r="B155" s="115" t="s">
        <v>985</v>
      </c>
      <c r="C155" s="333" t="str">
        <f>VLOOKUP(B155,Tot_res!C:D,2,FALSE)</f>
        <v>ITP y AJD, ingresos homogeneizados de las comunidades forales</v>
      </c>
      <c r="D155" s="336">
        <f>Gasto_o_ing_total!V155*1000/Gasto_o_ing_total!V$479</f>
        <v>4.9711858861213978</v>
      </c>
      <c r="E155" s="336">
        <f>Gasto_o_ing_total!D155*1000/Gasto_o_ing_total!D$479</f>
        <v>0</v>
      </c>
      <c r="F155" s="336">
        <f>Gasto_o_ing_total!E155*1000/Gasto_o_ing_total!E$479</f>
        <v>0</v>
      </c>
      <c r="G155" s="336">
        <f>Gasto_o_ing_total!F155*1000/Gasto_o_ing_total!F$479</f>
        <v>0</v>
      </c>
      <c r="H155" s="336">
        <f>Gasto_o_ing_total!G155*1000/Gasto_o_ing_total!G$479</f>
        <v>0</v>
      </c>
      <c r="I155" s="336">
        <f>Gasto_o_ing_total!H155*1000/Gasto_o_ing_total!H$479</f>
        <v>0</v>
      </c>
      <c r="J155" s="336">
        <f>Gasto_o_ing_total!I155*1000/Gasto_o_ing_total!I$479</f>
        <v>0</v>
      </c>
      <c r="K155" s="336">
        <f>Gasto_o_ing_total!J155*1000/Gasto_o_ing_total!J$479</f>
        <v>0</v>
      </c>
      <c r="L155" s="336">
        <f>Gasto_o_ing_total!K155*1000/Gasto_o_ing_total!K$479</f>
        <v>0</v>
      </c>
      <c r="M155" s="336">
        <f>Gasto_o_ing_total!L155*1000/Gasto_o_ing_total!L$479</f>
        <v>0</v>
      </c>
      <c r="N155" s="336">
        <f>Gasto_o_ing_total!M155*1000/Gasto_o_ing_total!M$479</f>
        <v>0</v>
      </c>
      <c r="O155" s="336">
        <f>Gasto_o_ing_total!N155*1000/Gasto_o_ing_total!N$479</f>
        <v>0</v>
      </c>
      <c r="P155" s="336">
        <f>Gasto_o_ing_total!O155*1000/Gasto_o_ing_total!O$479</f>
        <v>0</v>
      </c>
      <c r="Q155" s="336">
        <f>Gasto_o_ing_total!P155*1000/Gasto_o_ing_total!P$479</f>
        <v>0</v>
      </c>
      <c r="R155" s="336">
        <f>Gasto_o_ing_total!Q155*1000/Gasto_o_ing_total!Q$479</f>
        <v>0</v>
      </c>
      <c r="S155" s="336">
        <f>Gasto_o_ing_total!R155*1000/Gasto_o_ing_total!R$479</f>
        <v>80.078925612724873</v>
      </c>
      <c r="T155" s="336">
        <f>Gasto_o_ing_total!S155*1000/Gasto_o_ing_total!S$479</f>
        <v>83.064323728383187</v>
      </c>
      <c r="U155" s="336">
        <f>Gasto_o_ing_total!T155*1000/Gasto_o_ing_total!T$479</f>
        <v>0</v>
      </c>
      <c r="V155" s="336">
        <f>Gasto_o_ing_total!U155*1000/Gasto_o_ing_total!U$479</f>
        <v>0</v>
      </c>
      <c r="W155" s="105"/>
    </row>
    <row r="156" spans="1:23" s="102" customFormat="1">
      <c r="A156" s="355"/>
      <c r="B156" s="115" t="s">
        <v>986</v>
      </c>
      <c r="C156" s="333" t="str">
        <f>VLOOKUP(B156,Tot_res!C:D,2,FALSE)</f>
        <v>Tasas juego, ingresos homogeneizados de las comunidades forales</v>
      </c>
      <c r="D156" s="336">
        <f>Gasto_o_ing_total!V156*1000/Gasto_o_ing_total!V$479</f>
        <v>0.87047255631189557</v>
      </c>
      <c r="E156" s="336">
        <f>Gasto_o_ing_total!D156*1000/Gasto_o_ing_total!D$479</f>
        <v>0</v>
      </c>
      <c r="F156" s="336">
        <f>Gasto_o_ing_total!E156*1000/Gasto_o_ing_total!E$479</f>
        <v>0</v>
      </c>
      <c r="G156" s="336">
        <f>Gasto_o_ing_total!F156*1000/Gasto_o_ing_total!F$479</f>
        <v>0</v>
      </c>
      <c r="H156" s="336">
        <f>Gasto_o_ing_total!G156*1000/Gasto_o_ing_total!G$479</f>
        <v>0</v>
      </c>
      <c r="I156" s="336">
        <f>Gasto_o_ing_total!H156*1000/Gasto_o_ing_total!H$479</f>
        <v>0</v>
      </c>
      <c r="J156" s="336">
        <f>Gasto_o_ing_total!I156*1000/Gasto_o_ing_total!I$479</f>
        <v>0</v>
      </c>
      <c r="K156" s="336">
        <f>Gasto_o_ing_total!J156*1000/Gasto_o_ing_total!J$479</f>
        <v>0</v>
      </c>
      <c r="L156" s="336">
        <f>Gasto_o_ing_total!K156*1000/Gasto_o_ing_total!K$479</f>
        <v>0</v>
      </c>
      <c r="M156" s="336">
        <f>Gasto_o_ing_total!L156*1000/Gasto_o_ing_total!L$479</f>
        <v>0</v>
      </c>
      <c r="N156" s="336">
        <f>Gasto_o_ing_total!M156*1000/Gasto_o_ing_total!M$479</f>
        <v>0</v>
      </c>
      <c r="O156" s="336">
        <f>Gasto_o_ing_total!N156*1000/Gasto_o_ing_total!N$479</f>
        <v>0</v>
      </c>
      <c r="P156" s="336">
        <f>Gasto_o_ing_total!O156*1000/Gasto_o_ing_total!O$479</f>
        <v>0</v>
      </c>
      <c r="Q156" s="336">
        <f>Gasto_o_ing_total!P156*1000/Gasto_o_ing_total!P$479</f>
        <v>0</v>
      </c>
      <c r="R156" s="336">
        <f>Gasto_o_ing_total!Q156*1000/Gasto_o_ing_total!Q$479</f>
        <v>0</v>
      </c>
      <c r="S156" s="336">
        <f>Gasto_o_ing_total!R156*1000/Gasto_o_ing_total!R$479</f>
        <v>16.659219136764513</v>
      </c>
      <c r="T156" s="336">
        <f>Gasto_o_ing_total!S156*1000/Gasto_o_ing_total!S$479</f>
        <v>13.771146459337897</v>
      </c>
      <c r="U156" s="336">
        <f>Gasto_o_ing_total!T156*1000/Gasto_o_ing_total!T$479</f>
        <v>0</v>
      </c>
      <c r="V156" s="336">
        <f>Gasto_o_ing_total!U156*1000/Gasto_o_ing_total!U$479</f>
        <v>0</v>
      </c>
      <c r="W156" s="114"/>
    </row>
    <row r="157" spans="1:23" s="102" customFormat="1">
      <c r="A157" s="356"/>
      <c r="B157" s="115"/>
      <c r="C157" s="140"/>
      <c r="D157" s="110"/>
      <c r="E157" s="110"/>
      <c r="F157" s="110"/>
      <c r="G157" s="110"/>
      <c r="H157" s="110"/>
      <c r="I157" s="110"/>
      <c r="J157" s="110"/>
      <c r="K157" s="110"/>
      <c r="L157" s="110"/>
      <c r="M157" s="110"/>
      <c r="N157" s="110"/>
      <c r="O157" s="110"/>
      <c r="P157" s="110"/>
      <c r="Q157" s="110"/>
      <c r="R157" s="110"/>
      <c r="S157" s="110"/>
      <c r="T157" s="110"/>
      <c r="U157" s="110"/>
      <c r="V157" s="110"/>
      <c r="W157" s="105"/>
    </row>
    <row r="158" spans="1:23" s="102" customFormat="1">
      <c r="A158" s="356"/>
      <c r="B158" s="115"/>
      <c r="C158" s="117" t="s">
        <v>5</v>
      </c>
      <c r="D158" s="113">
        <f>Gasto_o_ing_total!V158*1000/Gasto_o_ing_total!V$479</f>
        <v>-35.90652056518514</v>
      </c>
      <c r="E158" s="113">
        <f>Gasto_o_ing_total!D158*1000/Gasto_o_ing_total!D$479</f>
        <v>0</v>
      </c>
      <c r="F158" s="113">
        <f>Gasto_o_ing_total!E158*1000/Gasto_o_ing_total!E$479</f>
        <v>0</v>
      </c>
      <c r="G158" s="113">
        <f>Gasto_o_ing_total!F158*1000/Gasto_o_ing_total!F$479</f>
        <v>0</v>
      </c>
      <c r="H158" s="113">
        <f>Gasto_o_ing_total!G158*1000/Gasto_o_ing_total!G$479</f>
        <v>0</v>
      </c>
      <c r="I158" s="113">
        <f>Gasto_o_ing_total!H158*1000/Gasto_o_ing_total!H$479</f>
        <v>0</v>
      </c>
      <c r="J158" s="113">
        <f>Gasto_o_ing_total!I158*1000/Gasto_o_ing_total!I$479</f>
        <v>0</v>
      </c>
      <c r="K158" s="113">
        <f>Gasto_o_ing_total!J158*1000/Gasto_o_ing_total!J$479</f>
        <v>0</v>
      </c>
      <c r="L158" s="113">
        <f>Gasto_o_ing_total!K158*1000/Gasto_o_ing_total!K$479</f>
        <v>0</v>
      </c>
      <c r="M158" s="113">
        <f>Gasto_o_ing_total!L158*1000/Gasto_o_ing_total!L$479</f>
        <v>0</v>
      </c>
      <c r="N158" s="113">
        <f>Gasto_o_ing_total!M158*1000/Gasto_o_ing_total!M$479</f>
        <v>0</v>
      </c>
      <c r="O158" s="113">
        <f>Gasto_o_ing_total!N158*1000/Gasto_o_ing_total!N$479</f>
        <v>0</v>
      </c>
      <c r="P158" s="113">
        <f>Gasto_o_ing_total!O158*1000/Gasto_o_ing_total!O$479</f>
        <v>0</v>
      </c>
      <c r="Q158" s="113">
        <f>Gasto_o_ing_total!P158*1000/Gasto_o_ing_total!P$479</f>
        <v>0</v>
      </c>
      <c r="R158" s="113">
        <f>Gasto_o_ing_total!Q158*1000/Gasto_o_ing_total!Q$479</f>
        <v>0</v>
      </c>
      <c r="S158" s="113">
        <f>Gasto_o_ing_total!R158*1000/Gasto_o_ing_total!R$479</f>
        <v>-893.39569132328143</v>
      </c>
      <c r="T158" s="113">
        <f>Gasto_o_ing_total!S158*1000/Gasto_o_ing_total!S$479</f>
        <v>-507.55070860213755</v>
      </c>
      <c r="U158" s="113">
        <f>Gasto_o_ing_total!T158*1000/Gasto_o_ing_total!T$479</f>
        <v>0</v>
      </c>
      <c r="V158" s="113">
        <f>Gasto_o_ing_total!U158*1000/Gasto_o_ing_total!U$479</f>
        <v>0</v>
      </c>
      <c r="W158" s="105"/>
    </row>
    <row r="159" spans="1:23" s="102" customFormat="1">
      <c r="A159" s="355"/>
      <c r="B159" s="115" t="s">
        <v>1009</v>
      </c>
      <c r="C159" s="333" t="str">
        <f>VLOOKUP(B159,Tot_res!C:D,2,FALSE)</f>
        <v xml:space="preserve"> Cupo y aportación, antes descuento por Y vasca</v>
      </c>
      <c r="D159" s="336">
        <f>Gasto_o_ing_total!V159*1000/Gasto_o_ing_total!V$479</f>
        <v>-37.984046282555681</v>
      </c>
      <c r="E159" s="336">
        <f>Gasto_o_ing_total!D159*1000/Gasto_o_ing_total!D$479</f>
        <v>0</v>
      </c>
      <c r="F159" s="336">
        <f>Gasto_o_ing_total!E159*1000/Gasto_o_ing_total!E$479</f>
        <v>0</v>
      </c>
      <c r="G159" s="336">
        <f>Gasto_o_ing_total!F159*1000/Gasto_o_ing_total!F$479</f>
        <v>0</v>
      </c>
      <c r="H159" s="336">
        <f>Gasto_o_ing_total!G159*1000/Gasto_o_ing_total!G$479</f>
        <v>0</v>
      </c>
      <c r="I159" s="336">
        <f>Gasto_o_ing_total!H159*1000/Gasto_o_ing_total!H$479</f>
        <v>0</v>
      </c>
      <c r="J159" s="336">
        <f>Gasto_o_ing_total!I159*1000/Gasto_o_ing_total!I$479</f>
        <v>0</v>
      </c>
      <c r="K159" s="336">
        <f>Gasto_o_ing_total!J159*1000/Gasto_o_ing_total!J$479</f>
        <v>0</v>
      </c>
      <c r="L159" s="336">
        <f>Gasto_o_ing_total!K159*1000/Gasto_o_ing_total!K$479</f>
        <v>0</v>
      </c>
      <c r="M159" s="336">
        <f>Gasto_o_ing_total!L159*1000/Gasto_o_ing_total!L$479</f>
        <v>0</v>
      </c>
      <c r="N159" s="336">
        <f>Gasto_o_ing_total!M159*1000/Gasto_o_ing_total!M$479</f>
        <v>0</v>
      </c>
      <c r="O159" s="336">
        <f>Gasto_o_ing_total!N159*1000/Gasto_o_ing_total!N$479</f>
        <v>0</v>
      </c>
      <c r="P159" s="336">
        <f>Gasto_o_ing_total!O159*1000/Gasto_o_ing_total!O$479</f>
        <v>0</v>
      </c>
      <c r="Q159" s="336">
        <f>Gasto_o_ing_total!P159*1000/Gasto_o_ing_total!P$479</f>
        <v>0</v>
      </c>
      <c r="R159" s="336">
        <f>Gasto_o_ing_total!Q159*1000/Gasto_o_ing_total!Q$479</f>
        <v>0</v>
      </c>
      <c r="S159" s="336">
        <f>Gasto_o_ing_total!R159*1000/Gasto_o_ing_total!R$479</f>
        <v>-893.39569132328143</v>
      </c>
      <c r="T159" s="336">
        <f>Gasto_o_ing_total!S159*1000/Gasto_o_ing_total!S$479</f>
        <v>-552.08319646300436</v>
      </c>
      <c r="U159" s="336">
        <f>Gasto_o_ing_total!T159*1000/Gasto_o_ing_total!T$479</f>
        <v>0</v>
      </c>
      <c r="V159" s="336">
        <f>Gasto_o_ing_total!U159*1000/Gasto_o_ing_total!U$479</f>
        <v>0</v>
      </c>
      <c r="W159" s="105"/>
    </row>
    <row r="160" spans="1:23" s="102" customFormat="1">
      <c r="A160" s="355"/>
      <c r="B160" s="115" t="s">
        <v>987</v>
      </c>
      <c r="C160" s="333" t="str">
        <f>VLOOKUP(B160,Tot_res!C:D,2,FALSE)</f>
        <v>Otras transferencias a CCAA: Compensaciones financieras al País Vasco por IE sobre las labores de tabaco</v>
      </c>
      <c r="D160" s="336">
        <f>Gasto_o_ing_total!V160*1000/Gasto_o_ing_total!V$479</f>
        <v>3.0846702111893785</v>
      </c>
      <c r="E160" s="336">
        <f>Gasto_o_ing_total!D160*1000/Gasto_o_ing_total!D$479</f>
        <v>0</v>
      </c>
      <c r="F160" s="336">
        <f>Gasto_o_ing_total!E160*1000/Gasto_o_ing_total!E$479</f>
        <v>0</v>
      </c>
      <c r="G160" s="336">
        <f>Gasto_o_ing_total!F160*1000/Gasto_o_ing_total!F$479</f>
        <v>0</v>
      </c>
      <c r="H160" s="336">
        <f>Gasto_o_ing_total!G160*1000/Gasto_o_ing_total!G$479</f>
        <v>0</v>
      </c>
      <c r="I160" s="336">
        <f>Gasto_o_ing_total!H160*1000/Gasto_o_ing_total!H$479</f>
        <v>0</v>
      </c>
      <c r="J160" s="336">
        <f>Gasto_o_ing_total!I160*1000/Gasto_o_ing_total!I$479</f>
        <v>0</v>
      </c>
      <c r="K160" s="336">
        <f>Gasto_o_ing_total!J160*1000/Gasto_o_ing_total!J$479</f>
        <v>0</v>
      </c>
      <c r="L160" s="336">
        <f>Gasto_o_ing_total!K160*1000/Gasto_o_ing_total!K$479</f>
        <v>0</v>
      </c>
      <c r="M160" s="336">
        <f>Gasto_o_ing_total!L160*1000/Gasto_o_ing_total!L$479</f>
        <v>0</v>
      </c>
      <c r="N160" s="336">
        <f>Gasto_o_ing_total!M160*1000/Gasto_o_ing_total!M$479</f>
        <v>0</v>
      </c>
      <c r="O160" s="336">
        <f>Gasto_o_ing_total!N160*1000/Gasto_o_ing_total!N$479</f>
        <v>0</v>
      </c>
      <c r="P160" s="336">
        <f>Gasto_o_ing_total!O160*1000/Gasto_o_ing_total!O$479</f>
        <v>0</v>
      </c>
      <c r="Q160" s="336">
        <f>Gasto_o_ing_total!P160*1000/Gasto_o_ing_total!P$479</f>
        <v>0</v>
      </c>
      <c r="R160" s="336">
        <f>Gasto_o_ing_total!Q160*1000/Gasto_o_ing_total!Q$479</f>
        <v>0</v>
      </c>
      <c r="S160" s="336">
        <f>Gasto_o_ing_total!R160*1000/Gasto_o_ing_total!R$479</f>
        <v>0</v>
      </c>
      <c r="T160" s="336">
        <f>Gasto_o_ing_total!S160*1000/Gasto_o_ing_total!S$479</f>
        <v>66.12098111999839</v>
      </c>
      <c r="U160" s="336">
        <f>Gasto_o_ing_total!T160*1000/Gasto_o_ing_total!T$479</f>
        <v>0</v>
      </c>
      <c r="V160" s="336">
        <f>Gasto_o_ing_total!U160*1000/Gasto_o_ing_total!U$479</f>
        <v>0</v>
      </c>
      <c r="W160" s="105"/>
    </row>
    <row r="161" spans="1:23" s="102" customFormat="1">
      <c r="A161" s="355"/>
      <c r="B161" s="115" t="s">
        <v>225</v>
      </c>
      <c r="C161" s="333" t="str">
        <f>VLOOKUP(B161,Tot_res!C:D,2,FALSE)</f>
        <v>compensaciones financieras IE bebidas alcohólicas e hidrocarburos</v>
      </c>
      <c r="D161" s="336">
        <f>Gasto_o_ing_total!V161*1000/Gasto_o_ing_total!V$479</f>
        <v>-1.0071444938188385</v>
      </c>
      <c r="E161" s="336">
        <f>Gasto_o_ing_total!D161*1000/Gasto_o_ing_total!D$479</f>
        <v>0</v>
      </c>
      <c r="F161" s="336">
        <f>Gasto_o_ing_total!E161*1000/Gasto_o_ing_total!E$479</f>
        <v>0</v>
      </c>
      <c r="G161" s="336">
        <f>Gasto_o_ing_total!F161*1000/Gasto_o_ing_total!F$479</f>
        <v>0</v>
      </c>
      <c r="H161" s="336">
        <f>Gasto_o_ing_total!G161*1000/Gasto_o_ing_total!G$479</f>
        <v>0</v>
      </c>
      <c r="I161" s="336">
        <f>Gasto_o_ing_total!H161*1000/Gasto_o_ing_total!H$479</f>
        <v>0</v>
      </c>
      <c r="J161" s="336">
        <f>Gasto_o_ing_total!I161*1000/Gasto_o_ing_total!I$479</f>
        <v>0</v>
      </c>
      <c r="K161" s="336">
        <f>Gasto_o_ing_total!J161*1000/Gasto_o_ing_total!J$479</f>
        <v>0</v>
      </c>
      <c r="L161" s="336">
        <f>Gasto_o_ing_total!K161*1000/Gasto_o_ing_total!K$479</f>
        <v>0</v>
      </c>
      <c r="M161" s="336">
        <f>Gasto_o_ing_total!L161*1000/Gasto_o_ing_total!L$479</f>
        <v>0</v>
      </c>
      <c r="N161" s="336">
        <f>Gasto_o_ing_total!M161*1000/Gasto_o_ing_total!M$479</f>
        <v>0</v>
      </c>
      <c r="O161" s="336">
        <f>Gasto_o_ing_total!N161*1000/Gasto_o_ing_total!N$479</f>
        <v>0</v>
      </c>
      <c r="P161" s="336">
        <f>Gasto_o_ing_total!O161*1000/Gasto_o_ing_total!O$479</f>
        <v>0</v>
      </c>
      <c r="Q161" s="336">
        <f>Gasto_o_ing_total!P161*1000/Gasto_o_ing_total!P$479</f>
        <v>0</v>
      </c>
      <c r="R161" s="336">
        <f>Gasto_o_ing_total!Q161*1000/Gasto_o_ing_total!Q$479</f>
        <v>0</v>
      </c>
      <c r="S161" s="336">
        <f>Gasto_o_ing_total!R161*1000/Gasto_o_ing_total!R$479</f>
        <v>0</v>
      </c>
      <c r="T161" s="336">
        <f>Gasto_o_ing_total!S161*1000/Gasto_o_ing_total!S$479</f>
        <v>-21.588493259131543</v>
      </c>
      <c r="U161" s="336">
        <f>Gasto_o_ing_total!T161*1000/Gasto_o_ing_total!T$479</f>
        <v>0</v>
      </c>
      <c r="V161" s="336">
        <f>Gasto_o_ing_total!U161*1000/Gasto_o_ing_total!U$479</f>
        <v>0</v>
      </c>
      <c r="W161" s="114"/>
    </row>
    <row r="162" spans="1:23">
      <c r="A162" s="356"/>
      <c r="C162" s="5"/>
      <c r="D162" s="19"/>
      <c r="E162" s="19"/>
      <c r="F162" s="19"/>
      <c r="G162" s="19"/>
      <c r="H162" s="19"/>
      <c r="I162" s="19"/>
      <c r="J162" s="19"/>
      <c r="K162" s="19"/>
      <c r="L162" s="19"/>
      <c r="M162" s="19"/>
      <c r="N162" s="19"/>
      <c r="O162" s="19"/>
      <c r="P162" s="19"/>
      <c r="Q162" s="19"/>
      <c r="R162" s="19"/>
      <c r="S162" s="19"/>
      <c r="T162" s="19"/>
      <c r="U162" s="19"/>
      <c r="V162" s="19"/>
      <c r="W162" s="2"/>
    </row>
    <row r="163" spans="1:23" s="102" customFormat="1">
      <c r="A163" s="356"/>
      <c r="B163" s="115"/>
      <c r="C163" s="117" t="s">
        <v>52</v>
      </c>
      <c r="D163" s="113">
        <f>Gasto_o_ing_total!V163*1000/Gasto_o_ing_total!V$479</f>
        <v>-59.363661435382383</v>
      </c>
      <c r="E163" s="113">
        <f>Gasto_o_ing_total!D163*1000/Gasto_o_ing_total!D$479</f>
        <v>0</v>
      </c>
      <c r="F163" s="113">
        <f>Gasto_o_ing_total!E163*1000/Gasto_o_ing_total!E$479</f>
        <v>0</v>
      </c>
      <c r="G163" s="113">
        <f>Gasto_o_ing_total!F163*1000/Gasto_o_ing_total!F$479</f>
        <v>0</v>
      </c>
      <c r="H163" s="113">
        <f>Gasto_o_ing_total!G163*1000/Gasto_o_ing_total!G$479</f>
        <v>0</v>
      </c>
      <c r="I163" s="113">
        <f>Gasto_o_ing_total!H163*1000/Gasto_o_ing_total!H$479</f>
        <v>0</v>
      </c>
      <c r="J163" s="113">
        <f>Gasto_o_ing_total!I163*1000/Gasto_o_ing_total!I$479</f>
        <v>0</v>
      </c>
      <c r="K163" s="113">
        <f>Gasto_o_ing_total!J163*1000/Gasto_o_ing_total!J$479</f>
        <v>0</v>
      </c>
      <c r="L163" s="113">
        <f>Gasto_o_ing_total!K163*1000/Gasto_o_ing_total!K$479</f>
        <v>0</v>
      </c>
      <c r="M163" s="113">
        <f>Gasto_o_ing_total!L163*1000/Gasto_o_ing_total!L$479</f>
        <v>0</v>
      </c>
      <c r="N163" s="113">
        <f>Gasto_o_ing_total!M163*1000/Gasto_o_ing_total!M$479</f>
        <v>0</v>
      </c>
      <c r="O163" s="113">
        <f>Gasto_o_ing_total!N163*1000/Gasto_o_ing_total!N$479</f>
        <v>0</v>
      </c>
      <c r="P163" s="113">
        <f>Gasto_o_ing_total!O163*1000/Gasto_o_ing_total!O$479</f>
        <v>0</v>
      </c>
      <c r="Q163" s="113">
        <f>Gasto_o_ing_total!P163*1000/Gasto_o_ing_total!P$479</f>
        <v>0</v>
      </c>
      <c r="R163" s="113">
        <f>Gasto_o_ing_total!Q163*1000/Gasto_o_ing_total!Q$479</f>
        <v>0</v>
      </c>
      <c r="S163" s="113">
        <f>Gasto_o_ing_total!R163*1000/Gasto_o_ing_total!R$479</f>
        <v>-833.24128888373889</v>
      </c>
      <c r="T163" s="113">
        <f>Gasto_o_ing_total!S163*1000/Gasto_o_ing_total!S$479</f>
        <v>-1028.0117164573624</v>
      </c>
      <c r="U163" s="113">
        <f>Gasto_o_ing_total!T163*1000/Gasto_o_ing_total!T$479</f>
        <v>0</v>
      </c>
      <c r="V163" s="113">
        <f>Gasto_o_ing_total!U163*1000/Gasto_o_ing_total!U$479</f>
        <v>0</v>
      </c>
      <c r="W163" s="105"/>
    </row>
    <row r="164" spans="1:23" s="102" customFormat="1">
      <c r="A164" s="356"/>
      <c r="B164" s="115" t="s">
        <v>1127</v>
      </c>
      <c r="C164" s="335" t="str">
        <f>VLOOKUP(B164,Tot_res!C:D,2,FALSE)</f>
        <v>gestión tributaria (prog. 932A)</v>
      </c>
      <c r="D164" s="338">
        <f>Gasto_o_ing_total!V164*1000/Gasto_o_ing_total!V$479</f>
        <v>-1.7078487436217011</v>
      </c>
      <c r="E164" s="338">
        <f>Gasto_o_ing_total!D164*1000/Gasto_o_ing_total!D$479</f>
        <v>0</v>
      </c>
      <c r="F164" s="338">
        <f>Gasto_o_ing_total!E164*1000/Gasto_o_ing_total!E$479</f>
        <v>0</v>
      </c>
      <c r="G164" s="338">
        <f>Gasto_o_ing_total!F164*1000/Gasto_o_ing_total!F$479</f>
        <v>0</v>
      </c>
      <c r="H164" s="338">
        <f>Gasto_o_ing_total!G164*1000/Gasto_o_ing_total!G$479</f>
        <v>0</v>
      </c>
      <c r="I164" s="338">
        <f>Gasto_o_ing_total!H164*1000/Gasto_o_ing_total!H$479</f>
        <v>0</v>
      </c>
      <c r="J164" s="338">
        <f>Gasto_o_ing_total!I164*1000/Gasto_o_ing_total!I$479</f>
        <v>0</v>
      </c>
      <c r="K164" s="338">
        <f>Gasto_o_ing_total!J164*1000/Gasto_o_ing_total!J$479</f>
        <v>0</v>
      </c>
      <c r="L164" s="338">
        <f>Gasto_o_ing_total!K164*1000/Gasto_o_ing_total!K$479</f>
        <v>0</v>
      </c>
      <c r="M164" s="338">
        <f>Gasto_o_ing_total!L164*1000/Gasto_o_ing_total!L$479</f>
        <v>0</v>
      </c>
      <c r="N164" s="338">
        <f>Gasto_o_ing_total!M164*1000/Gasto_o_ing_total!M$479</f>
        <v>0</v>
      </c>
      <c r="O164" s="338">
        <f>Gasto_o_ing_total!N164*1000/Gasto_o_ing_total!N$479</f>
        <v>0</v>
      </c>
      <c r="P164" s="338">
        <f>Gasto_o_ing_total!O164*1000/Gasto_o_ing_total!O$479</f>
        <v>0</v>
      </c>
      <c r="Q164" s="338">
        <f>Gasto_o_ing_total!P164*1000/Gasto_o_ing_total!P$479</f>
        <v>0</v>
      </c>
      <c r="R164" s="338">
        <f>Gasto_o_ing_total!Q164*1000/Gasto_o_ing_total!Q$479</f>
        <v>0</v>
      </c>
      <c r="S164" s="338">
        <f>Gasto_o_ing_total!R164*1000/Gasto_o_ing_total!R$479</f>
        <v>-28.304056603565371</v>
      </c>
      <c r="T164" s="338">
        <f>Gasto_o_ing_total!S164*1000/Gasto_o_ing_total!S$479</f>
        <v>-28.304056603565371</v>
      </c>
      <c r="U164" s="338">
        <f>Gasto_o_ing_total!T164*1000/Gasto_o_ing_total!T$479</f>
        <v>0</v>
      </c>
      <c r="V164" s="338">
        <f>Gasto_o_ing_total!U164*1000/Gasto_o_ing_total!U$479</f>
        <v>0</v>
      </c>
      <c r="W164" s="105"/>
    </row>
    <row r="165" spans="1:23" s="102" customFormat="1">
      <c r="A165" s="356"/>
      <c r="B165" s="115" t="s">
        <v>1128</v>
      </c>
      <c r="C165" s="335" t="str">
        <f>VLOOKUP(B165,Tot_res!C:D,2,FALSE)</f>
        <v>Gestión del catastro inmobiliario (programa 932M)</v>
      </c>
      <c r="D165" s="338">
        <f>Gasto_o_ing_total!V165*1000/Gasto_o_ing_total!V$479</f>
        <v>-0.13115616849756151</v>
      </c>
      <c r="E165" s="338">
        <f>Gasto_o_ing_total!D165*1000/Gasto_o_ing_total!D$479</f>
        <v>0</v>
      </c>
      <c r="F165" s="338">
        <f>Gasto_o_ing_total!E165*1000/Gasto_o_ing_total!E$479</f>
        <v>0</v>
      </c>
      <c r="G165" s="338">
        <f>Gasto_o_ing_total!F165*1000/Gasto_o_ing_total!F$479</f>
        <v>0</v>
      </c>
      <c r="H165" s="338">
        <f>Gasto_o_ing_total!G165*1000/Gasto_o_ing_total!G$479</f>
        <v>0</v>
      </c>
      <c r="I165" s="338">
        <f>Gasto_o_ing_total!H165*1000/Gasto_o_ing_total!H$479</f>
        <v>0</v>
      </c>
      <c r="J165" s="338">
        <f>Gasto_o_ing_total!I165*1000/Gasto_o_ing_total!I$479</f>
        <v>0</v>
      </c>
      <c r="K165" s="338">
        <f>Gasto_o_ing_total!J165*1000/Gasto_o_ing_total!J$479</f>
        <v>0</v>
      </c>
      <c r="L165" s="338">
        <f>Gasto_o_ing_total!K165*1000/Gasto_o_ing_total!K$479</f>
        <v>0</v>
      </c>
      <c r="M165" s="338">
        <f>Gasto_o_ing_total!L165*1000/Gasto_o_ing_total!L$479</f>
        <v>0</v>
      </c>
      <c r="N165" s="338">
        <f>Gasto_o_ing_total!M165*1000/Gasto_o_ing_total!M$479</f>
        <v>0</v>
      </c>
      <c r="O165" s="338">
        <f>Gasto_o_ing_total!N165*1000/Gasto_o_ing_total!N$479</f>
        <v>0</v>
      </c>
      <c r="P165" s="338">
        <f>Gasto_o_ing_total!O165*1000/Gasto_o_ing_total!O$479</f>
        <v>0</v>
      </c>
      <c r="Q165" s="338">
        <f>Gasto_o_ing_total!P165*1000/Gasto_o_ing_total!P$479</f>
        <v>0</v>
      </c>
      <c r="R165" s="338">
        <f>Gasto_o_ing_total!Q165*1000/Gasto_o_ing_total!Q$479</f>
        <v>0</v>
      </c>
      <c r="S165" s="338">
        <f>Gasto_o_ing_total!R165*1000/Gasto_o_ing_total!R$479</f>
        <v>-2.1736419170174619</v>
      </c>
      <c r="T165" s="338">
        <f>Gasto_o_ing_total!S165*1000/Gasto_o_ing_total!S$479</f>
        <v>-2.1736419170174619</v>
      </c>
      <c r="U165" s="338">
        <f>Gasto_o_ing_total!T165*1000/Gasto_o_ing_total!T$479</f>
        <v>0</v>
      </c>
      <c r="V165" s="338">
        <f>Gasto_o_ing_total!U165*1000/Gasto_o_ing_total!U$479</f>
        <v>0</v>
      </c>
      <c r="W165" s="105"/>
    </row>
    <row r="166" spans="1:23" s="102" customFormat="1">
      <c r="A166" s="356"/>
      <c r="B166" s="115" t="s">
        <v>1129</v>
      </c>
      <c r="C166" s="335" t="str">
        <f>VLOOKUP(B166,Tot_res!C:D,2,FALSE)</f>
        <v>Pensiones no contributivas y otras prestaciones económicas (sección 3.1)</v>
      </c>
      <c r="D166" s="338">
        <f>Gasto_o_ing_total!V166*1000/Gasto_o_ing_total!V$479</f>
        <v>-3.1191497659186669</v>
      </c>
      <c r="E166" s="338">
        <f>Gasto_o_ing_total!D166*1000/Gasto_o_ing_total!D$479</f>
        <v>0</v>
      </c>
      <c r="F166" s="338">
        <f>Gasto_o_ing_total!E166*1000/Gasto_o_ing_total!E$479</f>
        <v>0</v>
      </c>
      <c r="G166" s="338">
        <f>Gasto_o_ing_total!F166*1000/Gasto_o_ing_total!F$479</f>
        <v>0</v>
      </c>
      <c r="H166" s="338">
        <f>Gasto_o_ing_total!G166*1000/Gasto_o_ing_total!G$479</f>
        <v>0</v>
      </c>
      <c r="I166" s="338">
        <f>Gasto_o_ing_total!H166*1000/Gasto_o_ing_total!H$479</f>
        <v>0</v>
      </c>
      <c r="J166" s="338">
        <f>Gasto_o_ing_total!I166*1000/Gasto_o_ing_total!I$479</f>
        <v>0</v>
      </c>
      <c r="K166" s="338">
        <f>Gasto_o_ing_total!J166*1000/Gasto_o_ing_total!J$479</f>
        <v>0</v>
      </c>
      <c r="L166" s="338">
        <f>Gasto_o_ing_total!K166*1000/Gasto_o_ing_total!K$479</f>
        <v>0</v>
      </c>
      <c r="M166" s="338">
        <f>Gasto_o_ing_total!L166*1000/Gasto_o_ing_total!L$479</f>
        <v>0</v>
      </c>
      <c r="N166" s="338">
        <f>Gasto_o_ing_total!M166*1000/Gasto_o_ing_total!M$479</f>
        <v>0</v>
      </c>
      <c r="O166" s="338">
        <f>Gasto_o_ing_total!N166*1000/Gasto_o_ing_total!N$479</f>
        <v>0</v>
      </c>
      <c r="P166" s="338">
        <f>Gasto_o_ing_total!O166*1000/Gasto_o_ing_total!O$479</f>
        <v>0</v>
      </c>
      <c r="Q166" s="338">
        <f>Gasto_o_ing_total!P166*1000/Gasto_o_ing_total!P$479</f>
        <v>0</v>
      </c>
      <c r="R166" s="338">
        <f>Gasto_o_ing_total!Q166*1000/Gasto_o_ing_total!Q$479</f>
        <v>0</v>
      </c>
      <c r="S166" s="338">
        <f>Gasto_o_ing_total!R166*1000/Gasto_o_ing_total!R$479</f>
        <v>-38.622973066335796</v>
      </c>
      <c r="T166" s="338">
        <f>Gasto_o_ing_total!S166*1000/Gasto_o_ing_total!S$479</f>
        <v>-55.528264581637806</v>
      </c>
      <c r="U166" s="338">
        <f>Gasto_o_ing_total!T166*1000/Gasto_o_ing_total!T$479</f>
        <v>0</v>
      </c>
      <c r="V166" s="338">
        <f>Gasto_o_ing_total!U166*1000/Gasto_o_ing_total!U$479</f>
        <v>0</v>
      </c>
      <c r="W166" s="105"/>
    </row>
    <row r="167" spans="1:23" s="102" customFormat="1">
      <c r="A167" s="356"/>
      <c r="B167" s="115" t="s">
        <v>1130</v>
      </c>
      <c r="C167" s="335" t="str">
        <f>VLOOKUP(B167,Tot_res!C:D,2,FALSE)</f>
        <v>Financiación provincias</v>
      </c>
      <c r="D167" s="338">
        <f>Gasto_o_ing_total!V167*1000/Gasto_o_ing_total!V$479</f>
        <v>-9.353037726383393</v>
      </c>
      <c r="E167" s="338">
        <f>Gasto_o_ing_total!D167*1000/Gasto_o_ing_total!D$479</f>
        <v>0</v>
      </c>
      <c r="F167" s="338">
        <f>Gasto_o_ing_total!E167*1000/Gasto_o_ing_total!E$479</f>
        <v>0</v>
      </c>
      <c r="G167" s="338">
        <f>Gasto_o_ing_total!F167*1000/Gasto_o_ing_total!F$479</f>
        <v>0</v>
      </c>
      <c r="H167" s="338">
        <f>Gasto_o_ing_total!G167*1000/Gasto_o_ing_total!G$479</f>
        <v>0</v>
      </c>
      <c r="I167" s="338">
        <f>Gasto_o_ing_total!H167*1000/Gasto_o_ing_total!H$479</f>
        <v>0</v>
      </c>
      <c r="J167" s="338">
        <f>Gasto_o_ing_total!I167*1000/Gasto_o_ing_total!I$479</f>
        <v>0</v>
      </c>
      <c r="K167" s="338">
        <f>Gasto_o_ing_total!J167*1000/Gasto_o_ing_total!J$479</f>
        <v>0</v>
      </c>
      <c r="L167" s="338">
        <f>Gasto_o_ing_total!K167*1000/Gasto_o_ing_total!K$479</f>
        <v>0</v>
      </c>
      <c r="M167" s="338">
        <f>Gasto_o_ing_total!L167*1000/Gasto_o_ing_total!L$479</f>
        <v>0</v>
      </c>
      <c r="N167" s="338">
        <f>Gasto_o_ing_total!M167*1000/Gasto_o_ing_total!M$479</f>
        <v>0</v>
      </c>
      <c r="O167" s="338">
        <f>Gasto_o_ing_total!N167*1000/Gasto_o_ing_total!N$479</f>
        <v>0</v>
      </c>
      <c r="P167" s="338">
        <f>Gasto_o_ing_total!O167*1000/Gasto_o_ing_total!O$479</f>
        <v>0</v>
      </c>
      <c r="Q167" s="338">
        <f>Gasto_o_ing_total!P167*1000/Gasto_o_ing_total!P$479</f>
        <v>0</v>
      </c>
      <c r="R167" s="338">
        <f>Gasto_o_ing_total!Q167*1000/Gasto_o_ing_total!Q$479</f>
        <v>0</v>
      </c>
      <c r="S167" s="338">
        <f>Gasto_o_ing_total!R167*1000/Gasto_o_ing_total!R$479</f>
        <v>-154.99219059472739</v>
      </c>
      <c r="T167" s="338">
        <f>Gasto_o_ing_total!S167*1000/Gasto_o_ing_total!S$479</f>
        <v>-155.01164719726276</v>
      </c>
      <c r="U167" s="338">
        <f>Gasto_o_ing_total!T167*1000/Gasto_o_ing_total!T$479</f>
        <v>0</v>
      </c>
      <c r="V167" s="338">
        <f>Gasto_o_ing_total!U167*1000/Gasto_o_ing_total!U$479</f>
        <v>0</v>
      </c>
      <c r="W167" s="105"/>
    </row>
    <row r="168" spans="1:23" s="102" customFormat="1">
      <c r="A168" s="356"/>
      <c r="B168" s="115" t="s">
        <v>1131</v>
      </c>
      <c r="C168" s="335" t="str">
        <f>VLOOKUP(B168,Tot_res!C:D,2,FALSE)</f>
        <v>Financiación municipios</v>
      </c>
      <c r="D168" s="338">
        <f>Gasto_o_ing_total!V168*1000/Gasto_o_ing_total!V$479</f>
        <v>-21.31435866401376</v>
      </c>
      <c r="E168" s="338">
        <f>Gasto_o_ing_total!D168*1000/Gasto_o_ing_total!D$479</f>
        <v>0</v>
      </c>
      <c r="F168" s="338">
        <f>Gasto_o_ing_total!E168*1000/Gasto_o_ing_total!E$479</f>
        <v>0</v>
      </c>
      <c r="G168" s="338">
        <f>Gasto_o_ing_total!F168*1000/Gasto_o_ing_total!F$479</f>
        <v>0</v>
      </c>
      <c r="H168" s="338">
        <f>Gasto_o_ing_total!G168*1000/Gasto_o_ing_total!G$479</f>
        <v>0</v>
      </c>
      <c r="I168" s="338">
        <f>Gasto_o_ing_total!H168*1000/Gasto_o_ing_total!H$479</f>
        <v>0</v>
      </c>
      <c r="J168" s="338">
        <f>Gasto_o_ing_total!I168*1000/Gasto_o_ing_total!I$479</f>
        <v>0</v>
      </c>
      <c r="K168" s="338">
        <f>Gasto_o_ing_total!J168*1000/Gasto_o_ing_total!J$479</f>
        <v>0</v>
      </c>
      <c r="L168" s="338">
        <f>Gasto_o_ing_total!K168*1000/Gasto_o_ing_total!K$479</f>
        <v>0</v>
      </c>
      <c r="M168" s="338">
        <f>Gasto_o_ing_total!L168*1000/Gasto_o_ing_total!L$479</f>
        <v>0</v>
      </c>
      <c r="N168" s="338">
        <f>Gasto_o_ing_total!M168*1000/Gasto_o_ing_total!M$479</f>
        <v>0</v>
      </c>
      <c r="O168" s="338">
        <f>Gasto_o_ing_total!N168*1000/Gasto_o_ing_total!N$479</f>
        <v>0</v>
      </c>
      <c r="P168" s="338">
        <f>Gasto_o_ing_total!O168*1000/Gasto_o_ing_total!O$479</f>
        <v>0</v>
      </c>
      <c r="Q168" s="338">
        <f>Gasto_o_ing_total!P168*1000/Gasto_o_ing_total!P$479</f>
        <v>0</v>
      </c>
      <c r="R168" s="338">
        <f>Gasto_o_ing_total!Q168*1000/Gasto_o_ing_total!Q$479</f>
        <v>0</v>
      </c>
      <c r="S168" s="338">
        <f>Gasto_o_ing_total!R168*1000/Gasto_o_ing_total!R$479</f>
        <v>-353.3380817191719</v>
      </c>
      <c r="T168" s="338">
        <f>Gasto_o_ing_total!S168*1000/Gasto_o_ing_total!S$479</f>
        <v>-353.21298323133794</v>
      </c>
      <c r="U168" s="338">
        <f>Gasto_o_ing_total!T168*1000/Gasto_o_ing_total!T$479</f>
        <v>0</v>
      </c>
      <c r="V168" s="338">
        <f>Gasto_o_ing_total!U168*1000/Gasto_o_ing_total!U$479</f>
        <v>0</v>
      </c>
      <c r="W168" s="105"/>
    </row>
    <row r="169" spans="1:23" s="102" customFormat="1">
      <c r="A169" s="356"/>
      <c r="B169" s="115" t="s">
        <v>1132</v>
      </c>
      <c r="C169" s="335" t="str">
        <f>VLOOKUP(B169,Tot_res!C:D,2,FALSE)</f>
        <v xml:space="preserve">construcción de carreteras </v>
      </c>
      <c r="D169" s="338">
        <f>Gasto_o_ing_total!V169*1000/Gasto_o_ing_total!V$479</f>
        <v>-2.5679639071004812</v>
      </c>
      <c r="E169" s="338">
        <f>Gasto_o_ing_total!D169*1000/Gasto_o_ing_total!D$479</f>
        <v>0</v>
      </c>
      <c r="F169" s="338">
        <f>Gasto_o_ing_total!E169*1000/Gasto_o_ing_total!E$479</f>
        <v>0</v>
      </c>
      <c r="G169" s="338">
        <f>Gasto_o_ing_total!F169*1000/Gasto_o_ing_total!F$479</f>
        <v>0</v>
      </c>
      <c r="H169" s="338">
        <f>Gasto_o_ing_total!G169*1000/Gasto_o_ing_total!G$479</f>
        <v>0</v>
      </c>
      <c r="I169" s="338">
        <f>Gasto_o_ing_total!H169*1000/Gasto_o_ing_total!H$479</f>
        <v>0</v>
      </c>
      <c r="J169" s="338">
        <f>Gasto_o_ing_total!I169*1000/Gasto_o_ing_total!I$479</f>
        <v>0</v>
      </c>
      <c r="K169" s="338">
        <f>Gasto_o_ing_total!J169*1000/Gasto_o_ing_total!J$479</f>
        <v>0</v>
      </c>
      <c r="L169" s="338">
        <f>Gasto_o_ing_total!K169*1000/Gasto_o_ing_total!K$479</f>
        <v>0</v>
      </c>
      <c r="M169" s="338">
        <f>Gasto_o_ing_total!L169*1000/Gasto_o_ing_total!L$479</f>
        <v>0</v>
      </c>
      <c r="N169" s="338">
        <f>Gasto_o_ing_total!M169*1000/Gasto_o_ing_total!M$479</f>
        <v>0</v>
      </c>
      <c r="O169" s="338">
        <f>Gasto_o_ing_total!N169*1000/Gasto_o_ing_total!N$479</f>
        <v>0</v>
      </c>
      <c r="P169" s="338">
        <f>Gasto_o_ing_total!O169*1000/Gasto_o_ing_total!O$479</f>
        <v>0</v>
      </c>
      <c r="Q169" s="338">
        <f>Gasto_o_ing_total!P169*1000/Gasto_o_ing_total!P$479</f>
        <v>0</v>
      </c>
      <c r="R169" s="338">
        <f>Gasto_o_ing_total!Q169*1000/Gasto_o_ing_total!Q$479</f>
        <v>0</v>
      </c>
      <c r="S169" s="338">
        <f>Gasto_o_ing_total!R169*1000/Gasto_o_ing_total!R$479</f>
        <v>-42.55868445840823</v>
      </c>
      <c r="T169" s="338">
        <f>Gasto_o_ing_total!S169*1000/Gasto_o_ing_total!S$479</f>
        <v>-42.55868445840823</v>
      </c>
      <c r="U169" s="338">
        <f>Gasto_o_ing_total!T169*1000/Gasto_o_ing_total!T$479</f>
        <v>0</v>
      </c>
      <c r="V169" s="338">
        <f>Gasto_o_ing_total!U169*1000/Gasto_o_ing_total!U$479</f>
        <v>0</v>
      </c>
      <c r="W169" s="105"/>
    </row>
    <row r="170" spans="1:23" s="102" customFormat="1">
      <c r="A170" s="356"/>
      <c r="B170" s="115" t="s">
        <v>1133</v>
      </c>
      <c r="C170" s="335" t="str">
        <f>VLOOKUP(B170,Tot_res!C:D,2,FALSE)</f>
        <v>conservación de carreteras (programa 453C)</v>
      </c>
      <c r="D170" s="338">
        <f>Gasto_o_ing_total!V170*1000/Gasto_o_ing_total!V$479</f>
        <v>-1.458064284485719</v>
      </c>
      <c r="E170" s="338">
        <f>Gasto_o_ing_total!D170*1000/Gasto_o_ing_total!D$479</f>
        <v>0</v>
      </c>
      <c r="F170" s="338">
        <f>Gasto_o_ing_total!E170*1000/Gasto_o_ing_total!E$479</f>
        <v>0</v>
      </c>
      <c r="G170" s="338">
        <f>Gasto_o_ing_total!F170*1000/Gasto_o_ing_total!F$479</f>
        <v>0</v>
      </c>
      <c r="H170" s="338">
        <f>Gasto_o_ing_total!G170*1000/Gasto_o_ing_total!G$479</f>
        <v>0</v>
      </c>
      <c r="I170" s="338">
        <f>Gasto_o_ing_total!H170*1000/Gasto_o_ing_total!H$479</f>
        <v>0</v>
      </c>
      <c r="J170" s="338">
        <f>Gasto_o_ing_total!I170*1000/Gasto_o_ing_total!I$479</f>
        <v>0</v>
      </c>
      <c r="K170" s="338">
        <f>Gasto_o_ing_total!J170*1000/Gasto_o_ing_total!J$479</f>
        <v>0</v>
      </c>
      <c r="L170" s="338">
        <f>Gasto_o_ing_total!K170*1000/Gasto_o_ing_total!K$479</f>
        <v>0</v>
      </c>
      <c r="M170" s="338">
        <f>Gasto_o_ing_total!L170*1000/Gasto_o_ing_total!L$479</f>
        <v>0</v>
      </c>
      <c r="N170" s="338">
        <f>Gasto_o_ing_total!M170*1000/Gasto_o_ing_total!M$479</f>
        <v>0</v>
      </c>
      <c r="O170" s="338">
        <f>Gasto_o_ing_total!N170*1000/Gasto_o_ing_total!N$479</f>
        <v>0</v>
      </c>
      <c r="P170" s="338">
        <f>Gasto_o_ing_total!O170*1000/Gasto_o_ing_total!O$479</f>
        <v>0</v>
      </c>
      <c r="Q170" s="338">
        <f>Gasto_o_ing_total!P170*1000/Gasto_o_ing_total!P$479</f>
        <v>0</v>
      </c>
      <c r="R170" s="338">
        <f>Gasto_o_ing_total!Q170*1000/Gasto_o_ing_total!Q$479</f>
        <v>0</v>
      </c>
      <c r="S170" s="338">
        <f>Gasto_o_ing_total!R170*1000/Gasto_o_ing_total!R$479</f>
        <v>-24.164396404452436</v>
      </c>
      <c r="T170" s="338">
        <f>Gasto_o_ing_total!S170*1000/Gasto_o_ing_total!S$479</f>
        <v>-24.164396404452436</v>
      </c>
      <c r="U170" s="338">
        <f>Gasto_o_ing_total!T170*1000/Gasto_o_ing_total!T$479</f>
        <v>0</v>
      </c>
      <c r="V170" s="338">
        <f>Gasto_o_ing_total!U170*1000/Gasto_o_ing_total!U$479</f>
        <v>0</v>
      </c>
      <c r="W170" s="105"/>
    </row>
    <row r="171" spans="1:23" s="102" customFormat="1">
      <c r="A171" s="356"/>
      <c r="B171" s="115" t="s">
        <v>1134</v>
      </c>
      <c r="C171" s="335" t="str">
        <f>VLOOKUP(B171,Tot_res!C:D,2,FALSE)</f>
        <v>"Normalización" lingüística (programa CS06)</v>
      </c>
      <c r="D171" s="338">
        <f>Gasto_o_ing_total!V171*1000/Gasto_o_ing_total!V$479</f>
        <v>-0.58122542182198877</v>
      </c>
      <c r="E171" s="338">
        <f>Gasto_o_ing_total!D171*1000/Gasto_o_ing_total!D$479</f>
        <v>0</v>
      </c>
      <c r="F171" s="338">
        <f>Gasto_o_ing_total!E171*1000/Gasto_o_ing_total!E$479</f>
        <v>0</v>
      </c>
      <c r="G171" s="338">
        <f>Gasto_o_ing_total!F171*1000/Gasto_o_ing_total!F$479</f>
        <v>0</v>
      </c>
      <c r="H171" s="338">
        <f>Gasto_o_ing_total!G171*1000/Gasto_o_ing_total!G$479</f>
        <v>0</v>
      </c>
      <c r="I171" s="338">
        <f>Gasto_o_ing_total!H171*1000/Gasto_o_ing_total!H$479</f>
        <v>0</v>
      </c>
      <c r="J171" s="338">
        <f>Gasto_o_ing_total!I171*1000/Gasto_o_ing_total!I$479</f>
        <v>0</v>
      </c>
      <c r="K171" s="338">
        <f>Gasto_o_ing_total!J171*1000/Gasto_o_ing_total!J$479</f>
        <v>0</v>
      </c>
      <c r="L171" s="338">
        <f>Gasto_o_ing_total!K171*1000/Gasto_o_ing_total!K$479</f>
        <v>0</v>
      </c>
      <c r="M171" s="338">
        <f>Gasto_o_ing_total!L171*1000/Gasto_o_ing_total!L$479</f>
        <v>0</v>
      </c>
      <c r="N171" s="338">
        <f>Gasto_o_ing_total!M171*1000/Gasto_o_ing_total!M$479</f>
        <v>0</v>
      </c>
      <c r="O171" s="338">
        <f>Gasto_o_ing_total!N171*1000/Gasto_o_ing_total!N$479</f>
        <v>0</v>
      </c>
      <c r="P171" s="338">
        <f>Gasto_o_ing_total!O171*1000/Gasto_o_ing_total!O$479</f>
        <v>0</v>
      </c>
      <c r="Q171" s="338">
        <f>Gasto_o_ing_total!P171*1000/Gasto_o_ing_total!P$479</f>
        <v>0</v>
      </c>
      <c r="R171" s="338">
        <f>Gasto_o_ing_total!Q171*1000/Gasto_o_ing_total!Q$479</f>
        <v>0</v>
      </c>
      <c r="S171" s="338">
        <f>Gasto_o_ing_total!R171*1000/Gasto_o_ing_total!R$479</f>
        <v>-9.6326078642036563</v>
      </c>
      <c r="T171" s="338">
        <f>Gasto_o_ing_total!S171*1000/Gasto_o_ing_total!S$479</f>
        <v>-9.6326078642036563</v>
      </c>
      <c r="U171" s="338">
        <f>Gasto_o_ing_total!T171*1000/Gasto_o_ing_total!T$479</f>
        <v>0</v>
      </c>
      <c r="V171" s="338">
        <f>Gasto_o_ing_total!U171*1000/Gasto_o_ing_total!U$479</f>
        <v>0</v>
      </c>
      <c r="W171" s="105"/>
    </row>
    <row r="172" spans="1:23" s="102" customFormat="1">
      <c r="A172" s="356"/>
      <c r="B172" s="115" t="s">
        <v>1135</v>
      </c>
      <c r="C172" s="335" t="str">
        <f>VLOOKUP(B172,Tot_res!C:D,2,FALSE)</f>
        <v>medio ambiente</v>
      </c>
      <c r="D172" s="338">
        <f>Gasto_o_ing_total!V172*1000/Gasto_o_ing_total!V$479</f>
        <v>-0.10378735403306617</v>
      </c>
      <c r="E172" s="338">
        <f>Gasto_o_ing_total!D172*1000/Gasto_o_ing_total!D$479</f>
        <v>0</v>
      </c>
      <c r="F172" s="338">
        <f>Gasto_o_ing_total!E172*1000/Gasto_o_ing_total!E$479</f>
        <v>0</v>
      </c>
      <c r="G172" s="338">
        <f>Gasto_o_ing_total!F172*1000/Gasto_o_ing_total!F$479</f>
        <v>0</v>
      </c>
      <c r="H172" s="338">
        <f>Gasto_o_ing_total!G172*1000/Gasto_o_ing_total!G$479</f>
        <v>0</v>
      </c>
      <c r="I172" s="338">
        <f>Gasto_o_ing_total!H172*1000/Gasto_o_ing_total!H$479</f>
        <v>0</v>
      </c>
      <c r="J172" s="338">
        <f>Gasto_o_ing_total!I172*1000/Gasto_o_ing_total!I$479</f>
        <v>0</v>
      </c>
      <c r="K172" s="338">
        <f>Gasto_o_ing_total!J172*1000/Gasto_o_ing_total!J$479</f>
        <v>0</v>
      </c>
      <c r="L172" s="338">
        <f>Gasto_o_ing_total!K172*1000/Gasto_o_ing_total!K$479</f>
        <v>0</v>
      </c>
      <c r="M172" s="338">
        <f>Gasto_o_ing_total!L172*1000/Gasto_o_ing_total!L$479</f>
        <v>0</v>
      </c>
      <c r="N172" s="338">
        <f>Gasto_o_ing_total!M172*1000/Gasto_o_ing_total!M$479</f>
        <v>0</v>
      </c>
      <c r="O172" s="338">
        <f>Gasto_o_ing_total!N172*1000/Gasto_o_ing_total!N$479</f>
        <v>0</v>
      </c>
      <c r="P172" s="338">
        <f>Gasto_o_ing_total!O172*1000/Gasto_o_ing_total!O$479</f>
        <v>0</v>
      </c>
      <c r="Q172" s="338">
        <f>Gasto_o_ing_total!P172*1000/Gasto_o_ing_total!P$479</f>
        <v>0</v>
      </c>
      <c r="R172" s="338">
        <f>Gasto_o_ing_total!Q172*1000/Gasto_o_ing_total!Q$479</f>
        <v>0</v>
      </c>
      <c r="S172" s="338">
        <f>Gasto_o_ing_total!R172*1000/Gasto_o_ing_total!R$479</f>
        <v>-0.96865549476805379</v>
      </c>
      <c r="T172" s="338">
        <f>Gasto_o_ing_total!S172*1000/Gasto_o_ing_total!S$479</f>
        <v>-1.9405191626975513</v>
      </c>
      <c r="U172" s="338">
        <f>Gasto_o_ing_total!T172*1000/Gasto_o_ing_total!T$479</f>
        <v>0</v>
      </c>
      <c r="V172" s="338">
        <f>Gasto_o_ing_total!U172*1000/Gasto_o_ing_total!U$479</f>
        <v>0</v>
      </c>
      <c r="W172" s="105"/>
    </row>
    <row r="173" spans="1:23" s="102" customFormat="1">
      <c r="A173" s="356"/>
      <c r="B173" s="115" t="s">
        <v>1147</v>
      </c>
      <c r="C173" s="335" t="e">
        <f>VLOOKUP(B173,Tot_res!C:D,2,FALSE)</f>
        <v>#N/A</v>
      </c>
      <c r="D173" s="338">
        <f>Gasto_o_ing_total!V173*1000/Gasto_o_ing_total!V$479</f>
        <v>0</v>
      </c>
      <c r="E173" s="338" t="e">
        <f>Gasto_o_ing_total!D173*1000/Gasto_o_ing_total!D$479</f>
        <v>#VALUE!</v>
      </c>
      <c r="F173" s="338" t="e">
        <f>Gasto_o_ing_total!E173*1000/Gasto_o_ing_total!E$479</f>
        <v>#VALUE!</v>
      </c>
      <c r="G173" s="338" t="e">
        <f>Gasto_o_ing_total!F173*1000/Gasto_o_ing_total!F$479</f>
        <v>#VALUE!</v>
      </c>
      <c r="H173" s="338" t="e">
        <f>Gasto_o_ing_total!G173*1000/Gasto_o_ing_total!G$479</f>
        <v>#VALUE!</v>
      </c>
      <c r="I173" s="338" t="e">
        <f>Gasto_o_ing_total!H173*1000/Gasto_o_ing_total!H$479</f>
        <v>#VALUE!</v>
      </c>
      <c r="J173" s="338" t="e">
        <f>Gasto_o_ing_total!I173*1000/Gasto_o_ing_total!I$479</f>
        <v>#VALUE!</v>
      </c>
      <c r="K173" s="338" t="e">
        <f>Gasto_o_ing_total!J173*1000/Gasto_o_ing_total!J$479</f>
        <v>#VALUE!</v>
      </c>
      <c r="L173" s="338" t="e">
        <f>Gasto_o_ing_total!K173*1000/Gasto_o_ing_total!K$479</f>
        <v>#VALUE!</v>
      </c>
      <c r="M173" s="338" t="e">
        <f>Gasto_o_ing_total!L173*1000/Gasto_o_ing_total!L$479</f>
        <v>#VALUE!</v>
      </c>
      <c r="N173" s="338" t="e">
        <f>Gasto_o_ing_total!M173*1000/Gasto_o_ing_total!M$479</f>
        <v>#VALUE!</v>
      </c>
      <c r="O173" s="338" t="e">
        <f>Gasto_o_ing_total!N173*1000/Gasto_o_ing_total!N$479</f>
        <v>#VALUE!</v>
      </c>
      <c r="P173" s="338" t="e">
        <f>Gasto_o_ing_total!O173*1000/Gasto_o_ing_total!O$479</f>
        <v>#VALUE!</v>
      </c>
      <c r="Q173" s="338" t="e">
        <f>Gasto_o_ing_total!P173*1000/Gasto_o_ing_total!P$479</f>
        <v>#VALUE!</v>
      </c>
      <c r="R173" s="338" t="e">
        <f>Gasto_o_ing_total!Q173*1000/Gasto_o_ing_total!Q$479</f>
        <v>#VALUE!</v>
      </c>
      <c r="S173" s="338" t="e">
        <f>Gasto_o_ing_total!R173*1000/Gasto_o_ing_total!R$479</f>
        <v>#VALUE!</v>
      </c>
      <c r="T173" s="338" t="e">
        <f>Gasto_o_ing_total!S173*1000/Gasto_o_ing_total!S$479</f>
        <v>#VALUE!</v>
      </c>
      <c r="U173" s="338" t="e">
        <f>Gasto_o_ing_total!T173*1000/Gasto_o_ing_total!T$479</f>
        <v>#VALUE!</v>
      </c>
      <c r="V173" s="338" t="e">
        <f>Gasto_o_ing_total!U173*1000/Gasto_o_ing_total!U$479</f>
        <v>#VALUE!</v>
      </c>
      <c r="W173" s="105"/>
    </row>
    <row r="174" spans="1:23" s="102" customFormat="1">
      <c r="A174" s="356"/>
      <c r="B174" s="115" t="s">
        <v>1136</v>
      </c>
      <c r="C174" s="335" t="str">
        <f>VLOOKUP(B174,Tot_res!C:D,2,FALSE)</f>
        <v>sanidad y consumo</v>
      </c>
      <c r="D174" s="338">
        <f>Gasto_o_ing_total!V174*1000/Gasto_o_ing_total!V$479</f>
        <v>-4.8891919952387806E-2</v>
      </c>
      <c r="E174" s="338">
        <f>Gasto_o_ing_total!D174*1000/Gasto_o_ing_total!D$479</f>
        <v>0</v>
      </c>
      <c r="F174" s="338">
        <f>Gasto_o_ing_total!E174*1000/Gasto_o_ing_total!E$479</f>
        <v>0</v>
      </c>
      <c r="G174" s="338">
        <f>Gasto_o_ing_total!F174*1000/Gasto_o_ing_total!F$479</f>
        <v>0</v>
      </c>
      <c r="H174" s="338">
        <f>Gasto_o_ing_total!G174*1000/Gasto_o_ing_total!G$479</f>
        <v>0</v>
      </c>
      <c r="I174" s="338">
        <f>Gasto_o_ing_total!H174*1000/Gasto_o_ing_total!H$479</f>
        <v>0</v>
      </c>
      <c r="J174" s="338">
        <f>Gasto_o_ing_total!I174*1000/Gasto_o_ing_total!I$479</f>
        <v>0</v>
      </c>
      <c r="K174" s="338">
        <f>Gasto_o_ing_total!J174*1000/Gasto_o_ing_total!J$479</f>
        <v>0</v>
      </c>
      <c r="L174" s="338">
        <f>Gasto_o_ing_total!K174*1000/Gasto_o_ing_total!K$479</f>
        <v>0</v>
      </c>
      <c r="M174" s="338">
        <f>Gasto_o_ing_total!L174*1000/Gasto_o_ing_total!L$479</f>
        <v>0</v>
      </c>
      <c r="N174" s="338">
        <f>Gasto_o_ing_total!M174*1000/Gasto_o_ing_total!M$479</f>
        <v>0</v>
      </c>
      <c r="O174" s="338">
        <f>Gasto_o_ing_total!N174*1000/Gasto_o_ing_total!N$479</f>
        <v>0</v>
      </c>
      <c r="P174" s="338">
        <f>Gasto_o_ing_total!O174*1000/Gasto_o_ing_total!O$479</f>
        <v>0</v>
      </c>
      <c r="Q174" s="338">
        <f>Gasto_o_ing_total!P174*1000/Gasto_o_ing_total!P$479</f>
        <v>0</v>
      </c>
      <c r="R174" s="338">
        <f>Gasto_o_ing_total!Q174*1000/Gasto_o_ing_total!Q$479</f>
        <v>0</v>
      </c>
      <c r="S174" s="338">
        <f>Gasto_o_ing_total!R174*1000/Gasto_o_ing_total!R$479</f>
        <v>-0.84981041072179975</v>
      </c>
      <c r="T174" s="338">
        <f>Gasto_o_ing_total!S174*1000/Gasto_o_ing_total!S$479</f>
        <v>-0.79868498584577774</v>
      </c>
      <c r="U174" s="338">
        <f>Gasto_o_ing_total!T174*1000/Gasto_o_ing_total!T$479</f>
        <v>0</v>
      </c>
      <c r="V174" s="338">
        <f>Gasto_o_ing_total!U174*1000/Gasto_o_ing_total!U$479</f>
        <v>0</v>
      </c>
      <c r="W174" s="105"/>
    </row>
    <row r="175" spans="1:23" s="102" customFormat="1">
      <c r="A175" s="356"/>
      <c r="B175" s="115" t="s">
        <v>1137</v>
      </c>
      <c r="C175" s="335" t="str">
        <f>VLOOKUP(B175,Tot_res!C:D,2,FALSE)</f>
        <v>Educación y formación</v>
      </c>
      <c r="D175" s="338">
        <f>Gasto_o_ing_total!V175*1000/Gasto_o_ing_total!V$479</f>
        <v>-0.32335022915129907</v>
      </c>
      <c r="E175" s="338">
        <f>Gasto_o_ing_total!D175*1000/Gasto_o_ing_total!D$479</f>
        <v>0</v>
      </c>
      <c r="F175" s="338">
        <f>Gasto_o_ing_total!E175*1000/Gasto_o_ing_total!E$479</f>
        <v>0</v>
      </c>
      <c r="G175" s="338">
        <f>Gasto_o_ing_total!F175*1000/Gasto_o_ing_total!F$479</f>
        <v>0</v>
      </c>
      <c r="H175" s="338">
        <f>Gasto_o_ing_total!G175*1000/Gasto_o_ing_total!G$479</f>
        <v>0</v>
      </c>
      <c r="I175" s="338">
        <f>Gasto_o_ing_total!H175*1000/Gasto_o_ing_total!H$479</f>
        <v>0</v>
      </c>
      <c r="J175" s="338">
        <f>Gasto_o_ing_total!I175*1000/Gasto_o_ing_total!I$479</f>
        <v>0</v>
      </c>
      <c r="K175" s="338">
        <f>Gasto_o_ing_total!J175*1000/Gasto_o_ing_total!J$479</f>
        <v>0</v>
      </c>
      <c r="L175" s="338">
        <f>Gasto_o_ing_total!K175*1000/Gasto_o_ing_total!K$479</f>
        <v>0</v>
      </c>
      <c r="M175" s="338">
        <f>Gasto_o_ing_total!L175*1000/Gasto_o_ing_total!L$479</f>
        <v>0</v>
      </c>
      <c r="N175" s="338">
        <f>Gasto_o_ing_total!M175*1000/Gasto_o_ing_total!M$479</f>
        <v>0</v>
      </c>
      <c r="O175" s="338">
        <f>Gasto_o_ing_total!N175*1000/Gasto_o_ing_total!N$479</f>
        <v>0</v>
      </c>
      <c r="P175" s="338">
        <f>Gasto_o_ing_total!O175*1000/Gasto_o_ing_total!O$479</f>
        <v>0</v>
      </c>
      <c r="Q175" s="338">
        <f>Gasto_o_ing_total!P175*1000/Gasto_o_ing_total!P$479</f>
        <v>0</v>
      </c>
      <c r="R175" s="338">
        <f>Gasto_o_ing_total!Q175*1000/Gasto_o_ing_total!Q$479</f>
        <v>0</v>
      </c>
      <c r="S175" s="338">
        <f>Gasto_o_ing_total!R175*1000/Gasto_o_ing_total!R$479</f>
        <v>-4.8481712657325637</v>
      </c>
      <c r="T175" s="338">
        <f>Gasto_o_ing_total!S175*1000/Gasto_o_ing_total!S$479</f>
        <v>-5.50869432092653</v>
      </c>
      <c r="U175" s="338">
        <f>Gasto_o_ing_total!T175*1000/Gasto_o_ing_total!T$479</f>
        <v>0</v>
      </c>
      <c r="V175" s="338">
        <f>Gasto_o_ing_total!U175*1000/Gasto_o_ing_total!U$479</f>
        <v>0</v>
      </c>
      <c r="W175" s="105"/>
    </row>
    <row r="176" spans="1:23" s="102" customFormat="1">
      <c r="A176" s="356"/>
      <c r="B176" s="115" t="s">
        <v>1138</v>
      </c>
      <c r="C176" s="335" t="str">
        <f>VLOOKUP(B176,Tot_res!C:D,2,FALSE)</f>
        <v>Administración de Justicia</v>
      </c>
      <c r="D176" s="338">
        <f>Gasto_o_ing_total!V176*1000/Gasto_o_ing_total!V$479</f>
        <v>-2.0333392172440581</v>
      </c>
      <c r="E176" s="338">
        <f>Gasto_o_ing_total!D176*1000/Gasto_o_ing_total!D$479</f>
        <v>0</v>
      </c>
      <c r="F176" s="338">
        <f>Gasto_o_ing_total!E176*1000/Gasto_o_ing_total!E$479</f>
        <v>0</v>
      </c>
      <c r="G176" s="338">
        <f>Gasto_o_ing_total!F176*1000/Gasto_o_ing_total!F$479</f>
        <v>0</v>
      </c>
      <c r="H176" s="338">
        <f>Gasto_o_ing_total!G176*1000/Gasto_o_ing_total!G$479</f>
        <v>0</v>
      </c>
      <c r="I176" s="338">
        <f>Gasto_o_ing_total!H176*1000/Gasto_o_ing_total!H$479</f>
        <v>0</v>
      </c>
      <c r="J176" s="338">
        <f>Gasto_o_ing_total!I176*1000/Gasto_o_ing_total!I$479</f>
        <v>0</v>
      </c>
      <c r="K176" s="338">
        <f>Gasto_o_ing_total!J176*1000/Gasto_o_ing_total!J$479</f>
        <v>0</v>
      </c>
      <c r="L176" s="338">
        <f>Gasto_o_ing_total!K176*1000/Gasto_o_ing_total!K$479</f>
        <v>0</v>
      </c>
      <c r="M176" s="338">
        <f>Gasto_o_ing_total!L176*1000/Gasto_o_ing_total!L$479</f>
        <v>0</v>
      </c>
      <c r="N176" s="338">
        <f>Gasto_o_ing_total!M176*1000/Gasto_o_ing_total!M$479</f>
        <v>0</v>
      </c>
      <c r="O176" s="338">
        <f>Gasto_o_ing_total!N176*1000/Gasto_o_ing_total!N$479</f>
        <v>0</v>
      </c>
      <c r="P176" s="338">
        <f>Gasto_o_ing_total!O176*1000/Gasto_o_ing_total!O$479</f>
        <v>0</v>
      </c>
      <c r="Q176" s="338">
        <f>Gasto_o_ing_total!P176*1000/Gasto_o_ing_total!P$479</f>
        <v>0</v>
      </c>
      <c r="R176" s="338">
        <f>Gasto_o_ing_total!Q176*1000/Gasto_o_ing_total!Q$479</f>
        <v>0</v>
      </c>
      <c r="S176" s="338">
        <f>Gasto_o_ing_total!R176*1000/Gasto_o_ing_total!R$479</f>
        <v>-33.750427251796765</v>
      </c>
      <c r="T176" s="338">
        <f>Gasto_o_ing_total!S176*1000/Gasto_o_ing_total!S$479</f>
        <v>-33.683118938248938</v>
      </c>
      <c r="U176" s="338">
        <f>Gasto_o_ing_total!T176*1000/Gasto_o_ing_total!T$479</f>
        <v>0</v>
      </c>
      <c r="V176" s="338">
        <f>Gasto_o_ing_total!U176*1000/Gasto_o_ing_total!U$479</f>
        <v>0</v>
      </c>
      <c r="W176" s="105"/>
    </row>
    <row r="177" spans="1:23" s="102" customFormat="1">
      <c r="A177" s="356"/>
      <c r="B177" s="115" t="s">
        <v>1139</v>
      </c>
      <c r="C177" s="335" t="str">
        <f>VLOOKUP(B177,Tot_res!C:D,2,FALSE)</f>
        <v>Seguridad Ciudadana y Vial</v>
      </c>
      <c r="D177" s="338">
        <f>Gasto_o_ing_total!V177*1000/Gasto_o_ing_total!V$479</f>
        <v>-13.001771193264553</v>
      </c>
      <c r="E177" s="338">
        <f>Gasto_o_ing_total!D177*1000/Gasto_o_ing_total!D$479</f>
        <v>0</v>
      </c>
      <c r="F177" s="338">
        <f>Gasto_o_ing_total!E177*1000/Gasto_o_ing_total!E$479</f>
        <v>0</v>
      </c>
      <c r="G177" s="338">
        <f>Gasto_o_ing_total!F177*1000/Gasto_o_ing_total!F$479</f>
        <v>0</v>
      </c>
      <c r="H177" s="338">
        <f>Gasto_o_ing_total!G177*1000/Gasto_o_ing_total!G$479</f>
        <v>0</v>
      </c>
      <c r="I177" s="338">
        <f>Gasto_o_ing_total!H177*1000/Gasto_o_ing_total!H$479</f>
        <v>0</v>
      </c>
      <c r="J177" s="338">
        <f>Gasto_o_ing_total!I177*1000/Gasto_o_ing_total!I$479</f>
        <v>0</v>
      </c>
      <c r="K177" s="338">
        <f>Gasto_o_ing_total!J177*1000/Gasto_o_ing_total!J$479</f>
        <v>0</v>
      </c>
      <c r="L177" s="338">
        <f>Gasto_o_ing_total!K177*1000/Gasto_o_ing_total!K$479</f>
        <v>0</v>
      </c>
      <c r="M177" s="338">
        <f>Gasto_o_ing_total!L177*1000/Gasto_o_ing_total!L$479</f>
        <v>0</v>
      </c>
      <c r="N177" s="338">
        <f>Gasto_o_ing_total!M177*1000/Gasto_o_ing_total!M$479</f>
        <v>0</v>
      </c>
      <c r="O177" s="338">
        <f>Gasto_o_ing_total!N177*1000/Gasto_o_ing_total!N$479</f>
        <v>0</v>
      </c>
      <c r="P177" s="338">
        <f>Gasto_o_ing_total!O177*1000/Gasto_o_ing_total!O$479</f>
        <v>0</v>
      </c>
      <c r="Q177" s="338">
        <f>Gasto_o_ing_total!P177*1000/Gasto_o_ing_total!P$479</f>
        <v>0</v>
      </c>
      <c r="R177" s="338">
        <f>Gasto_o_ing_total!Q177*1000/Gasto_o_ing_total!Q$479</f>
        <v>0</v>
      </c>
      <c r="S177" s="338">
        <f>Gasto_o_ing_total!R177*1000/Gasto_o_ing_total!R$479</f>
        <v>-113.90173961651794</v>
      </c>
      <c r="T177" s="338">
        <f>Gasto_o_ing_total!S177*1000/Gasto_o_ing_total!S$479</f>
        <v>-245.27926497646584</v>
      </c>
      <c r="U177" s="338">
        <f>Gasto_o_ing_total!T177*1000/Gasto_o_ing_total!T$479</f>
        <v>0</v>
      </c>
      <c r="V177" s="338">
        <f>Gasto_o_ing_total!U177*1000/Gasto_o_ing_total!U$479</f>
        <v>0</v>
      </c>
      <c r="W177" s="105"/>
    </row>
    <row r="178" spans="1:23" s="102" customFormat="1">
      <c r="A178" s="356"/>
      <c r="B178" s="115" t="s">
        <v>1140</v>
      </c>
      <c r="C178" s="335" t="str">
        <f>VLOOKUP(B178,Tot_res!C:D,2,FALSE)</f>
        <v>Ayudas a la vivienda</v>
      </c>
      <c r="D178" s="338">
        <f>Gasto_o_ing_total!V178*1000/Gasto_o_ing_total!V$479</f>
        <v>-0.88310726448751453</v>
      </c>
      <c r="E178" s="338">
        <f>Gasto_o_ing_total!D178*1000/Gasto_o_ing_total!D$479</f>
        <v>0</v>
      </c>
      <c r="F178" s="338">
        <f>Gasto_o_ing_total!E178*1000/Gasto_o_ing_total!E$479</f>
        <v>0</v>
      </c>
      <c r="G178" s="338">
        <f>Gasto_o_ing_total!F178*1000/Gasto_o_ing_total!F$479</f>
        <v>0</v>
      </c>
      <c r="H178" s="338">
        <f>Gasto_o_ing_total!G178*1000/Gasto_o_ing_total!G$479</f>
        <v>0</v>
      </c>
      <c r="I178" s="338">
        <f>Gasto_o_ing_total!H178*1000/Gasto_o_ing_total!H$479</f>
        <v>0</v>
      </c>
      <c r="J178" s="338">
        <f>Gasto_o_ing_total!I178*1000/Gasto_o_ing_total!I$479</f>
        <v>0</v>
      </c>
      <c r="K178" s="338">
        <f>Gasto_o_ing_total!J178*1000/Gasto_o_ing_total!J$479</f>
        <v>0</v>
      </c>
      <c r="L178" s="338">
        <f>Gasto_o_ing_total!K178*1000/Gasto_o_ing_total!K$479</f>
        <v>0</v>
      </c>
      <c r="M178" s="338">
        <f>Gasto_o_ing_total!L178*1000/Gasto_o_ing_total!L$479</f>
        <v>0</v>
      </c>
      <c r="N178" s="338">
        <f>Gasto_o_ing_total!M178*1000/Gasto_o_ing_total!M$479</f>
        <v>0</v>
      </c>
      <c r="O178" s="338">
        <f>Gasto_o_ing_total!N178*1000/Gasto_o_ing_total!N$479</f>
        <v>0</v>
      </c>
      <c r="P178" s="338">
        <f>Gasto_o_ing_total!O178*1000/Gasto_o_ing_total!O$479</f>
        <v>0</v>
      </c>
      <c r="Q178" s="338">
        <f>Gasto_o_ing_total!P178*1000/Gasto_o_ing_total!P$479</f>
        <v>0</v>
      </c>
      <c r="R178" s="338">
        <f>Gasto_o_ing_total!Q178*1000/Gasto_o_ing_total!Q$479</f>
        <v>0</v>
      </c>
      <c r="S178" s="338">
        <f>Gasto_o_ing_total!R178*1000/Gasto_o_ing_total!R$479</f>
        <v>-12.649449357762842</v>
      </c>
      <c r="T178" s="338">
        <f>Gasto_o_ing_total!S178*1000/Gasto_o_ing_total!S$479</f>
        <v>-15.218423340609803</v>
      </c>
      <c r="U178" s="338">
        <f>Gasto_o_ing_total!T178*1000/Gasto_o_ing_total!T$479</f>
        <v>0</v>
      </c>
      <c r="V178" s="338">
        <f>Gasto_o_ing_total!U178*1000/Gasto_o_ing_total!U$479</f>
        <v>0</v>
      </c>
      <c r="W178" s="105"/>
    </row>
    <row r="179" spans="1:23" s="102" customFormat="1">
      <c r="A179" s="356"/>
      <c r="B179" s="115" t="s">
        <v>1141</v>
      </c>
      <c r="C179" s="335" t="str">
        <f>VLOOKUP(B179,Tot_res!C:D,2,FALSE)</f>
        <v>ajuste forales, ayudas al transporte colectivo urbano</v>
      </c>
      <c r="D179" s="338">
        <f>Gasto_o_ing_total!V179*1000/Gasto_o_ing_total!V$479</f>
        <v>-0.40751050125200428</v>
      </c>
      <c r="E179" s="338">
        <f>Gasto_o_ing_total!D179*1000/Gasto_o_ing_total!D$479</f>
        <v>0</v>
      </c>
      <c r="F179" s="338">
        <f>Gasto_o_ing_total!E179*1000/Gasto_o_ing_total!E$479</f>
        <v>0</v>
      </c>
      <c r="G179" s="338">
        <f>Gasto_o_ing_total!F179*1000/Gasto_o_ing_total!F$479</f>
        <v>0</v>
      </c>
      <c r="H179" s="338">
        <f>Gasto_o_ing_total!G179*1000/Gasto_o_ing_total!G$479</f>
        <v>0</v>
      </c>
      <c r="I179" s="338">
        <f>Gasto_o_ing_total!H179*1000/Gasto_o_ing_total!H$479</f>
        <v>0</v>
      </c>
      <c r="J179" s="338">
        <f>Gasto_o_ing_total!I179*1000/Gasto_o_ing_total!I$479</f>
        <v>0</v>
      </c>
      <c r="K179" s="338">
        <f>Gasto_o_ing_total!J179*1000/Gasto_o_ing_total!J$479</f>
        <v>0</v>
      </c>
      <c r="L179" s="338">
        <f>Gasto_o_ing_total!K179*1000/Gasto_o_ing_total!K$479</f>
        <v>0</v>
      </c>
      <c r="M179" s="338">
        <f>Gasto_o_ing_total!L179*1000/Gasto_o_ing_total!L$479</f>
        <v>0</v>
      </c>
      <c r="N179" s="338">
        <f>Gasto_o_ing_total!M179*1000/Gasto_o_ing_total!M$479</f>
        <v>0</v>
      </c>
      <c r="O179" s="338">
        <f>Gasto_o_ing_total!N179*1000/Gasto_o_ing_total!N$479</f>
        <v>0</v>
      </c>
      <c r="P179" s="338">
        <f>Gasto_o_ing_total!O179*1000/Gasto_o_ing_total!O$479</f>
        <v>0</v>
      </c>
      <c r="Q179" s="338">
        <f>Gasto_o_ing_total!P179*1000/Gasto_o_ing_total!P$479</f>
        <v>0</v>
      </c>
      <c r="R179" s="338">
        <f>Gasto_o_ing_total!Q179*1000/Gasto_o_ing_total!Q$479</f>
        <v>0</v>
      </c>
      <c r="S179" s="338">
        <f>Gasto_o_ing_total!R179*1000/Gasto_o_ing_total!R$479</f>
        <v>-6.7627556367127113</v>
      </c>
      <c r="T179" s="338">
        <f>Gasto_o_ing_total!S179*1000/Gasto_o_ing_total!S$479</f>
        <v>-6.7509690785525969</v>
      </c>
      <c r="U179" s="338">
        <f>Gasto_o_ing_total!T179*1000/Gasto_o_ing_total!T$479</f>
        <v>0</v>
      </c>
      <c r="V179" s="338">
        <f>Gasto_o_ing_total!U179*1000/Gasto_o_ing_total!U$479</f>
        <v>0</v>
      </c>
      <c r="W179" s="105"/>
    </row>
    <row r="180" spans="1:23" s="102" customFormat="1">
      <c r="A180" s="356"/>
      <c r="B180" s="115" t="s">
        <v>1142</v>
      </c>
      <c r="C180" s="335" t="str">
        <f>VLOOKUP(B180,Tot_res!C:D,2,FALSE)</f>
        <v>Conservación patrimonio artístico y cultural</v>
      </c>
      <c r="D180" s="338">
        <f>Gasto_o_ing_total!V180*1000/Gasto_o_ing_total!V$479</f>
        <v>-1.5667338157444078E-2</v>
      </c>
      <c r="E180" s="338">
        <f>Gasto_o_ing_total!D180*1000/Gasto_o_ing_total!D$479</f>
        <v>0</v>
      </c>
      <c r="F180" s="338">
        <f>Gasto_o_ing_total!E180*1000/Gasto_o_ing_total!E$479</f>
        <v>0</v>
      </c>
      <c r="G180" s="338">
        <f>Gasto_o_ing_total!F180*1000/Gasto_o_ing_total!F$479</f>
        <v>0</v>
      </c>
      <c r="H180" s="338">
        <f>Gasto_o_ing_total!G180*1000/Gasto_o_ing_total!G$479</f>
        <v>0</v>
      </c>
      <c r="I180" s="338">
        <f>Gasto_o_ing_total!H180*1000/Gasto_o_ing_total!H$479</f>
        <v>0</v>
      </c>
      <c r="J180" s="338">
        <f>Gasto_o_ing_total!I180*1000/Gasto_o_ing_total!I$479</f>
        <v>0</v>
      </c>
      <c r="K180" s="338">
        <f>Gasto_o_ing_total!J180*1000/Gasto_o_ing_total!J$479</f>
        <v>0</v>
      </c>
      <c r="L180" s="338">
        <f>Gasto_o_ing_total!K180*1000/Gasto_o_ing_total!K$479</f>
        <v>0</v>
      </c>
      <c r="M180" s="338">
        <f>Gasto_o_ing_total!L180*1000/Gasto_o_ing_total!L$479</f>
        <v>0</v>
      </c>
      <c r="N180" s="338">
        <f>Gasto_o_ing_total!M180*1000/Gasto_o_ing_total!M$479</f>
        <v>0</v>
      </c>
      <c r="O180" s="338">
        <f>Gasto_o_ing_total!N180*1000/Gasto_o_ing_total!N$479</f>
        <v>0</v>
      </c>
      <c r="P180" s="338">
        <f>Gasto_o_ing_total!O180*1000/Gasto_o_ing_total!O$479</f>
        <v>0</v>
      </c>
      <c r="Q180" s="338">
        <f>Gasto_o_ing_total!P180*1000/Gasto_o_ing_total!P$479</f>
        <v>0</v>
      </c>
      <c r="R180" s="338">
        <f>Gasto_o_ing_total!Q180*1000/Gasto_o_ing_total!Q$479</f>
        <v>0</v>
      </c>
      <c r="S180" s="338">
        <f>Gasto_o_ing_total!R180*1000/Gasto_o_ing_total!R$479</f>
        <v>-0.68373424500269675</v>
      </c>
      <c r="T180" s="338">
        <f>Gasto_o_ing_total!S180*1000/Gasto_o_ing_total!S$479</f>
        <v>-0.13523045718841609</v>
      </c>
      <c r="U180" s="338">
        <f>Gasto_o_ing_total!T180*1000/Gasto_o_ing_total!T$479</f>
        <v>0</v>
      </c>
      <c r="V180" s="338">
        <f>Gasto_o_ing_total!U180*1000/Gasto_o_ing_total!U$479</f>
        <v>0</v>
      </c>
      <c r="W180" s="105"/>
    </row>
    <row r="181" spans="1:23" s="102" customFormat="1">
      <c r="A181" s="356"/>
      <c r="B181" s="115" t="s">
        <v>1148</v>
      </c>
      <c r="C181" s="335" t="e">
        <f>VLOOKUP(B181,Tot_res!C:D,2,FALSE)</f>
        <v>#N/A</v>
      </c>
      <c r="D181" s="338">
        <f>Gasto_o_ing_total!V181*1000/Gasto_o_ing_total!V$479</f>
        <v>0</v>
      </c>
      <c r="E181" s="338" t="e">
        <f>Gasto_o_ing_total!D181*1000/Gasto_o_ing_total!D$479</f>
        <v>#VALUE!</v>
      </c>
      <c r="F181" s="338" t="e">
        <f>Gasto_o_ing_total!E181*1000/Gasto_o_ing_total!E$479</f>
        <v>#VALUE!</v>
      </c>
      <c r="G181" s="338" t="e">
        <f>Gasto_o_ing_total!F181*1000/Gasto_o_ing_total!F$479</f>
        <v>#VALUE!</v>
      </c>
      <c r="H181" s="338" t="e">
        <f>Gasto_o_ing_total!G181*1000/Gasto_o_ing_total!G$479</f>
        <v>#VALUE!</v>
      </c>
      <c r="I181" s="338" t="e">
        <f>Gasto_o_ing_total!H181*1000/Gasto_o_ing_total!H$479</f>
        <v>#VALUE!</v>
      </c>
      <c r="J181" s="338" t="e">
        <f>Gasto_o_ing_total!I181*1000/Gasto_o_ing_total!I$479</f>
        <v>#VALUE!</v>
      </c>
      <c r="K181" s="338" t="e">
        <f>Gasto_o_ing_total!J181*1000/Gasto_o_ing_total!J$479</f>
        <v>#VALUE!</v>
      </c>
      <c r="L181" s="338" t="e">
        <f>Gasto_o_ing_total!K181*1000/Gasto_o_ing_total!K$479</f>
        <v>#VALUE!</v>
      </c>
      <c r="M181" s="338" t="e">
        <f>Gasto_o_ing_total!L181*1000/Gasto_o_ing_total!L$479</f>
        <v>#VALUE!</v>
      </c>
      <c r="N181" s="338" t="e">
        <f>Gasto_o_ing_total!M181*1000/Gasto_o_ing_total!M$479</f>
        <v>#VALUE!</v>
      </c>
      <c r="O181" s="338" t="e">
        <f>Gasto_o_ing_total!N181*1000/Gasto_o_ing_total!N$479</f>
        <v>#VALUE!</v>
      </c>
      <c r="P181" s="338" t="e">
        <f>Gasto_o_ing_total!O181*1000/Gasto_o_ing_total!O$479</f>
        <v>#VALUE!</v>
      </c>
      <c r="Q181" s="338" t="e">
        <f>Gasto_o_ing_total!P181*1000/Gasto_o_ing_total!P$479</f>
        <v>#VALUE!</v>
      </c>
      <c r="R181" s="338" t="e">
        <f>Gasto_o_ing_total!Q181*1000/Gasto_o_ing_total!Q$479</f>
        <v>#VALUE!</v>
      </c>
      <c r="S181" s="338" t="e">
        <f>Gasto_o_ing_total!R181*1000/Gasto_o_ing_total!R$479</f>
        <v>#VALUE!</v>
      </c>
      <c r="T181" s="338" t="e">
        <f>Gasto_o_ing_total!S181*1000/Gasto_o_ing_total!S$479</f>
        <v>#VALUE!</v>
      </c>
      <c r="U181" s="338" t="e">
        <f>Gasto_o_ing_total!T181*1000/Gasto_o_ing_total!T$479</f>
        <v>#VALUE!</v>
      </c>
      <c r="V181" s="338" t="e">
        <f>Gasto_o_ing_total!U181*1000/Gasto_o_ing_total!U$479</f>
        <v>#VALUE!</v>
      </c>
      <c r="W181" s="105"/>
    </row>
    <row r="182" spans="1:23" s="102" customFormat="1">
      <c r="A182" s="356"/>
      <c r="B182" s="115" t="s">
        <v>1143</v>
      </c>
      <c r="C182" s="335" t="str">
        <f>VLOOKUP(B182,Tot_res!C:D,2,FALSE)</f>
        <v>Servicios Sociales</v>
      </c>
      <c r="D182" s="338">
        <f>Gasto_o_ing_total!V182*1000/Gasto_o_ing_total!V$479</f>
        <v>-0.16551725719947716</v>
      </c>
      <c r="E182" s="338">
        <f>Gasto_o_ing_total!D182*1000/Gasto_o_ing_total!D$479</f>
        <v>0</v>
      </c>
      <c r="F182" s="338">
        <f>Gasto_o_ing_total!E182*1000/Gasto_o_ing_total!E$479</f>
        <v>0</v>
      </c>
      <c r="G182" s="338">
        <f>Gasto_o_ing_total!F182*1000/Gasto_o_ing_total!F$479</f>
        <v>0</v>
      </c>
      <c r="H182" s="338">
        <f>Gasto_o_ing_total!G182*1000/Gasto_o_ing_total!G$479</f>
        <v>0</v>
      </c>
      <c r="I182" s="338">
        <f>Gasto_o_ing_total!H182*1000/Gasto_o_ing_total!H$479</f>
        <v>0</v>
      </c>
      <c r="J182" s="338">
        <f>Gasto_o_ing_total!I182*1000/Gasto_o_ing_total!I$479</f>
        <v>0</v>
      </c>
      <c r="K182" s="338">
        <f>Gasto_o_ing_total!J182*1000/Gasto_o_ing_total!J$479</f>
        <v>0</v>
      </c>
      <c r="L182" s="338">
        <f>Gasto_o_ing_total!K182*1000/Gasto_o_ing_total!K$479</f>
        <v>0</v>
      </c>
      <c r="M182" s="338">
        <f>Gasto_o_ing_total!L182*1000/Gasto_o_ing_total!L$479</f>
        <v>0</v>
      </c>
      <c r="N182" s="338">
        <f>Gasto_o_ing_total!M182*1000/Gasto_o_ing_total!M$479</f>
        <v>0</v>
      </c>
      <c r="O182" s="338">
        <f>Gasto_o_ing_total!N182*1000/Gasto_o_ing_total!N$479</f>
        <v>0</v>
      </c>
      <c r="P182" s="338">
        <f>Gasto_o_ing_total!O182*1000/Gasto_o_ing_total!O$479</f>
        <v>0</v>
      </c>
      <c r="Q182" s="338">
        <f>Gasto_o_ing_total!P182*1000/Gasto_o_ing_total!P$479</f>
        <v>0</v>
      </c>
      <c r="R182" s="338">
        <f>Gasto_o_ing_total!Q182*1000/Gasto_o_ing_total!Q$479</f>
        <v>0</v>
      </c>
      <c r="S182" s="338">
        <f>Gasto_o_ing_total!R182*1000/Gasto_o_ing_total!R$479</f>
        <v>-3.3718816767146329</v>
      </c>
      <c r="T182" s="338">
        <f>Gasto_o_ing_total!S182*1000/Gasto_o_ing_total!S$479</f>
        <v>-2.5586259456475489</v>
      </c>
      <c r="U182" s="338">
        <f>Gasto_o_ing_total!T182*1000/Gasto_o_ing_total!T$479</f>
        <v>0</v>
      </c>
      <c r="V182" s="338">
        <f>Gasto_o_ing_total!U182*1000/Gasto_o_ing_total!U$479</f>
        <v>0</v>
      </c>
      <c r="W182" s="105"/>
    </row>
    <row r="183" spans="1:23" s="102" customFormat="1">
      <c r="A183" s="356"/>
      <c r="B183" s="115" t="s">
        <v>1144</v>
      </c>
      <c r="C183" s="335" t="str">
        <f>VLOOKUP(B183,Tot_res!C:D,2,FALSE)</f>
        <v>Fomento y gestiòn del empleo, incluyendo ISM</v>
      </c>
      <c r="D183" s="338">
        <f>Gasto_o_ing_total!V183*1000/Gasto_o_ing_total!V$479</f>
        <v>-1.9828729632671915</v>
      </c>
      <c r="E183" s="338">
        <f>Gasto_o_ing_total!D183*1000/Gasto_o_ing_total!D$479</f>
        <v>0</v>
      </c>
      <c r="F183" s="338">
        <f>Gasto_o_ing_total!E183*1000/Gasto_o_ing_total!E$479</f>
        <v>0</v>
      </c>
      <c r="G183" s="338">
        <f>Gasto_o_ing_total!F183*1000/Gasto_o_ing_total!F$479</f>
        <v>0</v>
      </c>
      <c r="H183" s="338">
        <f>Gasto_o_ing_total!G183*1000/Gasto_o_ing_total!G$479</f>
        <v>0</v>
      </c>
      <c r="I183" s="338">
        <f>Gasto_o_ing_total!H183*1000/Gasto_o_ing_total!H$479</f>
        <v>0</v>
      </c>
      <c r="J183" s="338">
        <f>Gasto_o_ing_total!I183*1000/Gasto_o_ing_total!I$479</f>
        <v>0</v>
      </c>
      <c r="K183" s="338">
        <f>Gasto_o_ing_total!J183*1000/Gasto_o_ing_total!J$479</f>
        <v>0</v>
      </c>
      <c r="L183" s="338">
        <f>Gasto_o_ing_total!K183*1000/Gasto_o_ing_total!K$479</f>
        <v>0</v>
      </c>
      <c r="M183" s="338">
        <f>Gasto_o_ing_total!L183*1000/Gasto_o_ing_total!L$479</f>
        <v>0</v>
      </c>
      <c r="N183" s="338">
        <f>Gasto_o_ing_total!M183*1000/Gasto_o_ing_total!M$479</f>
        <v>0</v>
      </c>
      <c r="O183" s="338">
        <f>Gasto_o_ing_total!N183*1000/Gasto_o_ing_total!N$479</f>
        <v>0</v>
      </c>
      <c r="P183" s="338">
        <f>Gasto_o_ing_total!O183*1000/Gasto_o_ing_total!O$479</f>
        <v>0</v>
      </c>
      <c r="Q183" s="338">
        <f>Gasto_o_ing_total!P183*1000/Gasto_o_ing_total!P$479</f>
        <v>0</v>
      </c>
      <c r="R183" s="338">
        <f>Gasto_o_ing_total!Q183*1000/Gasto_o_ing_total!Q$479</f>
        <v>0</v>
      </c>
      <c r="S183" s="338">
        <f>Gasto_o_ing_total!R183*1000/Gasto_o_ing_total!R$479</f>
        <v>0</v>
      </c>
      <c r="T183" s="338">
        <f>Gasto_o_ing_total!S183*1000/Gasto_o_ing_total!S$479</f>
        <v>-42.503573086016353</v>
      </c>
      <c r="U183" s="338">
        <f>Gasto_o_ing_total!T183*1000/Gasto_o_ing_total!T$479</f>
        <v>0</v>
      </c>
      <c r="V183" s="338">
        <f>Gasto_o_ing_total!U183*1000/Gasto_o_ing_total!U$479</f>
        <v>0</v>
      </c>
      <c r="W183" s="105"/>
    </row>
    <row r="184" spans="1:23" s="102" customFormat="1">
      <c r="A184" s="356"/>
      <c r="B184" s="115" t="s">
        <v>1149</v>
      </c>
      <c r="C184" s="335" t="e">
        <f>VLOOKUP(B184,Tot_res!C:D,2,FALSE)</f>
        <v>#N/A</v>
      </c>
      <c r="D184" s="338">
        <f>Gasto_o_ing_total!V184*1000/Gasto_o_ing_total!V$479</f>
        <v>0</v>
      </c>
      <c r="E184" s="338" t="e">
        <f>Gasto_o_ing_total!D184*1000/Gasto_o_ing_total!D$479</f>
        <v>#VALUE!</v>
      </c>
      <c r="F184" s="338" t="e">
        <f>Gasto_o_ing_total!E184*1000/Gasto_o_ing_total!E$479</f>
        <v>#VALUE!</v>
      </c>
      <c r="G184" s="338" t="e">
        <f>Gasto_o_ing_total!F184*1000/Gasto_o_ing_total!F$479</f>
        <v>#VALUE!</v>
      </c>
      <c r="H184" s="338" t="e">
        <f>Gasto_o_ing_total!G184*1000/Gasto_o_ing_total!G$479</f>
        <v>#VALUE!</v>
      </c>
      <c r="I184" s="338" t="e">
        <f>Gasto_o_ing_total!H184*1000/Gasto_o_ing_total!H$479</f>
        <v>#VALUE!</v>
      </c>
      <c r="J184" s="338" t="e">
        <f>Gasto_o_ing_total!I184*1000/Gasto_o_ing_total!I$479</f>
        <v>#VALUE!</v>
      </c>
      <c r="K184" s="338" t="e">
        <f>Gasto_o_ing_total!J184*1000/Gasto_o_ing_total!J$479</f>
        <v>#VALUE!</v>
      </c>
      <c r="L184" s="338" t="e">
        <f>Gasto_o_ing_total!K184*1000/Gasto_o_ing_total!K$479</f>
        <v>#VALUE!</v>
      </c>
      <c r="M184" s="338" t="e">
        <f>Gasto_o_ing_total!L184*1000/Gasto_o_ing_total!L$479</f>
        <v>#VALUE!</v>
      </c>
      <c r="N184" s="338" t="e">
        <f>Gasto_o_ing_total!M184*1000/Gasto_o_ing_total!M$479</f>
        <v>#VALUE!</v>
      </c>
      <c r="O184" s="338" t="e">
        <f>Gasto_o_ing_total!N184*1000/Gasto_o_ing_total!N$479</f>
        <v>#VALUE!</v>
      </c>
      <c r="P184" s="338" t="e">
        <f>Gasto_o_ing_total!O184*1000/Gasto_o_ing_total!O$479</f>
        <v>#VALUE!</v>
      </c>
      <c r="Q184" s="338" t="e">
        <f>Gasto_o_ing_total!P184*1000/Gasto_o_ing_total!P$479</f>
        <v>#VALUE!</v>
      </c>
      <c r="R184" s="338" t="e">
        <f>Gasto_o_ing_total!Q184*1000/Gasto_o_ing_total!Q$479</f>
        <v>#VALUE!</v>
      </c>
      <c r="S184" s="338" t="e">
        <f>Gasto_o_ing_total!R184*1000/Gasto_o_ing_total!R$479</f>
        <v>#VALUE!</v>
      </c>
      <c r="T184" s="338" t="e">
        <f>Gasto_o_ing_total!S184*1000/Gasto_o_ing_total!S$479</f>
        <v>#VALUE!</v>
      </c>
      <c r="U184" s="338" t="e">
        <f>Gasto_o_ing_total!T184*1000/Gasto_o_ing_total!T$479</f>
        <v>#VALUE!</v>
      </c>
      <c r="V184" s="338" t="e">
        <f>Gasto_o_ing_total!U184*1000/Gasto_o_ing_total!U$479</f>
        <v>#VALUE!</v>
      </c>
      <c r="W184" s="105"/>
    </row>
    <row r="185" spans="1:23" s="102" customFormat="1">
      <c r="A185" s="356"/>
      <c r="B185" s="115" t="s">
        <v>1145</v>
      </c>
      <c r="C185" s="335" t="str">
        <f>VLOOKUP(B185,Tot_res!C:D,2,FALSE)</f>
        <v>Agricultura</v>
      </c>
      <c r="D185" s="338">
        <f>Gasto_o_ing_total!V185*1000/Gasto_o_ing_total!V$479</f>
        <v>-0.14803483906734036</v>
      </c>
      <c r="E185" s="338">
        <f>Gasto_o_ing_total!D185*1000/Gasto_o_ing_total!D$479</f>
        <v>0</v>
      </c>
      <c r="F185" s="338">
        <f>Gasto_o_ing_total!E185*1000/Gasto_o_ing_total!E$479</f>
        <v>0</v>
      </c>
      <c r="G185" s="338">
        <f>Gasto_o_ing_total!F185*1000/Gasto_o_ing_total!F$479</f>
        <v>0</v>
      </c>
      <c r="H185" s="338">
        <f>Gasto_o_ing_total!G185*1000/Gasto_o_ing_total!G$479</f>
        <v>0</v>
      </c>
      <c r="I185" s="338">
        <f>Gasto_o_ing_total!H185*1000/Gasto_o_ing_total!H$479</f>
        <v>0</v>
      </c>
      <c r="J185" s="338">
        <f>Gasto_o_ing_total!I185*1000/Gasto_o_ing_total!I$479</f>
        <v>0</v>
      </c>
      <c r="K185" s="338">
        <f>Gasto_o_ing_total!J185*1000/Gasto_o_ing_total!J$479</f>
        <v>0</v>
      </c>
      <c r="L185" s="338">
        <f>Gasto_o_ing_total!K185*1000/Gasto_o_ing_total!K$479</f>
        <v>0</v>
      </c>
      <c r="M185" s="338">
        <f>Gasto_o_ing_total!L185*1000/Gasto_o_ing_total!L$479</f>
        <v>0</v>
      </c>
      <c r="N185" s="338">
        <f>Gasto_o_ing_total!M185*1000/Gasto_o_ing_total!M$479</f>
        <v>0</v>
      </c>
      <c r="O185" s="338">
        <f>Gasto_o_ing_total!N185*1000/Gasto_o_ing_total!N$479</f>
        <v>0</v>
      </c>
      <c r="P185" s="338">
        <f>Gasto_o_ing_total!O185*1000/Gasto_o_ing_total!O$479</f>
        <v>0</v>
      </c>
      <c r="Q185" s="338">
        <f>Gasto_o_ing_total!P185*1000/Gasto_o_ing_total!P$479</f>
        <v>0</v>
      </c>
      <c r="R185" s="338">
        <f>Gasto_o_ing_total!Q185*1000/Gasto_o_ing_total!Q$479</f>
        <v>0</v>
      </c>
      <c r="S185" s="338">
        <f>Gasto_o_ing_total!R185*1000/Gasto_o_ing_total!R$479</f>
        <v>-1.3974499980408537</v>
      </c>
      <c r="T185" s="338">
        <f>Gasto_o_ing_total!S185*1000/Gasto_o_ing_total!S$479</f>
        <v>-2.7631731453110677</v>
      </c>
      <c r="U185" s="338">
        <f>Gasto_o_ing_total!T185*1000/Gasto_o_ing_total!T$479</f>
        <v>0</v>
      </c>
      <c r="V185" s="338">
        <f>Gasto_o_ing_total!U185*1000/Gasto_o_ing_total!U$479</f>
        <v>0</v>
      </c>
      <c r="W185" s="105"/>
    </row>
    <row r="186" spans="1:23" s="102" customFormat="1">
      <c r="A186" s="356"/>
      <c r="B186" s="115" t="s">
        <v>1150</v>
      </c>
      <c r="C186" s="335" t="e">
        <f>VLOOKUP(B186,Tot_res!C:D,2,FALSE)</f>
        <v>#N/A</v>
      </c>
      <c r="D186" s="338">
        <f>Gasto_o_ing_total!V186*1000/Gasto_o_ing_total!V$479</f>
        <v>0</v>
      </c>
      <c r="E186" s="338" t="e">
        <f>Gasto_o_ing_total!D186*1000/Gasto_o_ing_total!D$479</f>
        <v>#VALUE!</v>
      </c>
      <c r="F186" s="338" t="e">
        <f>Gasto_o_ing_total!E186*1000/Gasto_o_ing_total!E$479</f>
        <v>#VALUE!</v>
      </c>
      <c r="G186" s="338" t="e">
        <f>Gasto_o_ing_total!F186*1000/Gasto_o_ing_total!F$479</f>
        <v>#VALUE!</v>
      </c>
      <c r="H186" s="338" t="e">
        <f>Gasto_o_ing_total!G186*1000/Gasto_o_ing_total!G$479</f>
        <v>#VALUE!</v>
      </c>
      <c r="I186" s="338" t="e">
        <f>Gasto_o_ing_total!H186*1000/Gasto_o_ing_total!H$479</f>
        <v>#VALUE!</v>
      </c>
      <c r="J186" s="338" t="e">
        <f>Gasto_o_ing_total!I186*1000/Gasto_o_ing_total!I$479</f>
        <v>#VALUE!</v>
      </c>
      <c r="K186" s="338" t="e">
        <f>Gasto_o_ing_total!J186*1000/Gasto_o_ing_total!J$479</f>
        <v>#VALUE!</v>
      </c>
      <c r="L186" s="338" t="e">
        <f>Gasto_o_ing_total!K186*1000/Gasto_o_ing_total!K$479</f>
        <v>#VALUE!</v>
      </c>
      <c r="M186" s="338" t="e">
        <f>Gasto_o_ing_total!L186*1000/Gasto_o_ing_total!L$479</f>
        <v>#VALUE!</v>
      </c>
      <c r="N186" s="338" t="e">
        <f>Gasto_o_ing_total!M186*1000/Gasto_o_ing_total!M$479</f>
        <v>#VALUE!</v>
      </c>
      <c r="O186" s="338" t="e">
        <f>Gasto_o_ing_total!N186*1000/Gasto_o_ing_total!N$479</f>
        <v>#VALUE!</v>
      </c>
      <c r="P186" s="338" t="e">
        <f>Gasto_o_ing_total!O186*1000/Gasto_o_ing_total!O$479</f>
        <v>#VALUE!</v>
      </c>
      <c r="Q186" s="338" t="e">
        <f>Gasto_o_ing_total!P186*1000/Gasto_o_ing_total!P$479</f>
        <v>#VALUE!</v>
      </c>
      <c r="R186" s="338" t="e">
        <f>Gasto_o_ing_total!Q186*1000/Gasto_o_ing_total!Q$479</f>
        <v>#VALUE!</v>
      </c>
      <c r="S186" s="338" t="e">
        <f>Gasto_o_ing_total!R186*1000/Gasto_o_ing_total!R$479</f>
        <v>#VALUE!</v>
      </c>
      <c r="T186" s="338" t="e">
        <f>Gasto_o_ing_total!S186*1000/Gasto_o_ing_total!S$479</f>
        <v>#VALUE!</v>
      </c>
      <c r="U186" s="338" t="e">
        <f>Gasto_o_ing_total!T186*1000/Gasto_o_ing_total!T$479</f>
        <v>#VALUE!</v>
      </c>
      <c r="V186" s="338" t="e">
        <f>Gasto_o_ing_total!U186*1000/Gasto_o_ing_total!U$479</f>
        <v>#VALUE!</v>
      </c>
      <c r="W186" s="105"/>
    </row>
    <row r="187" spans="1:23" s="102" customFormat="1">
      <c r="A187" s="356"/>
      <c r="B187" s="115" t="s">
        <v>1146</v>
      </c>
      <c r="C187" s="335" t="str">
        <f>VLOOKUP(B187,Tot_res!C:D,2,FALSE)</f>
        <v>Turismo</v>
      </c>
      <c r="D187" s="338">
        <f>Gasto_o_ing_total!V187*1000/Gasto_o_ing_total!V$479</f>
        <v>-1.7006676462786554E-2</v>
      </c>
      <c r="E187" s="338">
        <f>Gasto_o_ing_total!D187*1000/Gasto_o_ing_total!D$479</f>
        <v>0</v>
      </c>
      <c r="F187" s="338">
        <f>Gasto_o_ing_total!E187*1000/Gasto_o_ing_total!E$479</f>
        <v>0</v>
      </c>
      <c r="G187" s="338">
        <f>Gasto_o_ing_total!F187*1000/Gasto_o_ing_total!F$479</f>
        <v>0</v>
      </c>
      <c r="H187" s="338">
        <f>Gasto_o_ing_total!G187*1000/Gasto_o_ing_total!G$479</f>
        <v>0</v>
      </c>
      <c r="I187" s="338">
        <f>Gasto_o_ing_total!H187*1000/Gasto_o_ing_total!H$479</f>
        <v>0</v>
      </c>
      <c r="J187" s="338">
        <f>Gasto_o_ing_total!I187*1000/Gasto_o_ing_total!I$479</f>
        <v>0</v>
      </c>
      <c r="K187" s="338">
        <f>Gasto_o_ing_total!J187*1000/Gasto_o_ing_total!J$479</f>
        <v>0</v>
      </c>
      <c r="L187" s="338">
        <f>Gasto_o_ing_total!K187*1000/Gasto_o_ing_total!K$479</f>
        <v>0</v>
      </c>
      <c r="M187" s="338">
        <f>Gasto_o_ing_total!L187*1000/Gasto_o_ing_total!L$479</f>
        <v>0</v>
      </c>
      <c r="N187" s="338">
        <f>Gasto_o_ing_total!M187*1000/Gasto_o_ing_total!M$479</f>
        <v>0</v>
      </c>
      <c r="O187" s="338">
        <f>Gasto_o_ing_total!N187*1000/Gasto_o_ing_total!N$479</f>
        <v>0</v>
      </c>
      <c r="P187" s="338">
        <f>Gasto_o_ing_total!O187*1000/Gasto_o_ing_total!O$479</f>
        <v>0</v>
      </c>
      <c r="Q187" s="338">
        <f>Gasto_o_ing_total!P187*1000/Gasto_o_ing_total!P$479</f>
        <v>0</v>
      </c>
      <c r="R187" s="338">
        <f>Gasto_o_ing_total!Q187*1000/Gasto_o_ing_total!Q$479</f>
        <v>0</v>
      </c>
      <c r="S187" s="338">
        <f>Gasto_o_ing_total!R187*1000/Gasto_o_ing_total!R$479</f>
        <v>-0.27058130208568176</v>
      </c>
      <c r="T187" s="338">
        <f>Gasto_o_ing_total!S187*1000/Gasto_o_ing_total!S$479</f>
        <v>-0.28515676196621281</v>
      </c>
      <c r="U187" s="338">
        <f>Gasto_o_ing_total!T187*1000/Gasto_o_ing_total!T$479</f>
        <v>0</v>
      </c>
      <c r="V187" s="338">
        <f>Gasto_o_ing_total!U187*1000/Gasto_o_ing_total!U$479</f>
        <v>0</v>
      </c>
      <c r="W187" s="114"/>
    </row>
    <row r="188" spans="1:23" s="102" customFormat="1">
      <c r="A188" s="356"/>
      <c r="B188" s="115"/>
      <c r="C188" s="141"/>
      <c r="D188" s="110"/>
      <c r="E188" s="110"/>
      <c r="F188" s="110"/>
      <c r="G188" s="110"/>
      <c r="H188" s="110"/>
      <c r="I188" s="110"/>
      <c r="J188" s="110"/>
      <c r="K188" s="110"/>
      <c r="L188" s="110"/>
      <c r="M188" s="110"/>
      <c r="N188" s="110"/>
      <c r="O188" s="110"/>
      <c r="P188" s="110"/>
      <c r="Q188" s="110"/>
      <c r="R188" s="110"/>
      <c r="S188" s="110"/>
      <c r="T188" s="110"/>
      <c r="U188" s="110"/>
      <c r="V188" s="110"/>
      <c r="W188" s="105"/>
    </row>
    <row r="189" spans="1:23" s="102" customFormat="1">
      <c r="A189" s="356"/>
      <c r="B189" s="115"/>
      <c r="C189" s="117" t="s">
        <v>57</v>
      </c>
      <c r="D189" s="113">
        <f>Gasto_o_ing_total!V189*1000/Gasto_o_ing_total!V$479</f>
        <v>2154.6625959515895</v>
      </c>
      <c r="E189" s="113">
        <f>Gasto_o_ing_total!D189*1000/Gasto_o_ing_total!D$479</f>
        <v>1898.1476218986206</v>
      </c>
      <c r="F189" s="113">
        <f>Gasto_o_ing_total!E189*1000/Gasto_o_ing_total!E$479</f>
        <v>2305.1581631368385</v>
      </c>
      <c r="G189" s="113">
        <f>Gasto_o_ing_total!F189*1000/Gasto_o_ing_total!F$479</f>
        <v>2282.5361435777509</v>
      </c>
      <c r="H189" s="113">
        <f>Gasto_o_ing_total!G189*1000/Gasto_o_ing_total!G$479</f>
        <v>2053.0749932295389</v>
      </c>
      <c r="I189" s="113">
        <f>Gasto_o_ing_total!H189*1000/Gasto_o_ing_total!H$479</f>
        <v>2129.3201474555563</v>
      </c>
      <c r="J189" s="113">
        <f>Gasto_o_ing_total!I189*1000/Gasto_o_ing_total!I$479</f>
        <v>2546.7844647369088</v>
      </c>
      <c r="K189" s="113">
        <f>Gasto_o_ing_total!J189*1000/Gasto_o_ing_total!J$479</f>
        <v>2420.6867512793619</v>
      </c>
      <c r="L189" s="113">
        <f>Gasto_o_ing_total!K189*1000/Gasto_o_ing_total!K$479</f>
        <v>2168.8769683183095</v>
      </c>
      <c r="M189" s="113">
        <f>Gasto_o_ing_total!L189*1000/Gasto_o_ing_total!L$479</f>
        <v>1973.4330445678986</v>
      </c>
      <c r="N189" s="113">
        <f>Gasto_o_ing_total!M189*1000/Gasto_o_ing_total!M$479</f>
        <v>1824.0855613263136</v>
      </c>
      <c r="O189" s="113">
        <f>Gasto_o_ing_total!N189*1000/Gasto_o_ing_total!N$479</f>
        <v>2393.4515542866302</v>
      </c>
      <c r="P189" s="113">
        <f>Gasto_o_ing_total!O189*1000/Gasto_o_ing_total!O$479</f>
        <v>2331.2804425198588</v>
      </c>
      <c r="Q189" s="113">
        <f>Gasto_o_ing_total!P189*1000/Gasto_o_ing_total!P$479</f>
        <v>1874.8815546911947</v>
      </c>
      <c r="R189" s="113">
        <f>Gasto_o_ing_total!Q189*1000/Gasto_o_ing_total!Q$479</f>
        <v>1880.041903572738</v>
      </c>
      <c r="S189" s="113">
        <f>Gasto_o_ing_total!R189*1000/Gasto_o_ing_total!R$479</f>
        <v>3265.6940411082019</v>
      </c>
      <c r="T189" s="113">
        <f>Gasto_o_ing_total!S189*1000/Gasto_o_ing_total!S$479</f>
        <v>4169.7150085355943</v>
      </c>
      <c r="U189" s="113">
        <f>Gasto_o_ing_total!T189*1000/Gasto_o_ing_total!T$479</f>
        <v>2481.269891079342</v>
      </c>
      <c r="V189" s="113">
        <f>Gasto_o_ing_total!U189*1000/Gasto_o_ing_total!U$479</f>
        <v>4121.7339735624946</v>
      </c>
      <c r="W189" s="114"/>
    </row>
    <row r="190" spans="1:23" s="102" customFormat="1">
      <c r="A190" s="356"/>
      <c r="B190" s="115"/>
      <c r="C190" s="140"/>
      <c r="D190" s="110"/>
      <c r="E190" s="110"/>
      <c r="F190" s="110"/>
      <c r="G190" s="110"/>
      <c r="H190" s="110"/>
      <c r="I190" s="110"/>
      <c r="J190" s="110"/>
      <c r="K190" s="110"/>
      <c r="L190" s="110"/>
      <c r="M190" s="110"/>
      <c r="N190" s="110"/>
      <c r="O190" s="110"/>
      <c r="P190" s="110"/>
      <c r="Q190" s="110"/>
      <c r="R190" s="110"/>
      <c r="S190" s="110"/>
      <c r="T190" s="110"/>
      <c r="U190" s="110"/>
      <c r="V190" s="110"/>
      <c r="W190" s="105"/>
    </row>
    <row r="191" spans="1:23" s="102" customFormat="1">
      <c r="A191" s="356"/>
      <c r="B191" s="115"/>
      <c r="C191" s="117" t="s">
        <v>29</v>
      </c>
      <c r="D191" s="113">
        <f>Gasto_o_ing_total!V191*1000/Gasto_o_ing_total!V$479</f>
        <v>52.333142975266796</v>
      </c>
      <c r="E191" s="113">
        <f>Gasto_o_ing_total!D191*1000/Gasto_o_ing_total!D$479</f>
        <v>91.977433319640483</v>
      </c>
      <c r="F191" s="113">
        <f>Gasto_o_ing_total!E191*1000/Gasto_o_ing_total!E$479</f>
        <v>84.482755086466739</v>
      </c>
      <c r="G191" s="113">
        <f>Gasto_o_ing_total!F191*1000/Gasto_o_ing_total!F$479</f>
        <v>177.00159806187355</v>
      </c>
      <c r="H191" s="113">
        <f>Gasto_o_ing_total!G191*1000/Gasto_o_ing_total!G$479</f>
        <v>161.70276059570233</v>
      </c>
      <c r="I191" s="113">
        <f>Gasto_o_ing_total!H191*1000/Gasto_o_ing_total!H$479</f>
        <v>28.832620314804764</v>
      </c>
      <c r="J191" s="113">
        <f>Gasto_o_ing_total!I191*1000/Gasto_o_ing_total!I$479</f>
        <v>137.1379472122666</v>
      </c>
      <c r="K191" s="113">
        <f>Gasto_o_ing_total!J191*1000/Gasto_o_ing_total!J$479</f>
        <v>65.094867661522414</v>
      </c>
      <c r="L191" s="113">
        <f>Gasto_o_ing_total!K191*1000/Gasto_o_ing_total!K$479</f>
        <v>-43.051527009001894</v>
      </c>
      <c r="M191" s="113">
        <f>Gasto_o_ing_total!L191*1000/Gasto_o_ing_total!L$479</f>
        <v>183.39002528696395</v>
      </c>
      <c r="N191" s="113">
        <f>Gasto_o_ing_total!M191*1000/Gasto_o_ing_total!M$479</f>
        <v>86.701182337735546</v>
      </c>
      <c r="O191" s="113">
        <f>Gasto_o_ing_total!N191*1000/Gasto_o_ing_total!N$479</f>
        <v>214.14171861453619</v>
      </c>
      <c r="P191" s="113">
        <f>Gasto_o_ing_total!O191*1000/Gasto_o_ing_total!O$479</f>
        <v>53.385206378738765</v>
      </c>
      <c r="Q191" s="113">
        <f>Gasto_o_ing_total!P191*1000/Gasto_o_ing_total!P$479</f>
        <v>-30.854465245423686</v>
      </c>
      <c r="R191" s="113">
        <f>Gasto_o_ing_total!Q191*1000/Gasto_o_ing_total!Q$479</f>
        <v>93.035922551476858</v>
      </c>
      <c r="S191" s="113">
        <f>Gasto_o_ing_total!R191*1000/Gasto_o_ing_total!R$479</f>
        <v>-541.79895288119235</v>
      </c>
      <c r="T191" s="113">
        <f>Gasto_o_ing_total!S191*1000/Gasto_o_ing_total!S$479</f>
        <v>-376.57812364982806</v>
      </c>
      <c r="U191" s="113">
        <f>Gasto_o_ing_total!T191*1000/Gasto_o_ing_total!T$479</f>
        <v>59.724112666060968</v>
      </c>
      <c r="V191" s="113">
        <f>Gasto_o_ing_total!U191*1000/Gasto_o_ing_total!U$479</f>
        <v>0</v>
      </c>
      <c r="W191" s="105"/>
    </row>
    <row r="192" spans="1:23" s="102" customFormat="1">
      <c r="A192" s="355"/>
      <c r="B192" s="115" t="s">
        <v>988</v>
      </c>
      <c r="C192" s="333" t="str">
        <f>VLOOKUP(B192,Tot_res!C:D,2,FALSE)</f>
        <v>Participación CCAARC en IRPF, sobreesfuerzo fiscal regional</v>
      </c>
      <c r="D192" s="336">
        <f>Gasto_o_ing_total!V192*1000/Gasto_o_ing_total!V$479</f>
        <v>-7.8214832883861511</v>
      </c>
      <c r="E192" s="336">
        <f>Gasto_o_ing_total!D192*1000/Gasto_o_ing_total!D$479</f>
        <v>1.5345846313289448</v>
      </c>
      <c r="F192" s="336">
        <f>Gasto_o_ing_total!E192*1000/Gasto_o_ing_total!E$479</f>
        <v>-0.53801811700193702</v>
      </c>
      <c r="G192" s="336">
        <f>Gasto_o_ing_total!F192*1000/Gasto_o_ing_total!F$479</f>
        <v>-0.59317353278630358</v>
      </c>
      <c r="H192" s="336">
        <f>Gasto_o_ing_total!G192*1000/Gasto_o_ing_total!G$479</f>
        <v>-4.345838522854498</v>
      </c>
      <c r="I192" s="336">
        <f>Gasto_o_ing_total!H192*1000/Gasto_o_ing_total!H$479</f>
        <v>-14.402757434010189</v>
      </c>
      <c r="J192" s="336">
        <f>Gasto_o_ing_total!I192*1000/Gasto_o_ing_total!I$479</f>
        <v>-1.2145105764826429</v>
      </c>
      <c r="K192" s="336">
        <f>Gasto_o_ing_total!J192*1000/Gasto_o_ing_total!J$479</f>
        <v>-13.417814996048119</v>
      </c>
      <c r="L192" s="336">
        <f>Gasto_o_ing_total!K192*1000/Gasto_o_ing_total!K$479</f>
        <v>-3.9125132483761491</v>
      </c>
      <c r="M192" s="336">
        <f>Gasto_o_ing_total!L192*1000/Gasto_o_ing_total!L$479</f>
        <v>-1.3793250519918332</v>
      </c>
      <c r="N192" s="336">
        <f>Gasto_o_ing_total!M192*1000/Gasto_o_ing_total!M$479</f>
        <v>-5.909010118769098</v>
      </c>
      <c r="O192" s="336">
        <f>Gasto_o_ing_total!N192*1000/Gasto_o_ing_total!N$479</f>
        <v>-2.4014918604909807</v>
      </c>
      <c r="P192" s="336">
        <f>Gasto_o_ing_total!O192*1000/Gasto_o_ing_total!O$479</f>
        <v>-5.2321290184264635</v>
      </c>
      <c r="Q192" s="336">
        <f>Gasto_o_ing_total!P192*1000/Gasto_o_ing_total!P$479</f>
        <v>-36.560590216679941</v>
      </c>
      <c r="R192" s="336">
        <f>Gasto_o_ing_total!Q192*1000/Gasto_o_ing_total!Q$479</f>
        <v>-0.71022198847802265</v>
      </c>
      <c r="S192" s="336">
        <f>Gasto_o_ing_total!R192*1000/Gasto_o_ing_total!R$479</f>
        <v>0</v>
      </c>
      <c r="T192" s="336">
        <f>Gasto_o_ing_total!S192*1000/Gasto_o_ing_total!S$479</f>
        <v>0</v>
      </c>
      <c r="U192" s="336">
        <f>Gasto_o_ing_total!T192*1000/Gasto_o_ing_total!T$479</f>
        <v>-18.391089215341335</v>
      </c>
      <c r="V192" s="336">
        <f>Gasto_o_ing_total!U192*1000/Gasto_o_ing_total!U$479</f>
        <v>0</v>
      </c>
      <c r="W192" s="105"/>
    </row>
    <row r="193" spans="1:23" s="102" customFormat="1">
      <c r="A193" s="355"/>
      <c r="B193" s="115" t="s">
        <v>1120</v>
      </c>
      <c r="C193" s="333" t="str">
        <f>VLOOKUP(B193,Tot_res!C:D,2,FALSE)</f>
        <v>Participación CCAARC en IH, sobreesfuerzo fiscal regional</v>
      </c>
      <c r="D193" s="336">
        <f>Gasto_o_ing_total!V193*1000/Gasto_o_ing_total!V$479</f>
        <v>19.801729742872944</v>
      </c>
      <c r="E193" s="336">
        <f>Gasto_o_ing_total!D193*1000/Gasto_o_ing_total!D$479</f>
        <v>24.578620706238731</v>
      </c>
      <c r="F193" s="336">
        <f>Gasto_o_ing_total!E193*1000/Gasto_o_ing_total!E$479</f>
        <v>0</v>
      </c>
      <c r="G193" s="336">
        <f>Gasto_o_ing_total!F193*1000/Gasto_o_ing_total!F$479</f>
        <v>22.775483222147678</v>
      </c>
      <c r="H193" s="336">
        <f>Gasto_o_ing_total!G193*1000/Gasto_o_ing_total!G$479</f>
        <v>28.765509345785954</v>
      </c>
      <c r="I193" s="336">
        <f>Gasto_o_ing_total!H193*1000/Gasto_o_ing_total!H$479</f>
        <v>0</v>
      </c>
      <c r="J193" s="336">
        <f>Gasto_o_ing_total!I193*1000/Gasto_o_ing_total!I$479</f>
        <v>0.46195652173913043</v>
      </c>
      <c r="K193" s="336">
        <f>Gasto_o_ing_total!J193*1000/Gasto_o_ing_total!J$479</f>
        <v>31.096785129216009</v>
      </c>
      <c r="L193" s="336">
        <f>Gasto_o_ing_total!K193*1000/Gasto_o_ing_total!K$479</f>
        <v>36.327747404123208</v>
      </c>
      <c r="M193" s="336">
        <f>Gasto_o_ing_total!L193*1000/Gasto_o_ing_total!L$479</f>
        <v>28.418285873667188</v>
      </c>
      <c r="N193" s="336">
        <f>Gasto_o_ing_total!M193*1000/Gasto_o_ing_total!M$479</f>
        <v>25.656500530356841</v>
      </c>
      <c r="O193" s="336">
        <f>Gasto_o_ing_total!N193*1000/Gasto_o_ing_total!N$479</f>
        <v>37.251315553022366</v>
      </c>
      <c r="P193" s="336">
        <f>Gasto_o_ing_total!O193*1000/Gasto_o_ing_total!O$479</f>
        <v>9.261755311094932</v>
      </c>
      <c r="Q193" s="336">
        <f>Gasto_o_ing_total!P193*1000/Gasto_o_ing_total!P$479</f>
        <v>8.1013986805087352</v>
      </c>
      <c r="R193" s="336">
        <f>Gasto_o_ing_total!Q193*1000/Gasto_o_ing_total!Q$479</f>
        <v>33.64037229313201</v>
      </c>
      <c r="S193" s="336">
        <f>Gasto_o_ing_total!R193*1000/Gasto_o_ing_total!R$479</f>
        <v>0</v>
      </c>
      <c r="T193" s="336">
        <f>Gasto_o_ing_total!S193*1000/Gasto_o_ing_total!S$479</f>
        <v>0</v>
      </c>
      <c r="U193" s="336">
        <f>Gasto_o_ing_total!T193*1000/Gasto_o_ing_total!T$479</f>
        <v>0</v>
      </c>
      <c r="V193" s="336">
        <f>Gasto_o_ing_total!U193*1000/Gasto_o_ing_total!U$479</f>
        <v>0</v>
      </c>
      <c r="W193" s="105"/>
    </row>
    <row r="194" spans="1:23" s="102" customFormat="1">
      <c r="A194" s="355"/>
      <c r="B194" s="115" t="s">
        <v>989</v>
      </c>
      <c r="C194" s="333" t="str">
        <f>VLOOKUP(B194,Tot_res!C:D,2,FALSE)</f>
        <v>Impuesto sucesiones y donac, sobreesfuerzo fiscal de las CCAARC</v>
      </c>
      <c r="D194" s="336">
        <f>Gasto_o_ing_total!V194*1000/Gasto_o_ing_total!V$479</f>
        <v>-3.3318682895626182E-15</v>
      </c>
      <c r="E194" s="336">
        <f>Gasto_o_ing_total!D194*1000/Gasto_o_ing_total!D$479</f>
        <v>12.139716344693801</v>
      </c>
      <c r="F194" s="336">
        <f>Gasto_o_ing_total!E194*1000/Gasto_o_ing_total!E$479</f>
        <v>22.137322937730541</v>
      </c>
      <c r="G194" s="336">
        <f>Gasto_o_ing_total!F194*1000/Gasto_o_ing_total!F$479</f>
        <v>44.108805726883482</v>
      </c>
      <c r="H194" s="336">
        <f>Gasto_o_ing_total!G194*1000/Gasto_o_ing_total!G$479</f>
        <v>19.683686534979454</v>
      </c>
      <c r="I194" s="336">
        <f>Gasto_o_ing_total!H194*1000/Gasto_o_ing_total!H$479</f>
        <v>-0.19732844678901834</v>
      </c>
      <c r="J194" s="336">
        <f>Gasto_o_ing_total!I194*1000/Gasto_o_ing_total!I$479</f>
        <v>55.822439253118262</v>
      </c>
      <c r="K194" s="336">
        <f>Gasto_o_ing_total!J194*1000/Gasto_o_ing_total!J$479</f>
        <v>-9.8047830032728296</v>
      </c>
      <c r="L194" s="336">
        <f>Gasto_o_ing_total!K194*1000/Gasto_o_ing_total!K$479</f>
        <v>-2.3065736210572627</v>
      </c>
      <c r="M194" s="336">
        <f>Gasto_o_ing_total!L194*1000/Gasto_o_ing_total!L$479</f>
        <v>-17.451716216259392</v>
      </c>
      <c r="N194" s="336">
        <f>Gasto_o_ing_total!M194*1000/Gasto_o_ing_total!M$479</f>
        <v>-16.097921338572018</v>
      </c>
      <c r="O194" s="336">
        <f>Gasto_o_ing_total!N194*1000/Gasto_o_ing_total!N$479</f>
        <v>14.961579099871143</v>
      </c>
      <c r="P194" s="336">
        <f>Gasto_o_ing_total!O194*1000/Gasto_o_ing_total!O$479</f>
        <v>-7.3617092872061756</v>
      </c>
      <c r="Q194" s="336">
        <f>Gasto_o_ing_total!P194*1000/Gasto_o_ing_total!P$479</f>
        <v>2.2676259723252397</v>
      </c>
      <c r="R194" s="336">
        <f>Gasto_o_ing_total!Q194*1000/Gasto_o_ing_total!Q$479</f>
        <v>0.74378007223579579</v>
      </c>
      <c r="S194" s="336">
        <f>Gasto_o_ing_total!R194*1000/Gasto_o_ing_total!R$479</f>
        <v>0</v>
      </c>
      <c r="T194" s="336">
        <f>Gasto_o_ing_total!S194*1000/Gasto_o_ing_total!S$479</f>
        <v>0</v>
      </c>
      <c r="U194" s="336">
        <f>Gasto_o_ing_total!T194*1000/Gasto_o_ing_total!T$479</f>
        <v>-8.4697219041952714</v>
      </c>
      <c r="V194" s="336">
        <f>Gasto_o_ing_total!U194*1000/Gasto_o_ing_total!U$479</f>
        <v>0</v>
      </c>
      <c r="W194" s="105"/>
    </row>
    <row r="195" spans="1:23" s="102" customFormat="1">
      <c r="A195" s="355"/>
      <c r="B195" s="115" t="s">
        <v>990</v>
      </c>
      <c r="C195" s="333" t="str">
        <f>VLOOKUP(B195,Tot_res!C:D,2,FALSE)</f>
        <v>ITP y AJD, sobreesfuerzo fiscal de las CCAARC</v>
      </c>
      <c r="D195" s="336">
        <f>Gasto_o_ing_total!V195*1000/Gasto_o_ing_total!V$479</f>
        <v>5.2115714304378713</v>
      </c>
      <c r="E195" s="336">
        <f>Gasto_o_ing_total!D195*1000/Gasto_o_ing_total!D$479</f>
        <v>6.3431395059680806</v>
      </c>
      <c r="F195" s="336">
        <f>Gasto_o_ing_total!E195*1000/Gasto_o_ing_total!E$479</f>
        <v>0</v>
      </c>
      <c r="G195" s="336">
        <f>Gasto_o_ing_total!F195*1000/Gasto_o_ing_total!F$479</f>
        <v>3.4457416197064505</v>
      </c>
      <c r="H195" s="336">
        <f>Gasto_o_ing_total!G195*1000/Gasto_o_ing_total!G$479</f>
        <v>10.836012082546299</v>
      </c>
      <c r="I195" s="336">
        <f>Gasto_o_ing_total!H195*1000/Gasto_o_ing_total!H$479</f>
        <v>-3.3919742597776668</v>
      </c>
      <c r="J195" s="336">
        <f>Gasto_o_ing_total!I195*1000/Gasto_o_ing_total!I$479</f>
        <v>5.7354724583214196</v>
      </c>
      <c r="K195" s="336">
        <f>Gasto_o_ing_total!J195*1000/Gasto_o_ing_total!J$479</f>
        <v>4.5506077682949337</v>
      </c>
      <c r="L195" s="336">
        <f>Gasto_o_ing_total!K195*1000/Gasto_o_ing_total!K$479</f>
        <v>3.5397034241487764</v>
      </c>
      <c r="M195" s="336">
        <f>Gasto_o_ing_total!L195*1000/Gasto_o_ing_total!L$479</f>
        <v>11.824234077486196</v>
      </c>
      <c r="N195" s="336">
        <f>Gasto_o_ing_total!M195*1000/Gasto_o_ing_total!M$479</f>
        <v>8.9303669344348364</v>
      </c>
      <c r="O195" s="336">
        <f>Gasto_o_ing_total!N195*1000/Gasto_o_ing_total!N$479</f>
        <v>2.8193240680487843</v>
      </c>
      <c r="P195" s="336">
        <f>Gasto_o_ing_total!O195*1000/Gasto_o_ing_total!O$479</f>
        <v>7.1767964548507539</v>
      </c>
      <c r="Q195" s="336">
        <f>Gasto_o_ing_total!P195*1000/Gasto_o_ing_total!P$479</f>
        <v>0</v>
      </c>
      <c r="R195" s="336">
        <f>Gasto_o_ing_total!Q195*1000/Gasto_o_ing_total!Q$479</f>
        <v>2.3005419539217322</v>
      </c>
      <c r="S195" s="336">
        <f>Gasto_o_ing_total!R195*1000/Gasto_o_ing_total!R$479</f>
        <v>0</v>
      </c>
      <c r="T195" s="336">
        <f>Gasto_o_ing_total!S195*1000/Gasto_o_ing_total!S$479</f>
        <v>0</v>
      </c>
      <c r="U195" s="336">
        <f>Gasto_o_ing_total!T195*1000/Gasto_o_ing_total!T$479</f>
        <v>0</v>
      </c>
      <c r="V195" s="336">
        <f>Gasto_o_ing_total!U195*1000/Gasto_o_ing_total!U$479</f>
        <v>0</v>
      </c>
      <c r="W195" s="105"/>
    </row>
    <row r="196" spans="1:23" s="102" customFormat="1">
      <c r="A196" s="355"/>
      <c r="B196" s="115" t="s">
        <v>991</v>
      </c>
      <c r="C196" s="333" t="str">
        <f>VLOOKUP(B196,Tot_res!C:D,2,FALSE)</f>
        <v>Tasas sobre el juego, sobreesfuerzo fiscal de las CCAARC</v>
      </c>
      <c r="D196" s="336">
        <f>Gasto_o_ing_total!V196*1000/Gasto_o_ing_total!V$479</f>
        <v>2.8282137806752456E-15</v>
      </c>
      <c r="E196" s="336">
        <f>Gasto_o_ing_total!D196*1000/Gasto_o_ing_total!D$479</f>
        <v>1.5726899234033112</v>
      </c>
      <c r="F196" s="336">
        <f>Gasto_o_ing_total!E196*1000/Gasto_o_ing_total!E$479</f>
        <v>6.8298681798159553</v>
      </c>
      <c r="G196" s="336">
        <f>Gasto_o_ing_total!F196*1000/Gasto_o_ing_total!F$479</f>
        <v>3.967961474004619</v>
      </c>
      <c r="H196" s="336">
        <f>Gasto_o_ing_total!G196*1000/Gasto_o_ing_total!G$479</f>
        <v>-7.6216071924712265</v>
      </c>
      <c r="I196" s="336">
        <f>Gasto_o_ing_total!H196*1000/Gasto_o_ing_total!H$479</f>
        <v>10.088987495950413</v>
      </c>
      <c r="J196" s="336">
        <f>Gasto_o_ing_total!I196*1000/Gasto_o_ing_total!I$479</f>
        <v>2.9431182609808104</v>
      </c>
      <c r="K196" s="336">
        <f>Gasto_o_ing_total!J196*1000/Gasto_o_ing_total!J$479</f>
        <v>1.4381280571556405</v>
      </c>
      <c r="L196" s="336">
        <f>Gasto_o_ing_total!K196*1000/Gasto_o_ing_total!K$479</f>
        <v>-2.7116207731883009</v>
      </c>
      <c r="M196" s="336">
        <f>Gasto_o_ing_total!L196*1000/Gasto_o_ing_total!L$479</f>
        <v>6.5473611904162263</v>
      </c>
      <c r="N196" s="336">
        <f>Gasto_o_ing_total!M196*1000/Gasto_o_ing_total!M$479</f>
        <v>-3.1189867875619428</v>
      </c>
      <c r="O196" s="336">
        <f>Gasto_o_ing_total!N196*1000/Gasto_o_ing_total!N$479</f>
        <v>5.4009354652967057</v>
      </c>
      <c r="P196" s="336">
        <f>Gasto_o_ing_total!O196*1000/Gasto_o_ing_total!O$479</f>
        <v>0.20412523497976431</v>
      </c>
      <c r="Q196" s="336">
        <f>Gasto_o_ing_total!P196*1000/Gasto_o_ing_total!P$479</f>
        <v>-12.672106792223584</v>
      </c>
      <c r="R196" s="336">
        <f>Gasto_o_ing_total!Q196*1000/Gasto_o_ing_total!Q$479</f>
        <v>0.87786654709318279</v>
      </c>
      <c r="S196" s="336">
        <f>Gasto_o_ing_total!R196*1000/Gasto_o_ing_total!R$479</f>
        <v>0</v>
      </c>
      <c r="T196" s="336">
        <f>Gasto_o_ing_total!S196*1000/Gasto_o_ing_total!S$479</f>
        <v>0</v>
      </c>
      <c r="U196" s="336">
        <f>Gasto_o_ing_total!T196*1000/Gasto_o_ing_total!T$479</f>
        <v>4.8319921709592366</v>
      </c>
      <c r="V196" s="336">
        <f>Gasto_o_ing_total!U196*1000/Gasto_o_ing_total!U$479</f>
        <v>0</v>
      </c>
      <c r="W196" s="105"/>
    </row>
    <row r="197" spans="1:23" s="102" customFormat="1">
      <c r="A197" s="355"/>
      <c r="B197" s="115" t="s">
        <v>992</v>
      </c>
      <c r="C197" s="333" t="str">
        <f>VLOOKUP(B197,Tot_res!C:D,2,FALSE)</f>
        <v>IVMH, sobreesfuerzo fiscal de las CCAARC</v>
      </c>
      <c r="D197" s="336">
        <f>Gasto_o_ing_total!V197*1000/Gasto_o_ing_total!V$479</f>
        <v>5.3578636609291284</v>
      </c>
      <c r="E197" s="336">
        <f>Gasto_o_ing_total!D197*1000/Gasto_o_ing_total!D$479</f>
        <v>6.7768661676741804</v>
      </c>
      <c r="F197" s="336">
        <f>Gasto_o_ing_total!E197*1000/Gasto_o_ing_total!E$479</f>
        <v>0</v>
      </c>
      <c r="G197" s="336">
        <f>Gasto_o_ing_total!F197*1000/Gasto_o_ing_total!F$479</f>
        <v>3.6749250324307807</v>
      </c>
      <c r="H197" s="336">
        <f>Gasto_o_ing_total!G197*1000/Gasto_o_ing_total!G$479</f>
        <v>6.3661316156806222</v>
      </c>
      <c r="I197" s="336">
        <f>Gasto_o_ing_total!H197*1000/Gasto_o_ing_total!H$479</f>
        <v>0</v>
      </c>
      <c r="J197" s="336">
        <f>Gasto_o_ing_total!I197*1000/Gasto_o_ing_total!I$479</f>
        <v>7.5128245961183993</v>
      </c>
      <c r="K197" s="336">
        <f>Gasto_o_ing_total!J197*1000/Gasto_o_ing_total!J$479</f>
        <v>9.3171527908643927</v>
      </c>
      <c r="L197" s="336">
        <f>Gasto_o_ing_total!K197*1000/Gasto_o_ing_total!K$479</f>
        <v>9.2879501407906808</v>
      </c>
      <c r="M197" s="336">
        <f>Gasto_o_ing_total!L197*1000/Gasto_o_ing_total!L$479</f>
        <v>8.0029070058668879</v>
      </c>
      <c r="N197" s="336">
        <f>Gasto_o_ing_total!M197*1000/Gasto_o_ing_total!M$479</f>
        <v>6.5398586907612959</v>
      </c>
      <c r="O197" s="336">
        <f>Gasto_o_ing_total!N197*1000/Gasto_o_ing_total!N$479</f>
        <v>8.3653833936276243</v>
      </c>
      <c r="P197" s="336">
        <f>Gasto_o_ing_total!O197*1000/Gasto_o_ing_total!O$479</f>
        <v>2.7046504437737044</v>
      </c>
      <c r="Q197" s="336">
        <f>Gasto_o_ing_total!P197*1000/Gasto_o_ing_total!P$479</f>
        <v>2.5344542710493001</v>
      </c>
      <c r="R197" s="336">
        <f>Gasto_o_ing_total!Q197*1000/Gasto_o_ing_total!Q$479</f>
        <v>6.6894078568373487</v>
      </c>
      <c r="S197" s="336">
        <f>Gasto_o_ing_total!R197*1000/Gasto_o_ing_total!R$479</f>
        <v>0</v>
      </c>
      <c r="T197" s="336">
        <f>Gasto_o_ing_total!S197*1000/Gasto_o_ing_total!S$479</f>
        <v>0</v>
      </c>
      <c r="U197" s="336">
        <f>Gasto_o_ing_total!T197*1000/Gasto_o_ing_total!T$479</f>
        <v>0</v>
      </c>
      <c r="V197" s="336">
        <f>Gasto_o_ing_total!U197*1000/Gasto_o_ing_total!U$479</f>
        <v>0</v>
      </c>
      <c r="W197" s="105"/>
    </row>
    <row r="198" spans="1:23" s="102" customFormat="1">
      <c r="A198" s="355"/>
      <c r="B198" s="115" t="s">
        <v>993</v>
      </c>
      <c r="C198" s="333" t="str">
        <f>VLOOKUP(B198,Tot_res!C:D,2,FALSE)</f>
        <v>Impuesto de matriculación, sobreesfuerzo fiscal de las CCAARC</v>
      </c>
      <c r="D198" s="336">
        <f>Gasto_o_ing_total!V198*1000/Gasto_o_ing_total!V$479</f>
        <v>4.4026523047796584E-2</v>
      </c>
      <c r="E198" s="336">
        <f>Gasto_o_ing_total!D198*1000/Gasto_o_ing_total!D$479</f>
        <v>0.10114587381227577</v>
      </c>
      <c r="F198" s="336">
        <f>Gasto_o_ing_total!E198*1000/Gasto_o_ing_total!E$479</f>
        <v>0</v>
      </c>
      <c r="G198" s="336">
        <f>Gasto_o_ing_total!F198*1000/Gasto_o_ing_total!F$479</f>
        <v>4.0236234113847753E-2</v>
      </c>
      <c r="H198" s="336">
        <f>Gasto_o_ing_total!G198*1000/Gasto_o_ing_total!G$479</f>
        <v>0.12987130245097786</v>
      </c>
      <c r="I198" s="336">
        <f>Gasto_o_ing_total!H198*1000/Gasto_o_ing_total!H$479</f>
        <v>0</v>
      </c>
      <c r="J198" s="336">
        <f>Gasto_o_ing_total!I198*1000/Gasto_o_ing_total!I$479</f>
        <v>0.15132006939173756</v>
      </c>
      <c r="K198" s="336">
        <f>Gasto_o_ing_total!J198*1000/Gasto_o_ing_total!J$479</f>
        <v>0</v>
      </c>
      <c r="L198" s="336">
        <f>Gasto_o_ing_total!K198*1000/Gasto_o_ing_total!K$479</f>
        <v>0</v>
      </c>
      <c r="M198" s="336">
        <f>Gasto_o_ing_total!L198*1000/Gasto_o_ing_total!L$479</f>
        <v>8.7078811399767517E-2</v>
      </c>
      <c r="N198" s="336">
        <f>Gasto_o_ing_total!M198*1000/Gasto_o_ing_total!M$479</f>
        <v>0</v>
      </c>
      <c r="O198" s="336">
        <f>Gasto_o_ing_total!N198*1000/Gasto_o_ing_total!N$479</f>
        <v>0.25687545492994285</v>
      </c>
      <c r="P198" s="336">
        <f>Gasto_o_ing_total!O198*1000/Gasto_o_ing_total!O$479</f>
        <v>0</v>
      </c>
      <c r="Q198" s="336">
        <f>Gasto_o_ing_total!P198*1000/Gasto_o_ing_total!P$479</f>
        <v>0</v>
      </c>
      <c r="R198" s="336">
        <f>Gasto_o_ing_total!Q198*1000/Gasto_o_ing_total!Q$479</f>
        <v>0</v>
      </c>
      <c r="S198" s="336">
        <f>Gasto_o_ing_total!R198*1000/Gasto_o_ing_total!R$479</f>
        <v>0</v>
      </c>
      <c r="T198" s="336">
        <f>Gasto_o_ing_total!S198*1000/Gasto_o_ing_total!S$479</f>
        <v>0</v>
      </c>
      <c r="U198" s="336">
        <f>Gasto_o_ing_total!T198*1000/Gasto_o_ing_total!T$479</f>
        <v>0</v>
      </c>
      <c r="V198" s="336">
        <f>Gasto_o_ing_total!U198*1000/Gasto_o_ing_total!U$479</f>
        <v>0</v>
      </c>
      <c r="W198" s="105"/>
    </row>
    <row r="199" spans="1:23" s="102" customFormat="1">
      <c r="A199" s="355"/>
      <c r="B199" s="115" t="s">
        <v>994</v>
      </c>
      <c r="C199" s="333" t="str">
        <f>VLOOKUP(B199,Tot_res!C:D,2,FALSE)</f>
        <v>IRPF, sobreesfuerzo fiscal de las comunidades forales</v>
      </c>
      <c r="D199" s="336">
        <f>Gasto_o_ing_total!V199*1000/Gasto_o_ing_total!V$479</f>
        <v>-23.659873400849015</v>
      </c>
      <c r="E199" s="336">
        <f>Gasto_o_ing_total!D199*1000/Gasto_o_ing_total!D$479</f>
        <v>0</v>
      </c>
      <c r="F199" s="336">
        <f>Gasto_o_ing_total!E199*1000/Gasto_o_ing_total!E$479</f>
        <v>0</v>
      </c>
      <c r="G199" s="336">
        <f>Gasto_o_ing_total!F199*1000/Gasto_o_ing_total!F$479</f>
        <v>0</v>
      </c>
      <c r="H199" s="336">
        <f>Gasto_o_ing_total!G199*1000/Gasto_o_ing_total!G$479</f>
        <v>0</v>
      </c>
      <c r="I199" s="336">
        <f>Gasto_o_ing_total!H199*1000/Gasto_o_ing_total!H$479</f>
        <v>0</v>
      </c>
      <c r="J199" s="336">
        <f>Gasto_o_ing_total!I199*1000/Gasto_o_ing_total!I$479</f>
        <v>0</v>
      </c>
      <c r="K199" s="336">
        <f>Gasto_o_ing_total!J199*1000/Gasto_o_ing_total!J$479</f>
        <v>0</v>
      </c>
      <c r="L199" s="336">
        <f>Gasto_o_ing_total!K199*1000/Gasto_o_ing_total!K$479</f>
        <v>0</v>
      </c>
      <c r="M199" s="336">
        <f>Gasto_o_ing_total!L199*1000/Gasto_o_ing_total!L$479</f>
        <v>0</v>
      </c>
      <c r="N199" s="336">
        <f>Gasto_o_ing_total!M199*1000/Gasto_o_ing_total!M$479</f>
        <v>0</v>
      </c>
      <c r="O199" s="336">
        <f>Gasto_o_ing_total!N199*1000/Gasto_o_ing_total!N$479</f>
        <v>0</v>
      </c>
      <c r="P199" s="336">
        <f>Gasto_o_ing_total!O199*1000/Gasto_o_ing_total!O$479</f>
        <v>0</v>
      </c>
      <c r="Q199" s="336">
        <f>Gasto_o_ing_total!P199*1000/Gasto_o_ing_total!P$479</f>
        <v>0</v>
      </c>
      <c r="R199" s="336">
        <f>Gasto_o_ing_total!Q199*1000/Gasto_o_ing_total!Q$479</f>
        <v>0</v>
      </c>
      <c r="S199" s="336">
        <f>Gasto_o_ing_total!R199*1000/Gasto_o_ing_total!R$479</f>
        <v>-453.3250895819919</v>
      </c>
      <c r="T199" s="336">
        <f>Gasto_o_ing_total!S199*1000/Gasto_o_ing_total!S$479</f>
        <v>-374.15419344260744</v>
      </c>
      <c r="U199" s="336">
        <f>Gasto_o_ing_total!T199*1000/Gasto_o_ing_total!T$479</f>
        <v>0</v>
      </c>
      <c r="V199" s="336">
        <f>Gasto_o_ing_total!U199*1000/Gasto_o_ing_total!U$479</f>
        <v>0</v>
      </c>
      <c r="W199" s="105"/>
    </row>
    <row r="200" spans="1:23" s="102" customFormat="1">
      <c r="A200" s="355"/>
      <c r="B200" s="115" t="s">
        <v>995</v>
      </c>
      <c r="C200" s="333" t="str">
        <f>VLOOKUP(B200,Tot_res!C:D,2,FALSE)</f>
        <v>Sociedades, sobreesfuerzo fiscal de las comunidades forales</v>
      </c>
      <c r="D200" s="336">
        <f>Gasto_o_ing_total!V200*1000/Gasto_o_ing_total!V$479</f>
        <v>-3.8431270717095933</v>
      </c>
      <c r="E200" s="336">
        <f>Gasto_o_ing_total!D200*1000/Gasto_o_ing_total!D$479</f>
        <v>0</v>
      </c>
      <c r="F200" s="336">
        <f>Gasto_o_ing_total!E200*1000/Gasto_o_ing_total!E$479</f>
        <v>0</v>
      </c>
      <c r="G200" s="336">
        <f>Gasto_o_ing_total!F200*1000/Gasto_o_ing_total!F$479</f>
        <v>0</v>
      </c>
      <c r="H200" s="336">
        <f>Gasto_o_ing_total!G200*1000/Gasto_o_ing_total!G$479</f>
        <v>0</v>
      </c>
      <c r="I200" s="336">
        <f>Gasto_o_ing_total!H200*1000/Gasto_o_ing_total!H$479</f>
        <v>0</v>
      </c>
      <c r="J200" s="336">
        <f>Gasto_o_ing_total!I200*1000/Gasto_o_ing_total!I$479</f>
        <v>0</v>
      </c>
      <c r="K200" s="336">
        <f>Gasto_o_ing_total!J200*1000/Gasto_o_ing_total!J$479</f>
        <v>0</v>
      </c>
      <c r="L200" s="336">
        <f>Gasto_o_ing_total!K200*1000/Gasto_o_ing_total!K$479</f>
        <v>0</v>
      </c>
      <c r="M200" s="336">
        <f>Gasto_o_ing_total!L200*1000/Gasto_o_ing_total!L$479</f>
        <v>0</v>
      </c>
      <c r="N200" s="336">
        <f>Gasto_o_ing_total!M200*1000/Gasto_o_ing_total!M$479</f>
        <v>0</v>
      </c>
      <c r="O200" s="336">
        <f>Gasto_o_ing_total!N200*1000/Gasto_o_ing_total!N$479</f>
        <v>0</v>
      </c>
      <c r="P200" s="336">
        <f>Gasto_o_ing_total!O200*1000/Gasto_o_ing_total!O$479</f>
        <v>0</v>
      </c>
      <c r="Q200" s="336">
        <f>Gasto_o_ing_total!P200*1000/Gasto_o_ing_total!P$479</f>
        <v>0</v>
      </c>
      <c r="R200" s="336">
        <f>Gasto_o_ing_total!Q200*1000/Gasto_o_ing_total!Q$479</f>
        <v>0</v>
      </c>
      <c r="S200" s="336">
        <f>Gasto_o_ing_total!R200*1000/Gasto_o_ing_total!R$479</f>
        <v>-247.50505238255002</v>
      </c>
      <c r="T200" s="336">
        <f>Gasto_o_ing_total!S200*1000/Gasto_o_ing_total!S$479</f>
        <v>-9.7619553250216207</v>
      </c>
      <c r="U200" s="336">
        <f>Gasto_o_ing_total!T200*1000/Gasto_o_ing_total!T$479</f>
        <v>0</v>
      </c>
      <c r="V200" s="336">
        <f>Gasto_o_ing_total!U200*1000/Gasto_o_ing_total!U$479</f>
        <v>0</v>
      </c>
      <c r="W200" s="105"/>
    </row>
    <row r="201" spans="1:23" s="102" customFormat="1">
      <c r="A201" s="355"/>
      <c r="B201" s="115" t="s">
        <v>1122</v>
      </c>
      <c r="C201" s="333" t="str">
        <f>VLOOKUP(B201,Tot_res!C:D,2,FALSE)</f>
        <v>IH, sobreesfuerso fiscal de las comunidades forales</v>
      </c>
      <c r="D201" s="336">
        <f>Gasto_o_ing_total!V201*1000/Gasto_o_ing_total!V$479</f>
        <v>0.24708679866281474</v>
      </c>
      <c r="E201" s="336">
        <f>Gasto_o_ing_total!D201*1000/Gasto_o_ing_total!D$479</f>
        <v>0</v>
      </c>
      <c r="F201" s="336">
        <f>Gasto_o_ing_total!E201*1000/Gasto_o_ing_total!E$479</f>
        <v>0</v>
      </c>
      <c r="G201" s="336">
        <f>Gasto_o_ing_total!F201*1000/Gasto_o_ing_total!F$479</f>
        <v>0</v>
      </c>
      <c r="H201" s="336">
        <f>Gasto_o_ing_total!G201*1000/Gasto_o_ing_total!G$479</f>
        <v>0</v>
      </c>
      <c r="I201" s="336">
        <f>Gasto_o_ing_total!H201*1000/Gasto_o_ing_total!H$479</f>
        <v>0</v>
      </c>
      <c r="J201" s="336">
        <f>Gasto_o_ing_total!I201*1000/Gasto_o_ing_total!I$479</f>
        <v>0</v>
      </c>
      <c r="K201" s="336">
        <f>Gasto_o_ing_total!J201*1000/Gasto_o_ing_total!J$479</f>
        <v>0</v>
      </c>
      <c r="L201" s="336">
        <f>Gasto_o_ing_total!K201*1000/Gasto_o_ing_total!K$479</f>
        <v>0</v>
      </c>
      <c r="M201" s="336">
        <f>Gasto_o_ing_total!L201*1000/Gasto_o_ing_total!L$479</f>
        <v>0</v>
      </c>
      <c r="N201" s="336">
        <f>Gasto_o_ing_total!M201*1000/Gasto_o_ing_total!M$479</f>
        <v>0</v>
      </c>
      <c r="O201" s="336">
        <f>Gasto_o_ing_total!N201*1000/Gasto_o_ing_total!N$479</f>
        <v>0</v>
      </c>
      <c r="P201" s="336">
        <f>Gasto_o_ing_total!O201*1000/Gasto_o_ing_total!O$479</f>
        <v>0</v>
      </c>
      <c r="Q201" s="336">
        <f>Gasto_o_ing_total!P201*1000/Gasto_o_ing_total!P$479</f>
        <v>0</v>
      </c>
      <c r="R201" s="336">
        <f>Gasto_o_ing_total!Q201*1000/Gasto_o_ing_total!Q$479</f>
        <v>0</v>
      </c>
      <c r="S201" s="336">
        <f>Gasto_o_ing_total!R201*1000/Gasto_o_ing_total!R$479</f>
        <v>18.052068651883229</v>
      </c>
      <c r="T201" s="336">
        <f>Gasto_o_ing_total!S201*1000/Gasto_o_ing_total!S$479</f>
        <v>0</v>
      </c>
      <c r="U201" s="336">
        <f>Gasto_o_ing_total!T201*1000/Gasto_o_ing_total!T$479</f>
        <v>0</v>
      </c>
      <c r="V201" s="336">
        <f>Gasto_o_ing_total!U201*1000/Gasto_o_ing_total!U$479</f>
        <v>0</v>
      </c>
      <c r="W201" s="105"/>
    </row>
    <row r="202" spans="1:23" s="102" customFormat="1">
      <c r="A202" s="355"/>
      <c r="B202" s="115" t="s">
        <v>996</v>
      </c>
      <c r="C202" s="333" t="str">
        <f>VLOOKUP(B202,Tot_res!C:D,2,FALSE)</f>
        <v>Sucesiones y donaciones, sobreesfuerzo fiscal de las comunidades forales</v>
      </c>
      <c r="D202" s="336">
        <f>Gasto_o_ing_total!V202*1000/Gasto_o_ing_total!V$479</f>
        <v>-0.63114829587250587</v>
      </c>
      <c r="E202" s="336">
        <f>Gasto_o_ing_total!D202*1000/Gasto_o_ing_total!D$479</f>
        <v>0</v>
      </c>
      <c r="F202" s="336">
        <f>Gasto_o_ing_total!E202*1000/Gasto_o_ing_total!E$479</f>
        <v>0</v>
      </c>
      <c r="G202" s="336">
        <f>Gasto_o_ing_total!F202*1000/Gasto_o_ing_total!F$479</f>
        <v>0</v>
      </c>
      <c r="H202" s="336">
        <f>Gasto_o_ing_total!G202*1000/Gasto_o_ing_total!G$479</f>
        <v>0</v>
      </c>
      <c r="I202" s="336">
        <f>Gasto_o_ing_total!H202*1000/Gasto_o_ing_total!H$479</f>
        <v>0</v>
      </c>
      <c r="J202" s="336">
        <f>Gasto_o_ing_total!I202*1000/Gasto_o_ing_total!I$479</f>
        <v>0</v>
      </c>
      <c r="K202" s="336">
        <f>Gasto_o_ing_total!J202*1000/Gasto_o_ing_total!J$479</f>
        <v>0</v>
      </c>
      <c r="L202" s="336">
        <f>Gasto_o_ing_total!K202*1000/Gasto_o_ing_total!K$479</f>
        <v>0</v>
      </c>
      <c r="M202" s="336">
        <f>Gasto_o_ing_total!L202*1000/Gasto_o_ing_total!L$479</f>
        <v>0</v>
      </c>
      <c r="N202" s="336">
        <f>Gasto_o_ing_total!M202*1000/Gasto_o_ing_total!M$479</f>
        <v>0</v>
      </c>
      <c r="O202" s="336">
        <f>Gasto_o_ing_total!N202*1000/Gasto_o_ing_total!N$479</f>
        <v>0</v>
      </c>
      <c r="P202" s="336">
        <f>Gasto_o_ing_total!O202*1000/Gasto_o_ing_total!O$479</f>
        <v>0</v>
      </c>
      <c r="Q202" s="336">
        <f>Gasto_o_ing_total!P202*1000/Gasto_o_ing_total!P$479</f>
        <v>0</v>
      </c>
      <c r="R202" s="336">
        <f>Gasto_o_ing_total!Q202*1000/Gasto_o_ing_total!Q$479</f>
        <v>0</v>
      </c>
      <c r="S202" s="336">
        <f>Gasto_o_ing_total!R202*1000/Gasto_o_ing_total!R$479</f>
        <v>75.077234883749</v>
      </c>
      <c r="T202" s="336">
        <f>Gasto_o_ing_total!S202*1000/Gasto_o_ing_total!S$479</f>
        <v>-35.556189694501839</v>
      </c>
      <c r="U202" s="336">
        <f>Gasto_o_ing_total!T202*1000/Gasto_o_ing_total!T$479</f>
        <v>0</v>
      </c>
      <c r="V202" s="336">
        <f>Gasto_o_ing_total!U202*1000/Gasto_o_ing_total!U$479</f>
        <v>0</v>
      </c>
      <c r="W202" s="105"/>
    </row>
    <row r="203" spans="1:23" s="102" customFormat="1">
      <c r="A203" s="355"/>
      <c r="B203" s="115" t="s">
        <v>1107</v>
      </c>
      <c r="C203" s="333" t="s">
        <v>1108</v>
      </c>
      <c r="D203" s="336">
        <f>Gasto_o_ing_total!V203*1000/Gasto_o_ing_total!V$479</f>
        <v>8.5876116030304386E-2</v>
      </c>
      <c r="E203" s="336">
        <f>Gasto_o_ing_total!D203*1000/Gasto_o_ing_total!D$479</f>
        <v>0</v>
      </c>
      <c r="F203" s="336">
        <f>Gasto_o_ing_total!E203*1000/Gasto_o_ing_total!E$479</f>
        <v>0</v>
      </c>
      <c r="G203" s="336">
        <f>Gasto_o_ing_total!F203*1000/Gasto_o_ing_total!F$479</f>
        <v>0</v>
      </c>
      <c r="H203" s="336">
        <f>Gasto_o_ing_total!G203*1000/Gasto_o_ing_total!G$479</f>
        <v>0</v>
      </c>
      <c r="I203" s="336">
        <f>Gasto_o_ing_total!H203*1000/Gasto_o_ing_total!H$479</f>
        <v>0</v>
      </c>
      <c r="J203" s="336">
        <f>Gasto_o_ing_total!I203*1000/Gasto_o_ing_total!I$479</f>
        <v>0</v>
      </c>
      <c r="K203" s="336">
        <f>Gasto_o_ing_total!J203*1000/Gasto_o_ing_total!J$479</f>
        <v>0</v>
      </c>
      <c r="L203" s="336">
        <f>Gasto_o_ing_total!K203*1000/Gasto_o_ing_total!K$479</f>
        <v>0</v>
      </c>
      <c r="M203" s="336">
        <f>Gasto_o_ing_total!L203*1000/Gasto_o_ing_total!L$479</f>
        <v>0</v>
      </c>
      <c r="N203" s="336">
        <f>Gasto_o_ing_total!M203*1000/Gasto_o_ing_total!M$479</f>
        <v>0</v>
      </c>
      <c r="O203" s="336">
        <f>Gasto_o_ing_total!N203*1000/Gasto_o_ing_total!N$479</f>
        <v>0</v>
      </c>
      <c r="P203" s="336">
        <f>Gasto_o_ing_total!O203*1000/Gasto_o_ing_total!O$479</f>
        <v>0</v>
      </c>
      <c r="Q203" s="336">
        <f>Gasto_o_ing_total!P203*1000/Gasto_o_ing_total!P$479</f>
        <v>0</v>
      </c>
      <c r="R203" s="336">
        <f>Gasto_o_ing_total!Q203*1000/Gasto_o_ing_total!Q$479</f>
        <v>0</v>
      </c>
      <c r="S203" s="336">
        <f>Gasto_o_ing_total!R203*1000/Gasto_o_ing_total!R$479</f>
        <v>6.2740767638163906</v>
      </c>
      <c r="T203" s="336">
        <f>Gasto_o_ing_total!S203*1000/Gasto_o_ing_total!S$479</f>
        <v>0</v>
      </c>
      <c r="U203" s="336">
        <f>Gasto_o_ing_total!T203*1000/Gasto_o_ing_total!T$479</f>
        <v>0</v>
      </c>
      <c r="V203" s="336">
        <f>Gasto_o_ing_total!U203*1000/Gasto_o_ing_total!U$479</f>
        <v>0</v>
      </c>
      <c r="W203" s="105"/>
    </row>
    <row r="204" spans="1:23" s="102" customFormat="1">
      <c r="A204" s="355"/>
      <c r="B204" s="115" t="s">
        <v>997</v>
      </c>
      <c r="C204" s="333" t="str">
        <f>VLOOKUP(B204,Tot_res!C:D,2,FALSE)</f>
        <v>ITP y AJD, sobreesfuerzo fiscal de las comunidades forales</v>
      </c>
      <c r="D204" s="336">
        <f>Gasto_o_ing_total!V204*1000/Gasto_o_ing_total!V$479</f>
        <v>-1.7658994403489277</v>
      </c>
      <c r="E204" s="336">
        <f>Gasto_o_ing_total!D204*1000/Gasto_o_ing_total!D$479</f>
        <v>0</v>
      </c>
      <c r="F204" s="336">
        <f>Gasto_o_ing_total!E204*1000/Gasto_o_ing_total!E$479</f>
        <v>0</v>
      </c>
      <c r="G204" s="336">
        <f>Gasto_o_ing_total!F204*1000/Gasto_o_ing_total!F$479</f>
        <v>0</v>
      </c>
      <c r="H204" s="336">
        <f>Gasto_o_ing_total!G204*1000/Gasto_o_ing_total!G$479</f>
        <v>0</v>
      </c>
      <c r="I204" s="336">
        <f>Gasto_o_ing_total!H204*1000/Gasto_o_ing_total!H$479</f>
        <v>0</v>
      </c>
      <c r="J204" s="336">
        <f>Gasto_o_ing_total!I204*1000/Gasto_o_ing_total!I$479</f>
        <v>0</v>
      </c>
      <c r="K204" s="336">
        <f>Gasto_o_ing_total!J204*1000/Gasto_o_ing_total!J$479</f>
        <v>0</v>
      </c>
      <c r="L204" s="336">
        <f>Gasto_o_ing_total!K204*1000/Gasto_o_ing_total!K$479</f>
        <v>0</v>
      </c>
      <c r="M204" s="336">
        <f>Gasto_o_ing_total!L204*1000/Gasto_o_ing_total!L$479</f>
        <v>0</v>
      </c>
      <c r="N204" s="336">
        <f>Gasto_o_ing_total!M204*1000/Gasto_o_ing_total!M$479</f>
        <v>0</v>
      </c>
      <c r="O204" s="336">
        <f>Gasto_o_ing_total!N204*1000/Gasto_o_ing_total!N$479</f>
        <v>0</v>
      </c>
      <c r="P204" s="336">
        <f>Gasto_o_ing_total!O204*1000/Gasto_o_ing_total!O$479</f>
        <v>0</v>
      </c>
      <c r="Q204" s="336">
        <f>Gasto_o_ing_total!P204*1000/Gasto_o_ing_total!P$479</f>
        <v>0</v>
      </c>
      <c r="R204" s="336">
        <f>Gasto_o_ing_total!Q204*1000/Gasto_o_ing_total!Q$479</f>
        <v>0</v>
      </c>
      <c r="S204" s="336">
        <f>Gasto_o_ing_total!R204*1000/Gasto_o_ing_total!R$479</f>
        <v>-17.624976355488819</v>
      </c>
      <c r="T204" s="336">
        <f>Gasto_o_ing_total!S204*1000/Gasto_o_ing_total!S$479</f>
        <v>-32.681585209340305</v>
      </c>
      <c r="U204" s="336">
        <f>Gasto_o_ing_total!T204*1000/Gasto_o_ing_total!T$479</f>
        <v>0</v>
      </c>
      <c r="V204" s="336">
        <f>Gasto_o_ing_total!U204*1000/Gasto_o_ing_total!U$479</f>
        <v>0</v>
      </c>
      <c r="W204" s="105"/>
    </row>
    <row r="205" spans="1:23" s="102" customFormat="1">
      <c r="A205" s="355"/>
      <c r="B205" s="115" t="s">
        <v>998</v>
      </c>
      <c r="C205" s="333" t="str">
        <f>VLOOKUP(B205,Tot_res!C:D,2,FALSE)</f>
        <v>Tasas juego, sobreesfuerzo fiscal de las comunidades forales</v>
      </c>
      <c r="D205" s="336">
        <f>Gasto_o_ing_total!V205*1000/Gasto_o_ing_total!V$479</f>
        <v>0.36267562197828129</v>
      </c>
      <c r="E205" s="336">
        <f>Gasto_o_ing_total!D205*1000/Gasto_o_ing_total!D$479</f>
        <v>0</v>
      </c>
      <c r="F205" s="336">
        <f>Gasto_o_ing_total!E205*1000/Gasto_o_ing_total!E$479</f>
        <v>0</v>
      </c>
      <c r="G205" s="336">
        <f>Gasto_o_ing_total!F205*1000/Gasto_o_ing_total!F$479</f>
        <v>0</v>
      </c>
      <c r="H205" s="336">
        <f>Gasto_o_ing_total!G205*1000/Gasto_o_ing_total!G$479</f>
        <v>0</v>
      </c>
      <c r="I205" s="336">
        <f>Gasto_o_ing_total!H205*1000/Gasto_o_ing_total!H$479</f>
        <v>0</v>
      </c>
      <c r="J205" s="336">
        <f>Gasto_o_ing_total!I205*1000/Gasto_o_ing_total!I$479</f>
        <v>0</v>
      </c>
      <c r="K205" s="336">
        <f>Gasto_o_ing_total!J205*1000/Gasto_o_ing_total!J$479</f>
        <v>0</v>
      </c>
      <c r="L205" s="336">
        <f>Gasto_o_ing_total!K205*1000/Gasto_o_ing_total!K$479</f>
        <v>0</v>
      </c>
      <c r="M205" s="336">
        <f>Gasto_o_ing_total!L205*1000/Gasto_o_ing_total!L$479</f>
        <v>0</v>
      </c>
      <c r="N205" s="336">
        <f>Gasto_o_ing_total!M205*1000/Gasto_o_ing_total!M$479</f>
        <v>0</v>
      </c>
      <c r="O205" s="336">
        <f>Gasto_o_ing_total!N205*1000/Gasto_o_ing_total!N$479</f>
        <v>0</v>
      </c>
      <c r="P205" s="336">
        <f>Gasto_o_ing_total!O205*1000/Gasto_o_ing_total!O$479</f>
        <v>0</v>
      </c>
      <c r="Q205" s="336">
        <f>Gasto_o_ing_total!P205*1000/Gasto_o_ing_total!P$479</f>
        <v>0</v>
      </c>
      <c r="R205" s="336">
        <f>Gasto_o_ing_total!Q205*1000/Gasto_o_ing_total!Q$479</f>
        <v>0</v>
      </c>
      <c r="S205" s="336">
        <f>Gasto_o_ing_total!R205*1000/Gasto_o_ing_total!R$479</f>
        <v>-2.4022592988475679</v>
      </c>
      <c r="T205" s="336">
        <f>Gasto_o_ing_total!S205*1000/Gasto_o_ing_total!S$479</f>
        <v>8.4788898935736583</v>
      </c>
      <c r="U205" s="336">
        <f>Gasto_o_ing_total!T205*1000/Gasto_o_ing_total!T$479</f>
        <v>0</v>
      </c>
      <c r="V205" s="336">
        <f>Gasto_o_ing_total!U205*1000/Gasto_o_ing_total!U$479</f>
        <v>0</v>
      </c>
      <c r="W205" s="114"/>
    </row>
    <row r="206" spans="1:23" s="102" customFormat="1">
      <c r="A206" s="355"/>
      <c r="B206" s="115" t="s">
        <v>237</v>
      </c>
      <c r="C206" s="333" t="str">
        <f>VLOOKUP(B206,Tot_res!C:D,2,FALSE)</f>
        <v xml:space="preserve"> Ingresos por tributos propios de las comunidades autónomas y patrimonio</v>
      </c>
      <c r="D206" s="336">
        <f>Gasto_o_ing_total!V206*1000/Gasto_o_ing_total!V$479</f>
        <v>58.943844578473843</v>
      </c>
      <c r="E206" s="336">
        <f>Gasto_o_ing_total!D206*1000/Gasto_o_ing_total!D$479</f>
        <v>38.930670166521153</v>
      </c>
      <c r="F206" s="336">
        <f>Gasto_o_ing_total!E206*1000/Gasto_o_ing_total!E$479</f>
        <v>56.053582085922166</v>
      </c>
      <c r="G206" s="336">
        <f>Gasto_o_ing_total!F206*1000/Gasto_o_ing_total!F$479</f>
        <v>99.581618285373011</v>
      </c>
      <c r="H206" s="336">
        <f>Gasto_o_ing_total!G206*1000/Gasto_o_ing_total!G$479</f>
        <v>107.88899542958472</v>
      </c>
      <c r="I206" s="336">
        <f>Gasto_o_ing_total!H206*1000/Gasto_o_ing_total!H$479</f>
        <v>36.735692959431226</v>
      </c>
      <c r="J206" s="336">
        <f>Gasto_o_ing_total!I206*1000/Gasto_o_ing_total!I$479</f>
        <v>65.725326629079476</v>
      </c>
      <c r="K206" s="336">
        <f>Gasto_o_ing_total!J206*1000/Gasto_o_ing_total!J$479</f>
        <v>41.914791915312392</v>
      </c>
      <c r="L206" s="336">
        <f>Gasto_o_ing_total!K206*1000/Gasto_o_ing_total!K$479</f>
        <v>-83.276220335442858</v>
      </c>
      <c r="M206" s="336">
        <f>Gasto_o_ing_total!L206*1000/Gasto_o_ing_total!L$479</f>
        <v>147.34119959637891</v>
      </c>
      <c r="N206" s="336">
        <f>Gasto_o_ing_total!M206*1000/Gasto_o_ing_total!M$479</f>
        <v>70.700374427085649</v>
      </c>
      <c r="O206" s="336">
        <f>Gasto_o_ing_total!N206*1000/Gasto_o_ing_total!N$479</f>
        <v>147.48779744023059</v>
      </c>
      <c r="P206" s="336">
        <f>Gasto_o_ing_total!O206*1000/Gasto_o_ing_total!O$479</f>
        <v>46.631717239672255</v>
      </c>
      <c r="Q206" s="336">
        <f>Gasto_o_ing_total!P206*1000/Gasto_o_ing_total!P$479</f>
        <v>5.4747528395965679</v>
      </c>
      <c r="R206" s="336">
        <f>Gasto_o_ing_total!Q206*1000/Gasto_o_ing_total!Q$479</f>
        <v>49.494175816734817</v>
      </c>
      <c r="S206" s="336">
        <f>Gasto_o_ing_total!R206*1000/Gasto_o_ing_total!R$479</f>
        <v>79.65504443823734</v>
      </c>
      <c r="T206" s="336">
        <f>Gasto_o_ing_total!S206*1000/Gasto_o_ing_total!S$479</f>
        <v>67.096910128069538</v>
      </c>
      <c r="U206" s="336">
        <f>Gasto_o_ing_total!T206*1000/Gasto_o_ing_total!T$479</f>
        <v>81.752931614638342</v>
      </c>
      <c r="V206" s="336">
        <f>Gasto_o_ing_total!U206*1000/Gasto_o_ing_total!U$479</f>
        <v>0</v>
      </c>
      <c r="W206" s="105"/>
    </row>
    <row r="207" spans="1:23" s="102" customFormat="1">
      <c r="A207" s="356"/>
      <c r="B207" s="115"/>
      <c r="C207" s="140"/>
      <c r="D207" s="110"/>
      <c r="E207" s="110"/>
      <c r="F207" s="110"/>
      <c r="G207" s="110"/>
      <c r="H207" s="110"/>
      <c r="I207" s="110"/>
      <c r="J207" s="110"/>
      <c r="K207" s="110"/>
      <c r="L207" s="110"/>
      <c r="M207" s="110"/>
      <c r="N207" s="110"/>
      <c r="O207" s="110"/>
      <c r="P207" s="110"/>
      <c r="Q207" s="110"/>
      <c r="R207" s="110"/>
      <c r="S207" s="110"/>
      <c r="T207" s="110"/>
      <c r="U207" s="110"/>
      <c r="V207" s="110"/>
      <c r="W207" s="144"/>
    </row>
    <row r="208" spans="1:23" s="102" customFormat="1">
      <c r="A208" s="356"/>
      <c r="B208" s="115"/>
      <c r="C208" s="128" t="s">
        <v>59</v>
      </c>
      <c r="D208" s="113">
        <f>Gasto_o_ing_total!V208*1000/Gasto_o_ing_total!V$479</f>
        <v>919.70193346324163</v>
      </c>
      <c r="E208" s="113">
        <f>Gasto_o_ing_total!D208*1000/Gasto_o_ing_total!D$479</f>
        <v>807.28828797403673</v>
      </c>
      <c r="F208" s="113">
        <f>Gasto_o_ing_total!E208*1000/Gasto_o_ing_total!E$479</f>
        <v>993.36930043926907</v>
      </c>
      <c r="G208" s="113">
        <f>Gasto_o_ing_total!F208*1000/Gasto_o_ing_total!F$479</f>
        <v>869.99296758451135</v>
      </c>
      <c r="H208" s="113">
        <f>Gasto_o_ing_total!G208*1000/Gasto_o_ing_total!G$479</f>
        <v>978.4327963754497</v>
      </c>
      <c r="I208" s="113">
        <f>Gasto_o_ing_total!H208*1000/Gasto_o_ing_total!H$479</f>
        <v>1065.4062904886732</v>
      </c>
      <c r="J208" s="113">
        <f>Gasto_o_ing_total!I208*1000/Gasto_o_ing_total!I$479</f>
        <v>909.57066838380001</v>
      </c>
      <c r="K208" s="113">
        <f>Gasto_o_ing_total!J208*1000/Gasto_o_ing_total!J$479</f>
        <v>912.86747484912678</v>
      </c>
      <c r="L208" s="113">
        <f>Gasto_o_ing_total!K208*1000/Gasto_o_ing_total!K$479</f>
        <v>833.8068965549943</v>
      </c>
      <c r="M208" s="113">
        <f>Gasto_o_ing_total!L208*1000/Gasto_o_ing_total!L$479</f>
        <v>1060.7305453642684</v>
      </c>
      <c r="N208" s="113">
        <f>Gasto_o_ing_total!M208*1000/Gasto_o_ing_total!M$479</f>
        <v>852.88873371855811</v>
      </c>
      <c r="O208" s="113">
        <f>Gasto_o_ing_total!N208*1000/Gasto_o_ing_total!N$479</f>
        <v>773.59105036173628</v>
      </c>
      <c r="P208" s="113">
        <f>Gasto_o_ing_total!O208*1000/Gasto_o_ing_total!O$479</f>
        <v>755.87212616603188</v>
      </c>
      <c r="Q208" s="113">
        <f>Gasto_o_ing_total!P208*1000/Gasto_o_ing_total!P$479</f>
        <v>1068.846056891367</v>
      </c>
      <c r="R208" s="113">
        <f>Gasto_o_ing_total!Q208*1000/Gasto_o_ing_total!Q$479</f>
        <v>789.64490827244038</v>
      </c>
      <c r="S208" s="113">
        <f>Gasto_o_ing_total!R208*1000/Gasto_o_ing_total!R$479</f>
        <v>875.89327864318216</v>
      </c>
      <c r="T208" s="113">
        <f>Gasto_o_ing_total!S208*1000/Gasto_o_ing_total!S$479</f>
        <v>904.87732594974545</v>
      </c>
      <c r="U208" s="113">
        <f>Gasto_o_ing_total!T208*1000/Gasto_o_ing_total!T$479</f>
        <v>895.9314789886804</v>
      </c>
      <c r="V208" s="113">
        <f>Gasto_o_ing_total!U208*1000/Gasto_o_ing_total!U$479</f>
        <v>401.59198683088732</v>
      </c>
      <c r="W208" s="122"/>
    </row>
    <row r="209" spans="1:23" s="102" customFormat="1">
      <c r="A209" s="356"/>
      <c r="B209" s="115"/>
      <c r="D209" s="110"/>
      <c r="E209" s="110"/>
      <c r="F209" s="110"/>
      <c r="G209" s="110"/>
      <c r="H209" s="110"/>
      <c r="I209" s="110"/>
      <c r="J209" s="110"/>
      <c r="K209" s="110"/>
      <c r="L209" s="110"/>
      <c r="M209" s="110"/>
      <c r="N209" s="110"/>
      <c r="O209" s="110"/>
      <c r="P209" s="110"/>
      <c r="Q209" s="110"/>
      <c r="R209" s="110"/>
      <c r="S209" s="110"/>
      <c r="T209" s="110"/>
      <c r="U209" s="110"/>
      <c r="V209" s="110"/>
      <c r="W209" s="122"/>
    </row>
    <row r="210" spans="1:23" s="102" customFormat="1">
      <c r="A210" s="356"/>
      <c r="B210" s="115"/>
      <c r="C210" s="117" t="s">
        <v>54</v>
      </c>
      <c r="D210" s="113">
        <f>Gasto_o_ing_total!V210*1000/Gasto_o_ing_total!V$479</f>
        <v>167.841238988436</v>
      </c>
      <c r="E210" s="113">
        <f>Gasto_o_ing_total!D210*1000/Gasto_o_ing_total!D$479</f>
        <v>164.27251497885223</v>
      </c>
      <c r="F210" s="113">
        <f>Gasto_o_ing_total!E210*1000/Gasto_o_ing_total!E$479</f>
        <v>193.78676482150811</v>
      </c>
      <c r="G210" s="113">
        <f>Gasto_o_ing_total!F210*1000/Gasto_o_ing_total!F$479</f>
        <v>187.67375407914187</v>
      </c>
      <c r="H210" s="113">
        <f>Gasto_o_ing_total!G210*1000/Gasto_o_ing_total!G$479</f>
        <v>129.01797942405915</v>
      </c>
      <c r="I210" s="113">
        <f>Gasto_o_ing_total!H210*1000/Gasto_o_ing_total!H$479</f>
        <v>366.07081207863467</v>
      </c>
      <c r="J210" s="113">
        <f>Gasto_o_ing_total!I210*1000/Gasto_o_ing_total!I$479</f>
        <v>165.94497341839912</v>
      </c>
      <c r="K210" s="113">
        <f>Gasto_o_ing_total!J210*1000/Gasto_o_ing_total!J$479</f>
        <v>237.0533145280892</v>
      </c>
      <c r="L210" s="113">
        <f>Gasto_o_ing_total!K210*1000/Gasto_o_ing_total!K$479</f>
        <v>205.52461457279853</v>
      </c>
      <c r="M210" s="113">
        <f>Gasto_o_ing_total!L210*1000/Gasto_o_ing_total!L$479</f>
        <v>133.45466493844708</v>
      </c>
      <c r="N210" s="113">
        <f>Gasto_o_ing_total!M210*1000/Gasto_o_ing_total!M$479</f>
        <v>141.38530733627846</v>
      </c>
      <c r="O210" s="113">
        <f>Gasto_o_ing_total!N210*1000/Gasto_o_ing_total!N$479</f>
        <v>246.31374585639372</v>
      </c>
      <c r="P210" s="113">
        <f>Gasto_o_ing_total!O210*1000/Gasto_o_ing_total!O$479</f>
        <v>188.07570366270843</v>
      </c>
      <c r="Q210" s="113">
        <f>Gasto_o_ing_total!P210*1000/Gasto_o_ing_total!P$479</f>
        <v>121.68313101090929</v>
      </c>
      <c r="R210" s="113">
        <f>Gasto_o_ing_total!Q210*1000/Gasto_o_ing_total!Q$479</f>
        <v>132.70988491891606</v>
      </c>
      <c r="S210" s="113">
        <f>Gasto_o_ing_total!R210*1000/Gasto_o_ing_total!R$479</f>
        <v>155.83594071201819</v>
      </c>
      <c r="T210" s="113">
        <f>Gasto_o_ing_total!S210*1000/Gasto_o_ing_total!S$479</f>
        <v>156.49649868814305</v>
      </c>
      <c r="U210" s="113">
        <f>Gasto_o_ing_total!T210*1000/Gasto_o_ing_total!T$479</f>
        <v>163.96266167652172</v>
      </c>
      <c r="V210" s="113">
        <f>Gasto_o_ing_total!U210*1000/Gasto_o_ing_total!U$479</f>
        <v>64.238089899831323</v>
      </c>
      <c r="W210" s="122"/>
    </row>
    <row r="211" spans="1:23" s="102" customFormat="1">
      <c r="A211" s="355"/>
      <c r="B211" s="115" t="s">
        <v>734</v>
      </c>
      <c r="C211" s="333" t="str">
        <f>VLOOKUP(B211,Tot_res!C:D,2,FALSE)</f>
        <v>Ajuste por competencias atípicas forales: financiación provincias</v>
      </c>
      <c r="D211" s="336">
        <f>Gasto_o_ing_total!V211*1000/Gasto_o_ing_total!V$479</f>
        <v>0.85156228034075521</v>
      </c>
      <c r="E211" s="336">
        <f>Gasto_o_ing_total!D211*1000/Gasto_o_ing_total!D$479</f>
        <v>0.67274774775042223</v>
      </c>
      <c r="F211" s="336">
        <f>Gasto_o_ing_total!E211*1000/Gasto_o_ing_total!E$479</f>
        <v>0.74785996815757327</v>
      </c>
      <c r="G211" s="336">
        <f>Gasto_o_ing_total!F211*1000/Gasto_o_ing_total!F$479</f>
        <v>0.76966981404474621</v>
      </c>
      <c r="H211" s="336">
        <f>Gasto_o_ing_total!G211*1000/Gasto_o_ing_total!G$479</f>
        <v>0.9218966049633518</v>
      </c>
      <c r="I211" s="336">
        <f>Gasto_o_ing_total!H211*1000/Gasto_o_ing_total!H$479</f>
        <v>0.90490535087773294</v>
      </c>
      <c r="J211" s="336">
        <f>Gasto_o_ing_total!I211*1000/Gasto_o_ing_total!I$479</f>
        <v>0.72712630787162524</v>
      </c>
      <c r="K211" s="336">
        <f>Gasto_o_ing_total!J211*1000/Gasto_o_ing_total!J$479</f>
        <v>0.98980919762337061</v>
      </c>
      <c r="L211" s="336">
        <f>Gasto_o_ing_total!K211*1000/Gasto_o_ing_total!K$479</f>
        <v>0.78056324885892425</v>
      </c>
      <c r="M211" s="336">
        <f>Gasto_o_ing_total!L211*1000/Gasto_o_ing_total!L$479</f>
        <v>1.1109089349362382</v>
      </c>
      <c r="N211" s="336">
        <f>Gasto_o_ing_total!M211*1000/Gasto_o_ing_total!M$479</f>
        <v>0.66170515282706921</v>
      </c>
      <c r="O211" s="336">
        <f>Gasto_o_ing_total!N211*1000/Gasto_o_ing_total!N$479</f>
        <v>0.74765266132882202</v>
      </c>
      <c r="P211" s="336">
        <f>Gasto_o_ing_total!O211*1000/Gasto_o_ing_total!O$479</f>
        <v>0.78488264046487199</v>
      </c>
      <c r="Q211" s="336">
        <f>Gasto_o_ing_total!P211*1000/Gasto_o_ing_total!P$479</f>
        <v>1.0000121096609256</v>
      </c>
      <c r="R211" s="336">
        <f>Gasto_o_ing_total!Q211*1000/Gasto_o_ing_total!Q$479</f>
        <v>0.73011054260026054</v>
      </c>
      <c r="S211" s="336">
        <f>Gasto_o_ing_total!R211*1000/Gasto_o_ing_total!R$479</f>
        <v>0.71595140931806389</v>
      </c>
      <c r="T211" s="336">
        <f>Gasto_o_ing_total!S211*1000/Gasto_o_ing_total!S$479</f>
        <v>0.77679340611829206</v>
      </c>
      <c r="U211" s="336">
        <f>Gasto_o_ing_total!T211*1000/Gasto_o_ing_total!T$479</f>
        <v>0.75790184219434686</v>
      </c>
      <c r="V211" s="336">
        <f>Gasto_o_ing_total!U211*1000/Gasto_o_ing_total!U$479</f>
        <v>2.1491783441189813</v>
      </c>
      <c r="W211" s="122"/>
    </row>
    <row r="212" spans="1:23" s="102" customFormat="1">
      <c r="A212" s="355"/>
      <c r="B212" s="115" t="s">
        <v>735</v>
      </c>
      <c r="C212" s="333" t="str">
        <f>VLOOKUP(B212,Tot_res!C:D,2,FALSE)</f>
        <v xml:space="preserve">Transferencias a CC.LL. por participación en ingresos Estado, participación de las provincias y entes asimilados  </v>
      </c>
      <c r="D212" s="336">
        <f>Gasto_o_ing_total!V212*1000/Gasto_o_ing_total!V$479</f>
        <v>107.54196061103593</v>
      </c>
      <c r="E212" s="336">
        <f>Gasto_o_ing_total!D212*1000/Gasto_o_ing_total!D$479</f>
        <v>113.77789445635042</v>
      </c>
      <c r="F212" s="336">
        <f>Gasto_o_ing_total!E212*1000/Gasto_o_ing_total!E$479</f>
        <v>154.87902559929054</v>
      </c>
      <c r="G212" s="336">
        <f>Gasto_o_ing_total!F212*1000/Gasto_o_ing_total!F$479</f>
        <v>172.75067240522066</v>
      </c>
      <c r="H212" s="336">
        <f>Gasto_o_ing_total!G212*1000/Gasto_o_ing_total!G$479</f>
        <v>89.009399282024049</v>
      </c>
      <c r="I212" s="336">
        <f>Gasto_o_ing_total!H212*1000/Gasto_o_ing_total!H$479</f>
        <v>169.67354960608444</v>
      </c>
      <c r="J212" s="336">
        <f>Gasto_o_ing_total!I212*1000/Gasto_o_ing_total!I$479</f>
        <v>0.15538006207307817</v>
      </c>
      <c r="K212" s="336">
        <f>Gasto_o_ing_total!J212*1000/Gasto_o_ing_total!J$479</f>
        <v>218.51507754954724</v>
      </c>
      <c r="L212" s="336">
        <f>Gasto_o_ing_total!K212*1000/Gasto_o_ing_total!K$479</f>
        <v>189.15377472868872</v>
      </c>
      <c r="M212" s="336">
        <f>Gasto_o_ing_total!L212*1000/Gasto_o_ing_total!L$479</f>
        <v>97.246256836516025</v>
      </c>
      <c r="N212" s="336">
        <f>Gasto_o_ing_total!M212*1000/Gasto_o_ing_total!M$479</f>
        <v>126.17330333792253</v>
      </c>
      <c r="O212" s="336">
        <f>Gasto_o_ing_total!N212*1000/Gasto_o_ing_total!N$479</f>
        <v>229.68059255702846</v>
      </c>
      <c r="P212" s="336">
        <f>Gasto_o_ing_total!O212*1000/Gasto_o_ing_total!O$479</f>
        <v>169.2616482432654</v>
      </c>
      <c r="Q212" s="336">
        <f>Gasto_o_ing_total!P212*1000/Gasto_o_ing_total!P$479</f>
        <v>2.3581240542947097</v>
      </c>
      <c r="R212" s="336">
        <f>Gasto_o_ing_total!Q212*1000/Gasto_o_ing_total!Q$479</f>
        <v>123.52983530727998</v>
      </c>
      <c r="S212" s="336">
        <f>Gasto_o_ing_total!R212*1000/Gasto_o_ing_total!R$479</f>
        <v>0.13801759478769782</v>
      </c>
      <c r="T212" s="336">
        <f>Gasto_o_ing_total!S212*1000/Gasto_o_ing_total!S$479</f>
        <v>0.11700522317720109</v>
      </c>
      <c r="U212" s="336">
        <f>Gasto_o_ing_total!T212*1000/Gasto_o_ing_total!T$479</f>
        <v>1.8943664951195653</v>
      </c>
      <c r="V212" s="336">
        <f>Gasto_o_ing_total!U212*1000/Gasto_o_ing_total!U$479</f>
        <v>66.148846741034774</v>
      </c>
      <c r="W212" s="122"/>
    </row>
    <row r="213" spans="1:23" s="102" customFormat="1">
      <c r="A213" s="355"/>
      <c r="B213" s="115" t="s">
        <v>486</v>
      </c>
      <c r="C213" s="333" t="str">
        <f>VLOOKUP(B213,Tot_res!C:D,2,FALSE)</f>
        <v>Otros flujos de financiación local, reintegros parciales de saldos pendientes</v>
      </c>
      <c r="D213" s="336">
        <f>Gasto_o_ing_total!V213*1000/Gasto_o_ing_total!V$479</f>
        <v>-5.039501249696861</v>
      </c>
      <c r="E213" s="336">
        <f>Gasto_o_ing_total!D213*1000/Gasto_o_ing_total!D$479</f>
        <v>-4.6684191159246442</v>
      </c>
      <c r="F213" s="336">
        <f>Gasto_o_ing_total!E213*1000/Gasto_o_ing_total!E$479</f>
        <v>-14.308976935377085</v>
      </c>
      <c r="G213" s="336">
        <f>Gasto_o_ing_total!F213*1000/Gasto_o_ing_total!F$479</f>
        <v>-14.887870929485178</v>
      </c>
      <c r="H213" s="336">
        <f>Gasto_o_ing_total!G213*1000/Gasto_o_ing_total!G$479</f>
        <v>-9.5466044631450444</v>
      </c>
      <c r="I213" s="336">
        <f>Gasto_o_ing_total!H213*1000/Gasto_o_ing_total!H$479</f>
        <v>-4.6058847736021411</v>
      </c>
      <c r="J213" s="336">
        <f>Gasto_o_ing_total!I213*1000/Gasto_o_ing_total!I$479</f>
        <v>0</v>
      </c>
      <c r="K213" s="336">
        <f>Gasto_o_ing_total!J213*1000/Gasto_o_ing_total!J$479</f>
        <v>-9.1363703302214603</v>
      </c>
      <c r="L213" s="336">
        <f>Gasto_o_ing_total!K213*1000/Gasto_o_ing_total!K$479</f>
        <v>-6.5272544943797373</v>
      </c>
      <c r="M213" s="336">
        <f>Gasto_o_ing_total!L213*1000/Gasto_o_ing_total!L$479</f>
        <v>-3.2635503017969154</v>
      </c>
      <c r="N213" s="336">
        <f>Gasto_o_ing_total!M213*1000/Gasto_o_ing_total!M$479</f>
        <v>-7.6652210272131907</v>
      </c>
      <c r="O213" s="336">
        <f>Gasto_o_ing_total!N213*1000/Gasto_o_ing_total!N$479</f>
        <v>-5.4553675634269911</v>
      </c>
      <c r="P213" s="336">
        <f>Gasto_o_ing_total!O213*1000/Gasto_o_ing_total!O$479</f>
        <v>-6.9983192635596021</v>
      </c>
      <c r="Q213" s="336">
        <f>Gasto_o_ing_total!P213*1000/Gasto_o_ing_total!P$479</f>
        <v>0</v>
      </c>
      <c r="R213" s="336">
        <f>Gasto_o_ing_total!Q213*1000/Gasto_o_ing_total!Q$479</f>
        <v>-10.939947700253192</v>
      </c>
      <c r="S213" s="336">
        <f>Gasto_o_ing_total!R213*1000/Gasto_o_ing_total!R$479</f>
        <v>-1.0218886814957515E-2</v>
      </c>
      <c r="T213" s="336">
        <f>Gasto_o_ing_total!S213*1000/Gasto_o_ing_total!S$479</f>
        <v>-8.6631177398327694E-3</v>
      </c>
      <c r="U213" s="336">
        <f>Gasto_o_ing_total!T213*1000/Gasto_o_ing_total!T$479</f>
        <v>0</v>
      </c>
      <c r="V213" s="336">
        <f>Gasto_o_ing_total!U213*1000/Gasto_o_ing_total!U$479</f>
        <v>-4.0599351853224279</v>
      </c>
      <c r="W213" s="122"/>
    </row>
    <row r="214" spans="1:23" s="102" customFormat="1">
      <c r="A214" s="355"/>
      <c r="B214" s="115" t="s">
        <v>238</v>
      </c>
      <c r="C214" s="333" t="str">
        <f>VLOOKUP(B214,Tot_res!C:D,2,FALSE)</f>
        <v>Hospitales provinciales asumidos por CCAA</v>
      </c>
      <c r="D214" s="336">
        <f>Gasto_o_ing_total!V214*1000/Gasto_o_ing_total!V$479</f>
        <v>8.9286679047789708</v>
      </c>
      <c r="E214" s="336">
        <f>Gasto_o_ing_total!D214*1000/Gasto_o_ing_total!D$479</f>
        <v>34.707049863685555</v>
      </c>
      <c r="F214" s="336">
        <f>Gasto_o_ing_total!E214*1000/Gasto_o_ing_total!E$479</f>
        <v>23.251634330789773</v>
      </c>
      <c r="G214" s="336">
        <f>Gasto_o_ing_total!F214*1000/Gasto_o_ing_total!F$479</f>
        <v>0</v>
      </c>
      <c r="H214" s="336">
        <f>Gasto_o_ing_total!G214*1000/Gasto_o_ing_total!G$479</f>
        <v>19.509028196215574</v>
      </c>
      <c r="I214" s="336">
        <f>Gasto_o_ing_total!H214*1000/Gasto_o_ing_total!H$479</f>
        <v>0</v>
      </c>
      <c r="J214" s="336">
        <f>Gasto_o_ing_total!I214*1000/Gasto_o_ing_total!I$479</f>
        <v>0</v>
      </c>
      <c r="K214" s="336">
        <f>Gasto_o_ing_total!J214*1000/Gasto_o_ing_total!J$479</f>
        <v>0</v>
      </c>
      <c r="L214" s="336">
        <f>Gasto_o_ing_total!K214*1000/Gasto_o_ing_total!K$479</f>
        <v>0</v>
      </c>
      <c r="M214" s="336">
        <f>Gasto_o_ing_total!L214*1000/Gasto_o_ing_total!L$479</f>
        <v>9.8522959882101659</v>
      </c>
      <c r="N214" s="336">
        <f>Gasto_o_ing_total!M214*1000/Gasto_o_ing_total!M$479</f>
        <v>0</v>
      </c>
      <c r="O214" s="336">
        <f>Gasto_o_ing_total!N214*1000/Gasto_o_ing_total!N$479</f>
        <v>0</v>
      </c>
      <c r="P214" s="336">
        <f>Gasto_o_ing_total!O214*1000/Gasto_o_ing_total!O$479</f>
        <v>0</v>
      </c>
      <c r="Q214" s="336">
        <f>Gasto_o_ing_total!P214*1000/Gasto_o_ing_total!P$479</f>
        <v>0</v>
      </c>
      <c r="R214" s="336">
        <f>Gasto_o_ing_total!Q214*1000/Gasto_o_ing_total!Q$479</f>
        <v>0</v>
      </c>
      <c r="S214" s="336">
        <f>Gasto_o_ing_total!R214*1000/Gasto_o_ing_total!R$479</f>
        <v>0</v>
      </c>
      <c r="T214" s="336">
        <f>Gasto_o_ing_total!S214*1000/Gasto_o_ing_total!S$479</f>
        <v>0</v>
      </c>
      <c r="U214" s="336">
        <f>Gasto_o_ing_total!T214*1000/Gasto_o_ing_total!T$479</f>
        <v>0</v>
      </c>
      <c r="V214" s="336">
        <f>Gasto_o_ing_total!U214*1000/Gasto_o_ing_total!U$479</f>
        <v>0</v>
      </c>
      <c r="W214" s="122"/>
    </row>
    <row r="215" spans="1:23" s="102" customFormat="1">
      <c r="A215" s="355"/>
      <c r="B215" s="115" t="s">
        <v>239</v>
      </c>
      <c r="C215" s="333" t="str">
        <f>VLOOKUP(B215,Tot_res!C:D,2,FALSE)</f>
        <v>Participación provincial en ingresos del Estado integrada en Fondo de Suficiencia</v>
      </c>
      <c r="D215" s="336">
        <f>Gasto_o_ing_total!V215*1000/Gasto_o_ing_total!V$479</f>
        <v>18.949163456171043</v>
      </c>
      <c r="E215" s="336">
        <f>Gasto_o_ing_total!D215*1000/Gasto_o_ing_total!D$479</f>
        <v>0</v>
      </c>
      <c r="F215" s="336">
        <f>Gasto_o_ing_total!E215*1000/Gasto_o_ing_total!E$479</f>
        <v>0</v>
      </c>
      <c r="G215" s="336">
        <f>Gasto_o_ing_total!F215*1000/Gasto_o_ing_total!F$479</f>
        <v>0</v>
      </c>
      <c r="H215" s="336">
        <f>Gasto_o_ing_total!G215*1000/Gasto_o_ing_total!G$479</f>
        <v>0</v>
      </c>
      <c r="I215" s="336">
        <f>Gasto_o_ing_total!H215*1000/Gasto_o_ing_total!H$479</f>
        <v>0</v>
      </c>
      <c r="J215" s="336">
        <f>Gasto_o_ing_total!I215*1000/Gasto_o_ing_total!I$479</f>
        <v>164.04565359635097</v>
      </c>
      <c r="K215" s="336">
        <f>Gasto_o_ing_total!J215*1000/Gasto_o_ing_total!J$479</f>
        <v>0</v>
      </c>
      <c r="L215" s="336">
        <f>Gasto_o_ing_total!K215*1000/Gasto_o_ing_total!K$479</f>
        <v>0</v>
      </c>
      <c r="M215" s="336">
        <f>Gasto_o_ing_total!L215*1000/Gasto_o_ing_total!L$479</f>
        <v>0</v>
      </c>
      <c r="N215" s="336">
        <f>Gasto_o_ing_total!M215*1000/Gasto_o_ing_total!M$479</f>
        <v>0</v>
      </c>
      <c r="O215" s="336">
        <f>Gasto_o_ing_total!N215*1000/Gasto_o_ing_total!N$479</f>
        <v>0</v>
      </c>
      <c r="P215" s="336">
        <f>Gasto_o_ing_total!O215*1000/Gasto_o_ing_total!O$479</f>
        <v>0</v>
      </c>
      <c r="Q215" s="336">
        <f>Gasto_o_ing_total!P215*1000/Gasto_o_ing_total!P$479</f>
        <v>114.56852924477677</v>
      </c>
      <c r="R215" s="336">
        <f>Gasto_o_ing_total!Q215*1000/Gasto_o_ing_total!Q$479</f>
        <v>0</v>
      </c>
      <c r="S215" s="336">
        <f>Gasto_o_ing_total!R215*1000/Gasto_o_ing_total!R$479</f>
        <v>0</v>
      </c>
      <c r="T215" s="336">
        <f>Gasto_o_ing_total!S215*1000/Gasto_o_ing_total!S$479</f>
        <v>0</v>
      </c>
      <c r="U215" s="336">
        <f>Gasto_o_ing_total!T215*1000/Gasto_o_ing_total!T$479</f>
        <v>159.15537785628894</v>
      </c>
      <c r="V215" s="336">
        <f>Gasto_o_ing_total!U215*1000/Gasto_o_ing_total!U$479</f>
        <v>0</v>
      </c>
      <c r="W215" s="122"/>
    </row>
    <row r="216" spans="1:23" s="102" customFormat="1">
      <c r="A216" s="355"/>
      <c r="B216" s="115" t="s">
        <v>240</v>
      </c>
      <c r="C216" s="333" t="str">
        <f>VLOOKUP(B216,Tot_res!C:D,2,FALSE)</f>
        <v>Participación de las provincias en el IRPF, IVA e Impuestos Especiales</v>
      </c>
      <c r="D216" s="336">
        <f>Gasto_o_ing_total!V216*1000/Gasto_o_ing_total!V$479</f>
        <v>15.386660854027689</v>
      </c>
      <c r="E216" s="336">
        <f>Gasto_o_ing_total!D216*1000/Gasto_o_ing_total!D$479</f>
        <v>16.732728878935298</v>
      </c>
      <c r="F216" s="336">
        <f>Gasto_o_ing_total!E216*1000/Gasto_o_ing_total!E$479</f>
        <v>23.546944762182726</v>
      </c>
      <c r="G216" s="336">
        <f>Gasto_o_ing_total!F216*1000/Gasto_o_ing_total!F$479</f>
        <v>23.026410049950208</v>
      </c>
      <c r="H216" s="336">
        <f>Gasto_o_ing_total!G216*1000/Gasto_o_ing_total!G$479</f>
        <v>25.737345529534348</v>
      </c>
      <c r="I216" s="336">
        <f>Gasto_o_ing_total!H216*1000/Gasto_o_ing_total!H$479</f>
        <v>6.7488816794814923</v>
      </c>
      <c r="J216" s="336">
        <f>Gasto_o_ing_total!I216*1000/Gasto_o_ing_total!I$479</f>
        <v>0</v>
      </c>
      <c r="K216" s="336">
        <f>Gasto_o_ing_total!J216*1000/Gasto_o_ing_total!J$479</f>
        <v>22.464172007501993</v>
      </c>
      <c r="L216" s="336">
        <f>Gasto_o_ing_total!K216*1000/Gasto_o_ing_total!K$479</f>
        <v>18.683292623783707</v>
      </c>
      <c r="M216" s="336">
        <f>Gasto_o_ing_total!L216*1000/Gasto_o_ing_total!L$479</f>
        <v>25.241290297668886</v>
      </c>
      <c r="N216" s="336">
        <f>Gasto_o_ing_total!M216*1000/Gasto_o_ing_total!M$479</f>
        <v>18.921169109464014</v>
      </c>
      <c r="O216" s="336">
        <f>Gasto_o_ing_total!N216*1000/Gasto_o_ing_total!N$479</f>
        <v>17.066193073629218</v>
      </c>
      <c r="P216" s="336">
        <f>Gasto_o_ing_total!O216*1000/Gasto_o_ing_total!O$479</f>
        <v>20.537724723395115</v>
      </c>
      <c r="Q216" s="336">
        <f>Gasto_o_ing_total!P216*1000/Gasto_o_ing_total!P$479</f>
        <v>0</v>
      </c>
      <c r="R216" s="336">
        <f>Gasto_o_ing_total!Q216*1000/Gasto_o_ing_total!Q$479</f>
        <v>17.693906590533022</v>
      </c>
      <c r="S216" s="336">
        <f>Gasto_o_ing_total!R216*1000/Gasto_o_ing_total!R$479</f>
        <v>0</v>
      </c>
      <c r="T216" s="336">
        <f>Gasto_o_ing_total!S216*1000/Gasto_o_ing_total!S$479</f>
        <v>0</v>
      </c>
      <c r="U216" s="336">
        <f>Gasto_o_ing_total!T216*1000/Gasto_o_ing_total!T$479</f>
        <v>0</v>
      </c>
      <c r="V216" s="336">
        <f>Gasto_o_ing_total!U216*1000/Gasto_o_ing_total!U$479</f>
        <v>0</v>
      </c>
      <c r="W216" s="105"/>
    </row>
    <row r="217" spans="1:23" s="102" customFormat="1">
      <c r="A217" s="355"/>
      <c r="B217" s="115" t="s">
        <v>740</v>
      </c>
      <c r="C217" s="333" t="str">
        <f>VLOOKUP(B217,Tot_res!C:D,2,FALSE)</f>
        <v>Recursos REF de los cabildos canarios</v>
      </c>
      <c r="D217" s="336">
        <f>Gasto_o_ing_total!V217*1000/Gasto_o_ing_total!V$479</f>
        <v>8.6095076005186151</v>
      </c>
      <c r="E217" s="336">
        <f>Gasto_o_ing_total!D217*1000/Gasto_o_ing_total!D$479</f>
        <v>0</v>
      </c>
      <c r="F217" s="336">
        <f>Gasto_o_ing_total!E217*1000/Gasto_o_ing_total!E$479</f>
        <v>0</v>
      </c>
      <c r="G217" s="336">
        <f>Gasto_o_ing_total!F217*1000/Gasto_o_ing_total!F$479</f>
        <v>0</v>
      </c>
      <c r="H217" s="336">
        <f>Gasto_o_ing_total!G217*1000/Gasto_o_ing_total!G$479</f>
        <v>0</v>
      </c>
      <c r="I217" s="336">
        <f>Gasto_o_ing_total!H217*1000/Gasto_o_ing_total!H$479</f>
        <v>191.41555327774611</v>
      </c>
      <c r="J217" s="336">
        <f>Gasto_o_ing_total!I217*1000/Gasto_o_ing_total!I$479</f>
        <v>0</v>
      </c>
      <c r="K217" s="336">
        <f>Gasto_o_ing_total!J217*1000/Gasto_o_ing_total!J$479</f>
        <v>0</v>
      </c>
      <c r="L217" s="336">
        <f>Gasto_o_ing_total!K217*1000/Gasto_o_ing_total!K$479</f>
        <v>0</v>
      </c>
      <c r="M217" s="336">
        <f>Gasto_o_ing_total!L217*1000/Gasto_o_ing_total!L$479</f>
        <v>0</v>
      </c>
      <c r="N217" s="336">
        <f>Gasto_o_ing_total!M217*1000/Gasto_o_ing_total!M$479</f>
        <v>0</v>
      </c>
      <c r="O217" s="336">
        <f>Gasto_o_ing_total!N217*1000/Gasto_o_ing_total!N$479</f>
        <v>0</v>
      </c>
      <c r="P217" s="336">
        <f>Gasto_o_ing_total!O217*1000/Gasto_o_ing_total!O$479</f>
        <v>0</v>
      </c>
      <c r="Q217" s="336">
        <f>Gasto_o_ing_total!P217*1000/Gasto_o_ing_total!P$479</f>
        <v>0</v>
      </c>
      <c r="R217" s="336">
        <f>Gasto_o_ing_total!Q217*1000/Gasto_o_ing_total!Q$479</f>
        <v>0</v>
      </c>
      <c r="S217" s="336">
        <f>Gasto_o_ing_total!R217*1000/Gasto_o_ing_total!R$479</f>
        <v>0</v>
      </c>
      <c r="T217" s="336">
        <f>Gasto_o_ing_total!S217*1000/Gasto_o_ing_total!S$479</f>
        <v>0</v>
      </c>
      <c r="U217" s="336">
        <f>Gasto_o_ing_total!T217*1000/Gasto_o_ing_total!T$479</f>
        <v>0</v>
      </c>
      <c r="V217" s="336">
        <f>Gasto_o_ing_total!U217*1000/Gasto_o_ing_total!U$479</f>
        <v>0</v>
      </c>
      <c r="W217" s="144"/>
    </row>
    <row r="218" spans="1:23" s="102" customFormat="1">
      <c r="A218" s="355"/>
      <c r="B218" s="115" t="s">
        <v>243</v>
      </c>
      <c r="C218" s="333" t="str">
        <f>VLOOKUP(B218,Tot_res!C:D,2,FALSE)</f>
        <v>Recargo provincial sobre el IAE</v>
      </c>
      <c r="D218" s="336">
        <f>Gasto_o_ing_total!V218*1000/Gasto_o_ing_total!V$479</f>
        <v>3.2601798048764579</v>
      </c>
      <c r="E218" s="336">
        <f>Gasto_o_ing_total!D218*1000/Gasto_o_ing_total!D$479</f>
        <v>3.050513148055185</v>
      </c>
      <c r="F218" s="336">
        <f>Gasto_o_ing_total!E218*1000/Gasto_o_ing_total!E$479</f>
        <v>5.6702770964645923</v>
      </c>
      <c r="G218" s="336">
        <f>Gasto_o_ing_total!F218*1000/Gasto_o_ing_total!F$479</f>
        <v>6.0148727394114614</v>
      </c>
      <c r="H218" s="336">
        <f>Gasto_o_ing_total!G218*1000/Gasto_o_ing_total!G$479</f>
        <v>3.3869142744668901</v>
      </c>
      <c r="I218" s="336">
        <f>Gasto_o_ing_total!H218*1000/Gasto_o_ing_total!H$479</f>
        <v>1.9338069380470293</v>
      </c>
      <c r="J218" s="336">
        <f>Gasto_o_ing_total!I218*1000/Gasto_o_ing_total!I$479</f>
        <v>1.0168134521034371</v>
      </c>
      <c r="K218" s="336">
        <f>Gasto_o_ing_total!J218*1000/Gasto_o_ing_total!J$479</f>
        <v>4.2206261036380299</v>
      </c>
      <c r="L218" s="336">
        <f>Gasto_o_ing_total!K218*1000/Gasto_o_ing_total!K$479</f>
        <v>3.4342384658469247</v>
      </c>
      <c r="M218" s="336">
        <f>Gasto_o_ing_total!L218*1000/Gasto_o_ing_total!L$479</f>
        <v>3.2674631829126759</v>
      </c>
      <c r="N218" s="336">
        <f>Gasto_o_ing_total!M218*1000/Gasto_o_ing_total!M$479</f>
        <v>3.2943507632780191</v>
      </c>
      <c r="O218" s="336">
        <f>Gasto_o_ing_total!N218*1000/Gasto_o_ing_total!N$479</f>
        <v>4.2746751278341799</v>
      </c>
      <c r="P218" s="336">
        <f>Gasto_o_ing_total!O218*1000/Gasto_o_ing_total!O$479</f>
        <v>4.4897673191426088</v>
      </c>
      <c r="Q218" s="336">
        <f>Gasto_o_ing_total!P218*1000/Gasto_o_ing_total!P$479</f>
        <v>3.7564656021768665</v>
      </c>
      <c r="R218" s="336">
        <f>Gasto_o_ing_total!Q218*1000/Gasto_o_ing_total!Q$479</f>
        <v>1.6959801787559627</v>
      </c>
      <c r="S218" s="336">
        <f>Gasto_o_ing_total!R218*1000/Gasto_o_ing_total!R$479</f>
        <v>0</v>
      </c>
      <c r="T218" s="336">
        <f>Gasto_o_ing_total!S218*1000/Gasto_o_ing_total!S$479</f>
        <v>0.59971597932460974</v>
      </c>
      <c r="U218" s="336">
        <f>Gasto_o_ing_total!T218*1000/Gasto_o_ing_total!T$479</f>
        <v>2.1550154829188695</v>
      </c>
      <c r="V218" s="336">
        <f>Gasto_o_ing_total!U218*1000/Gasto_o_ing_total!U$479</f>
        <v>0</v>
      </c>
      <c r="W218" s="105"/>
    </row>
    <row r="219" spans="1:23" s="102" customFormat="1">
      <c r="A219" s="355"/>
      <c r="B219" s="115" t="s">
        <v>229</v>
      </c>
      <c r="C219" s="333" t="str">
        <f>VLOOKUP(B219,Tot_res!C:D,2,FALSE)</f>
        <v>Ajuste por competencias atípicas forales: financiación provincias</v>
      </c>
      <c r="D219" s="336">
        <f>Gasto_o_ing_total!V219*1000/Gasto_o_ing_total!V$479</f>
        <v>9.353037726383393</v>
      </c>
      <c r="E219" s="336">
        <f>Gasto_o_ing_total!D219*1000/Gasto_o_ing_total!D$479</f>
        <v>0</v>
      </c>
      <c r="F219" s="336">
        <f>Gasto_o_ing_total!E219*1000/Gasto_o_ing_total!E$479</f>
        <v>0</v>
      </c>
      <c r="G219" s="336">
        <f>Gasto_o_ing_total!F219*1000/Gasto_o_ing_total!F$479</f>
        <v>0</v>
      </c>
      <c r="H219" s="336">
        <f>Gasto_o_ing_total!G219*1000/Gasto_o_ing_total!G$479</f>
        <v>0</v>
      </c>
      <c r="I219" s="336">
        <f>Gasto_o_ing_total!H219*1000/Gasto_o_ing_total!H$479</f>
        <v>0</v>
      </c>
      <c r="J219" s="336">
        <f>Gasto_o_ing_total!I219*1000/Gasto_o_ing_total!I$479</f>
        <v>0</v>
      </c>
      <c r="K219" s="336">
        <f>Gasto_o_ing_total!J219*1000/Gasto_o_ing_total!J$479</f>
        <v>0</v>
      </c>
      <c r="L219" s="336">
        <f>Gasto_o_ing_total!K219*1000/Gasto_o_ing_total!K$479</f>
        <v>0</v>
      </c>
      <c r="M219" s="336">
        <f>Gasto_o_ing_total!L219*1000/Gasto_o_ing_total!L$479</f>
        <v>0</v>
      </c>
      <c r="N219" s="336">
        <f>Gasto_o_ing_total!M219*1000/Gasto_o_ing_total!M$479</f>
        <v>0</v>
      </c>
      <c r="O219" s="336">
        <f>Gasto_o_ing_total!N219*1000/Gasto_o_ing_total!N$479</f>
        <v>0</v>
      </c>
      <c r="P219" s="336">
        <f>Gasto_o_ing_total!O219*1000/Gasto_o_ing_total!O$479</f>
        <v>0</v>
      </c>
      <c r="Q219" s="336">
        <f>Gasto_o_ing_total!P219*1000/Gasto_o_ing_total!P$479</f>
        <v>0</v>
      </c>
      <c r="R219" s="336">
        <f>Gasto_o_ing_total!Q219*1000/Gasto_o_ing_total!Q$479</f>
        <v>0</v>
      </c>
      <c r="S219" s="336">
        <f>Gasto_o_ing_total!R219*1000/Gasto_o_ing_total!R$479</f>
        <v>154.99219059472739</v>
      </c>
      <c r="T219" s="336">
        <f>Gasto_o_ing_total!S219*1000/Gasto_o_ing_total!S$479</f>
        <v>155.01164719726276</v>
      </c>
      <c r="U219" s="336">
        <f>Gasto_o_ing_total!T219*1000/Gasto_o_ing_total!T$479</f>
        <v>0</v>
      </c>
      <c r="V219" s="336">
        <f>Gasto_o_ing_total!U219*1000/Gasto_o_ing_total!U$479</f>
        <v>0</v>
      </c>
      <c r="W219" s="105"/>
    </row>
    <row r="220" spans="1:23" s="102" customFormat="1">
      <c r="A220" s="356"/>
      <c r="B220" s="115"/>
      <c r="D220" s="116"/>
      <c r="E220" s="116"/>
      <c r="F220" s="116"/>
      <c r="G220" s="116"/>
      <c r="H220" s="116"/>
      <c r="I220" s="116"/>
      <c r="J220" s="116"/>
      <c r="K220" s="116"/>
      <c r="L220" s="116"/>
      <c r="M220" s="116"/>
      <c r="N220" s="116"/>
      <c r="O220" s="116"/>
      <c r="P220" s="116"/>
      <c r="Q220" s="116"/>
      <c r="R220" s="116"/>
      <c r="S220" s="116"/>
      <c r="T220" s="116"/>
      <c r="U220" s="116"/>
      <c r="V220" s="116"/>
      <c r="W220" s="105"/>
    </row>
    <row r="221" spans="1:23" s="102" customFormat="1">
      <c r="A221" s="356"/>
      <c r="B221" s="115"/>
      <c r="C221" s="128" t="s">
        <v>477</v>
      </c>
      <c r="D221" s="113">
        <f>Gasto_o_ing_total!V221*1000/Gasto_o_ing_total!V$479</f>
        <v>751.86069447480565</v>
      </c>
      <c r="E221" s="113">
        <f>Gasto_o_ing_total!D221*1000/Gasto_o_ing_total!D$479</f>
        <v>643.01577299518465</v>
      </c>
      <c r="F221" s="113">
        <f>Gasto_o_ing_total!E221*1000/Gasto_o_ing_total!E$479</f>
        <v>799.5825356177611</v>
      </c>
      <c r="G221" s="113">
        <f>Gasto_o_ing_total!F221*1000/Gasto_o_ing_total!F$479</f>
        <v>682.31921350536948</v>
      </c>
      <c r="H221" s="113">
        <f>Gasto_o_ing_total!G221*1000/Gasto_o_ing_total!G$479</f>
        <v>849.41481695139055</v>
      </c>
      <c r="I221" s="113">
        <f>Gasto_o_ing_total!H221*1000/Gasto_o_ing_total!H$479</f>
        <v>699.33547841003872</v>
      </c>
      <c r="J221" s="113">
        <f>Gasto_o_ing_total!I221*1000/Gasto_o_ing_total!I$479</f>
        <v>743.62569496540107</v>
      </c>
      <c r="K221" s="113">
        <f>Gasto_o_ing_total!J221*1000/Gasto_o_ing_total!J$479</f>
        <v>675.81416032103755</v>
      </c>
      <c r="L221" s="113">
        <f>Gasto_o_ing_total!K221*1000/Gasto_o_ing_total!K$479</f>
        <v>628.28228198219574</v>
      </c>
      <c r="M221" s="113">
        <f>Gasto_o_ing_total!L221*1000/Gasto_o_ing_total!L$479</f>
        <v>927.27588042582147</v>
      </c>
      <c r="N221" s="113">
        <f>Gasto_o_ing_total!M221*1000/Gasto_o_ing_total!M$479</f>
        <v>711.5034263822796</v>
      </c>
      <c r="O221" s="113">
        <f>Gasto_o_ing_total!N221*1000/Gasto_o_ing_total!N$479</f>
        <v>527.27730450534261</v>
      </c>
      <c r="P221" s="113">
        <f>Gasto_o_ing_total!O221*1000/Gasto_o_ing_total!O$479</f>
        <v>567.79642250332336</v>
      </c>
      <c r="Q221" s="113">
        <f>Gasto_o_ing_total!P221*1000/Gasto_o_ing_total!P$479</f>
        <v>947.16292588045746</v>
      </c>
      <c r="R221" s="113">
        <f>Gasto_o_ing_total!Q221*1000/Gasto_o_ing_total!Q$479</f>
        <v>656.93502335352434</v>
      </c>
      <c r="S221" s="113">
        <f>Gasto_o_ing_total!R221*1000/Gasto_o_ing_total!R$479</f>
        <v>720.05733793116406</v>
      </c>
      <c r="T221" s="113">
        <f>Gasto_o_ing_total!S221*1000/Gasto_o_ing_total!S$479</f>
        <v>748.38082726160246</v>
      </c>
      <c r="U221" s="113">
        <f>Gasto_o_ing_total!T221*1000/Gasto_o_ing_total!T$479</f>
        <v>731.96881731215888</v>
      </c>
      <c r="V221" s="113">
        <f>Gasto_o_ing_total!U221*1000/Gasto_o_ing_total!U$479</f>
        <v>337.353896931056</v>
      </c>
      <c r="W221" s="105"/>
    </row>
    <row r="222" spans="1:23" s="102" customFormat="1">
      <c r="A222" s="355"/>
      <c r="B222" s="115" t="s">
        <v>742</v>
      </c>
      <c r="C222" s="333" t="str">
        <f>VLOOKUP(B222,Tot_res!C:D,2,FALSE)</f>
        <v xml:space="preserve">Transferencias a CC.LL. por participación en ingresos Estado, parte correspondiente a los municipios (excluyendo provincias y entes asimilados) </v>
      </c>
      <c r="D222" s="336">
        <f>Gasto_o_ing_total!V222*1000/Gasto_o_ing_total!V$479</f>
        <v>222.74570981131174</v>
      </c>
      <c r="E222" s="336">
        <f>Gasto_o_ing_total!D222*1000/Gasto_o_ing_total!D$479</f>
        <v>224.40028144339905</v>
      </c>
      <c r="F222" s="336">
        <f>Gasto_o_ing_total!E222*1000/Gasto_o_ing_total!E$479</f>
        <v>260.40353432228198</v>
      </c>
      <c r="G222" s="336">
        <f>Gasto_o_ing_total!F222*1000/Gasto_o_ing_total!F$479</f>
        <v>201.91032422329278</v>
      </c>
      <c r="H222" s="336">
        <f>Gasto_o_ing_total!G222*1000/Gasto_o_ing_total!G$479</f>
        <v>191.94480238506702</v>
      </c>
      <c r="I222" s="336">
        <f>Gasto_o_ing_total!H222*1000/Gasto_o_ing_total!H$479</f>
        <v>209.25822238648854</v>
      </c>
      <c r="J222" s="336">
        <f>Gasto_o_ing_total!I222*1000/Gasto_o_ing_total!I$479</f>
        <v>197.3760951900141</v>
      </c>
      <c r="K222" s="336">
        <f>Gasto_o_ing_total!J222*1000/Gasto_o_ing_total!J$479</f>
        <v>190.1007193062747</v>
      </c>
      <c r="L222" s="336">
        <f>Gasto_o_ing_total!K222*1000/Gasto_o_ing_total!K$479</f>
        <v>176.9304514943862</v>
      </c>
      <c r="M222" s="336">
        <f>Gasto_o_ing_total!L222*1000/Gasto_o_ing_total!L$479</f>
        <v>289.31336182795303</v>
      </c>
      <c r="N222" s="336">
        <f>Gasto_o_ing_total!M222*1000/Gasto_o_ing_total!M$479</f>
        <v>222.63167346779849</v>
      </c>
      <c r="O222" s="336">
        <f>Gasto_o_ing_total!N222*1000/Gasto_o_ing_total!N$479</f>
        <v>180.47491054784007</v>
      </c>
      <c r="P222" s="336">
        <f>Gasto_o_ing_total!O222*1000/Gasto_o_ing_total!O$479</f>
        <v>193.35415513084729</v>
      </c>
      <c r="Q222" s="336">
        <f>Gasto_o_ing_total!P222*1000/Gasto_o_ing_total!P$479</f>
        <v>304.4409539620529</v>
      </c>
      <c r="R222" s="336">
        <f>Gasto_o_ing_total!Q222*1000/Gasto_o_ing_total!Q$479</f>
        <v>189.93535509432718</v>
      </c>
      <c r="S222" s="336">
        <f>Gasto_o_ing_total!R222*1000/Gasto_o_ing_total!R$479</f>
        <v>1.2955986421498411</v>
      </c>
      <c r="T222" s="336">
        <f>Gasto_o_ing_total!S222*1000/Gasto_o_ing_total!S$479</f>
        <v>1.4180748959005558</v>
      </c>
      <c r="U222" s="336">
        <f>Gasto_o_ing_total!T222*1000/Gasto_o_ing_total!T$479</f>
        <v>185.5781809559318</v>
      </c>
      <c r="V222" s="336">
        <f>Gasto_o_ing_total!U222*1000/Gasto_o_ing_total!U$479</f>
        <v>210.08695340778047</v>
      </c>
      <c r="W222" s="105"/>
    </row>
    <row r="223" spans="1:23" s="102" customFormat="1">
      <c r="A223" s="355"/>
      <c r="B223" s="115" t="s">
        <v>487</v>
      </c>
      <c r="C223" s="333" t="str">
        <f>VLOOKUP(B223,Tot_res!C:D,2,FALSE)</f>
        <v>Otros flujos de financiación local, para reintegros parciales saldos pendientes</v>
      </c>
      <c r="D223" s="336">
        <f>Gasto_o_ing_total!V223*1000/Gasto_o_ing_total!V$479</f>
        <v>-7.2541927642933333</v>
      </c>
      <c r="E223" s="336">
        <f>Gasto_o_ing_total!D223*1000/Gasto_o_ing_total!D$479</f>
        <v>-7.209151173465874</v>
      </c>
      <c r="F223" s="336">
        <f>Gasto_o_ing_total!E223*1000/Gasto_o_ing_total!E$479</f>
        <v>-8.1896564422887632</v>
      </c>
      <c r="G223" s="336">
        <f>Gasto_o_ing_total!F223*1000/Gasto_o_ing_total!F$479</f>
        <v>-12.427532138513024</v>
      </c>
      <c r="H223" s="336">
        <f>Gasto_o_ing_total!G223*1000/Gasto_o_ing_total!G$479</f>
        <v>-5.6033172258232069</v>
      </c>
      <c r="I223" s="336">
        <f>Gasto_o_ing_total!H223*1000/Gasto_o_ing_total!H$479</f>
        <v>-8.2708451627950232</v>
      </c>
      <c r="J223" s="336">
        <f>Gasto_o_ing_total!I223*1000/Gasto_o_ing_total!I$479</f>
        <v>-5.4802369924358603</v>
      </c>
      <c r="K223" s="336">
        <f>Gasto_o_ing_total!J223*1000/Gasto_o_ing_total!J$479</f>
        <v>-5.4883788169265539</v>
      </c>
      <c r="L223" s="336">
        <f>Gasto_o_ing_total!K223*1000/Gasto_o_ing_total!K$479</f>
        <v>-5.1795674523586301</v>
      </c>
      <c r="M223" s="336">
        <f>Gasto_o_ing_total!L223*1000/Gasto_o_ing_total!L$479</f>
        <v>-8.537191241587978</v>
      </c>
      <c r="N223" s="336">
        <f>Gasto_o_ing_total!M223*1000/Gasto_o_ing_total!M$479</f>
        <v>-6.9859504485698354</v>
      </c>
      <c r="O223" s="336">
        <f>Gasto_o_ing_total!N223*1000/Gasto_o_ing_total!N$479</f>
        <v>-6.1872930284301955</v>
      </c>
      <c r="P223" s="336">
        <f>Gasto_o_ing_total!O223*1000/Gasto_o_ing_total!O$479</f>
        <v>-7.4061591383637895</v>
      </c>
      <c r="Q223" s="336">
        <f>Gasto_o_ing_total!P223*1000/Gasto_o_ing_total!P$479</f>
        <v>-9.7481144488805285</v>
      </c>
      <c r="R223" s="336">
        <f>Gasto_o_ing_total!Q223*1000/Gasto_o_ing_total!Q$479</f>
        <v>-7.0694412166286522</v>
      </c>
      <c r="S223" s="336">
        <f>Gasto_o_ing_total!R223*1000/Gasto_o_ing_total!R$479</f>
        <v>-2.6379577161788174E-3</v>
      </c>
      <c r="T223" s="336">
        <f>Gasto_o_ing_total!S223*1000/Gasto_o_ing_total!S$479</f>
        <v>-1.5723632953611858E-5</v>
      </c>
      <c r="U223" s="336">
        <f>Gasto_o_ing_total!T223*1000/Gasto_o_ing_total!T$479</f>
        <v>-7.0377492125925656</v>
      </c>
      <c r="V223" s="336">
        <f>Gasto_o_ing_total!U223*1000/Gasto_o_ing_total!U$479</f>
        <v>-9.0213045347151617</v>
      </c>
      <c r="W223" s="105"/>
    </row>
    <row r="224" spans="1:23" s="102" customFormat="1">
      <c r="A224" s="355"/>
      <c r="B224" s="115" t="s">
        <v>246</v>
      </c>
      <c r="C224" s="333" t="str">
        <f>VLOOKUP(B224,Tot_res!C:D,2,FALSE)</f>
        <v>Participacón de los municipios en el IRPF, IVA e Impuestos Especiales</v>
      </c>
      <c r="D224" s="336">
        <f>Gasto_o_ing_total!V224*1000/Gasto_o_ing_total!V$479</f>
        <v>17.442888224639358</v>
      </c>
      <c r="E224" s="336">
        <f>Gasto_o_ing_total!D224*1000/Gasto_o_ing_total!D$479</f>
        <v>13.249106506980363</v>
      </c>
      <c r="F224" s="336">
        <f>Gasto_o_ing_total!E224*1000/Gasto_o_ing_total!E$479</f>
        <v>23.957850505231917</v>
      </c>
      <c r="G224" s="336">
        <f>Gasto_o_ing_total!F224*1000/Gasto_o_ing_total!F$479</f>
        <v>22.413747448849044</v>
      </c>
      <c r="H224" s="336">
        <f>Gasto_o_ing_total!G224*1000/Gasto_o_ing_total!G$479</f>
        <v>15.765625971732408</v>
      </c>
      <c r="I224" s="336">
        <f>Gasto_o_ing_total!H224*1000/Gasto_o_ing_total!H$479</f>
        <v>6.1278259327466778</v>
      </c>
      <c r="J224" s="336">
        <f>Gasto_o_ing_total!I224*1000/Gasto_o_ing_total!I$479</f>
        <v>12.767329807275292</v>
      </c>
      <c r="K224" s="336">
        <f>Gasto_o_ing_total!J224*1000/Gasto_o_ing_total!J$479</f>
        <v>17.975850406756983</v>
      </c>
      <c r="L224" s="336">
        <f>Gasto_o_ing_total!K224*1000/Gasto_o_ing_total!K$479</f>
        <v>9.9249770923548102</v>
      </c>
      <c r="M224" s="336">
        <f>Gasto_o_ing_total!L224*1000/Gasto_o_ing_total!L$479</f>
        <v>21.418656818124973</v>
      </c>
      <c r="N224" s="336">
        <f>Gasto_o_ing_total!M224*1000/Gasto_o_ing_total!M$479</f>
        <v>12.36154879218679</v>
      </c>
      <c r="O224" s="336">
        <f>Gasto_o_ing_total!N224*1000/Gasto_o_ing_total!N$479</f>
        <v>9.6528379187851332</v>
      </c>
      <c r="P224" s="336">
        <f>Gasto_o_ing_total!O224*1000/Gasto_o_ing_total!O$479</f>
        <v>13.373939718585181</v>
      </c>
      <c r="Q224" s="336">
        <f>Gasto_o_ing_total!P224*1000/Gasto_o_ing_total!P$479</f>
        <v>38.197031316855742</v>
      </c>
      <c r="R224" s="336">
        <f>Gasto_o_ing_total!Q224*1000/Gasto_o_ing_total!Q$479</f>
        <v>15.969827154478239</v>
      </c>
      <c r="S224" s="336">
        <f>Gasto_o_ing_total!R224*1000/Gasto_o_ing_total!R$479</f>
        <v>0</v>
      </c>
      <c r="T224" s="336">
        <f>Gasto_o_ing_total!S224*1000/Gasto_o_ing_total!S$479</f>
        <v>0</v>
      </c>
      <c r="U224" s="336">
        <f>Gasto_o_ing_total!T224*1000/Gasto_o_ing_total!T$479</f>
        <v>17.103813930415004</v>
      </c>
      <c r="V224" s="336">
        <f>Gasto_o_ing_total!U224*1000/Gasto_o_ing_total!U$479</f>
        <v>0</v>
      </c>
      <c r="W224" s="105"/>
    </row>
    <row r="225" spans="1:24" s="102" customFormat="1">
      <c r="A225" s="355"/>
      <c r="B225" s="115" t="s">
        <v>247</v>
      </c>
      <c r="C225" s="333" t="str">
        <f>VLOOKUP(B225,Tot_res!C:D,2,FALSE)</f>
        <v>Impuestos municipales</v>
      </c>
      <c r="D225" s="336">
        <f>Gasto_o_ing_total!V225*1000/Gasto_o_ing_total!V$479</f>
        <v>354.25813546179046</v>
      </c>
      <c r="E225" s="336">
        <f>Gasto_o_ing_total!D225*1000/Gasto_o_ing_total!D$479</f>
        <v>296.04741990683755</v>
      </c>
      <c r="F225" s="336">
        <f>Gasto_o_ing_total!E225*1000/Gasto_o_ing_total!E$479</f>
        <v>347.188134351842</v>
      </c>
      <c r="G225" s="336">
        <f>Gasto_o_ing_total!F225*1000/Gasto_o_ing_total!F$479</f>
        <v>342.45230259713867</v>
      </c>
      <c r="H225" s="336">
        <f>Gasto_o_ing_total!G225*1000/Gasto_o_ing_total!G$479</f>
        <v>423.3661734645047</v>
      </c>
      <c r="I225" s="336">
        <f>Gasto_o_ing_total!H225*1000/Gasto_o_ing_total!H$479</f>
        <v>259.25846694229949</v>
      </c>
      <c r="J225" s="336">
        <f>Gasto_o_ing_total!I225*1000/Gasto_o_ing_total!I$479</f>
        <v>371.84575072170117</v>
      </c>
      <c r="K225" s="336">
        <f>Gasto_o_ing_total!J225*1000/Gasto_o_ing_total!J$479</f>
        <v>326.90306852003067</v>
      </c>
      <c r="L225" s="336">
        <f>Gasto_o_ing_total!K225*1000/Gasto_o_ing_total!K$479</f>
        <v>300.76168081751189</v>
      </c>
      <c r="M225" s="336">
        <f>Gasto_o_ing_total!L225*1000/Gasto_o_ing_total!L$479</f>
        <v>450.69370132584703</v>
      </c>
      <c r="N225" s="336">
        <f>Gasto_o_ing_total!M225*1000/Gasto_o_ing_total!M$479</f>
        <v>365.13678937100264</v>
      </c>
      <c r="O225" s="336">
        <f>Gasto_o_ing_total!N225*1000/Gasto_o_ing_total!N$479</f>
        <v>228.05929835962021</v>
      </c>
      <c r="P225" s="336">
        <f>Gasto_o_ing_total!O225*1000/Gasto_o_ing_total!O$479</f>
        <v>249.11909129072006</v>
      </c>
      <c r="Q225" s="336">
        <f>Gasto_o_ing_total!P225*1000/Gasto_o_ing_total!P$479</f>
        <v>472.12734279120355</v>
      </c>
      <c r="R225" s="336">
        <f>Gasto_o_ing_total!Q225*1000/Gasto_o_ing_total!Q$479</f>
        <v>311.39228144723802</v>
      </c>
      <c r="S225" s="336">
        <f>Gasto_o_ing_total!R225*1000/Gasto_o_ing_total!R$479</f>
        <v>284.52933810623858</v>
      </c>
      <c r="T225" s="336">
        <f>Gasto_o_ing_total!S225*1000/Gasto_o_ing_total!S$479</f>
        <v>287.4411698781459</v>
      </c>
      <c r="U225" s="336">
        <f>Gasto_o_ing_total!T225*1000/Gasto_o_ing_total!T$479</f>
        <v>334.64087256582781</v>
      </c>
      <c r="V225" s="336">
        <f>Gasto_o_ing_total!U225*1000/Gasto_o_ing_total!U$479</f>
        <v>61.900511545040324</v>
      </c>
      <c r="W225" s="105"/>
    </row>
    <row r="226" spans="1:24" s="102" customFormat="1">
      <c r="A226" s="355"/>
      <c r="B226" s="115" t="s">
        <v>248</v>
      </c>
      <c r="C226" s="333" t="str">
        <f>VLOOKUP(B226,Tot_res!C:D,2,FALSE)</f>
        <v>Tasas municipales</v>
      </c>
      <c r="D226" s="336">
        <f>Gasto_o_ing_total!V226*1000/Gasto_o_ing_total!V$479</f>
        <v>143.02291984197757</v>
      </c>
      <c r="E226" s="336">
        <f>Gasto_o_ing_total!D226*1000/Gasto_o_ing_total!D$479</f>
        <v>114.34070204698145</v>
      </c>
      <c r="F226" s="336">
        <f>Gasto_o_ing_total!E226*1000/Gasto_o_ing_total!E$479</f>
        <v>173.03436624777598</v>
      </c>
      <c r="G226" s="336">
        <f>Gasto_o_ing_total!F226*1000/Gasto_o_ing_total!F$479</f>
        <v>127.1131934001308</v>
      </c>
      <c r="H226" s="336">
        <f>Gasto_o_ing_total!G226*1000/Gasto_o_ing_total!G$479</f>
        <v>222.42073101363539</v>
      </c>
      <c r="I226" s="336">
        <f>Gasto_o_ing_total!H226*1000/Gasto_o_ing_total!H$479</f>
        <v>121.72187766811081</v>
      </c>
      <c r="J226" s="336">
        <f>Gasto_o_ing_total!I226*1000/Gasto_o_ing_total!I$479</f>
        <v>165.88152580505258</v>
      </c>
      <c r="K226" s="336">
        <f>Gasto_o_ing_total!J226*1000/Gasto_o_ing_total!J$479</f>
        <v>144.55159816258913</v>
      </c>
      <c r="L226" s="336">
        <f>Gasto_o_ing_total!K226*1000/Gasto_o_ing_total!K$479</f>
        <v>144.87262803769443</v>
      </c>
      <c r="M226" s="336">
        <f>Gasto_o_ing_total!L226*1000/Gasto_o_ing_total!L$479</f>
        <v>173.08421473124028</v>
      </c>
      <c r="N226" s="336">
        <f>Gasto_o_ing_total!M226*1000/Gasto_o_ing_total!M$479</f>
        <v>117.04005046518516</v>
      </c>
      <c r="O226" s="336">
        <f>Gasto_o_ing_total!N226*1000/Gasto_o_ing_total!N$479</f>
        <v>113.24800466138691</v>
      </c>
      <c r="P226" s="336">
        <f>Gasto_o_ing_total!O226*1000/Gasto_o_ing_total!O$479</f>
        <v>118.89704395667165</v>
      </c>
      <c r="Q226" s="336">
        <f>Gasto_o_ing_total!P226*1000/Gasto_o_ing_total!P$479</f>
        <v>140.87579057004751</v>
      </c>
      <c r="R226" s="336">
        <f>Gasto_o_ing_total!Q226*1000/Gasto_o_ing_total!Q$479</f>
        <v>135.75405079576586</v>
      </c>
      <c r="S226" s="336">
        <f>Gasto_o_ing_total!R226*1000/Gasto_o_ing_total!R$479</f>
        <v>185.79225972657588</v>
      </c>
      <c r="T226" s="336">
        <f>Gasto_o_ing_total!S226*1000/Gasto_o_ing_total!S$479</f>
        <v>211.20391728510697</v>
      </c>
      <c r="U226" s="336">
        <f>Gasto_o_ing_total!T226*1000/Gasto_o_ing_total!T$479</f>
        <v>198.59968893762996</v>
      </c>
      <c r="V226" s="336">
        <f>Gasto_o_ing_total!U226*1000/Gasto_o_ing_total!U$479</f>
        <v>74.34513851380396</v>
      </c>
      <c r="W226" s="105"/>
    </row>
    <row r="227" spans="1:24" s="102" customFormat="1">
      <c r="A227" s="355"/>
      <c r="B227" s="115" t="s">
        <v>748</v>
      </c>
      <c r="C227" s="333" t="str">
        <f>VLOOKUP(B227,Tot_res!C:D,2,FALSE)</f>
        <v>Recursos REF de los municipios canarios</v>
      </c>
      <c r="D227" s="336">
        <f>Gasto_o_ing_total!V227*1000/Gasto_o_ing_total!V$479</f>
        <v>4.8438990726880657</v>
      </c>
      <c r="E227" s="336">
        <f>Gasto_o_ing_total!D227*1000/Gasto_o_ing_total!D$479</f>
        <v>0</v>
      </c>
      <c r="F227" s="336">
        <f>Gasto_o_ing_total!E227*1000/Gasto_o_ing_total!E$479</f>
        <v>0</v>
      </c>
      <c r="G227" s="336">
        <f>Gasto_o_ing_total!F227*1000/Gasto_o_ing_total!F$479</f>
        <v>0</v>
      </c>
      <c r="H227" s="336">
        <f>Gasto_o_ing_total!G227*1000/Gasto_o_ing_total!G$479</f>
        <v>0</v>
      </c>
      <c r="I227" s="336">
        <f>Gasto_o_ing_total!H227*1000/Gasto_o_ing_total!H$479</f>
        <v>107.69461670076174</v>
      </c>
      <c r="J227" s="336">
        <f>Gasto_o_ing_total!I227*1000/Gasto_o_ing_total!I$479</f>
        <v>0</v>
      </c>
      <c r="K227" s="336">
        <f>Gasto_o_ing_total!J227*1000/Gasto_o_ing_total!J$479</f>
        <v>0</v>
      </c>
      <c r="L227" s="336">
        <f>Gasto_o_ing_total!K227*1000/Gasto_o_ing_total!K$479</f>
        <v>0</v>
      </c>
      <c r="M227" s="336">
        <f>Gasto_o_ing_total!L227*1000/Gasto_o_ing_total!L$479</f>
        <v>0</v>
      </c>
      <c r="N227" s="336">
        <f>Gasto_o_ing_total!M227*1000/Gasto_o_ing_total!M$479</f>
        <v>0</v>
      </c>
      <c r="O227" s="336">
        <f>Gasto_o_ing_total!N227*1000/Gasto_o_ing_total!N$479</f>
        <v>0</v>
      </c>
      <c r="P227" s="336">
        <f>Gasto_o_ing_total!O227*1000/Gasto_o_ing_total!O$479</f>
        <v>0</v>
      </c>
      <c r="Q227" s="336">
        <f>Gasto_o_ing_total!P227*1000/Gasto_o_ing_total!P$479</f>
        <v>0</v>
      </c>
      <c r="R227" s="336">
        <f>Gasto_o_ing_total!Q227*1000/Gasto_o_ing_total!Q$479</f>
        <v>0</v>
      </c>
      <c r="S227" s="336">
        <f>Gasto_o_ing_total!R227*1000/Gasto_o_ing_total!R$479</f>
        <v>0</v>
      </c>
      <c r="T227" s="336">
        <f>Gasto_o_ing_total!S227*1000/Gasto_o_ing_total!S$479</f>
        <v>0</v>
      </c>
      <c r="U227" s="336">
        <f>Gasto_o_ing_total!T227*1000/Gasto_o_ing_total!T$479</f>
        <v>0</v>
      </c>
      <c r="V227" s="336">
        <f>Gasto_o_ing_total!U227*1000/Gasto_o_ing_total!U$479</f>
        <v>0</v>
      </c>
      <c r="W227" s="105"/>
    </row>
    <row r="228" spans="1:24" s="102" customFormat="1">
      <c r="A228" s="355"/>
      <c r="B228" s="115" t="s">
        <v>749</v>
      </c>
      <c r="C228" s="333" t="str">
        <f>VLOOKUP(B228,Tot_res!C:D,2,FALSE)</f>
        <v>Otras aportaciones a Corporaciones Locales, compensaciones por beneficios fiscales</v>
      </c>
      <c r="D228" s="336">
        <f>Gasto_o_ing_total!V228*1000/Gasto_o_ing_total!V$479</f>
        <v>1.5289388719138228</v>
      </c>
      <c r="E228" s="336">
        <f>Gasto_o_ing_total!D228*1000/Gasto_o_ing_total!D$479</f>
        <v>1.8738579489336715</v>
      </c>
      <c r="F228" s="336">
        <f>Gasto_o_ing_total!E228*1000/Gasto_o_ing_total!E$479</f>
        <v>3.0956538342809359</v>
      </c>
      <c r="G228" s="336">
        <f>Gasto_o_ing_total!F228*1000/Gasto_o_ing_total!F$479</f>
        <v>0.66196489916762169</v>
      </c>
      <c r="H228" s="336">
        <f>Gasto_o_ing_total!G228*1000/Gasto_o_ing_total!G$479</f>
        <v>0.59475918191191801</v>
      </c>
      <c r="I228" s="336">
        <f>Gasto_o_ing_total!H228*1000/Gasto_o_ing_total!H$479</f>
        <v>0.35236471982675954</v>
      </c>
      <c r="J228" s="336">
        <f>Gasto_o_ing_total!I228*1000/Gasto_o_ing_total!I$479</f>
        <v>0.92371022172828798</v>
      </c>
      <c r="K228" s="336">
        <f>Gasto_o_ing_total!J228*1000/Gasto_o_ing_total!J$479</f>
        <v>1.5274666523087783</v>
      </c>
      <c r="L228" s="336">
        <f>Gasto_o_ing_total!K228*1000/Gasto_o_ing_total!K$479</f>
        <v>0.81206209001846819</v>
      </c>
      <c r="M228" s="336">
        <f>Gasto_o_ing_total!L228*1000/Gasto_o_ing_total!L$479</f>
        <v>1.2605389650976844</v>
      </c>
      <c r="N228" s="336">
        <f>Gasto_o_ing_total!M228*1000/Gasto_o_ing_total!M$479</f>
        <v>1.2269140031302568</v>
      </c>
      <c r="O228" s="336">
        <f>Gasto_o_ing_total!N228*1000/Gasto_o_ing_total!N$479</f>
        <v>1.9792981781020094</v>
      </c>
      <c r="P228" s="336">
        <f>Gasto_o_ing_total!O228*1000/Gasto_o_ing_total!O$479</f>
        <v>0.33606579220564914</v>
      </c>
      <c r="Q228" s="336">
        <f>Gasto_o_ing_total!P228*1000/Gasto_o_ing_total!P$479</f>
        <v>1.2273236900319082</v>
      </c>
      <c r="R228" s="336">
        <f>Gasto_o_ing_total!Q228*1000/Gasto_o_ing_total!Q$479</f>
        <v>10.855409373748454</v>
      </c>
      <c r="S228" s="336">
        <f>Gasto_o_ing_total!R228*1000/Gasto_o_ing_total!R$479</f>
        <v>0</v>
      </c>
      <c r="T228" s="336">
        <f>Gasto_o_ing_total!S228*1000/Gasto_o_ing_total!S$479</f>
        <v>0</v>
      </c>
      <c r="U228" s="336">
        <f>Gasto_o_ing_total!T228*1000/Gasto_o_ing_total!T$479</f>
        <v>3.041412135800408</v>
      </c>
      <c r="V228" s="336">
        <f>Gasto_o_ing_total!U228*1000/Gasto_o_ing_total!U$479</f>
        <v>0</v>
      </c>
      <c r="W228" s="155"/>
      <c r="X228" s="156"/>
    </row>
    <row r="229" spans="1:24" s="102" customFormat="1">
      <c r="A229" s="355"/>
      <c r="B229" s="115" t="s">
        <v>251</v>
      </c>
      <c r="C229" s="333" t="str">
        <f>VLOOKUP(B229,Tot_res!C:D,2,FALSE)</f>
        <v xml:space="preserve">Cooperación económica local del Estado </v>
      </c>
      <c r="D229" s="336">
        <f>Gasto_o_ing_total!V229*1000/Gasto_o_ing_total!V$479</f>
        <v>0.28992334170568607</v>
      </c>
      <c r="E229" s="336">
        <f>Gasto_o_ing_total!D229*1000/Gasto_o_ing_total!D$479</f>
        <v>0.31355631551858126</v>
      </c>
      <c r="F229" s="336">
        <f>Gasto_o_ing_total!E229*1000/Gasto_o_ing_total!E$479</f>
        <v>9.2652798636990844E-2</v>
      </c>
      <c r="G229" s="336">
        <f>Gasto_o_ing_total!F229*1000/Gasto_o_ing_total!F$479</f>
        <v>0.1952130753036847</v>
      </c>
      <c r="H229" s="336">
        <f>Gasto_o_ing_total!G229*1000/Gasto_o_ing_total!G$479</f>
        <v>0.92604216036228204</v>
      </c>
      <c r="I229" s="336">
        <f>Gasto_o_ing_total!H229*1000/Gasto_o_ing_total!H$479</f>
        <v>3.1929492225996294</v>
      </c>
      <c r="J229" s="336">
        <f>Gasto_o_ing_total!I229*1000/Gasto_o_ing_total!I$479</f>
        <v>0.31152021206548647</v>
      </c>
      <c r="K229" s="336">
        <f>Gasto_o_ing_total!J229*1000/Gasto_o_ing_total!J$479</f>
        <v>0.24383609000378698</v>
      </c>
      <c r="L229" s="336">
        <f>Gasto_o_ing_total!K229*1000/Gasto_o_ing_total!K$479</f>
        <v>0.16004990258858109</v>
      </c>
      <c r="M229" s="336">
        <f>Gasto_o_ing_total!L229*1000/Gasto_o_ing_total!L$479</f>
        <v>4.2597999146421296E-2</v>
      </c>
      <c r="N229" s="336">
        <f>Gasto_o_ing_total!M229*1000/Gasto_o_ing_total!M$479</f>
        <v>9.2400731546053674E-2</v>
      </c>
      <c r="O229" s="336">
        <f>Gasto_o_ing_total!N229*1000/Gasto_o_ing_total!N$479</f>
        <v>5.024786803840784E-2</v>
      </c>
      <c r="P229" s="336">
        <f>Gasto_o_ing_total!O229*1000/Gasto_o_ing_total!O$479</f>
        <v>0.12228575265743155</v>
      </c>
      <c r="Q229" s="336">
        <f>Gasto_o_ing_total!P229*1000/Gasto_o_ing_total!P$479</f>
        <v>4.2597999146421289E-2</v>
      </c>
      <c r="R229" s="336">
        <f>Gasto_o_ing_total!Q229*1000/Gasto_o_ing_total!Q$479</f>
        <v>9.7540704595334787E-2</v>
      </c>
      <c r="S229" s="336">
        <f>Gasto_o_ing_total!R229*1000/Gasto_o_ing_total!R$479</f>
        <v>4.2597999146421296E-2</v>
      </c>
      <c r="T229" s="336">
        <f>Gasto_o_ing_total!S229*1000/Gasto_o_ing_total!S$479</f>
        <v>4.2597999146421289E-2</v>
      </c>
      <c r="U229" s="336">
        <f>Gasto_o_ing_total!T229*1000/Gasto_o_ing_total!T$479</f>
        <v>4.2597999146421296E-2</v>
      </c>
      <c r="V229" s="336">
        <f>Gasto_o_ing_total!U229*1000/Gasto_o_ing_total!U$479</f>
        <v>4.2597999146421289E-2</v>
      </c>
      <c r="W229" s="155"/>
      <c r="X229" s="146"/>
    </row>
    <row r="230" spans="1:24" s="102" customFormat="1">
      <c r="A230" s="355"/>
      <c r="B230" s="115" t="s">
        <v>230</v>
      </c>
      <c r="C230" s="333" t="str">
        <f>VLOOKUP(B230,Tot_res!C:D,2,FALSE)</f>
        <v>Ajuste por competencias atípicas forales: financiación municipios</v>
      </c>
      <c r="D230" s="336">
        <f>Gasto_o_ing_total!V230*1000/Gasto_o_ing_total!V$479</f>
        <v>14.982472613072305</v>
      </c>
      <c r="E230" s="336">
        <f>Gasto_o_ing_total!D230*1000/Gasto_o_ing_total!D$479</f>
        <v>0</v>
      </c>
      <c r="F230" s="336">
        <f>Gasto_o_ing_total!E230*1000/Gasto_o_ing_total!E$479</f>
        <v>0</v>
      </c>
      <c r="G230" s="336">
        <f>Gasto_o_ing_total!F230*1000/Gasto_o_ing_total!F$479</f>
        <v>0</v>
      </c>
      <c r="H230" s="336">
        <f>Gasto_o_ing_total!G230*1000/Gasto_o_ing_total!G$479</f>
        <v>0</v>
      </c>
      <c r="I230" s="336">
        <f>Gasto_o_ing_total!H230*1000/Gasto_o_ing_total!H$479</f>
        <v>0</v>
      </c>
      <c r="J230" s="336">
        <f>Gasto_o_ing_total!I230*1000/Gasto_o_ing_total!I$479</f>
        <v>0</v>
      </c>
      <c r="K230" s="336">
        <f>Gasto_o_ing_total!J230*1000/Gasto_o_ing_total!J$479</f>
        <v>0</v>
      </c>
      <c r="L230" s="336">
        <f>Gasto_o_ing_total!K230*1000/Gasto_o_ing_total!K$479</f>
        <v>0</v>
      </c>
      <c r="M230" s="336">
        <f>Gasto_o_ing_total!L230*1000/Gasto_o_ing_total!L$479</f>
        <v>0</v>
      </c>
      <c r="N230" s="336">
        <f>Gasto_o_ing_total!M230*1000/Gasto_o_ing_total!M$479</f>
        <v>0</v>
      </c>
      <c r="O230" s="336">
        <f>Gasto_o_ing_total!N230*1000/Gasto_o_ing_total!N$479</f>
        <v>0</v>
      </c>
      <c r="P230" s="336">
        <f>Gasto_o_ing_total!O230*1000/Gasto_o_ing_total!O$479</f>
        <v>0</v>
      </c>
      <c r="Q230" s="336">
        <f>Gasto_o_ing_total!P230*1000/Gasto_o_ing_total!P$479</f>
        <v>0</v>
      </c>
      <c r="R230" s="336">
        <f>Gasto_o_ing_total!Q230*1000/Gasto_o_ing_total!Q$479</f>
        <v>0</v>
      </c>
      <c r="S230" s="336">
        <f>Gasto_o_ing_total!R230*1000/Gasto_o_ing_total!R$479</f>
        <v>248.40018141476949</v>
      </c>
      <c r="T230" s="336">
        <f>Gasto_o_ing_total!S230*1000/Gasto_o_ing_total!S$479</f>
        <v>248.27508292693554</v>
      </c>
      <c r="U230" s="336">
        <f>Gasto_o_ing_total!T230*1000/Gasto_o_ing_total!T$479</f>
        <v>0</v>
      </c>
      <c r="V230" s="336">
        <f>Gasto_o_ing_total!U230*1000/Gasto_o_ing_total!U$479</f>
        <v>0</v>
      </c>
      <c r="W230" s="155"/>
      <c r="X230" s="145"/>
    </row>
    <row r="231" spans="1:24">
      <c r="A231" s="356"/>
      <c r="D231" s="20"/>
      <c r="E231" s="20"/>
      <c r="F231" s="20"/>
      <c r="G231" s="20"/>
      <c r="H231" s="20"/>
      <c r="I231" s="20"/>
      <c r="J231" s="20"/>
      <c r="K231" s="20"/>
      <c r="L231" s="20"/>
      <c r="M231" s="20"/>
      <c r="N231" s="20"/>
      <c r="O231" s="20"/>
      <c r="P231" s="20"/>
      <c r="Q231" s="20"/>
      <c r="R231" s="20"/>
      <c r="S231" s="20"/>
      <c r="T231" s="20"/>
      <c r="U231" s="20"/>
      <c r="V231" s="20"/>
      <c r="W231" s="21"/>
      <c r="X231" s="22"/>
    </row>
    <row r="232" spans="1:24">
      <c r="A232" s="356"/>
      <c r="D232" s="20"/>
      <c r="E232" s="20"/>
      <c r="F232" s="20"/>
      <c r="G232" s="20"/>
      <c r="H232" s="20"/>
      <c r="I232" s="20"/>
      <c r="J232" s="20"/>
      <c r="K232" s="20"/>
      <c r="L232" s="20"/>
      <c r="M232" s="20"/>
      <c r="N232" s="20"/>
      <c r="O232" s="20"/>
      <c r="P232" s="20"/>
      <c r="Q232" s="20"/>
      <c r="R232" s="20"/>
      <c r="S232" s="20"/>
      <c r="T232" s="20"/>
      <c r="U232" s="20"/>
      <c r="V232" s="20"/>
      <c r="W232" s="21"/>
      <c r="X232" s="13"/>
    </row>
    <row r="233" spans="1:24" s="102" customFormat="1">
      <c r="A233" s="364"/>
      <c r="B233" s="115"/>
      <c r="C233" s="128" t="s">
        <v>23</v>
      </c>
      <c r="D233" s="113">
        <f>Gasto_o_ing_total!V233*1000/Gasto_o_ing_total!V$479</f>
        <v>146.22872305593023</v>
      </c>
      <c r="E233" s="113">
        <f>Gasto_o_ing_total!D233*1000/Gasto_o_ing_total!D$479</f>
        <v>116.33958692680793</v>
      </c>
      <c r="F233" s="113">
        <f>Gasto_o_ing_total!E233*1000/Gasto_o_ing_total!E$479</f>
        <v>245.04218783807494</v>
      </c>
      <c r="G233" s="113">
        <f>Gasto_o_ing_total!F233*1000/Gasto_o_ing_total!F$479</f>
        <v>244.71332856202815</v>
      </c>
      <c r="H233" s="113">
        <f>Gasto_o_ing_total!G233*1000/Gasto_o_ing_total!G$479</f>
        <v>34.053903765570659</v>
      </c>
      <c r="I233" s="113">
        <f>Gasto_o_ing_total!H233*1000/Gasto_o_ing_total!H$479</f>
        <v>145.08718209457822</v>
      </c>
      <c r="J233" s="113">
        <f>Gasto_o_ing_total!I233*1000/Gasto_o_ing_total!I$479</f>
        <v>249.22920802003833</v>
      </c>
      <c r="K233" s="113">
        <f>Gasto_o_ing_total!J233*1000/Gasto_o_ing_total!J$479</f>
        <v>323.10238471894081</v>
      </c>
      <c r="L233" s="113">
        <f>Gasto_o_ing_total!K233*1000/Gasto_o_ing_total!K$479</f>
        <v>198.79951236490325</v>
      </c>
      <c r="M233" s="113">
        <f>Gasto_o_ing_total!L233*1000/Gasto_o_ing_total!L$479</f>
        <v>117.40348877671305</v>
      </c>
      <c r="N233" s="113">
        <f>Gasto_o_ing_total!M233*1000/Gasto_o_ing_total!M$479</f>
        <v>68.840080878928276</v>
      </c>
      <c r="O233" s="113">
        <f>Gasto_o_ing_total!N233*1000/Gasto_o_ing_total!N$479</f>
        <v>240.57719822098062</v>
      </c>
      <c r="P233" s="113">
        <f>Gasto_o_ing_total!O233*1000/Gasto_o_ing_total!O$479</f>
        <v>185.47946784427285</v>
      </c>
      <c r="Q233" s="113">
        <f>Gasto_o_ing_total!P233*1000/Gasto_o_ing_total!P$479</f>
        <v>127.46838781509162</v>
      </c>
      <c r="R233" s="113">
        <f>Gasto_o_ing_total!Q233*1000/Gasto_o_ing_total!Q$479</f>
        <v>79.094812937891376</v>
      </c>
      <c r="S233" s="113">
        <f>Gasto_o_ing_total!R233*1000/Gasto_o_ing_total!R$479</f>
        <v>84.294415826197309</v>
      </c>
      <c r="T233" s="113">
        <f>Gasto_o_ing_total!S233*1000/Gasto_o_ing_total!S$479</f>
        <v>234.75816497131271</v>
      </c>
      <c r="U233" s="113">
        <f>Gasto_o_ing_total!T233*1000/Gasto_o_ing_total!T$479</f>
        <v>123.70609744628138</v>
      </c>
      <c r="V233" s="113">
        <f>Gasto_o_ing_total!U233*1000/Gasto_o_ing_total!U$479</f>
        <v>129.10300136104127</v>
      </c>
      <c r="W233" s="155"/>
      <c r="X233" s="146"/>
    </row>
    <row r="234" spans="1:24">
      <c r="A234" s="355"/>
      <c r="B234" s="115" t="s">
        <v>253</v>
      </c>
      <c r="C234" s="333" t="str">
        <f>VLOOKUP(B234,Tot_res!C:D,2,FALSE)</f>
        <v>Gestión de recursos hídricos para el regadío</v>
      </c>
      <c r="D234" s="336">
        <f>Gasto_o_ing_total!V234*1000/Gasto_o_ing_total!V$479</f>
        <v>0.69017422304763887</v>
      </c>
      <c r="E234" s="336">
        <f>Gasto_o_ing_total!D234*1000/Gasto_o_ing_total!D$479</f>
        <v>0.77182143288198957</v>
      </c>
      <c r="F234" s="336">
        <f>Gasto_o_ing_total!E234*1000/Gasto_o_ing_total!E$479</f>
        <v>8.4284359623540581</v>
      </c>
      <c r="G234" s="336">
        <f>Gasto_o_ing_total!F234*1000/Gasto_o_ing_total!F$479</f>
        <v>0</v>
      </c>
      <c r="H234" s="336">
        <f>Gasto_o_ing_total!G234*1000/Gasto_o_ing_total!G$479</f>
        <v>0.5806637782228028</v>
      </c>
      <c r="I234" s="336">
        <f>Gasto_o_ing_total!H234*1000/Gasto_o_ing_total!H$479</f>
        <v>0</v>
      </c>
      <c r="J234" s="336">
        <f>Gasto_o_ing_total!I234*1000/Gasto_o_ing_total!I$479</f>
        <v>0</v>
      </c>
      <c r="K234" s="336">
        <f>Gasto_o_ing_total!J234*1000/Gasto_o_ing_total!J$479</f>
        <v>2.3518140387195863</v>
      </c>
      <c r="L234" s="336">
        <f>Gasto_o_ing_total!K234*1000/Gasto_o_ing_total!K$479</f>
        <v>0</v>
      </c>
      <c r="M234" s="336">
        <f>Gasto_o_ing_total!L234*1000/Gasto_o_ing_total!L$479</f>
        <v>0.8175170406063661</v>
      </c>
      <c r="N234" s="336">
        <f>Gasto_o_ing_total!M234*1000/Gasto_o_ing_total!M$479</f>
        <v>0</v>
      </c>
      <c r="O234" s="336">
        <f>Gasto_o_ing_total!N234*1000/Gasto_o_ing_total!N$479</f>
        <v>0</v>
      </c>
      <c r="P234" s="336">
        <f>Gasto_o_ing_total!O234*1000/Gasto_o_ing_total!O$479</f>
        <v>0</v>
      </c>
      <c r="Q234" s="336">
        <f>Gasto_o_ing_total!P234*1000/Gasto_o_ing_total!P$479</f>
        <v>0</v>
      </c>
      <c r="R234" s="336">
        <f>Gasto_o_ing_total!Q234*1000/Gasto_o_ing_total!Q$479</f>
        <v>0</v>
      </c>
      <c r="S234" s="336">
        <f>Gasto_o_ing_total!R234*1000/Gasto_o_ing_total!R$479</f>
        <v>0</v>
      </c>
      <c r="T234" s="336">
        <f>Gasto_o_ing_total!S234*1000/Gasto_o_ing_total!S$479</f>
        <v>0.60570920134490769</v>
      </c>
      <c r="U234" s="336">
        <f>Gasto_o_ing_total!T234*1000/Gasto_o_ing_total!T$479</f>
        <v>1.9158029756479003</v>
      </c>
      <c r="V234" s="336">
        <f>Gasto_o_ing_total!U234*1000/Gasto_o_ing_total!U$479</f>
        <v>0</v>
      </c>
      <c r="W234" s="21"/>
      <c r="X234" s="13"/>
    </row>
    <row r="235" spans="1:24">
      <c r="A235" s="355"/>
      <c r="B235" s="115" t="s">
        <v>254</v>
      </c>
      <c r="C235" s="333" t="str">
        <f>VLOOKUP(B235,Tot_res!C:D,2,FALSE)</f>
        <v>Subvenciones y apoyo al transporte terrestre</v>
      </c>
      <c r="D235" s="336">
        <f>Gasto_o_ing_total!V235*1000/Gasto_o_ing_total!V$479</f>
        <v>17.358353626310159</v>
      </c>
      <c r="E235" s="336">
        <f>Gasto_o_ing_total!D235*1000/Gasto_o_ing_total!D$479</f>
        <v>7.4732539821841755</v>
      </c>
      <c r="F235" s="336">
        <f>Gasto_o_ing_total!E235*1000/Gasto_o_ing_total!E$479</f>
        <v>12.38232063265578</v>
      </c>
      <c r="G235" s="336">
        <f>Gasto_o_ing_total!F235*1000/Gasto_o_ing_total!F$479</f>
        <v>7.1724230723559854</v>
      </c>
      <c r="H235" s="336">
        <f>Gasto_o_ing_total!G235*1000/Gasto_o_ing_total!G$479</f>
        <v>1.5286732670633032</v>
      </c>
      <c r="I235" s="336">
        <f>Gasto_o_ing_total!H235*1000/Gasto_o_ing_total!H$479</f>
        <v>13.254299790590682</v>
      </c>
      <c r="J235" s="336">
        <f>Gasto_o_ing_total!I235*1000/Gasto_o_ing_total!I$479</f>
        <v>7.8265664226232845</v>
      </c>
      <c r="K235" s="336">
        <f>Gasto_o_ing_total!J235*1000/Gasto_o_ing_total!J$479</f>
        <v>5.1298245347427507</v>
      </c>
      <c r="L235" s="336">
        <f>Gasto_o_ing_total!K235*1000/Gasto_o_ing_total!K$479</f>
        <v>10.973813036915667</v>
      </c>
      <c r="M235" s="336">
        <f>Gasto_o_ing_total!L235*1000/Gasto_o_ing_total!L$479</f>
        <v>34.805605227368311</v>
      </c>
      <c r="N235" s="336">
        <f>Gasto_o_ing_total!M235*1000/Gasto_o_ing_total!M$479</f>
        <v>8.4558332127103615</v>
      </c>
      <c r="O235" s="336">
        <f>Gasto_o_ing_total!N235*1000/Gasto_o_ing_total!N$479</f>
        <v>4.1714807027625875</v>
      </c>
      <c r="P235" s="336">
        <f>Gasto_o_ing_total!O235*1000/Gasto_o_ing_total!O$479</f>
        <v>6.7902981364081931</v>
      </c>
      <c r="Q235" s="336">
        <f>Gasto_o_ing_total!P235*1000/Gasto_o_ing_total!P$479</f>
        <v>44.227388124186085</v>
      </c>
      <c r="R235" s="336">
        <f>Gasto_o_ing_total!Q235*1000/Gasto_o_ing_total!Q$479</f>
        <v>5.2595704651017599</v>
      </c>
      <c r="S235" s="336">
        <f>Gasto_o_ing_total!R235*1000/Gasto_o_ing_total!R$479</f>
        <v>14.42427399048538</v>
      </c>
      <c r="T235" s="336">
        <f>Gasto_o_ing_total!S235*1000/Gasto_o_ing_total!S$479</f>
        <v>9.4787856547942795</v>
      </c>
      <c r="U235" s="336">
        <f>Gasto_o_ing_total!T235*1000/Gasto_o_ing_total!T$479</f>
        <v>14.623763252190887</v>
      </c>
      <c r="V235" s="336">
        <f>Gasto_o_ing_total!U235*1000/Gasto_o_ing_total!U$479</f>
        <v>3.2238349418112517</v>
      </c>
      <c r="W235" s="21"/>
      <c r="X235" s="13"/>
    </row>
    <row r="236" spans="1:24">
      <c r="A236" s="355"/>
      <c r="B236" s="115" t="s">
        <v>255</v>
      </c>
      <c r="C236" s="333" t="str">
        <f>VLOOKUP(B236,Tot_res!C:D,2,FALSE)</f>
        <v>Estudios y servicios de asistencia técnica en obras públicas y urbanismo</v>
      </c>
      <c r="D236" s="336">
        <f>Gasto_o_ing_total!V236*1000/Gasto_o_ing_total!V$479</f>
        <v>0.54225000671983425</v>
      </c>
      <c r="E236" s="336">
        <f>Gasto_o_ing_total!D236*1000/Gasto_o_ing_total!D$479</f>
        <v>0.42623361224156836</v>
      </c>
      <c r="F236" s="336">
        <f>Gasto_o_ing_total!E236*1000/Gasto_o_ing_total!E$479</f>
        <v>0.93891676282159109</v>
      </c>
      <c r="G236" s="336">
        <f>Gasto_o_ing_total!F236*1000/Gasto_o_ing_total!F$479</f>
        <v>0.9298133973425341</v>
      </c>
      <c r="H236" s="336">
        <f>Gasto_o_ing_total!G236*1000/Gasto_o_ing_total!G$479</f>
        <v>0.14982875436452753</v>
      </c>
      <c r="I236" s="336">
        <f>Gasto_o_ing_total!H236*1000/Gasto_o_ing_total!H$479</f>
        <v>0.39399138685540297</v>
      </c>
      <c r="J236" s="336">
        <f>Gasto_o_ing_total!I236*1000/Gasto_o_ing_total!I$479</f>
        <v>0.89499548259128314</v>
      </c>
      <c r="K236" s="336">
        <f>Gasto_o_ing_total!J236*1000/Gasto_o_ing_total!J$479</f>
        <v>1.1922993311977315</v>
      </c>
      <c r="L236" s="336">
        <f>Gasto_o_ing_total!K236*1000/Gasto_o_ing_total!K$479</f>
        <v>0.8231055846679004</v>
      </c>
      <c r="M236" s="336">
        <f>Gasto_o_ing_total!L236*1000/Gasto_o_ing_total!L$479</f>
        <v>0.41161181586860801</v>
      </c>
      <c r="N236" s="336">
        <f>Gasto_o_ing_total!M236*1000/Gasto_o_ing_total!M$479</f>
        <v>0.39619055837480727</v>
      </c>
      <c r="O236" s="336">
        <f>Gasto_o_ing_total!N236*1000/Gasto_o_ing_total!N$479</f>
        <v>0.88430592542419706</v>
      </c>
      <c r="P236" s="336">
        <f>Gasto_o_ing_total!O236*1000/Gasto_o_ing_total!O$479</f>
        <v>0.71583493792946873</v>
      </c>
      <c r="Q236" s="336">
        <f>Gasto_o_ing_total!P236*1000/Gasto_o_ing_total!P$479</f>
        <v>0.42965237492839353</v>
      </c>
      <c r="R236" s="336">
        <f>Gasto_o_ing_total!Q236*1000/Gasto_o_ing_total!Q$479</f>
        <v>0.43525768012247718</v>
      </c>
      <c r="S236" s="336">
        <f>Gasto_o_ing_total!R236*1000/Gasto_o_ing_total!R$479</f>
        <v>0.46804746367220434</v>
      </c>
      <c r="T236" s="336">
        <f>Gasto_o_ing_total!S236*1000/Gasto_o_ing_total!S$479</f>
        <v>0.61160641247761072</v>
      </c>
      <c r="U236" s="336">
        <f>Gasto_o_ing_total!T236*1000/Gasto_o_ing_total!T$479</f>
        <v>0.69196652043661078</v>
      </c>
      <c r="V236" s="336">
        <f>Gasto_o_ing_total!U236*1000/Gasto_o_ing_total!U$479</f>
        <v>0.29881151702529363</v>
      </c>
      <c r="W236" s="21"/>
      <c r="X236" s="13"/>
    </row>
    <row r="237" spans="1:24">
      <c r="A237" s="355"/>
      <c r="B237" s="115" t="s">
        <v>256</v>
      </c>
      <c r="C237" s="333" t="str">
        <f>VLOOKUP(B237,Tot_res!C:D,2,FALSE)</f>
        <v>Dirección y servicios generales de fomento</v>
      </c>
      <c r="D237" s="336">
        <f>Gasto_o_ing_total!V237*1000/Gasto_o_ing_total!V$479</f>
        <v>2.1232263948192998</v>
      </c>
      <c r="E237" s="336">
        <f>Gasto_o_ing_total!D237*1000/Gasto_o_ing_total!D$479</f>
        <v>1.8652806976543419</v>
      </c>
      <c r="F237" s="336">
        <f>Gasto_o_ing_total!E237*1000/Gasto_o_ing_total!E$479</f>
        <v>2.5680852666925338</v>
      </c>
      <c r="G237" s="336">
        <f>Gasto_o_ing_total!F237*1000/Gasto_o_ing_total!F$479</f>
        <v>2.9553003245499458</v>
      </c>
      <c r="H237" s="336">
        <f>Gasto_o_ing_total!G237*1000/Gasto_o_ing_total!G$479</f>
        <v>1.3593173542573596</v>
      </c>
      <c r="I237" s="336">
        <f>Gasto_o_ing_total!H237*1000/Gasto_o_ing_total!H$479</f>
        <v>1.7665683698016701</v>
      </c>
      <c r="J237" s="336">
        <f>Gasto_o_ing_total!I237*1000/Gasto_o_ing_total!I$479</f>
        <v>2.8117440124247</v>
      </c>
      <c r="K237" s="336">
        <f>Gasto_o_ing_total!J237*1000/Gasto_o_ing_total!J$479</f>
        <v>3.4636888466480888</v>
      </c>
      <c r="L237" s="336">
        <f>Gasto_o_ing_total!K237*1000/Gasto_o_ing_total!K$479</f>
        <v>2.6192013614646505</v>
      </c>
      <c r="M237" s="336">
        <f>Gasto_o_ing_total!L237*1000/Gasto_o_ing_total!L$479</f>
        <v>1.9539558358755367</v>
      </c>
      <c r="N237" s="336">
        <f>Gasto_o_ing_total!M237*1000/Gasto_o_ing_total!M$479</f>
        <v>1.8367512862323059</v>
      </c>
      <c r="O237" s="336">
        <f>Gasto_o_ing_total!N237*1000/Gasto_o_ing_total!N$479</f>
        <v>2.2106038795108449</v>
      </c>
      <c r="P237" s="336">
        <f>Gasto_o_ing_total!O237*1000/Gasto_o_ing_total!O$479</f>
        <v>2.6315476833991576</v>
      </c>
      <c r="Q237" s="336">
        <f>Gasto_o_ing_total!P237*1000/Gasto_o_ing_total!P$479</f>
        <v>1.9655285196404928</v>
      </c>
      <c r="R237" s="336">
        <f>Gasto_o_ing_total!Q237*1000/Gasto_o_ing_total!Q$479</f>
        <v>1.6946691928951205</v>
      </c>
      <c r="S237" s="336">
        <f>Gasto_o_ing_total!R237*1000/Gasto_o_ing_total!R$479</f>
        <v>1.9615094164722058</v>
      </c>
      <c r="T237" s="336">
        <f>Gasto_o_ing_total!S237*1000/Gasto_o_ing_total!S$479</f>
        <v>2.3527513623160528</v>
      </c>
      <c r="U237" s="336">
        <f>Gasto_o_ing_total!T237*1000/Gasto_o_ing_total!T$479</f>
        <v>2.4142661258180915</v>
      </c>
      <c r="V237" s="336">
        <f>Gasto_o_ing_total!U237*1000/Gasto_o_ing_total!U$479</f>
        <v>1.3697758755379108</v>
      </c>
      <c r="W237" s="21"/>
      <c r="X237" s="13"/>
    </row>
    <row r="238" spans="1:24">
      <c r="A238" s="355"/>
      <c r="B238" s="115" t="s">
        <v>756</v>
      </c>
      <c r="C238" s="333" t="str">
        <f>VLOOKUP(B238,Tot_res!C:D,2,FALSE)</f>
        <v>Dirección y Servicios Generales de Agricultura, Alimentación y Medio Ambiente</v>
      </c>
      <c r="D238" s="336">
        <f>Gasto_o_ing_total!V238*1000/Gasto_o_ing_total!V$479</f>
        <v>1.2658876072441581</v>
      </c>
      <c r="E238" s="336">
        <f>Gasto_o_ing_total!D238*1000/Gasto_o_ing_total!D$479</f>
        <v>1.2274282206930056</v>
      </c>
      <c r="F238" s="336">
        <f>Gasto_o_ing_total!E238*1000/Gasto_o_ing_total!E$479</f>
        <v>2.7728972371633183</v>
      </c>
      <c r="G238" s="336">
        <f>Gasto_o_ing_total!F238*1000/Gasto_o_ing_total!F$479</f>
        <v>1.4875735895737647</v>
      </c>
      <c r="H238" s="336">
        <f>Gasto_o_ing_total!G238*1000/Gasto_o_ing_total!G$479</f>
        <v>0.79407769211899282</v>
      </c>
      <c r="I238" s="336">
        <f>Gasto_o_ing_total!H238*1000/Gasto_o_ing_total!H$479</f>
        <v>1.3017949747313866</v>
      </c>
      <c r="J238" s="336">
        <f>Gasto_o_ing_total!I238*1000/Gasto_o_ing_total!I$479</f>
        <v>1.6841929784987328</v>
      </c>
      <c r="K238" s="336">
        <f>Gasto_o_ing_total!J238*1000/Gasto_o_ing_total!J$479</f>
        <v>1.8112849778856521</v>
      </c>
      <c r="L238" s="336">
        <f>Gasto_o_ing_total!K238*1000/Gasto_o_ing_total!K$479</f>
        <v>1.763290396855173</v>
      </c>
      <c r="M238" s="336">
        <f>Gasto_o_ing_total!L238*1000/Gasto_o_ing_total!L$479</f>
        <v>0.84119988175084848</v>
      </c>
      <c r="N238" s="336">
        <f>Gasto_o_ing_total!M238*1000/Gasto_o_ing_total!M$479</f>
        <v>1.0970385715617494</v>
      </c>
      <c r="O238" s="336">
        <f>Gasto_o_ing_total!N238*1000/Gasto_o_ing_total!N$479</f>
        <v>3.497707057786541</v>
      </c>
      <c r="P238" s="336">
        <f>Gasto_o_ing_total!O238*1000/Gasto_o_ing_total!O$479</f>
        <v>0.93828680345792614</v>
      </c>
      <c r="Q238" s="336">
        <f>Gasto_o_ing_total!P238*1000/Gasto_o_ing_total!P$479</f>
        <v>0.93699220623849111</v>
      </c>
      <c r="R238" s="336">
        <f>Gasto_o_ing_total!Q238*1000/Gasto_o_ing_total!Q$479</f>
        <v>1.8304955479196583</v>
      </c>
      <c r="S238" s="336">
        <f>Gasto_o_ing_total!R238*1000/Gasto_o_ing_total!R$479</f>
        <v>1.2310246951529245</v>
      </c>
      <c r="T238" s="336">
        <f>Gasto_o_ing_total!S238*1000/Gasto_o_ing_total!S$479</f>
        <v>1.0518357143717962</v>
      </c>
      <c r="U238" s="336">
        <f>Gasto_o_ing_total!T238*1000/Gasto_o_ing_total!T$479</f>
        <v>1.4471726042767177</v>
      </c>
      <c r="V238" s="336">
        <f>Gasto_o_ing_total!U238*1000/Gasto_o_ing_total!U$479</f>
        <v>1.8530051791494753</v>
      </c>
      <c r="W238" s="21"/>
      <c r="X238" s="13"/>
    </row>
    <row r="239" spans="1:24">
      <c r="A239" s="355"/>
      <c r="B239" s="115" t="s">
        <v>257</v>
      </c>
      <c r="C239" s="333" t="str">
        <f>VLOOKUP(B239,Tot_res!C:D,2,FALSE)</f>
        <v>Gestión e infraestructuras del agua</v>
      </c>
      <c r="D239" s="336">
        <f>Gasto_o_ing_total!V239*1000/Gasto_o_ing_total!V$479</f>
        <v>17.589155581779831</v>
      </c>
      <c r="E239" s="336">
        <f>Gasto_o_ing_total!D239*1000/Gasto_o_ing_total!D$479</f>
        <v>19.756425253764853</v>
      </c>
      <c r="F239" s="336">
        <f>Gasto_o_ing_total!E239*1000/Gasto_o_ing_total!E$479</f>
        <v>67.19149748992308</v>
      </c>
      <c r="G239" s="336">
        <f>Gasto_o_ing_total!F239*1000/Gasto_o_ing_total!F$479</f>
        <v>4.3923592595342518</v>
      </c>
      <c r="H239" s="336">
        <f>Gasto_o_ing_total!G239*1000/Gasto_o_ing_total!G$479</f>
        <v>1.7660714344704722</v>
      </c>
      <c r="I239" s="336">
        <f>Gasto_o_ing_total!H239*1000/Gasto_o_ing_total!H$479</f>
        <v>9.5867705883561189</v>
      </c>
      <c r="J239" s="336">
        <f>Gasto_o_ing_total!I239*1000/Gasto_o_ing_total!I$479</f>
        <v>4.6521516711376183</v>
      </c>
      <c r="K239" s="336">
        <f>Gasto_o_ing_total!J239*1000/Gasto_o_ing_total!J$479</f>
        <v>36.372770352664105</v>
      </c>
      <c r="L239" s="336">
        <f>Gasto_o_ing_total!K239*1000/Gasto_o_ing_total!K$479</f>
        <v>35.631744544362263</v>
      </c>
      <c r="M239" s="336">
        <f>Gasto_o_ing_total!L239*1000/Gasto_o_ing_total!L$479</f>
        <v>4.2999734997786527</v>
      </c>
      <c r="N239" s="336">
        <f>Gasto_o_ing_total!M239*1000/Gasto_o_ing_total!M$479</f>
        <v>13.69598908804306</v>
      </c>
      <c r="O239" s="336">
        <f>Gasto_o_ing_total!N239*1000/Gasto_o_ing_total!N$479</f>
        <v>82.485787707086857</v>
      </c>
      <c r="P239" s="336">
        <f>Gasto_o_ing_total!O239*1000/Gasto_o_ing_total!O$479</f>
        <v>3.5809501868773173</v>
      </c>
      <c r="Q239" s="336">
        <f>Gasto_o_ing_total!P239*1000/Gasto_o_ing_total!P$479</f>
        <v>9.6762899325700165</v>
      </c>
      <c r="R239" s="336">
        <f>Gasto_o_ing_total!Q239*1000/Gasto_o_ing_total!Q$479</f>
        <v>46.660175020834714</v>
      </c>
      <c r="S239" s="336">
        <f>Gasto_o_ing_total!R239*1000/Gasto_o_ing_total!R$479</f>
        <v>20.99243307123886</v>
      </c>
      <c r="T239" s="336">
        <f>Gasto_o_ing_total!S239*1000/Gasto_o_ing_total!S$479</f>
        <v>5.6633511576607436</v>
      </c>
      <c r="U239" s="336">
        <f>Gasto_o_ing_total!T239*1000/Gasto_o_ing_total!T$479</f>
        <v>26.848966905249764</v>
      </c>
      <c r="V239" s="336">
        <f>Gasto_o_ing_total!U239*1000/Gasto_o_ing_total!U$479</f>
        <v>36.750462668370631</v>
      </c>
      <c r="W239" s="21"/>
      <c r="X239" s="22"/>
    </row>
    <row r="240" spans="1:24">
      <c r="A240" s="355"/>
      <c r="B240" s="115" t="s">
        <v>258</v>
      </c>
      <c r="C240" s="333" t="str">
        <f>VLOOKUP(B240,Tot_res!C:D,2,FALSE)</f>
        <v>Normativa y ordenac. territorial recursos hídricos</v>
      </c>
      <c r="D240" s="336">
        <f>Gasto_o_ing_total!V240*1000/Gasto_o_ing_total!V$479</f>
        <v>0.17275089358887757</v>
      </c>
      <c r="E240" s="336">
        <f>Gasto_o_ing_total!D240*1000/Gasto_o_ing_total!D$479</f>
        <v>0.1727508935888776</v>
      </c>
      <c r="F240" s="336">
        <f>Gasto_o_ing_total!E240*1000/Gasto_o_ing_total!E$479</f>
        <v>0.17275089358887757</v>
      </c>
      <c r="G240" s="336">
        <f>Gasto_o_ing_total!F240*1000/Gasto_o_ing_total!F$479</f>
        <v>0.1727508935888776</v>
      </c>
      <c r="H240" s="336">
        <f>Gasto_o_ing_total!G240*1000/Gasto_o_ing_total!G$479</f>
        <v>0.17275089358887757</v>
      </c>
      <c r="I240" s="336">
        <f>Gasto_o_ing_total!H240*1000/Gasto_o_ing_total!H$479</f>
        <v>0.1727508935888776</v>
      </c>
      <c r="J240" s="336">
        <f>Gasto_o_ing_total!I240*1000/Gasto_o_ing_total!I$479</f>
        <v>0.1727508935888776</v>
      </c>
      <c r="K240" s="336">
        <f>Gasto_o_ing_total!J240*1000/Gasto_o_ing_total!J$479</f>
        <v>0.1727508935888776</v>
      </c>
      <c r="L240" s="336">
        <f>Gasto_o_ing_total!K240*1000/Gasto_o_ing_total!K$479</f>
        <v>0.1727508935888776</v>
      </c>
      <c r="M240" s="336">
        <f>Gasto_o_ing_total!L240*1000/Gasto_o_ing_total!L$479</f>
        <v>0.1727508935888776</v>
      </c>
      <c r="N240" s="336">
        <f>Gasto_o_ing_total!M240*1000/Gasto_o_ing_total!M$479</f>
        <v>0.1727508935888776</v>
      </c>
      <c r="O240" s="336">
        <f>Gasto_o_ing_total!N240*1000/Gasto_o_ing_total!N$479</f>
        <v>0.17275089358887757</v>
      </c>
      <c r="P240" s="336">
        <f>Gasto_o_ing_total!O240*1000/Gasto_o_ing_total!O$479</f>
        <v>0.1727508935888776</v>
      </c>
      <c r="Q240" s="336">
        <f>Gasto_o_ing_total!P240*1000/Gasto_o_ing_total!P$479</f>
        <v>0.1727508935888776</v>
      </c>
      <c r="R240" s="336">
        <f>Gasto_o_ing_total!Q240*1000/Gasto_o_ing_total!Q$479</f>
        <v>0.17275089358887757</v>
      </c>
      <c r="S240" s="336">
        <f>Gasto_o_ing_total!R240*1000/Gasto_o_ing_total!R$479</f>
        <v>0.1727508935888776</v>
      </c>
      <c r="T240" s="336">
        <f>Gasto_o_ing_total!S240*1000/Gasto_o_ing_total!S$479</f>
        <v>0.17275089358887757</v>
      </c>
      <c r="U240" s="336">
        <f>Gasto_o_ing_total!T240*1000/Gasto_o_ing_total!T$479</f>
        <v>0.17275089358887763</v>
      </c>
      <c r="V240" s="336">
        <f>Gasto_o_ing_total!U240*1000/Gasto_o_ing_total!U$479</f>
        <v>0.17275089358887757</v>
      </c>
      <c r="W240" s="21"/>
      <c r="X240" s="22"/>
    </row>
    <row r="241" spans="1:24">
      <c r="A241" s="355"/>
      <c r="B241" s="115" t="s">
        <v>259</v>
      </c>
      <c r="C241" s="333" t="str">
        <f>VLOOKUP(B241,Tot_res!C:D,2,FALSE)</f>
        <v>Infraestructura del transporte ferroviario + AF10 (no se ha hecho)</v>
      </c>
      <c r="D241" s="336">
        <f>Gasto_o_ing_total!V241*1000/Gasto_o_ing_total!V$479</f>
        <v>3.3850543925331498</v>
      </c>
      <c r="E241" s="336">
        <f>Gasto_o_ing_total!D241*1000/Gasto_o_ing_total!D$479</f>
        <v>6.1378879557589539</v>
      </c>
      <c r="F241" s="336">
        <f>Gasto_o_ing_total!E241*1000/Gasto_o_ing_total!E$479</f>
        <v>2.1029074692360568</v>
      </c>
      <c r="G241" s="336">
        <f>Gasto_o_ing_total!F241*1000/Gasto_o_ing_total!F$479</f>
        <v>3.4484452129281311</v>
      </c>
      <c r="H241" s="336">
        <f>Gasto_o_ing_total!G241*1000/Gasto_o_ing_total!G$479</f>
        <v>3.6572310451577708</v>
      </c>
      <c r="I241" s="336">
        <f>Gasto_o_ing_total!H241*1000/Gasto_o_ing_total!H$479</f>
        <v>6.8984422762838156</v>
      </c>
      <c r="J241" s="336">
        <f>Gasto_o_ing_total!I241*1000/Gasto_o_ing_total!I$479</f>
        <v>1.8893176021590186</v>
      </c>
      <c r="K241" s="336">
        <f>Gasto_o_ing_total!J241*1000/Gasto_o_ing_total!J$479</f>
        <v>1.6566468653069188</v>
      </c>
      <c r="L241" s="336">
        <f>Gasto_o_ing_total!K241*1000/Gasto_o_ing_total!K$479</f>
        <v>1.5984733555969468</v>
      </c>
      <c r="M241" s="336">
        <f>Gasto_o_ing_total!L241*1000/Gasto_o_ing_total!L$479</f>
        <v>1.8773764298418176</v>
      </c>
      <c r="N241" s="336">
        <f>Gasto_o_ing_total!M241*1000/Gasto_o_ing_total!M$479</f>
        <v>1.2388152278116067</v>
      </c>
      <c r="O241" s="336">
        <f>Gasto_o_ing_total!N241*1000/Gasto_o_ing_total!N$479</f>
        <v>7.9604731905798953</v>
      </c>
      <c r="P241" s="336">
        <f>Gasto_o_ing_total!O241*1000/Gasto_o_ing_total!O$479</f>
        <v>1.5973934700142949</v>
      </c>
      <c r="Q241" s="336">
        <f>Gasto_o_ing_total!P241*1000/Gasto_o_ing_total!P$479</f>
        <v>5.3952790913647632</v>
      </c>
      <c r="R241" s="336">
        <f>Gasto_o_ing_total!Q241*1000/Gasto_o_ing_total!Q$479</f>
        <v>1.2960498268993121</v>
      </c>
      <c r="S241" s="336">
        <f>Gasto_o_ing_total!R241*1000/Gasto_o_ing_total!R$479</f>
        <v>1.2523136198382778</v>
      </c>
      <c r="T241" s="336">
        <f>Gasto_o_ing_total!S241*1000/Gasto_o_ing_total!S$479</f>
        <v>0.94966569104385012</v>
      </c>
      <c r="U241" s="336">
        <f>Gasto_o_ing_total!T241*1000/Gasto_o_ing_total!T$479</f>
        <v>0.55051293012568236</v>
      </c>
      <c r="V241" s="336">
        <f>Gasto_o_ing_total!U241*1000/Gasto_o_ing_total!U$479</f>
        <v>0.23219788293812807</v>
      </c>
      <c r="W241" s="21"/>
      <c r="X241" s="22"/>
    </row>
    <row r="242" spans="1:24">
      <c r="A242" s="355"/>
      <c r="B242" s="115" t="s">
        <v>260</v>
      </c>
      <c r="C242" s="333" t="str">
        <f>VLOOKUP(B242,Tot_res!C:D,2,FALSE)</f>
        <v>Creación de infraestructura de carreteras + AF06/1</v>
      </c>
      <c r="D242" s="336">
        <f>Gasto_o_ing_total!V242*1000/Gasto_o_ing_total!V$479</f>
        <v>36.406084479151971</v>
      </c>
      <c r="E242" s="336">
        <f>Gasto_o_ing_total!D242*1000/Gasto_o_ing_total!D$479</f>
        <v>40.347181228517101</v>
      </c>
      <c r="F242" s="336">
        <f>Gasto_o_ing_total!E242*1000/Gasto_o_ing_total!E$479</f>
        <v>90.574466592992493</v>
      </c>
      <c r="G242" s="336">
        <f>Gasto_o_ing_total!F242*1000/Gasto_o_ing_total!F$479</f>
        <v>112.4509025313285</v>
      </c>
      <c r="H242" s="336">
        <f>Gasto_o_ing_total!G242*1000/Gasto_o_ing_total!G$479</f>
        <v>2.7034888045592949</v>
      </c>
      <c r="I242" s="336">
        <f>Gasto_o_ing_total!H242*1000/Gasto_o_ing_total!H$479</f>
        <v>26.753782641560349</v>
      </c>
      <c r="J242" s="336">
        <f>Gasto_o_ing_total!I242*1000/Gasto_o_ing_total!I$479</f>
        <v>92.908940103000575</v>
      </c>
      <c r="K242" s="336">
        <f>Gasto_o_ing_total!J242*1000/Gasto_o_ing_total!J$479</f>
        <v>79.814811670464195</v>
      </c>
      <c r="L242" s="336">
        <f>Gasto_o_ing_total!K242*1000/Gasto_o_ing_total!K$479</f>
        <v>45.771940950997248</v>
      </c>
      <c r="M242" s="336">
        <f>Gasto_o_ing_total!L242*1000/Gasto_o_ing_total!L$479</f>
        <v>25.620122581076544</v>
      </c>
      <c r="N242" s="336">
        <f>Gasto_o_ing_total!M242*1000/Gasto_o_ing_total!M$479</f>
        <v>19.531991422674192</v>
      </c>
      <c r="O242" s="336">
        <f>Gasto_o_ing_total!N242*1000/Gasto_o_ing_total!N$479</f>
        <v>19.289719397276663</v>
      </c>
      <c r="P242" s="336">
        <f>Gasto_o_ing_total!O242*1000/Gasto_o_ing_total!O$479</f>
        <v>56.72740503929149</v>
      </c>
      <c r="Q242" s="336">
        <f>Gasto_o_ing_total!P242*1000/Gasto_o_ing_total!P$479</f>
        <v>10.850107128068613</v>
      </c>
      <c r="R242" s="336">
        <f>Gasto_o_ing_total!Q242*1000/Gasto_o_ing_total!Q$479</f>
        <v>22.339907501914031</v>
      </c>
      <c r="S242" s="336">
        <f>Gasto_o_ing_total!R242*1000/Gasto_o_ing_total!R$479</f>
        <v>41.522546136134928</v>
      </c>
      <c r="T242" s="336">
        <f>Gasto_o_ing_total!S242*1000/Gasto_o_ing_total!S$479</f>
        <v>38.067578762064734</v>
      </c>
      <c r="U242" s="336">
        <f>Gasto_o_ing_total!T242*1000/Gasto_o_ing_total!T$479</f>
        <v>108.19759576298209</v>
      </c>
      <c r="V242" s="336">
        <f>Gasto_o_ing_total!U242*1000/Gasto_o_ing_total!U$479</f>
        <v>7.2332403567691639</v>
      </c>
      <c r="W242" s="21"/>
      <c r="X242" s="13"/>
    </row>
    <row r="243" spans="1:24">
      <c r="A243" s="355"/>
      <c r="B243" s="115" t="s">
        <v>262</v>
      </c>
      <c r="C243" s="333" t="str">
        <f>VLOOKUP(B243,Tot_res!C:D,2,FALSE)</f>
        <v>Conservación y explotación de carreteras + AF07</v>
      </c>
      <c r="D243" s="336">
        <f>Gasto_o_ing_total!V243*1000/Gasto_o_ing_total!V$479</f>
        <v>22.507556644129899</v>
      </c>
      <c r="E243" s="336">
        <f>Gasto_o_ing_total!D243*1000/Gasto_o_ing_total!D$479</f>
        <v>14.48363992121987</v>
      </c>
      <c r="F243" s="336">
        <f>Gasto_o_ing_total!E243*1000/Gasto_o_ing_total!E$479</f>
        <v>70.652240841521532</v>
      </c>
      <c r="G243" s="336">
        <f>Gasto_o_ing_total!F243*1000/Gasto_o_ing_total!F$479</f>
        <v>27.5843189681061</v>
      </c>
      <c r="H243" s="336">
        <f>Gasto_o_ing_total!G243*1000/Gasto_o_ing_total!G$479</f>
        <v>1.67108256648996</v>
      </c>
      <c r="I243" s="336">
        <f>Gasto_o_ing_total!H243*1000/Gasto_o_ing_total!H$479</f>
        <v>1.9741240446945085</v>
      </c>
      <c r="J243" s="336">
        <f>Gasto_o_ing_total!I243*1000/Gasto_o_ing_total!I$479</f>
        <v>50.945155180702351</v>
      </c>
      <c r="K243" s="336">
        <f>Gasto_o_ing_total!J243*1000/Gasto_o_ing_total!J$479</f>
        <v>64.859486661841601</v>
      </c>
      <c r="L243" s="336">
        <f>Gasto_o_ing_total!K243*1000/Gasto_o_ing_total!K$479</f>
        <v>68.140582056140474</v>
      </c>
      <c r="M243" s="336">
        <f>Gasto_o_ing_total!L243*1000/Gasto_o_ing_total!L$479</f>
        <v>10.310412825439192</v>
      </c>
      <c r="N243" s="336">
        <f>Gasto_o_ing_total!M243*1000/Gasto_o_ing_total!M$479</f>
        <v>14.758064586721</v>
      </c>
      <c r="O243" s="336">
        <f>Gasto_o_ing_total!N243*1000/Gasto_o_ing_total!N$479</f>
        <v>24.256223211417698</v>
      </c>
      <c r="P243" s="336">
        <f>Gasto_o_ing_total!O243*1000/Gasto_o_ing_total!O$479</f>
        <v>23.514366065332801</v>
      </c>
      <c r="Q243" s="336">
        <f>Gasto_o_ing_total!P243*1000/Gasto_o_ing_total!P$479</f>
        <v>17.01258187966047</v>
      </c>
      <c r="R243" s="336">
        <f>Gasto_o_ing_total!Q243*1000/Gasto_o_ing_total!Q$479</f>
        <v>22.616918100719971</v>
      </c>
      <c r="S243" s="336">
        <f>Gasto_o_ing_total!R243*1000/Gasto_o_ing_total!R$479</f>
        <v>27.045164052948813</v>
      </c>
      <c r="T243" s="336">
        <f>Gasto_o_ing_total!S243*1000/Gasto_o_ing_total!S$479</f>
        <v>24.910772030535597</v>
      </c>
      <c r="U243" s="336">
        <f>Gasto_o_ing_total!T243*1000/Gasto_o_ing_total!T$479</f>
        <v>28.2303433376347</v>
      </c>
      <c r="V243" s="336">
        <f>Gasto_o_ing_total!U243*1000/Gasto_o_ing_total!U$479</f>
        <v>9.2288821150082772</v>
      </c>
      <c r="W243" s="21"/>
      <c r="X243" s="13"/>
    </row>
    <row r="244" spans="1:24">
      <c r="A244" s="355"/>
      <c r="B244" s="115" t="s">
        <v>264</v>
      </c>
      <c r="C244" s="333" t="str">
        <f>VLOOKUP(B244,Tot_res!C:D,2,FALSE)</f>
        <v>Ordenac. e inspección del transporte terrestre</v>
      </c>
      <c r="D244" s="336">
        <f>Gasto_o_ing_total!V244*1000/Gasto_o_ing_total!V$479</f>
        <v>0.46816647945556022</v>
      </c>
      <c r="E244" s="336">
        <f>Gasto_o_ing_total!D244*1000/Gasto_o_ing_total!D$479</f>
        <v>0.32206400561796994</v>
      </c>
      <c r="F244" s="336">
        <f>Gasto_o_ing_total!E244*1000/Gasto_o_ing_total!E$479</f>
        <v>0.51144784298332413</v>
      </c>
      <c r="G244" s="336">
        <f>Gasto_o_ing_total!F244*1000/Gasto_o_ing_total!F$479</f>
        <v>0.5816255198877992</v>
      </c>
      <c r="H244" s="336">
        <f>Gasto_o_ing_total!G244*1000/Gasto_o_ing_total!G$479</f>
        <v>0.24842112081014131</v>
      </c>
      <c r="I244" s="336">
        <f>Gasto_o_ing_total!H244*1000/Gasto_o_ing_total!H$479</f>
        <v>0.17894379272914523</v>
      </c>
      <c r="J244" s="336">
        <f>Gasto_o_ing_total!I244*1000/Gasto_o_ing_total!I$479</f>
        <v>0.59707463985289055</v>
      </c>
      <c r="K244" s="336">
        <f>Gasto_o_ing_total!J244*1000/Gasto_o_ing_total!J$479</f>
        <v>0.63878423873302714</v>
      </c>
      <c r="L244" s="336">
        <f>Gasto_o_ing_total!K244*1000/Gasto_o_ing_total!K$479</f>
        <v>0.44320737622259315</v>
      </c>
      <c r="M244" s="336">
        <f>Gasto_o_ing_total!L244*1000/Gasto_o_ing_total!L$479</f>
        <v>0.62013668239374409</v>
      </c>
      <c r="N244" s="336">
        <f>Gasto_o_ing_total!M244*1000/Gasto_o_ing_total!M$479</f>
        <v>0.314695595018462</v>
      </c>
      <c r="O244" s="336">
        <f>Gasto_o_ing_total!N244*1000/Gasto_o_ing_total!N$479</f>
        <v>0.60939244773990742</v>
      </c>
      <c r="P244" s="336">
        <f>Gasto_o_ing_total!O244*1000/Gasto_o_ing_total!O$479</f>
        <v>0.47034273535315418</v>
      </c>
      <c r="Q244" s="336">
        <f>Gasto_o_ing_total!P244*1000/Gasto_o_ing_total!P$479</f>
        <v>0.46080953136492592</v>
      </c>
      <c r="R244" s="336">
        <f>Gasto_o_ing_total!Q244*1000/Gasto_o_ing_total!Q$479</f>
        <v>0.49276385283084018</v>
      </c>
      <c r="S244" s="336">
        <f>Gasto_o_ing_total!R244*1000/Gasto_o_ing_total!R$479</f>
        <v>0.88890491612749656</v>
      </c>
      <c r="T244" s="336">
        <f>Gasto_o_ing_total!S244*1000/Gasto_o_ing_total!S$479</f>
        <v>0.69343390720990705</v>
      </c>
      <c r="U244" s="336">
        <f>Gasto_o_ing_total!T244*1000/Gasto_o_ing_total!T$479</f>
        <v>1.1729360582744086</v>
      </c>
      <c r="V244" s="336">
        <f>Gasto_o_ing_total!U244*1000/Gasto_o_ing_total!U$479</f>
        <v>0.14506261432057743</v>
      </c>
      <c r="W244" s="21"/>
      <c r="X244" s="13"/>
    </row>
    <row r="245" spans="1:24">
      <c r="A245" s="355"/>
      <c r="B245" s="115" t="s">
        <v>265</v>
      </c>
      <c r="C245" s="333" t="str">
        <f>VLOOKUP(B245,Tot_res!C:D,2,FALSE)</f>
        <v>Seguridad tráfico marítimo y vigilancia costera</v>
      </c>
      <c r="D245" s="336">
        <f>Gasto_o_ing_total!V245*1000/Gasto_o_ing_total!V$479</f>
        <v>1.0180269292623163</v>
      </c>
      <c r="E245" s="336">
        <f>Gasto_o_ing_total!D245*1000/Gasto_o_ing_total!D$479</f>
        <v>0.74414419610428229</v>
      </c>
      <c r="F245" s="336">
        <f>Gasto_o_ing_total!E245*1000/Gasto_o_ing_total!E$479</f>
        <v>1.660989843503093</v>
      </c>
      <c r="G245" s="336">
        <f>Gasto_o_ing_total!F245*1000/Gasto_o_ing_total!F$479</f>
        <v>0.88936503939547717</v>
      </c>
      <c r="H245" s="336">
        <f>Gasto_o_ing_total!G245*1000/Gasto_o_ing_total!G$479</f>
        <v>0.72863015340334114</v>
      </c>
      <c r="I245" s="336">
        <f>Gasto_o_ing_total!H245*1000/Gasto_o_ing_total!H$479</f>
        <v>1.1539970364219976</v>
      </c>
      <c r="J245" s="336">
        <f>Gasto_o_ing_total!I245*1000/Gasto_o_ing_total!I$479</f>
        <v>1.1977199064297237</v>
      </c>
      <c r="K245" s="336">
        <f>Gasto_o_ing_total!J245*1000/Gasto_o_ing_total!J$479</f>
        <v>1.141466598334391</v>
      </c>
      <c r="L245" s="336">
        <f>Gasto_o_ing_total!K245*1000/Gasto_o_ing_total!K$479</f>
        <v>0.95696052543001109</v>
      </c>
      <c r="M245" s="336">
        <f>Gasto_o_ing_total!L245*1000/Gasto_o_ing_total!L$479</f>
        <v>1.196477256765198</v>
      </c>
      <c r="N245" s="336">
        <f>Gasto_o_ing_total!M245*1000/Gasto_o_ing_total!M$479</f>
        <v>0.83618556684668632</v>
      </c>
      <c r="O245" s="336">
        <f>Gasto_o_ing_total!N245*1000/Gasto_o_ing_total!N$479</f>
        <v>0.59191102993344891</v>
      </c>
      <c r="P245" s="336">
        <f>Gasto_o_ing_total!O245*1000/Gasto_o_ing_total!O$479</f>
        <v>0.91107265291036865</v>
      </c>
      <c r="Q245" s="336">
        <f>Gasto_o_ing_total!P245*1000/Gasto_o_ing_total!P$479</f>
        <v>0.96876197136116615</v>
      </c>
      <c r="R245" s="336">
        <f>Gasto_o_ing_total!Q245*1000/Gasto_o_ing_total!Q$479</f>
        <v>1.2539502676959722</v>
      </c>
      <c r="S245" s="336">
        <f>Gasto_o_ing_total!R245*1000/Gasto_o_ing_total!R$479</f>
        <v>2.049793576088633</v>
      </c>
      <c r="T245" s="336">
        <f>Gasto_o_ing_total!S245*1000/Gasto_o_ing_total!S$479</f>
        <v>1.3107703773352208</v>
      </c>
      <c r="U245" s="336">
        <f>Gasto_o_ing_total!T245*1000/Gasto_o_ing_total!T$479</f>
        <v>1.7223128181899636</v>
      </c>
      <c r="V245" s="336">
        <f>Gasto_o_ing_total!U245*1000/Gasto_o_ing_total!U$479</f>
        <v>1.6797835654022042</v>
      </c>
      <c r="W245" s="21"/>
      <c r="X245" s="13"/>
    </row>
    <row r="246" spans="1:24">
      <c r="A246" s="355"/>
      <c r="B246" s="115" t="s">
        <v>266</v>
      </c>
      <c r="C246" s="333" t="str">
        <f>VLOOKUP(B246,Tot_res!C:D,2,FALSE)</f>
        <v>Regulación y supervisción de la aviación civil</v>
      </c>
      <c r="D246" s="336">
        <f>Gasto_o_ing_total!V246*1000/Gasto_o_ing_total!V$479</f>
        <v>1.1312292845397678</v>
      </c>
      <c r="E246" s="336">
        <f>Gasto_o_ing_total!D246*1000/Gasto_o_ing_total!D$479</f>
        <v>0.98073844429760559</v>
      </c>
      <c r="F246" s="336">
        <f>Gasto_o_ing_total!E246*1000/Gasto_o_ing_total!E$479</f>
        <v>1.1070375332626798</v>
      </c>
      <c r="G246" s="336">
        <f>Gasto_o_ing_total!F246*1000/Gasto_o_ing_total!F$479</f>
        <v>1.1283041570762309</v>
      </c>
      <c r="H246" s="336">
        <f>Gasto_o_ing_total!G246*1000/Gasto_o_ing_total!G$479</f>
        <v>1.7611795770323393</v>
      </c>
      <c r="I246" s="336">
        <f>Gasto_o_ing_total!H246*1000/Gasto_o_ing_total!H$479</f>
        <v>1.4487683091400487</v>
      </c>
      <c r="J246" s="336">
        <f>Gasto_o_ing_total!I246*1000/Gasto_o_ing_total!I$479</f>
        <v>1.1373635283845085</v>
      </c>
      <c r="K246" s="336">
        <f>Gasto_o_ing_total!J246*1000/Gasto_o_ing_total!J$479</f>
        <v>0.93219213436788262</v>
      </c>
      <c r="L246" s="336">
        <f>Gasto_o_ing_total!K246*1000/Gasto_o_ing_total!K$479</f>
        <v>1.0309875273007452</v>
      </c>
      <c r="M246" s="336">
        <f>Gasto_o_ing_total!L246*1000/Gasto_o_ing_total!L$479</f>
        <v>1.2608372206497513</v>
      </c>
      <c r="N246" s="336">
        <f>Gasto_o_ing_total!M246*1000/Gasto_o_ing_total!M$479</f>
        <v>1.0515949846317283</v>
      </c>
      <c r="O246" s="336">
        <f>Gasto_o_ing_total!N246*1000/Gasto_o_ing_total!N$479</f>
        <v>0.92616957727627147</v>
      </c>
      <c r="P246" s="336">
        <f>Gasto_o_ing_total!O246*1000/Gasto_o_ing_total!O$479</f>
        <v>1.0093335757415296</v>
      </c>
      <c r="Q246" s="336">
        <f>Gasto_o_ing_total!P246*1000/Gasto_o_ing_total!P$479</f>
        <v>1.2450015731768802</v>
      </c>
      <c r="R246" s="336">
        <f>Gasto_o_ing_total!Q246*1000/Gasto_o_ing_total!Q$479</f>
        <v>1.0091725954207071</v>
      </c>
      <c r="S246" s="336">
        <f>Gasto_o_ing_total!R246*1000/Gasto_o_ing_total!R$479</f>
        <v>1.1338396760311398</v>
      </c>
      <c r="T246" s="336">
        <f>Gasto_o_ing_total!S246*1000/Gasto_o_ing_total!S$479</f>
        <v>1.1701483345262083</v>
      </c>
      <c r="U246" s="336">
        <f>Gasto_o_ing_total!T246*1000/Gasto_o_ing_total!T$479</f>
        <v>1.046246136372893</v>
      </c>
      <c r="V246" s="336">
        <f>Gasto_o_ing_total!U246*1000/Gasto_o_ing_total!U$479</f>
        <v>1.1940283776261704</v>
      </c>
      <c r="W246" s="21"/>
      <c r="X246" s="22"/>
    </row>
    <row r="247" spans="1:24">
      <c r="A247" s="355"/>
      <c r="B247" s="115" t="s">
        <v>267</v>
      </c>
      <c r="C247" s="333" t="str">
        <f>VLOOKUP(B247,Tot_res!C:D,2,FALSE)</f>
        <v>Calidad del agua</v>
      </c>
      <c r="D247" s="336">
        <f>Gasto_o_ing_total!V247*1000/Gasto_o_ing_total!V$479</f>
        <v>2.8519348173084706</v>
      </c>
      <c r="E247" s="336">
        <f>Gasto_o_ing_total!D247*1000/Gasto_o_ing_total!D$479</f>
        <v>0.70439335011626059</v>
      </c>
      <c r="F247" s="336">
        <f>Gasto_o_ing_total!E247*1000/Gasto_o_ing_total!E$479</f>
        <v>10.164039686374498</v>
      </c>
      <c r="G247" s="336">
        <f>Gasto_o_ing_total!F247*1000/Gasto_o_ing_total!F$479</f>
        <v>23.470105552183632</v>
      </c>
      <c r="H247" s="336">
        <f>Gasto_o_ing_total!G247*1000/Gasto_o_ing_total!G$479</f>
        <v>0</v>
      </c>
      <c r="I247" s="336">
        <f>Gasto_o_ing_total!H247*1000/Gasto_o_ing_total!H$479</f>
        <v>3.788106482204614</v>
      </c>
      <c r="J247" s="336">
        <f>Gasto_o_ing_total!I247*1000/Gasto_o_ing_total!I$479</f>
        <v>35.367222825426289</v>
      </c>
      <c r="K247" s="336">
        <f>Gasto_o_ing_total!J247*1000/Gasto_o_ing_total!J$479</f>
        <v>0.36512082575564725</v>
      </c>
      <c r="L247" s="336">
        <f>Gasto_o_ing_total!K247*1000/Gasto_o_ing_total!K$479</f>
        <v>0.14373039132971324</v>
      </c>
      <c r="M247" s="336">
        <f>Gasto_o_ing_total!L247*1000/Gasto_o_ing_total!L$479</f>
        <v>4.7373451361289204E-2</v>
      </c>
      <c r="N247" s="336">
        <f>Gasto_o_ing_total!M247*1000/Gasto_o_ing_total!M$479</f>
        <v>2.272481150336229E-2</v>
      </c>
      <c r="O247" s="336">
        <f>Gasto_o_ing_total!N247*1000/Gasto_o_ing_total!N$479</f>
        <v>28.998332695845058</v>
      </c>
      <c r="P247" s="336">
        <f>Gasto_o_ing_total!O247*1000/Gasto_o_ing_total!O$479</f>
        <v>3.6181343941067428</v>
      </c>
      <c r="Q247" s="336">
        <f>Gasto_o_ing_total!P247*1000/Gasto_o_ing_total!P$479</f>
        <v>6.4714669342369982E-2</v>
      </c>
      <c r="R247" s="336">
        <f>Gasto_o_ing_total!Q247*1000/Gasto_o_ing_total!Q$479</f>
        <v>1.019951149400364E-2</v>
      </c>
      <c r="S247" s="336">
        <f>Gasto_o_ing_total!R247*1000/Gasto_o_ing_total!R$479</f>
        <v>0.21003453710773784</v>
      </c>
      <c r="T247" s="336">
        <f>Gasto_o_ing_total!S247*1000/Gasto_o_ing_total!S$479</f>
        <v>6.4557195858305061</v>
      </c>
      <c r="U247" s="336">
        <f>Gasto_o_ing_total!T247*1000/Gasto_o_ing_total!T$479</f>
        <v>0.30914986448329479</v>
      </c>
      <c r="V247" s="336">
        <f>Gasto_o_ing_total!U247*1000/Gasto_o_ing_total!U$479</f>
        <v>12.40498134871944</v>
      </c>
      <c r="W247" s="21"/>
      <c r="X247" s="22"/>
    </row>
    <row r="248" spans="1:24">
      <c r="A248" s="355"/>
      <c r="B248" s="115" t="s">
        <v>269</v>
      </c>
      <c r="C248" s="333" t="str">
        <f>VLOOKUP(B248,Tot_res!C:D,2,FALSE)</f>
        <v>Protección y mejora del medio ambiente</v>
      </c>
      <c r="D248" s="336">
        <f>Gasto_o_ing_total!V248*1000/Gasto_o_ing_total!V$479</f>
        <v>0.27083504112261753</v>
      </c>
      <c r="E248" s="336">
        <f>Gasto_o_ing_total!D248*1000/Gasto_o_ing_total!D$479</f>
        <v>0.28756497563703609</v>
      </c>
      <c r="F248" s="336">
        <f>Gasto_o_ing_total!E248*1000/Gasto_o_ing_total!E$479</f>
        <v>0.26295715160981464</v>
      </c>
      <c r="G248" s="336">
        <f>Gasto_o_ing_total!F248*1000/Gasto_o_ing_total!F$479</f>
        <v>0.26295715160981464</v>
      </c>
      <c r="H248" s="336">
        <f>Gasto_o_ing_total!G248*1000/Gasto_o_ing_total!G$479</f>
        <v>0.26295715160981459</v>
      </c>
      <c r="I248" s="336">
        <f>Gasto_o_ing_total!H248*1000/Gasto_o_ing_total!H$479</f>
        <v>0.26295715160981464</v>
      </c>
      <c r="J248" s="336">
        <f>Gasto_o_ing_total!I248*1000/Gasto_o_ing_total!I$479</f>
        <v>0.26295715160981464</v>
      </c>
      <c r="K248" s="336">
        <f>Gasto_o_ing_total!J248*1000/Gasto_o_ing_total!J$479</f>
        <v>0.26295715160981464</v>
      </c>
      <c r="L248" s="336">
        <f>Gasto_o_ing_total!K248*1000/Gasto_o_ing_total!K$479</f>
        <v>0.26295715160981464</v>
      </c>
      <c r="M248" s="336">
        <f>Gasto_o_ing_total!L248*1000/Gasto_o_ing_total!L$479</f>
        <v>0.26693789727380401</v>
      </c>
      <c r="N248" s="336">
        <f>Gasto_o_ing_total!M248*1000/Gasto_o_ing_total!M$479</f>
        <v>0.26295715160981464</v>
      </c>
      <c r="O248" s="336">
        <f>Gasto_o_ing_total!N248*1000/Gasto_o_ing_total!N$479</f>
        <v>0.26295715160981459</v>
      </c>
      <c r="P248" s="336">
        <f>Gasto_o_ing_total!O248*1000/Gasto_o_ing_total!O$479</f>
        <v>0.26295715160981459</v>
      </c>
      <c r="Q248" s="336">
        <f>Gasto_o_ing_total!P248*1000/Gasto_o_ing_total!P$479</f>
        <v>0.28344232569217498</v>
      </c>
      <c r="R248" s="336">
        <f>Gasto_o_ing_total!Q248*1000/Gasto_o_ing_total!Q$479</f>
        <v>0.26295715160981459</v>
      </c>
      <c r="S248" s="336">
        <f>Gasto_o_ing_total!R248*1000/Gasto_o_ing_total!R$479</f>
        <v>0.26295715160981464</v>
      </c>
      <c r="T248" s="336">
        <f>Gasto_o_ing_total!S248*1000/Gasto_o_ing_total!S$479</f>
        <v>0.26295715160981464</v>
      </c>
      <c r="U248" s="336">
        <f>Gasto_o_ing_total!T248*1000/Gasto_o_ing_total!T$479</f>
        <v>0.26295715160981464</v>
      </c>
      <c r="V248" s="336">
        <f>Gasto_o_ing_total!U248*1000/Gasto_o_ing_total!U$479</f>
        <v>0.26295715160981459</v>
      </c>
      <c r="W248" s="21"/>
      <c r="X248" s="13"/>
    </row>
    <row r="249" spans="1:24">
      <c r="A249" s="355"/>
      <c r="B249" s="115" t="s">
        <v>271</v>
      </c>
      <c r="C249" s="333" t="str">
        <f>VLOOKUP(B249,Tot_res!C:D,2,FALSE)</f>
        <v>Protección y mejora del medio natural + AF09</v>
      </c>
      <c r="D249" s="336">
        <f>Gasto_o_ing_total!V249*1000/Gasto_o_ing_total!V$479</f>
        <v>3.6155599822286555</v>
      </c>
      <c r="E249" s="336">
        <f>Gasto_o_ing_total!D249*1000/Gasto_o_ing_total!D$479</f>
        <v>2.4414948203669264</v>
      </c>
      <c r="F249" s="336">
        <f>Gasto_o_ing_total!E249*1000/Gasto_o_ing_total!E$479</f>
        <v>4.5527858179780667</v>
      </c>
      <c r="G249" s="336">
        <f>Gasto_o_ing_total!F249*1000/Gasto_o_ing_total!F$479</f>
        <v>6.5556842563866438</v>
      </c>
      <c r="H249" s="336">
        <f>Gasto_o_ing_total!G249*1000/Gasto_o_ing_total!G$479</f>
        <v>2.1213887133982667</v>
      </c>
      <c r="I249" s="336">
        <f>Gasto_o_ing_total!H249*1000/Gasto_o_ing_total!H$479</f>
        <v>4.4786847341691747</v>
      </c>
      <c r="J249" s="336">
        <f>Gasto_o_ing_total!I249*1000/Gasto_o_ing_total!I$479</f>
        <v>2.2902573923461387</v>
      </c>
      <c r="K249" s="336">
        <f>Gasto_o_ing_total!J249*1000/Gasto_o_ing_total!J$479</f>
        <v>10.123696897435275</v>
      </c>
      <c r="L249" s="336">
        <f>Gasto_o_ing_total!K249*1000/Gasto_o_ing_total!K$479</f>
        <v>11.410446858335565</v>
      </c>
      <c r="M249" s="336">
        <f>Gasto_o_ing_total!L249*1000/Gasto_o_ing_total!L$479</f>
        <v>2.0090519825489337</v>
      </c>
      <c r="N249" s="336">
        <f>Gasto_o_ing_total!M249*1000/Gasto_o_ing_total!M$479</f>
        <v>2.2592211439041368</v>
      </c>
      <c r="O249" s="336">
        <f>Gasto_o_ing_total!N249*1000/Gasto_o_ing_total!N$479</f>
        <v>9.9493296773752355</v>
      </c>
      <c r="P249" s="336">
        <f>Gasto_o_ing_total!O249*1000/Gasto_o_ing_total!O$479</f>
        <v>3.2924110695700373</v>
      </c>
      <c r="Q249" s="336">
        <f>Gasto_o_ing_total!P249*1000/Gasto_o_ing_total!P$479</f>
        <v>1.9578197558113146</v>
      </c>
      <c r="R249" s="336">
        <f>Gasto_o_ing_total!Q249*1000/Gasto_o_ing_total!Q$479</f>
        <v>2.609251210029695</v>
      </c>
      <c r="S249" s="336">
        <f>Gasto_o_ing_total!R249*1000/Gasto_o_ing_total!R$479</f>
        <v>3.1239012702001729</v>
      </c>
      <c r="T249" s="336">
        <f>Gasto_o_ing_total!S249*1000/Gasto_o_ing_total!S$479</f>
        <v>3.1523762117888361</v>
      </c>
      <c r="U249" s="336">
        <f>Gasto_o_ing_total!T249*1000/Gasto_o_ing_total!T$479</f>
        <v>4.5325403712430212</v>
      </c>
      <c r="V249" s="336">
        <f>Gasto_o_ing_total!U249*1000/Gasto_o_ing_total!U$479</f>
        <v>1.4872764615416878</v>
      </c>
      <c r="W249" s="21"/>
      <c r="X249" s="23"/>
    </row>
    <row r="250" spans="1:24">
      <c r="A250" s="355"/>
      <c r="B250" s="115" t="s">
        <v>273</v>
      </c>
      <c r="C250" s="333" t="str">
        <f>VLOOKUP(B250,Tot_res!C:D,2,FALSE)</f>
        <v>Actuación en la costa</v>
      </c>
      <c r="D250" s="336">
        <f>Gasto_o_ing_total!V250*1000/Gasto_o_ing_total!V$479</f>
        <v>1.476724854965527</v>
      </c>
      <c r="E250" s="336">
        <f>Gasto_o_ing_total!D250*1000/Gasto_o_ing_total!D$479</f>
        <v>0.88673836193494338</v>
      </c>
      <c r="F250" s="336">
        <f>Gasto_o_ing_total!E250*1000/Gasto_o_ing_total!E$479</f>
        <v>0.39015715403104095</v>
      </c>
      <c r="G250" s="336">
        <f>Gasto_o_ing_total!F250*1000/Gasto_o_ing_total!F$479</f>
        <v>1.3007729178885723</v>
      </c>
      <c r="H250" s="336">
        <f>Gasto_o_ing_total!G250*1000/Gasto_o_ing_total!G$479</f>
        <v>1.5712552270795275</v>
      </c>
      <c r="I250" s="336">
        <f>Gasto_o_ing_total!H250*1000/Gasto_o_ing_total!H$479</f>
        <v>9.9145930939981923</v>
      </c>
      <c r="J250" s="336">
        <f>Gasto_o_ing_total!I250*1000/Gasto_o_ing_total!I$479</f>
        <v>1.8240097757131184</v>
      </c>
      <c r="K250" s="336">
        <f>Gasto_o_ing_total!J250*1000/Gasto_o_ing_total!J$479</f>
        <v>0.35939564795332585</v>
      </c>
      <c r="L250" s="336">
        <f>Gasto_o_ing_total!K250*1000/Gasto_o_ing_total!K$479</f>
        <v>0.33285195961237329</v>
      </c>
      <c r="M250" s="336">
        <f>Gasto_o_ing_total!L250*1000/Gasto_o_ing_total!L$479</f>
        <v>0.87817070878485537</v>
      </c>
      <c r="N250" s="336">
        <f>Gasto_o_ing_total!M250*1000/Gasto_o_ing_total!M$479</f>
        <v>3.0272603908141553</v>
      </c>
      <c r="O250" s="336">
        <f>Gasto_o_ing_total!N250*1000/Gasto_o_ing_total!N$479</f>
        <v>0.31315078377346478</v>
      </c>
      <c r="P250" s="336">
        <f>Gasto_o_ing_total!O250*1000/Gasto_o_ing_total!O$479</f>
        <v>1.7196006138147506</v>
      </c>
      <c r="Q250" s="336">
        <f>Gasto_o_ing_total!P250*1000/Gasto_o_ing_total!P$479</f>
        <v>0.43638185739842877</v>
      </c>
      <c r="R250" s="336">
        <f>Gasto_o_ing_total!Q250*1000/Gasto_o_ing_total!Q$479</f>
        <v>1.1153267557055038</v>
      </c>
      <c r="S250" s="336">
        <f>Gasto_o_ing_total!R250*1000/Gasto_o_ing_total!R$479</f>
        <v>0.41303047635096052</v>
      </c>
      <c r="T250" s="336">
        <f>Gasto_o_ing_total!S250*1000/Gasto_o_ing_total!S$479</f>
        <v>1.1934926695645784</v>
      </c>
      <c r="U250" s="336">
        <f>Gasto_o_ing_total!T250*1000/Gasto_o_ing_total!T$479</f>
        <v>0.38342096514356161</v>
      </c>
      <c r="V250" s="336">
        <f>Gasto_o_ing_total!U250*1000/Gasto_o_ing_total!U$479</f>
        <v>0.71557667177736195</v>
      </c>
      <c r="W250" s="21"/>
      <c r="X250" s="22"/>
    </row>
    <row r="251" spans="1:24">
      <c r="A251" s="355"/>
      <c r="B251" s="115" t="s">
        <v>275</v>
      </c>
      <c r="C251" s="333" t="str">
        <f>VLOOKUP(B251,Tot_res!C:D,2,FALSE)</f>
        <v>Actuac. prevención contaminac. y cambio climático</v>
      </c>
      <c r="D251" s="336">
        <f>Gasto_o_ing_total!V251*1000/Gasto_o_ing_total!V$479</f>
        <v>0.42095957424322206</v>
      </c>
      <c r="E251" s="336">
        <f>Gasto_o_ing_total!D251*1000/Gasto_o_ing_total!D$479</f>
        <v>0.42095957424322206</v>
      </c>
      <c r="F251" s="336">
        <f>Gasto_o_ing_total!E251*1000/Gasto_o_ing_total!E$479</f>
        <v>0.42095957424322206</v>
      </c>
      <c r="G251" s="336">
        <f>Gasto_o_ing_total!F251*1000/Gasto_o_ing_total!F$479</f>
        <v>0.42095957424322211</v>
      </c>
      <c r="H251" s="336">
        <f>Gasto_o_ing_total!G251*1000/Gasto_o_ing_total!G$479</f>
        <v>0.42095957424322206</v>
      </c>
      <c r="I251" s="336">
        <f>Gasto_o_ing_total!H251*1000/Gasto_o_ing_total!H$479</f>
        <v>0.42095957424322206</v>
      </c>
      <c r="J251" s="336">
        <f>Gasto_o_ing_total!I251*1000/Gasto_o_ing_total!I$479</f>
        <v>0.42095957424322206</v>
      </c>
      <c r="K251" s="336">
        <f>Gasto_o_ing_total!J251*1000/Gasto_o_ing_total!J$479</f>
        <v>0.42095957424322206</v>
      </c>
      <c r="L251" s="336">
        <f>Gasto_o_ing_total!K251*1000/Gasto_o_ing_total!K$479</f>
        <v>0.42095957424322206</v>
      </c>
      <c r="M251" s="336">
        <f>Gasto_o_ing_total!L251*1000/Gasto_o_ing_total!L$479</f>
        <v>0.42095957424322206</v>
      </c>
      <c r="N251" s="336">
        <f>Gasto_o_ing_total!M251*1000/Gasto_o_ing_total!M$479</f>
        <v>0.42095957424322211</v>
      </c>
      <c r="O251" s="336">
        <f>Gasto_o_ing_total!N251*1000/Gasto_o_ing_total!N$479</f>
        <v>0.420959574243222</v>
      </c>
      <c r="P251" s="336">
        <f>Gasto_o_ing_total!O251*1000/Gasto_o_ing_total!O$479</f>
        <v>0.42095957424322206</v>
      </c>
      <c r="Q251" s="336">
        <f>Gasto_o_ing_total!P251*1000/Gasto_o_ing_total!P$479</f>
        <v>0.42095957424322206</v>
      </c>
      <c r="R251" s="336">
        <f>Gasto_o_ing_total!Q251*1000/Gasto_o_ing_total!Q$479</f>
        <v>0.420959574243222</v>
      </c>
      <c r="S251" s="336">
        <f>Gasto_o_ing_total!R251*1000/Gasto_o_ing_total!R$479</f>
        <v>0.42095957424322206</v>
      </c>
      <c r="T251" s="336">
        <f>Gasto_o_ing_total!S251*1000/Gasto_o_ing_total!S$479</f>
        <v>0.42095957424322206</v>
      </c>
      <c r="U251" s="336">
        <f>Gasto_o_ing_total!T251*1000/Gasto_o_ing_total!T$479</f>
        <v>0.42095957424322206</v>
      </c>
      <c r="V251" s="336">
        <f>Gasto_o_ing_total!U251*1000/Gasto_o_ing_total!U$479</f>
        <v>0.420959574243222</v>
      </c>
      <c r="W251" s="21"/>
      <c r="X251" s="22"/>
    </row>
    <row r="252" spans="1:24">
      <c r="A252" s="355"/>
      <c r="B252" s="115" t="s">
        <v>276</v>
      </c>
      <c r="C252" s="333" t="str">
        <f>VLOOKUP(B252,Tot_res!C:D,2,FALSE)</f>
        <v>Investigación, desarrollo y experimentación en transporte e infraestructuras</v>
      </c>
      <c r="D252" s="336">
        <f>Gasto_o_ing_total!V252*1000/Gasto_o_ing_total!V$479</f>
        <v>4.7709228698902461E-3</v>
      </c>
      <c r="E252" s="336">
        <f>Gasto_o_ing_total!D252*1000/Gasto_o_ing_total!D$479</f>
        <v>3.7501662763646548E-3</v>
      </c>
      <c r="F252" s="336">
        <f>Gasto_o_ing_total!E252*1000/Gasto_o_ing_total!E$479</f>
        <v>8.2609486420592709E-3</v>
      </c>
      <c r="G252" s="336">
        <f>Gasto_o_ing_total!F252*1000/Gasto_o_ing_total!F$479</f>
        <v>8.1808537522136699E-3</v>
      </c>
      <c r="H252" s="336">
        <f>Gasto_o_ing_total!G252*1000/Gasto_o_ing_total!G$479</f>
        <v>1.3182506628058393E-3</v>
      </c>
      <c r="I252" s="336">
        <f>Gasto_o_ing_total!H252*1000/Gasto_o_ing_total!H$479</f>
        <v>3.4664868507035501E-3</v>
      </c>
      <c r="J252" s="336">
        <f>Gasto_o_ing_total!I252*1000/Gasto_o_ing_total!I$479</f>
        <v>7.8745124267916872E-3</v>
      </c>
      <c r="K252" s="336">
        <f>Gasto_o_ing_total!J252*1000/Gasto_o_ing_total!J$479</f>
        <v>1.0490305350803116E-2</v>
      </c>
      <c r="L252" s="336">
        <f>Gasto_o_ing_total!K252*1000/Gasto_o_ing_total!K$479</f>
        <v>7.2419976202147433E-3</v>
      </c>
      <c r="M252" s="336">
        <f>Gasto_o_ing_total!L252*1000/Gasto_o_ing_total!L$479</f>
        <v>3.6215181217309242E-3</v>
      </c>
      <c r="N252" s="336">
        <f>Gasto_o_ing_total!M252*1000/Gasto_o_ing_total!M$479</f>
        <v>3.4858360025093855E-3</v>
      </c>
      <c r="O252" s="336">
        <f>Gasto_o_ing_total!N252*1000/Gasto_o_ing_total!N$479</f>
        <v>7.7804616160485895E-3</v>
      </c>
      <c r="P252" s="336">
        <f>Gasto_o_ing_total!O252*1000/Gasto_o_ing_total!O$479</f>
        <v>6.2981894589421439E-3</v>
      </c>
      <c r="Q252" s="336">
        <f>Gasto_o_ing_total!P252*1000/Gasto_o_ing_total!P$479</f>
        <v>3.7802458575304856E-3</v>
      </c>
      <c r="R252" s="336">
        <f>Gasto_o_ing_total!Q252*1000/Gasto_o_ing_total!Q$479</f>
        <v>3.8295634756250214E-3</v>
      </c>
      <c r="S252" s="336">
        <f>Gasto_o_ing_total!R252*1000/Gasto_o_ing_total!R$479</f>
        <v>4.1180605273493038E-3</v>
      </c>
      <c r="T252" s="336">
        <f>Gasto_o_ing_total!S252*1000/Gasto_o_ing_total!S$479</f>
        <v>5.3811470437999881E-3</v>
      </c>
      <c r="U252" s="336">
        <f>Gasto_o_ing_total!T252*1000/Gasto_o_ing_total!T$479</f>
        <v>6.0881859965657937E-3</v>
      </c>
      <c r="V252" s="336">
        <f>Gasto_o_ing_total!U252*1000/Gasto_o_ing_total!U$479</f>
        <v>2.6290579671659534E-3</v>
      </c>
      <c r="W252" s="21"/>
      <c r="X252" s="13"/>
    </row>
    <row r="253" spans="1:24">
      <c r="A253" s="355"/>
      <c r="B253" s="115" t="s">
        <v>277</v>
      </c>
      <c r="C253" s="333" t="str">
        <f>VLOOKUP(B253,Tot_res!C:D,2,FALSE)</f>
        <v>Servicio postal universal</v>
      </c>
      <c r="D253" s="336">
        <f>Gasto_o_ing_total!V253*1000/Gasto_o_ing_total!V$479</f>
        <v>6.7667182539795814</v>
      </c>
      <c r="E253" s="336">
        <f>Gasto_o_ing_total!D253*1000/Gasto_o_ing_total!D$479</f>
        <v>3.7554837405352335</v>
      </c>
      <c r="F253" s="336">
        <f>Gasto_o_ing_total!E253*1000/Gasto_o_ing_total!E$479</f>
        <v>9.0341022042369623</v>
      </c>
      <c r="G253" s="336">
        <f>Gasto_o_ing_total!F253*1000/Gasto_o_ing_total!F$479</f>
        <v>5.7398542842605842</v>
      </c>
      <c r="H253" s="336">
        <f>Gasto_o_ing_total!G253*1000/Gasto_o_ing_total!G$479</f>
        <v>16.917970504855536</v>
      </c>
      <c r="I253" s="336">
        <f>Gasto_o_ing_total!H253*1000/Gasto_o_ing_total!H$479</f>
        <v>33.796768719884071</v>
      </c>
      <c r="J253" s="336">
        <f>Gasto_o_ing_total!I253*1000/Gasto_o_ing_total!I$479</f>
        <v>8.2532756044690707</v>
      </c>
      <c r="K253" s="336">
        <f>Gasto_o_ing_total!J253*1000/Gasto_o_ing_total!J$479</f>
        <v>12.916462467787683</v>
      </c>
      <c r="L253" s="336">
        <f>Gasto_o_ing_total!K253*1000/Gasto_o_ing_total!K$479</f>
        <v>11.299998248330722</v>
      </c>
      <c r="M253" s="336">
        <f>Gasto_o_ing_total!L253*1000/Gasto_o_ing_total!L$479</f>
        <v>3.753467665394469</v>
      </c>
      <c r="N253" s="336">
        <f>Gasto_o_ing_total!M253*1000/Gasto_o_ing_total!M$479</f>
        <v>3.2195525782817094</v>
      </c>
      <c r="O253" s="336">
        <f>Gasto_o_ing_total!N253*1000/Gasto_o_ing_total!N$479</f>
        <v>12.375736161204921</v>
      </c>
      <c r="P253" s="336">
        <f>Gasto_o_ing_total!O253*1000/Gasto_o_ing_total!O$479</f>
        <v>11.163769661653012</v>
      </c>
      <c r="Q253" s="336">
        <f>Gasto_o_ing_total!P253*1000/Gasto_o_ing_total!P$479</f>
        <v>0.8401049358763707</v>
      </c>
      <c r="R253" s="336">
        <f>Gasto_o_ing_total!Q253*1000/Gasto_o_ing_total!Q$479</f>
        <v>0.77555126231206739</v>
      </c>
      <c r="S253" s="336">
        <f>Gasto_o_ing_total!R253*1000/Gasto_o_ing_total!R$479</f>
        <v>11.514503708939007</v>
      </c>
      <c r="T253" s="336">
        <f>Gasto_o_ing_total!S253*1000/Gasto_o_ing_total!S$479</f>
        <v>3.8319685377363313</v>
      </c>
      <c r="U253" s="336">
        <f>Gasto_o_ing_total!T253*1000/Gasto_o_ing_total!T$479</f>
        <v>8.4662405112263066</v>
      </c>
      <c r="V253" s="336">
        <f>Gasto_o_ing_total!U253*1000/Gasto_o_ing_total!U$479</f>
        <v>16.783026047044856</v>
      </c>
      <c r="W253" s="21"/>
      <c r="X253" s="13"/>
    </row>
    <row r="254" spans="1:24">
      <c r="A254" s="355"/>
      <c r="B254" s="115" t="s">
        <v>767</v>
      </c>
      <c r="C254" s="333" t="str">
        <f>VLOOKUP(B254,Tot_res!C:D,2,FALSE)</f>
        <v>Salvamento y lucha contra la contaminación en la mar</v>
      </c>
      <c r="D254" s="336">
        <f>Gasto_o_ing_total!V254*1000/Gasto_o_ing_total!V$479</f>
        <v>2.1746278564248072</v>
      </c>
      <c r="E254" s="336">
        <f>Gasto_o_ing_total!D254*1000/Gasto_o_ing_total!D$479</f>
        <v>1.589581426119862</v>
      </c>
      <c r="F254" s="336">
        <f>Gasto_o_ing_total!E254*1000/Gasto_o_ing_total!E$479</f>
        <v>3.5480739056066648</v>
      </c>
      <c r="G254" s="336">
        <f>Gasto_o_ing_total!F254*1000/Gasto_o_ing_total!F$479</f>
        <v>1.8997905984679551</v>
      </c>
      <c r="H254" s="336">
        <f>Gasto_o_ing_total!G254*1000/Gasto_o_ing_total!G$479</f>
        <v>1.5564415665999598</v>
      </c>
      <c r="I254" s="336">
        <f>Gasto_o_ing_total!H254*1000/Gasto_o_ing_total!H$479</f>
        <v>2.4650763447420738</v>
      </c>
      <c r="J254" s="336">
        <f>Gasto_o_ing_total!I254*1000/Gasto_o_ing_total!I$479</f>
        <v>2.558473649222555</v>
      </c>
      <c r="K254" s="336">
        <f>Gasto_o_ing_total!J254*1000/Gasto_o_ing_total!J$479</f>
        <v>2.4383098232137477</v>
      </c>
      <c r="L254" s="336">
        <f>Gasto_o_ing_total!K254*1000/Gasto_o_ing_total!K$479</f>
        <v>2.044182679535778</v>
      </c>
      <c r="M254" s="336">
        <f>Gasto_o_ing_total!L254*1000/Gasto_o_ing_total!L$479</f>
        <v>2.5558192002108644</v>
      </c>
      <c r="N254" s="336">
        <f>Gasto_o_ing_total!M254*1000/Gasto_o_ing_total!M$479</f>
        <v>1.7861928545670369</v>
      </c>
      <c r="O254" s="336">
        <f>Gasto_o_ing_total!N254*1000/Gasto_o_ing_total!N$479</f>
        <v>1.2643930894353628</v>
      </c>
      <c r="P254" s="336">
        <f>Gasto_o_ing_total!O254*1000/Gasto_o_ing_total!O$479</f>
        <v>1.9461606695231413</v>
      </c>
      <c r="Q254" s="336">
        <f>Gasto_o_ing_total!P254*1000/Gasto_o_ing_total!P$479</f>
        <v>2.0693919862154919</v>
      </c>
      <c r="R254" s="336">
        <f>Gasto_o_ing_total!Q254*1000/Gasto_o_ing_total!Q$479</f>
        <v>2.6785884580469363</v>
      </c>
      <c r="S254" s="336">
        <f>Gasto_o_ing_total!R254*1000/Gasto_o_ing_total!R$479</f>
        <v>4.3786054006577109</v>
      </c>
      <c r="T254" s="336">
        <f>Gasto_o_ing_total!S254*1000/Gasto_o_ing_total!S$479</f>
        <v>2.7999630402656579</v>
      </c>
      <c r="U254" s="336">
        <f>Gasto_o_ing_total!T254*1000/Gasto_o_ing_total!T$479</f>
        <v>3.6790671486729685</v>
      </c>
      <c r="V254" s="336">
        <f>Gasto_o_ing_total!U254*1000/Gasto_o_ing_total!U$479</f>
        <v>3.5882195540104083</v>
      </c>
      <c r="W254" s="21"/>
      <c r="X254" s="13"/>
    </row>
    <row r="255" spans="1:24">
      <c r="A255" s="355"/>
      <c r="B255" s="115" t="s">
        <v>769</v>
      </c>
      <c r="C255" s="333" t="str">
        <f>VLOOKUP(B255,Tot_res!C:D,2,FALSE)</f>
        <v>Otras aportaciones a Corporaciones Locales, transferencias a corporaciones locales para financiar los servicios de transporte colectivo urbano</v>
      </c>
      <c r="D255" s="336">
        <f>Gasto_o_ing_total!V255*1000/Gasto_o_ing_total!V$479</f>
        <v>1.08741491720589</v>
      </c>
      <c r="E255" s="336">
        <f>Gasto_o_ing_total!D255*1000/Gasto_o_ing_total!D$479</f>
        <v>2.4038465866770609</v>
      </c>
      <c r="F255" s="336">
        <f>Gasto_o_ing_total!E255*1000/Gasto_o_ing_total!E$479</f>
        <v>3.9622231327185613</v>
      </c>
      <c r="G255" s="336">
        <f>Gasto_o_ing_total!F255*1000/Gasto_o_ing_total!F$479</f>
        <v>1.7682158164551642</v>
      </c>
      <c r="H255" s="336">
        <f>Gasto_o_ing_total!G255*1000/Gasto_o_ing_total!G$479</f>
        <v>1.9875076519694679</v>
      </c>
      <c r="I255" s="336">
        <f>Gasto_o_ing_total!H255*1000/Gasto_o_ing_total!H$479</f>
        <v>0</v>
      </c>
      <c r="J255" s="336">
        <f>Gasto_o_ing_total!I255*1000/Gasto_o_ing_total!I$479</f>
        <v>1.5316498156781959</v>
      </c>
      <c r="K255" s="336">
        <f>Gasto_o_ing_total!J255*1000/Gasto_o_ing_total!J$479</f>
        <v>1.5297811518815314</v>
      </c>
      <c r="L255" s="336">
        <f>Gasto_o_ing_total!K255*1000/Gasto_o_ing_total!K$479</f>
        <v>0.56475139181679435</v>
      </c>
      <c r="M255" s="336">
        <f>Gasto_o_ing_total!L255*1000/Gasto_o_ing_total!L$479</f>
        <v>0.40977265099018062</v>
      </c>
      <c r="N255" s="336">
        <f>Gasto_o_ing_total!M255*1000/Gasto_o_ing_total!M$479</f>
        <v>1.4234929747113723</v>
      </c>
      <c r="O255" s="336">
        <f>Gasto_o_ing_total!N255*1000/Gasto_o_ing_total!N$479</f>
        <v>0.68445968390423828</v>
      </c>
      <c r="P255" s="336">
        <f>Gasto_o_ing_total!O255*1000/Gasto_o_ing_total!O$479</f>
        <v>1.1118451175825781</v>
      </c>
      <c r="Q255" s="336">
        <f>Gasto_o_ing_total!P255*1000/Gasto_o_ing_total!P$479</f>
        <v>0</v>
      </c>
      <c r="R255" s="336">
        <f>Gasto_o_ing_total!Q255*1000/Gasto_o_ing_total!Q$479</f>
        <v>0.4091576787925415</v>
      </c>
      <c r="S255" s="336">
        <f>Gasto_o_ing_total!R255*1000/Gasto_o_ing_total!R$479</f>
        <v>2.8009744278815221E-4</v>
      </c>
      <c r="T255" s="336">
        <f>Gasto_o_ing_total!S255*1000/Gasto_o_ing_total!S$479</f>
        <v>1.206665560290248E-2</v>
      </c>
      <c r="U255" s="336">
        <f>Gasto_o_ing_total!T255*1000/Gasto_o_ing_total!T$479</f>
        <v>1.9448730088654336</v>
      </c>
      <c r="V255" s="336">
        <f>Gasto_o_ing_total!U255*1000/Gasto_o_ing_total!U$479</f>
        <v>0.8961656058885783</v>
      </c>
      <c r="W255" s="21"/>
      <c r="X255" s="22"/>
    </row>
    <row r="256" spans="1:24">
      <c r="A256" s="355"/>
      <c r="B256" s="115" t="s">
        <v>770</v>
      </c>
      <c r="C256" s="333" t="str">
        <f>VLOOKUP(B256,Tot_res!C:D,2,FALSE)</f>
        <v>Otras aportaciones a Corporaciones Locales, mejoras suminstro agua CyMel</v>
      </c>
      <c r="D256" s="336">
        <f>Gasto_o_ing_total!V256*1000/Gasto_o_ing_total!V$479</f>
        <v>0.2531983576682213</v>
      </c>
      <c r="E256" s="336">
        <f>Gasto_o_ing_total!D256*1000/Gasto_o_ing_total!D$479</f>
        <v>0.57043842327240946</v>
      </c>
      <c r="F256" s="336">
        <f>Gasto_o_ing_total!E256*1000/Gasto_o_ing_total!E$479</f>
        <v>0</v>
      </c>
      <c r="G256" s="336">
        <f>Gasto_o_ing_total!F256*1000/Gasto_o_ing_total!F$479</f>
        <v>0</v>
      </c>
      <c r="H256" s="336">
        <f>Gasto_o_ing_total!G256*1000/Gasto_o_ing_total!G$479</f>
        <v>0</v>
      </c>
      <c r="I256" s="336">
        <f>Gasto_o_ing_total!H256*1000/Gasto_o_ing_total!H$479</f>
        <v>0</v>
      </c>
      <c r="J256" s="336">
        <f>Gasto_o_ing_total!I256*1000/Gasto_o_ing_total!I$479</f>
        <v>0</v>
      </c>
      <c r="K256" s="336">
        <f>Gasto_o_ing_total!J256*1000/Gasto_o_ing_total!J$479</f>
        <v>0</v>
      </c>
      <c r="L256" s="336">
        <f>Gasto_o_ing_total!K256*1000/Gasto_o_ing_total!K$479</f>
        <v>0</v>
      </c>
      <c r="M256" s="336">
        <f>Gasto_o_ing_total!L256*1000/Gasto_o_ing_total!L$479</f>
        <v>0</v>
      </c>
      <c r="N256" s="336">
        <f>Gasto_o_ing_total!M256*1000/Gasto_o_ing_total!M$479</f>
        <v>0</v>
      </c>
      <c r="O256" s="336">
        <f>Gasto_o_ing_total!N256*1000/Gasto_o_ing_total!N$479</f>
        <v>0</v>
      </c>
      <c r="P256" s="336">
        <f>Gasto_o_ing_total!O256*1000/Gasto_o_ing_total!O$479</f>
        <v>0</v>
      </c>
      <c r="Q256" s="336">
        <f>Gasto_o_ing_total!P256*1000/Gasto_o_ing_total!P$479</f>
        <v>0</v>
      </c>
      <c r="R256" s="336">
        <f>Gasto_o_ing_total!Q256*1000/Gasto_o_ing_total!Q$479</f>
        <v>0</v>
      </c>
      <c r="S256" s="336">
        <f>Gasto_o_ing_total!R256*1000/Gasto_o_ing_total!R$479</f>
        <v>0</v>
      </c>
      <c r="T256" s="336">
        <f>Gasto_o_ing_total!S256*1000/Gasto_o_ing_total!S$479</f>
        <v>0</v>
      </c>
      <c r="U256" s="336">
        <f>Gasto_o_ing_total!T256*1000/Gasto_o_ing_total!T$479</f>
        <v>0</v>
      </c>
      <c r="V256" s="336">
        <f>Gasto_o_ing_total!U256*1000/Gasto_o_ing_total!U$479</f>
        <v>42.000116621360029</v>
      </c>
      <c r="W256" s="21"/>
      <c r="X256" s="22"/>
    </row>
    <row r="257" spans="1:24">
      <c r="A257" s="355"/>
      <c r="B257" s="115" t="s">
        <v>279</v>
      </c>
      <c r="C257" s="333" t="str">
        <f>VLOOKUP(B257,Tot_res!C:D,2,FALSE)</f>
        <v>Obras hidráulicas</v>
      </c>
      <c r="D257" s="336">
        <f>Gasto_o_ing_total!V257*1000/Gasto_o_ing_total!V$479</f>
        <v>3.957129495914864</v>
      </c>
      <c r="E257" s="336">
        <f>Gasto_o_ing_total!D257*1000/Gasto_o_ing_total!D$479</f>
        <v>0</v>
      </c>
      <c r="F257" s="336">
        <f>Gasto_o_ing_total!E257*1000/Gasto_o_ing_total!E$479</f>
        <v>0</v>
      </c>
      <c r="G257" s="336">
        <f>Gasto_o_ing_total!F257*1000/Gasto_o_ing_total!F$479</f>
        <v>0</v>
      </c>
      <c r="H257" s="336">
        <f>Gasto_o_ing_total!G257*1000/Gasto_o_ing_total!G$479</f>
        <v>0</v>
      </c>
      <c r="I257" s="336">
        <f>Gasto_o_ing_total!H257*1000/Gasto_o_ing_total!H$479</f>
        <v>6.0773371186826495</v>
      </c>
      <c r="J257" s="336">
        <f>Gasto_o_ing_total!I257*1000/Gasto_o_ing_total!I$479</f>
        <v>0</v>
      </c>
      <c r="K257" s="336">
        <f>Gasto_o_ing_total!J257*1000/Gasto_o_ing_total!J$479</f>
        <v>0</v>
      </c>
      <c r="L257" s="336">
        <f>Gasto_o_ing_total!K257*1000/Gasto_o_ing_total!K$479</f>
        <v>0</v>
      </c>
      <c r="M257" s="336">
        <f>Gasto_o_ing_total!L257*1000/Gasto_o_ing_total!L$479</f>
        <v>18.137444216669511</v>
      </c>
      <c r="N257" s="336">
        <f>Gasto_o_ing_total!M257*1000/Gasto_o_ing_total!M$479</f>
        <v>0</v>
      </c>
      <c r="O257" s="336">
        <f>Gasto_o_ing_total!N257*1000/Gasto_o_ing_total!N$479</f>
        <v>0</v>
      </c>
      <c r="P257" s="336">
        <f>Gasto_o_ing_total!O257*1000/Gasto_o_ing_total!O$479</f>
        <v>13.152950536695716</v>
      </c>
      <c r="Q257" s="336">
        <f>Gasto_o_ing_total!P257*1000/Gasto_o_ing_total!P$479</f>
        <v>0</v>
      </c>
      <c r="R257" s="336">
        <f>Gasto_o_ing_total!Q257*1000/Gasto_o_ing_total!Q$479</f>
        <v>0</v>
      </c>
      <c r="S257" s="336">
        <f>Gasto_o_ing_total!R257*1000/Gasto_o_ing_total!R$479</f>
        <v>0</v>
      </c>
      <c r="T257" s="336">
        <f>Gasto_o_ing_total!S257*1000/Gasto_o_ing_total!S$479</f>
        <v>0</v>
      </c>
      <c r="U257" s="336">
        <f>Gasto_o_ing_total!T257*1000/Gasto_o_ing_total!T$479</f>
        <v>0</v>
      </c>
      <c r="V257" s="336">
        <f>Gasto_o_ing_total!U257*1000/Gasto_o_ing_total!U$479</f>
        <v>0</v>
      </c>
      <c r="W257" s="21"/>
      <c r="X257" s="22"/>
    </row>
    <row r="258" spans="1:24">
      <c r="A258" s="355"/>
      <c r="B258" s="115" t="s">
        <v>280</v>
      </c>
      <c r="C258" s="333" t="str">
        <f>VLOOKUP(B258,Tot_res!C:D,2,FALSE)</f>
        <v>Confederaciones hidrográficas, Andalucía</v>
      </c>
      <c r="D258" s="336">
        <f>Gasto_o_ing_total!V258*1000/Gasto_o_ing_total!V$479</f>
        <v>3.9837378529797687</v>
      </c>
      <c r="E258" s="336">
        <f>Gasto_o_ing_total!D258*1000/Gasto_o_ing_total!D$479</f>
        <v>22.210190295156067</v>
      </c>
      <c r="F258" s="336">
        <f>Gasto_o_ing_total!E258*1000/Gasto_o_ing_total!E$479</f>
        <v>0</v>
      </c>
      <c r="G258" s="336">
        <f>Gasto_o_ing_total!F258*1000/Gasto_o_ing_total!F$479</f>
        <v>0</v>
      </c>
      <c r="H258" s="336">
        <f>Gasto_o_ing_total!G258*1000/Gasto_o_ing_total!G$479</f>
        <v>0</v>
      </c>
      <c r="I258" s="336">
        <f>Gasto_o_ing_total!H258*1000/Gasto_o_ing_total!H$479</f>
        <v>0</v>
      </c>
      <c r="J258" s="336">
        <f>Gasto_o_ing_total!I258*1000/Gasto_o_ing_total!I$479</f>
        <v>0</v>
      </c>
      <c r="K258" s="336">
        <f>Gasto_o_ing_total!J258*1000/Gasto_o_ing_total!J$479</f>
        <v>0</v>
      </c>
      <c r="L258" s="336">
        <f>Gasto_o_ing_total!K258*1000/Gasto_o_ing_total!K$479</f>
        <v>0</v>
      </c>
      <c r="M258" s="336">
        <f>Gasto_o_ing_total!L258*1000/Gasto_o_ing_total!L$479</f>
        <v>0</v>
      </c>
      <c r="N258" s="336">
        <f>Gasto_o_ing_total!M258*1000/Gasto_o_ing_total!M$479</f>
        <v>0</v>
      </c>
      <c r="O258" s="336">
        <f>Gasto_o_ing_total!N258*1000/Gasto_o_ing_total!N$479</f>
        <v>0</v>
      </c>
      <c r="P258" s="336">
        <f>Gasto_o_ing_total!O258*1000/Gasto_o_ing_total!O$479</f>
        <v>0</v>
      </c>
      <c r="Q258" s="336">
        <f>Gasto_o_ing_total!P258*1000/Gasto_o_ing_total!P$479</f>
        <v>0</v>
      </c>
      <c r="R258" s="336">
        <f>Gasto_o_ing_total!Q258*1000/Gasto_o_ing_total!Q$479</f>
        <v>0</v>
      </c>
      <c r="S258" s="336">
        <f>Gasto_o_ing_total!R258*1000/Gasto_o_ing_total!R$479</f>
        <v>0</v>
      </c>
      <c r="T258" s="336">
        <f>Gasto_o_ing_total!S258*1000/Gasto_o_ing_total!S$479</f>
        <v>0</v>
      </c>
      <c r="U258" s="336">
        <f>Gasto_o_ing_total!T258*1000/Gasto_o_ing_total!T$479</f>
        <v>0</v>
      </c>
      <c r="V258" s="336">
        <f>Gasto_o_ing_total!U258*1000/Gasto_o_ing_total!U$479</f>
        <v>0</v>
      </c>
      <c r="W258" s="21"/>
      <c r="X258" s="22"/>
    </row>
    <row r="259" spans="1:24">
      <c r="A259" s="355"/>
      <c r="B259" s="115" t="s">
        <v>281</v>
      </c>
      <c r="C259" s="333" t="str">
        <f>VLOOKUP(B259,Tot_res!C:D,2,FALSE)</f>
        <v>Parques Nacionales</v>
      </c>
      <c r="D259" s="336">
        <f>Gasto_o_ing_total!V259*1000/Gasto_o_ing_total!V$479</f>
        <v>1.5273336360369363</v>
      </c>
      <c r="E259" s="336">
        <f>Gasto_o_ing_total!D259*1000/Gasto_o_ing_total!D$479</f>
        <v>2.0130294324832705</v>
      </c>
      <c r="F259" s="336">
        <f>Gasto_o_ing_total!E259*1000/Gasto_o_ing_total!E$479</f>
        <v>3.0493263567860471</v>
      </c>
      <c r="G259" s="336">
        <f>Gasto_o_ing_total!F259*1000/Gasto_o_ing_total!F$479</f>
        <v>3.1516354546902265</v>
      </c>
      <c r="H259" s="336">
        <f>Gasto_o_ing_total!G259*1000/Gasto_o_ing_total!G$479</f>
        <v>5.6167782550094474</v>
      </c>
      <c r="I259" s="336">
        <f>Gasto_o_ing_total!H259*1000/Gasto_o_ing_total!H$479</f>
        <v>10.034933516592737</v>
      </c>
      <c r="J259" s="336">
        <f>Gasto_o_ing_total!I259*1000/Gasto_o_ing_total!I$479</f>
        <v>3.0582077474444862</v>
      </c>
      <c r="K259" s="336">
        <f>Gasto_o_ing_total!J259*1000/Gasto_o_ing_total!J$479</f>
        <v>1.0713173123340294</v>
      </c>
      <c r="L259" s="336">
        <f>Gasto_o_ing_total!K259*1000/Gasto_o_ing_total!K$479</f>
        <v>0.34425911640029455</v>
      </c>
      <c r="M259" s="336">
        <f>Gasto_o_ing_total!L259*1000/Gasto_o_ing_total!L$479</f>
        <v>0.41516511239037041</v>
      </c>
      <c r="N259" s="336">
        <f>Gasto_o_ing_total!M259*1000/Gasto_o_ing_total!M$479</f>
        <v>0.35578557969014624</v>
      </c>
      <c r="O259" s="336">
        <f>Gasto_o_ing_total!N259*1000/Gasto_o_ing_total!N$479</f>
        <v>0.32388276231709212</v>
      </c>
      <c r="P259" s="336">
        <f>Gasto_o_ing_total!O259*1000/Gasto_o_ing_total!O$479</f>
        <v>1.6540194783596736</v>
      </c>
      <c r="Q259" s="336">
        <f>Gasto_o_ing_total!P259*1000/Gasto_o_ing_total!P$479</f>
        <v>0.45133708335697564</v>
      </c>
      <c r="R259" s="336">
        <f>Gasto_o_ing_total!Q259*1000/Gasto_o_ing_total!Q$479</f>
        <v>0.3487116011993433</v>
      </c>
      <c r="S259" s="336">
        <f>Gasto_o_ing_total!R259*1000/Gasto_o_ing_total!R$479</f>
        <v>0.42718542802200393</v>
      </c>
      <c r="T259" s="336">
        <f>Gasto_o_ing_total!S259*1000/Gasto_o_ing_total!S$479</f>
        <v>0.4392141970885714</v>
      </c>
      <c r="U259" s="336">
        <f>Gasto_o_ing_total!T259*1000/Gasto_o_ing_total!T$479</f>
        <v>0.39656117038754513</v>
      </c>
      <c r="V259" s="336">
        <f>Gasto_o_ing_total!U259*1000/Gasto_o_ing_total!U$479</f>
        <v>0.34408217402865693</v>
      </c>
      <c r="W259" s="21"/>
      <c r="X259" s="13"/>
    </row>
    <row r="260" spans="1:24">
      <c r="A260" s="355"/>
      <c r="B260" s="115" t="s">
        <v>283</v>
      </c>
      <c r="C260" s="333" t="str">
        <f>VLOOKUP(B260,Tot_res!C:D,2,FALSE)</f>
        <v>Infraestructuras ferroviarias, ADIF y Renfe</v>
      </c>
      <c r="D260" s="336">
        <f>Gasto_o_ing_total!V260*1000/Gasto_o_ing_total!V$479</f>
        <v>51.117130397714938</v>
      </c>
      <c r="E260" s="336">
        <f>Gasto_o_ing_total!D260*1000/Gasto_o_ing_total!D$479</f>
        <v>30.431263907047143</v>
      </c>
      <c r="F260" s="336">
        <f>Gasto_o_ing_total!E260*1000/Gasto_o_ing_total!E$479</f>
        <v>19.795957586991296</v>
      </c>
      <c r="G260" s="336">
        <f>Gasto_o_ing_total!F260*1000/Gasto_o_ing_total!F$479</f>
        <v>30.299990222911191</v>
      </c>
      <c r="H260" s="336">
        <f>Gasto_o_ing_total!G260*1000/Gasto_o_ing_total!G$479</f>
        <v>2.2965100095513771</v>
      </c>
      <c r="I260" s="336">
        <f>Gasto_o_ing_total!H260*1000/Gasto_o_ing_total!H$479</f>
        <v>1.9845866221380091</v>
      </c>
      <c r="J260" s="336">
        <f>Gasto_o_ing_total!I260*1000/Gasto_o_ing_total!I$479</f>
        <v>28.999099048633457</v>
      </c>
      <c r="K260" s="336">
        <f>Gasto_o_ing_total!J260*1000/Gasto_o_ing_total!J$479</f>
        <v>162.10469549698408</v>
      </c>
      <c r="L260" s="336">
        <f>Gasto_o_ing_total!K260*1000/Gasto_o_ing_total!K$479</f>
        <v>51.801423369933055</v>
      </c>
      <c r="M260" s="336">
        <f>Gasto_o_ing_total!L260*1000/Gasto_o_ing_total!L$479</f>
        <v>49.953765126238849</v>
      </c>
      <c r="N260" s="336">
        <f>Gasto_o_ing_total!M260*1000/Gasto_o_ing_total!M$479</f>
        <v>47.755807826208141</v>
      </c>
      <c r="O260" s="336">
        <f>Gasto_o_ing_total!N260*1000/Gasto_o_ing_total!N$479</f>
        <v>103.90407579492546</v>
      </c>
      <c r="P260" s="336">
        <f>Gasto_o_ing_total!O260*1000/Gasto_o_ing_total!O$479</f>
        <v>94.625630817008798</v>
      </c>
      <c r="Q260" s="336">
        <f>Gasto_o_ing_total!P260*1000/Gasto_o_ing_total!P$479</f>
        <v>53.491036220525345</v>
      </c>
      <c r="R260" s="336">
        <f>Gasto_o_ing_total!Q260*1000/Gasto_o_ing_total!Q$479</f>
        <v>19.352921912384598</v>
      </c>
      <c r="S260" s="336">
        <f>Gasto_o_ing_total!R260*1000/Gasto_o_ing_total!R$479</f>
        <v>29.210321633580769</v>
      </c>
      <c r="T260" s="336">
        <f>Gasto_o_ing_total!S260*1000/Gasto_o_ing_total!S$479</f>
        <v>68.790426417869668</v>
      </c>
      <c r="U260" s="336">
        <f>Gasto_o_ing_total!T260*1000/Gasto_o_ing_total!T$479</f>
        <v>24.388264412843295</v>
      </c>
      <c r="V260" s="336">
        <f>Gasto_o_ing_total!U260*1000/Gasto_o_ing_total!U$479</f>
        <v>5.3401765198352837</v>
      </c>
      <c r="W260" s="21"/>
      <c r="X260" s="13"/>
    </row>
    <row r="261" spans="1:24">
      <c r="A261" s="355"/>
      <c r="B261" s="115" t="s">
        <v>284</v>
      </c>
      <c r="C261" s="333" t="str">
        <f>VLOOKUP(B261,Tot_res!C:D,2,FALSE)</f>
        <v>Infraestructuras aeroportuarias, AENA</v>
      </c>
      <c r="D261" s="336">
        <f>Gasto_o_ing_total!V261*1000/Gasto_o_ing_total!V$479</f>
        <v>12.365261996224881</v>
      </c>
      <c r="E261" s="336">
        <f>Gasto_o_ing_total!D261*1000/Gasto_o_ing_total!D$479</f>
        <v>7.2626401790429513</v>
      </c>
      <c r="F261" s="336">
        <f>Gasto_o_ing_total!E261*1000/Gasto_o_ing_total!E$479</f>
        <v>7.6735985321318374</v>
      </c>
      <c r="G261" s="336">
        <f>Gasto_o_ing_total!F261*1000/Gasto_o_ing_total!F$479</f>
        <v>7.4702190085195346</v>
      </c>
      <c r="H261" s="336">
        <f>Gasto_o_ing_total!G261*1000/Gasto_o_ing_total!G$479</f>
        <v>24.577718974065256</v>
      </c>
      <c r="I261" s="336">
        <f>Gasto_o_ing_total!H261*1000/Gasto_o_ing_total!H$479</f>
        <v>43.856279081635421</v>
      </c>
      <c r="J261" s="336">
        <f>Gasto_o_ing_total!I261*1000/Gasto_o_ing_total!I$479</f>
        <v>6.0245937623553081</v>
      </c>
      <c r="K261" s="336">
        <f>Gasto_o_ing_total!J261*1000/Gasto_o_ing_total!J$479</f>
        <v>3.656312434431721</v>
      </c>
      <c r="L261" s="336">
        <f>Gasto_o_ing_total!K261*1000/Gasto_o_ing_total!K$479</f>
        <v>3.8327556902541731</v>
      </c>
      <c r="M261" s="336">
        <f>Gasto_o_ing_total!L261*1000/Gasto_o_ing_total!L$479</f>
        <v>11.037936894044465</v>
      </c>
      <c r="N261" s="336">
        <f>Gasto_o_ing_total!M261*1000/Gasto_o_ing_total!M$479</f>
        <v>7.9903835716910541</v>
      </c>
      <c r="O261" s="336">
        <f>Gasto_o_ing_total!N261*1000/Gasto_o_ing_total!N$479</f>
        <v>3.7206918510894837</v>
      </c>
      <c r="P261" s="336">
        <f>Gasto_o_ing_total!O261*1000/Gasto_o_ing_total!O$479</f>
        <v>17.404723814744223</v>
      </c>
      <c r="Q261" s="336">
        <f>Gasto_o_ing_total!P261*1000/Gasto_o_ing_total!P$479</f>
        <v>23.489410256535013</v>
      </c>
      <c r="R261" s="336">
        <f>Gasto_o_ing_total!Q261*1000/Gasto_o_ing_total!Q$479</f>
        <v>3.891622664490292</v>
      </c>
      <c r="S261" s="336">
        <f>Gasto_o_ing_total!R261*1000/Gasto_o_ing_total!R$479</f>
        <v>6.1739017737618838</v>
      </c>
      <c r="T261" s="336">
        <f>Gasto_o_ing_total!S261*1000/Gasto_o_ing_total!S$479</f>
        <v>9.1233980046679957</v>
      </c>
      <c r="U261" s="336">
        <f>Gasto_o_ing_total!T261*1000/Gasto_o_ing_total!T$479</f>
        <v>4.3986658023336558</v>
      </c>
      <c r="V261" s="336">
        <f>Gasto_o_ing_total!U261*1000/Gasto_o_ing_total!U$479</f>
        <v>10.338752874398693</v>
      </c>
      <c r="W261" s="21"/>
      <c r="X261" s="13"/>
    </row>
    <row r="262" spans="1:24">
      <c r="A262" s="355"/>
      <c r="B262" s="115" t="s">
        <v>285</v>
      </c>
      <c r="C262" s="333" t="str">
        <f>VLOOKUP(B262,Tot_res!C:D,2,FALSE)</f>
        <v xml:space="preserve">Infraestructuras portuarias, Puertos del Estado </v>
      </c>
      <c r="D262" s="336">
        <f>Gasto_o_ing_total!V262*1000/Gasto_o_ing_total!V$479</f>
        <v>8.2871212489426629</v>
      </c>
      <c r="E262" s="336">
        <f>Gasto_o_ing_total!D262*1000/Gasto_o_ing_total!D$479</f>
        <v>5.408387109402967</v>
      </c>
      <c r="F262" s="336">
        <f>Gasto_o_ing_total!E262*1000/Gasto_o_ing_total!E$479</f>
        <v>4.5070268872444306</v>
      </c>
      <c r="G262" s="336">
        <f>Gasto_o_ing_total!F262*1000/Gasto_o_ing_total!F$479</f>
        <v>3.83928604153208</v>
      </c>
      <c r="H262" s="336">
        <f>Gasto_o_ing_total!G262*1000/Gasto_o_ing_total!G$479</f>
        <v>8.0204329753713939</v>
      </c>
      <c r="I262" s="336">
        <f>Gasto_o_ing_total!H262*1000/Gasto_o_ing_total!H$479</f>
        <v>19.433780931790555</v>
      </c>
      <c r="J262" s="336">
        <f>Gasto_o_ing_total!I262*1000/Gasto_o_ing_total!I$479</f>
        <v>39.899733674014854</v>
      </c>
      <c r="K262" s="336">
        <f>Gasto_o_ing_total!J262*1000/Gasto_o_ing_total!J$479</f>
        <v>3.0973221598600102</v>
      </c>
      <c r="L262" s="336">
        <f>Gasto_o_ing_total!K262*1000/Gasto_o_ing_total!K$479</f>
        <v>2.5966726015905262</v>
      </c>
      <c r="M262" s="336">
        <f>Gasto_o_ing_total!L262*1000/Gasto_o_ing_total!L$479</f>
        <v>12.393017915154632</v>
      </c>
      <c r="N262" s="336">
        <f>Gasto_o_ing_total!M262*1000/Gasto_o_ing_total!M$479</f>
        <v>6.8603405150917895</v>
      </c>
      <c r="O262" s="336">
        <f>Gasto_o_ing_total!N262*1000/Gasto_o_ing_total!N$479</f>
        <v>1.6061259719326091</v>
      </c>
      <c r="P262" s="336">
        <f>Gasto_o_ing_total!O262*1000/Gasto_o_ing_total!O$479</f>
        <v>9.9095795851102757</v>
      </c>
      <c r="Q262" s="336">
        <f>Gasto_o_ing_total!P262*1000/Gasto_o_ing_total!P$479</f>
        <v>2.6286953344977295</v>
      </c>
      <c r="R262" s="336">
        <f>Gasto_o_ing_total!Q262*1000/Gasto_o_ing_total!Q$479</f>
        <v>13.383712668565156</v>
      </c>
      <c r="S262" s="336">
        <f>Gasto_o_ing_total!R262*1000/Gasto_o_ing_total!R$479</f>
        <v>5.5620296516973733</v>
      </c>
      <c r="T262" s="336">
        <f>Gasto_o_ing_total!S262*1000/Gasto_o_ing_total!S$479</f>
        <v>21.199696299019148</v>
      </c>
      <c r="U262" s="336">
        <f>Gasto_o_ing_total!T262*1000/Gasto_o_ing_total!T$479</f>
        <v>4.6734242296487825</v>
      </c>
      <c r="V262" s="336">
        <f>Gasto_o_ing_total!U262*1000/Gasto_o_ing_total!U$479</f>
        <v>8.1114071328369164</v>
      </c>
      <c r="W262" s="21"/>
      <c r="X262" s="22"/>
    </row>
    <row r="263" spans="1:24">
      <c r="A263" s="355"/>
      <c r="B263" s="115" t="s">
        <v>286</v>
      </c>
      <c r="C263" s="333" t="str">
        <f>VLOOKUP(B263,Tot_res!C:D,2,FALSE)</f>
        <v>Autopistas de peaje</v>
      </c>
      <c r="D263" s="336">
        <f>Gasto_o_ing_total!V263*1000/Gasto_o_ing_total!V$479</f>
        <v>3.6486698497879537</v>
      </c>
      <c r="E263" s="336">
        <f>Gasto_o_ing_total!D263*1000/Gasto_o_ing_total!D$479</f>
        <v>0.90815322086378292</v>
      </c>
      <c r="F263" s="336">
        <f>Gasto_o_ing_total!E263*1000/Gasto_o_ing_total!E$479</f>
        <v>3.4393916891879055</v>
      </c>
      <c r="G263" s="336">
        <f>Gasto_o_ing_total!F263*1000/Gasto_o_ing_total!F$479</f>
        <v>1.2111011250769468</v>
      </c>
      <c r="H263" s="336">
        <f>Gasto_o_ing_total!G263*1000/Gasto_o_ing_total!G$479</f>
        <v>0.27089695577633405</v>
      </c>
      <c r="I263" s="336">
        <f>Gasto_o_ing_total!H263*1000/Gasto_o_ing_total!H$479</f>
        <v>0.31988430594829359</v>
      </c>
      <c r="J263" s="336">
        <f>Gasto_o_ing_total!I263*1000/Gasto_o_ing_total!I$479</f>
        <v>0.58505094147432035</v>
      </c>
      <c r="K263" s="336">
        <f>Gasto_o_ing_total!J263*1000/Gasto_o_ing_total!J$479</f>
        <v>5.2805221749948927</v>
      </c>
      <c r="L263" s="336">
        <f>Gasto_o_ing_total!K263*1000/Gasto_o_ing_total!K$479</f>
        <v>11.82028193642663</v>
      </c>
      <c r="M263" s="336">
        <f>Gasto_o_ing_total!L263*1000/Gasto_o_ing_total!L$479</f>
        <v>6.980228326037353</v>
      </c>
      <c r="N263" s="336">
        <f>Gasto_o_ing_total!M263*1000/Gasto_o_ing_total!M$479</f>
        <v>1.8969714538668208</v>
      </c>
      <c r="O263" s="336">
        <f>Gasto_o_ing_total!N263*1000/Gasto_o_ing_total!N$479</f>
        <v>0.59777004859149641</v>
      </c>
      <c r="P263" s="336">
        <f>Gasto_o_ing_total!O263*1000/Gasto_o_ing_total!O$479</f>
        <v>1.1802794573638826</v>
      </c>
      <c r="Q263" s="336">
        <f>Gasto_o_ing_total!P263*1000/Gasto_o_ing_total!P$479</f>
        <v>5.4162542936279596</v>
      </c>
      <c r="R263" s="336">
        <f>Gasto_o_ing_total!Q263*1000/Gasto_o_ing_total!Q$479</f>
        <v>1.4107023485223997</v>
      </c>
      <c r="S263" s="336">
        <f>Gasto_o_ing_total!R263*1000/Gasto_o_ing_total!R$479</f>
        <v>3.4216003751846</v>
      </c>
      <c r="T263" s="336">
        <f>Gasto_o_ing_total!S263*1000/Gasto_o_ing_total!S$479</f>
        <v>4.4250887752275911</v>
      </c>
      <c r="U263" s="336">
        <f>Gasto_o_ing_total!T263*1000/Gasto_o_ing_total!T$479</f>
        <v>10.285585437136039</v>
      </c>
      <c r="V263" s="336">
        <f>Gasto_o_ing_total!U263*1000/Gasto_o_ing_total!U$479</f>
        <v>0.37998450914787374</v>
      </c>
      <c r="W263" s="21"/>
      <c r="X263" s="23"/>
    </row>
    <row r="264" spans="1:24">
      <c r="A264" s="355"/>
      <c r="B264" s="115" t="s">
        <v>288</v>
      </c>
      <c r="C264" s="333" t="str">
        <f>VLOOKUP(B264,Tot_res!C:D,2,FALSE)</f>
        <v>Excedente bruto de AENA</v>
      </c>
      <c r="D264" s="336">
        <f>Gasto_o_ing_total!V264*1000/Gasto_o_ing_total!V$479</f>
        <v>-38.720431078120015</v>
      </c>
      <c r="E264" s="336">
        <f>Gasto_o_ing_total!D264*1000/Gasto_o_ing_total!D$479</f>
        <v>-37.153948029004709</v>
      </c>
      <c r="F264" s="336">
        <f>Gasto_o_ing_total!E264*1000/Gasto_o_ing_total!E$479</f>
        <v>-45.161413462958556</v>
      </c>
      <c r="G264" s="336">
        <f>Gasto_o_ing_total!F264*1000/Gasto_o_ing_total!F$479</f>
        <v>-47.519856120980371</v>
      </c>
      <c r="H264" s="336">
        <f>Gasto_o_ing_total!G264*1000/Gasto_o_ing_total!G$479</f>
        <v>-25.112919362370633</v>
      </c>
      <c r="I264" s="336">
        <f>Gasto_o_ing_total!H264*1000/Gasto_o_ing_total!H$479</f>
        <v>-31.739331549448469</v>
      </c>
      <c r="J264" s="336">
        <f>Gasto_o_ing_total!I264*1000/Gasto_o_ing_total!I$479</f>
        <v>-45.66579350432874</v>
      </c>
      <c r="K264" s="336">
        <f>Gasto_o_ing_total!J264*1000/Gasto_o_ing_total!J$479</f>
        <v>-40.000132960202862</v>
      </c>
      <c r="L264" s="336">
        <f>Gasto_o_ing_total!K264*1000/Gasto_o_ing_total!K$479</f>
        <v>-46.106040920259815</v>
      </c>
      <c r="M264" s="336">
        <f>Gasto_o_ing_total!L264*1000/Gasto_o_ing_total!L$479</f>
        <v>-41.646465269514245</v>
      </c>
      <c r="N264" s="336">
        <f>Gasto_o_ing_total!M264*1000/Gasto_o_ing_total!M$479</f>
        <v>-40.804996360765287</v>
      </c>
      <c r="O264" s="336">
        <f>Gasto_o_ing_total!N264*1000/Gasto_o_ing_total!N$479</f>
        <v>-42.364890440669726</v>
      </c>
      <c r="P264" s="336">
        <f>Gasto_o_ing_total!O264*1000/Gasto_o_ing_total!O$479</f>
        <v>-40.438616445713087</v>
      </c>
      <c r="Q264" s="336">
        <f>Gasto_o_ing_total!P264*1000/Gasto_o_ing_total!P$479</f>
        <v>-28.65904082077158</v>
      </c>
      <c r="R264" s="336">
        <f>Gasto_o_ing_total!Q264*1000/Gasto_o_ing_total!Q$479</f>
        <v>-42.377810051310277</v>
      </c>
      <c r="S264" s="336">
        <f>Gasto_o_ing_total!R264*1000/Gasto_o_ing_total!R$479</f>
        <v>-44.693185447138447</v>
      </c>
      <c r="T264" s="336">
        <f>Gasto_o_ing_total!S264*1000/Gasto_o_ing_total!S$479</f>
        <v>-46.104899819463739</v>
      </c>
      <c r="U264" s="336">
        <f>Gasto_o_ing_total!T264*1000/Gasto_o_ing_total!T$479</f>
        <v>-40.412903877768265</v>
      </c>
      <c r="V264" s="336">
        <f>Gasto_o_ing_total!U264*1000/Gasto_o_ing_total!U$479</f>
        <v>-39.618800873314314</v>
      </c>
      <c r="W264" s="21"/>
      <c r="X264" s="22"/>
    </row>
    <row r="265" spans="1:24">
      <c r="A265" s="355"/>
      <c r="B265" s="115" t="s">
        <v>289</v>
      </c>
      <c r="C265" s="333" t="str">
        <f>VLOOKUP(B265,Tot_res!C:D,2,FALSE)</f>
        <v>Excedene bruto de puertos del Estado</v>
      </c>
      <c r="D265" s="336">
        <f>Gasto_o_ing_total!V265*1000/Gasto_o_ing_total!V$479</f>
        <v>-11.237678875494613</v>
      </c>
      <c r="E265" s="336">
        <f>Gasto_o_ing_total!D265*1000/Gasto_o_ing_total!D$479</f>
        <v>-10.674725070118766</v>
      </c>
      <c r="F265" s="336">
        <f>Gasto_o_ing_total!E265*1000/Gasto_o_ing_total!E$479</f>
        <v>-9.4947559321106603</v>
      </c>
      <c r="G265" s="336">
        <f>Gasto_o_ing_total!F265*1000/Gasto_o_ing_total!F$479</f>
        <v>-8.527369985836474</v>
      </c>
      <c r="H265" s="336">
        <f>Gasto_o_ing_total!G265*1000/Gasto_o_ing_total!G$479</f>
        <v>-14.308729098237155</v>
      </c>
      <c r="I265" s="336">
        <f>Gasto_o_ing_total!H265*1000/Gasto_o_ing_total!H$479</f>
        <v>-15.83785242995801</v>
      </c>
      <c r="J265" s="336">
        <f>Gasto_o_ing_total!I265*1000/Gasto_o_ing_total!I$479</f>
        <v>-6.6021074375915187</v>
      </c>
      <c r="K265" s="336">
        <f>Gasto_o_ing_total!J265*1000/Gasto_o_ing_total!J$479</f>
        <v>-12.275488657364342</v>
      </c>
      <c r="L265" s="336">
        <f>Gasto_o_ing_total!K265*1000/Gasto_o_ing_total!K$479</f>
        <v>-12.309515056882232</v>
      </c>
      <c r="M265" s="336">
        <f>Gasto_o_ing_total!L265*1000/Gasto_o_ing_total!L$479</f>
        <v>-10.44042514088059</v>
      </c>
      <c r="N265" s="336">
        <f>Gasto_o_ing_total!M265*1000/Gasto_o_ing_total!M$479</f>
        <v>-10.342007105488623</v>
      </c>
      <c r="O265" s="336">
        <f>Gasto_o_ing_total!N265*1000/Gasto_o_ing_total!N$479</f>
        <v>-14.532571713343359</v>
      </c>
      <c r="P265" s="336">
        <f>Gasto_o_ing_total!O265*1000/Gasto_o_ing_total!O$479</f>
        <v>-8.1580117521927917</v>
      </c>
      <c r="Q265" s="336">
        <f>Gasto_o_ing_total!P265*1000/Gasto_o_ing_total!P$479</f>
        <v>-15.958586168342224</v>
      </c>
      <c r="R265" s="336">
        <f>Gasto_o_ing_total!Q265*1000/Gasto_o_ing_total!Q$479</f>
        <v>-7.0495485758673402</v>
      </c>
      <c r="S265" s="336">
        <f>Gasto_o_ing_total!R265*1000/Gasto_o_ing_total!R$479</f>
        <v>-7.4465782478762641</v>
      </c>
      <c r="T265" s="336">
        <f>Gasto_o_ing_total!S265*1000/Gasto_o_ing_total!S$479</f>
        <v>-7.8978331767151317</v>
      </c>
      <c r="U265" s="336">
        <f>Gasto_o_ing_total!T265*1000/Gasto_o_ing_total!T$479</f>
        <v>-8.8940876889399103</v>
      </c>
      <c r="V265" s="336">
        <f>Gasto_o_ing_total!U265*1000/Gasto_o_ing_total!U$479</f>
        <v>11.144966481266657</v>
      </c>
      <c r="W265" s="2"/>
    </row>
    <row r="266" spans="1:24">
      <c r="A266" s="355"/>
      <c r="B266" s="115" t="s">
        <v>290</v>
      </c>
      <c r="C266" s="333" t="str">
        <f>VLOOKUP(B266,Tot_res!C:D,2,FALSE)</f>
        <v>Excedente bruto de los concesionarios de autopistas de peaje</v>
      </c>
      <c r="D266" s="336">
        <f>Gasto_o_ing_total!V266*1000/Gasto_o_ing_total!V$479</f>
        <v>-25.943757606138981</v>
      </c>
      <c r="E266" s="336">
        <f>Gasto_o_ing_total!D266*1000/Gasto_o_ing_total!D$479</f>
        <v>-18.292979520736651</v>
      </c>
      <c r="F266" s="336">
        <f>Gasto_o_ing_total!E266*1000/Gasto_o_ing_total!E$479</f>
        <v>-39.553816796160888</v>
      </c>
      <c r="G266" s="336">
        <f>Gasto_o_ing_total!F266*1000/Gasto_o_ing_total!F$479</f>
        <v>-20.078698763574245</v>
      </c>
      <c r="H266" s="336">
        <f>Gasto_o_ing_total!G266*1000/Gasto_o_ing_total!G$479</f>
        <v>-10.008521601224029</v>
      </c>
      <c r="I266" s="336">
        <f>Gasto_o_ing_total!H266*1000/Gasto_o_ing_total!H$479</f>
        <v>-9.8418884322604274</v>
      </c>
      <c r="J266" s="336">
        <f>Gasto_o_ing_total!I266*1000/Gasto_o_ing_total!I$479</f>
        <v>-12.48024719348601</v>
      </c>
      <c r="K266" s="336">
        <f>Gasto_o_ing_total!J266*1000/Gasto_o_ing_total!J$479</f>
        <v>-31.935337545150599</v>
      </c>
      <c r="L266" s="336">
        <f>Gasto_o_ing_total!K266*1000/Gasto_o_ing_total!K$479</f>
        <v>-36.177119312051801</v>
      </c>
      <c r="M266" s="336">
        <f>Gasto_o_ing_total!L266*1000/Gasto_o_ing_total!L$479</f>
        <v>-29.520183550939961</v>
      </c>
      <c r="N266" s="336">
        <f>Gasto_o_ing_total!M266*1000/Gasto_o_ing_total!M$479</f>
        <v>-26.888148095935062</v>
      </c>
      <c r="O266" s="336">
        <f>Gasto_o_ing_total!N266*1000/Gasto_o_ing_total!N$479</f>
        <v>-15.813789997505637</v>
      </c>
      <c r="P266" s="336">
        <f>Gasto_o_ing_total!O266*1000/Gasto_o_ing_total!O$479</f>
        <v>-33.762513143166458</v>
      </c>
      <c r="Q266" s="336">
        <f>Gasto_o_ing_total!P266*1000/Gasto_o_ing_total!P$479</f>
        <v>-21.838652200409641</v>
      </c>
      <c r="R266" s="336">
        <f>Gasto_o_ing_total!Q266*1000/Gasto_o_ing_total!Q$479</f>
        <v>-25.299789535672364</v>
      </c>
      <c r="S266" s="336">
        <f>Gasto_o_ing_total!R266*1000/Gasto_o_ing_total!R$479</f>
        <v>-58.743515462304508</v>
      </c>
      <c r="T266" s="336">
        <f>Gasto_o_ing_total!S266*1000/Gasto_o_ing_total!S$479</f>
        <v>-37.112524301039407</v>
      </c>
      <c r="U266" s="336">
        <f>Gasto_o_ing_total!T266*1000/Gasto_o_ing_total!T$479</f>
        <v>-82.712253969724586</v>
      </c>
      <c r="V266" s="336">
        <f>Gasto_o_ing_total!U266*1000/Gasto_o_ing_total!U$479</f>
        <v>-10.181763544639667</v>
      </c>
      <c r="W266" s="2"/>
    </row>
    <row r="267" spans="1:24">
      <c r="A267" s="355"/>
      <c r="B267" s="115" t="s">
        <v>291</v>
      </c>
      <c r="C267" s="333" t="str">
        <f>VLOOKUP(B267,Tot_res!C:D,2,FALSE)</f>
        <v>Infraestructuras de carreteras, SEITT + AF06/2</v>
      </c>
      <c r="D267" s="336">
        <f>Gasto_o_ing_total!V267*1000/Gasto_o_ing_total!V$479</f>
        <v>6.1532592608459291</v>
      </c>
      <c r="E267" s="336">
        <f>Gasto_o_ing_total!D267*1000/Gasto_o_ing_total!D$479</f>
        <v>4.8568100078728698</v>
      </c>
      <c r="F267" s="336">
        <f>Gasto_o_ing_total!E267*1000/Gasto_o_ing_total!E$479</f>
        <v>5.1826728628008771</v>
      </c>
      <c r="G267" s="336">
        <f>Gasto_o_ing_total!F267*1000/Gasto_o_ing_total!F$479</f>
        <v>68.750501347026585</v>
      </c>
      <c r="H267" s="336">
        <f>Gasto_o_ing_total!G267*1000/Gasto_o_ing_total!G$479</f>
        <v>0.45685120070882013</v>
      </c>
      <c r="I267" s="336">
        <f>Gasto_o_ing_total!H267*1000/Gasto_o_ing_total!H$479</f>
        <v>0.53946538026453694</v>
      </c>
      <c r="J267" s="336">
        <f>Gasto_o_ing_total!I267*1000/Gasto_o_ing_total!I$479</f>
        <v>14.467725877606084</v>
      </c>
      <c r="K267" s="336">
        <f>Gasto_o_ing_total!J267*1000/Gasto_o_ing_total!J$479</f>
        <v>3.0582184077937544</v>
      </c>
      <c r="L267" s="336">
        <f>Gasto_o_ing_total!K267*1000/Gasto_o_ing_total!K$479</f>
        <v>24.224522021352943</v>
      </c>
      <c r="M267" s="336">
        <f>Gasto_o_ing_total!L267*1000/Gasto_o_ing_total!L$479</f>
        <v>2.0234766601015601</v>
      </c>
      <c r="N267" s="336">
        <f>Gasto_o_ing_total!M267*1000/Gasto_o_ing_total!M$479</f>
        <v>4.3685371585875643</v>
      </c>
      <c r="O267" s="336">
        <f>Gasto_o_ing_total!N267*1000/Gasto_o_ing_total!N$479</f>
        <v>1.0081027439535835</v>
      </c>
      <c r="P267" s="336">
        <f>Gasto_o_ing_total!O267*1000/Gasto_o_ing_total!O$479</f>
        <v>6.4901610117892634</v>
      </c>
      <c r="Q267" s="336">
        <f>Gasto_o_ing_total!P267*1000/Gasto_o_ing_total!P$479</f>
        <v>3.4621481862515244</v>
      </c>
      <c r="R267" s="336">
        <f>Gasto_o_ing_total!Q267*1000/Gasto_o_ing_total!Q$479</f>
        <v>0.97248636455781501</v>
      </c>
      <c r="S267" s="336">
        <f>Gasto_o_ing_total!R267*1000/Gasto_o_ing_total!R$479</f>
        <v>7.016314779713734</v>
      </c>
      <c r="T267" s="336">
        <f>Gasto_o_ing_total!S267*1000/Gasto_o_ing_total!S$479</f>
        <v>6.4327134682693794</v>
      </c>
      <c r="U267" s="336">
        <f>Gasto_o_ing_total!T267*1000/Gasto_o_ing_total!T$479</f>
        <v>1.4601775989768175</v>
      </c>
      <c r="V267" s="336">
        <f>Gasto_o_ing_total!U267*1000/Gasto_o_ing_total!U$479</f>
        <v>0.64082070895727428</v>
      </c>
      <c r="W267" s="2"/>
    </row>
    <row r="268" spans="1:24">
      <c r="A268" s="355"/>
      <c r="B268" s="115" t="s">
        <v>293</v>
      </c>
      <c r="C268" s="333" t="str">
        <f>VLOOKUP(B268,Tot_res!C:D,2,FALSE)</f>
        <v>"Y" ferroviaria vasca, parte financiada mediante descuento del cupo</v>
      </c>
      <c r="D268" s="336">
        <f>Gasto_o_ing_total!V268*1000/Gasto_o_ing_total!V$479</f>
        <v>7.1027752553845884</v>
      </c>
      <c r="E268" s="336">
        <f>Gasto_o_ing_total!D268*1000/Gasto_o_ing_total!D$479</f>
        <v>1.5976641250950676</v>
      </c>
      <c r="F268" s="336">
        <f>Gasto_o_ing_total!E268*1000/Gasto_o_ing_total!E$479</f>
        <v>2.1966461700232989</v>
      </c>
      <c r="G268" s="336">
        <f>Gasto_o_ing_total!F268*1000/Gasto_o_ing_total!F$479</f>
        <v>1.4968172617472635</v>
      </c>
      <c r="H268" s="336">
        <f>Gasto_o_ing_total!G268*1000/Gasto_o_ing_total!G$479</f>
        <v>0.28367037496206554</v>
      </c>
      <c r="I268" s="336">
        <f>Gasto_o_ing_total!H268*1000/Gasto_o_ing_total!H$479</f>
        <v>0.24514085673702934</v>
      </c>
      <c r="J268" s="336">
        <f>Gasto_o_ing_total!I268*1000/Gasto_o_ing_total!I$479</f>
        <v>1.7082923813873565</v>
      </c>
      <c r="K268" s="336">
        <f>Gasto_o_ing_total!J268*1000/Gasto_o_ing_total!J$479</f>
        <v>1.0799609055342363</v>
      </c>
      <c r="L268" s="336">
        <f>Gasto_o_ing_total!K268*1000/Gasto_o_ing_total!K$479</f>
        <v>2.3590950561626483</v>
      </c>
      <c r="M268" s="336">
        <f>Gasto_o_ing_total!L268*1000/Gasto_o_ing_total!L$479</f>
        <v>3.5363766474783502</v>
      </c>
      <c r="N268" s="336">
        <f>Gasto_o_ing_total!M268*1000/Gasto_o_ing_total!M$479</f>
        <v>1.8356580261295912</v>
      </c>
      <c r="O268" s="336">
        <f>Gasto_o_ing_total!N268*1000/Gasto_o_ing_total!N$479</f>
        <v>0.79417690029851018</v>
      </c>
      <c r="P268" s="336">
        <f>Gasto_o_ing_total!O268*1000/Gasto_o_ing_total!O$479</f>
        <v>0.81954586240656913</v>
      </c>
      <c r="Q268" s="336">
        <f>Gasto_o_ing_total!P268*1000/Gasto_o_ing_total!P$479</f>
        <v>5.568047053234479</v>
      </c>
      <c r="R268" s="336">
        <f>Gasto_o_ing_total!Q268*1000/Gasto_o_ing_total!Q$479</f>
        <v>1.1143014293689382</v>
      </c>
      <c r="S268" s="336">
        <f>Gasto_o_ing_total!R268*1000/Gasto_o_ing_total!R$479</f>
        <v>3.1325939199849873</v>
      </c>
      <c r="T268" s="336">
        <f>Gasto_o_ing_total!S268*1000/Gasto_o_ing_total!S$479</f>
        <v>103.53787195488064</v>
      </c>
      <c r="U268" s="336">
        <f>Gasto_o_ing_total!T268*1000/Gasto_o_ing_total!T$479</f>
        <v>1.0827312291152031</v>
      </c>
      <c r="V268" s="336">
        <f>Gasto_o_ing_total!U268*1000/Gasto_o_ing_total!U$479</f>
        <v>0.65963129681338439</v>
      </c>
      <c r="W268" s="2"/>
    </row>
    <row r="269" spans="1:24">
      <c r="A269" s="355"/>
      <c r="B269" s="115" t="s">
        <v>233</v>
      </c>
      <c r="C269" s="333" t="str">
        <f>VLOOKUP(B269,Tot_res!C:D,2,FALSE)</f>
        <v>Ajuste forales, ayudas al transporte colectivo urbano</v>
      </c>
      <c r="D269" s="336">
        <f>Gasto_o_ing_total!V269*1000/Gasto_o_ing_total!V$479</f>
        <v>0.40751050125200428</v>
      </c>
      <c r="E269" s="336">
        <f>Gasto_o_ing_total!D269*1000/Gasto_o_ing_total!D$479</f>
        <v>0</v>
      </c>
      <c r="F269" s="336">
        <f>Gasto_o_ing_total!E269*1000/Gasto_o_ing_total!E$479</f>
        <v>0</v>
      </c>
      <c r="G269" s="336">
        <f>Gasto_o_ing_total!F269*1000/Gasto_o_ing_total!F$479</f>
        <v>0</v>
      </c>
      <c r="H269" s="336">
        <f>Gasto_o_ing_total!G269*1000/Gasto_o_ing_total!G$479</f>
        <v>0</v>
      </c>
      <c r="I269" s="336">
        <f>Gasto_o_ing_total!H269*1000/Gasto_o_ing_total!H$479</f>
        <v>0</v>
      </c>
      <c r="J269" s="336">
        <f>Gasto_o_ing_total!I269*1000/Gasto_o_ing_total!I$479</f>
        <v>0</v>
      </c>
      <c r="K269" s="336">
        <f>Gasto_o_ing_total!J269*1000/Gasto_o_ing_total!J$479</f>
        <v>0</v>
      </c>
      <c r="L269" s="336">
        <f>Gasto_o_ing_total!K269*1000/Gasto_o_ing_total!K$479</f>
        <v>0</v>
      </c>
      <c r="M269" s="336">
        <f>Gasto_o_ing_total!L269*1000/Gasto_o_ing_total!L$479</f>
        <v>0</v>
      </c>
      <c r="N269" s="336">
        <f>Gasto_o_ing_total!M269*1000/Gasto_o_ing_total!M$479</f>
        <v>0</v>
      </c>
      <c r="O269" s="336">
        <f>Gasto_o_ing_total!N269*1000/Gasto_o_ing_total!N$479</f>
        <v>0</v>
      </c>
      <c r="P269" s="336">
        <f>Gasto_o_ing_total!O269*1000/Gasto_o_ing_total!O$479</f>
        <v>0</v>
      </c>
      <c r="Q269" s="336">
        <f>Gasto_o_ing_total!P269*1000/Gasto_o_ing_total!P$479</f>
        <v>0</v>
      </c>
      <c r="R269" s="336">
        <f>Gasto_o_ing_total!Q269*1000/Gasto_o_ing_total!Q$479</f>
        <v>0</v>
      </c>
      <c r="S269" s="336">
        <f>Gasto_o_ing_total!R269*1000/Gasto_o_ing_total!R$479</f>
        <v>6.7627556367127113</v>
      </c>
      <c r="T269" s="336">
        <f>Gasto_o_ing_total!S269*1000/Gasto_o_ing_total!S$479</f>
        <v>6.7509690785525969</v>
      </c>
      <c r="U269" s="336">
        <f>Gasto_o_ing_total!T269*1000/Gasto_o_ing_total!T$479</f>
        <v>0</v>
      </c>
      <c r="V269" s="336">
        <f>Gasto_o_ing_total!U269*1000/Gasto_o_ing_total!U$479</f>
        <v>0</v>
      </c>
      <c r="W269" s="4"/>
    </row>
    <row r="270" spans="1:24">
      <c r="A270" s="356"/>
      <c r="C270" s="119"/>
      <c r="D270" s="19"/>
      <c r="E270" s="19"/>
      <c r="F270" s="19"/>
      <c r="G270" s="19"/>
      <c r="H270" s="19"/>
      <c r="I270" s="19"/>
      <c r="J270" s="19"/>
      <c r="K270" s="19"/>
      <c r="L270" s="19"/>
      <c r="M270" s="19"/>
      <c r="N270" s="19"/>
      <c r="O270" s="19"/>
      <c r="P270" s="19"/>
      <c r="Q270" s="19"/>
      <c r="R270" s="19"/>
      <c r="S270" s="19"/>
      <c r="T270" s="19"/>
      <c r="U270" s="19"/>
      <c r="V270" s="19"/>
    </row>
    <row r="271" spans="1:24" s="102" customFormat="1">
      <c r="A271" s="356"/>
      <c r="B271" s="115"/>
      <c r="C271" s="117" t="s">
        <v>55</v>
      </c>
      <c r="D271" s="110">
        <f>Gasto_o_ing_total!V271*1000/Gasto_o_ing_total!V$479</f>
        <v>109.38322846776767</v>
      </c>
      <c r="E271" s="110">
        <f>Gasto_o_ing_total!D271*1000/Gasto_o_ing_total!D$479</f>
        <v>216.48018026678696</v>
      </c>
      <c r="F271" s="110">
        <f>Gasto_o_ing_total!E271*1000/Gasto_o_ing_total!E$479</f>
        <v>82.183440959784718</v>
      </c>
      <c r="G271" s="110">
        <f>Gasto_o_ing_total!F271*1000/Gasto_o_ing_total!F$479</f>
        <v>142.194180558451</v>
      </c>
      <c r="H271" s="110">
        <f>Gasto_o_ing_total!G271*1000/Gasto_o_ing_total!G$479</f>
        <v>225.25019698967913</v>
      </c>
      <c r="I271" s="110">
        <f>Gasto_o_ing_total!H271*1000/Gasto_o_ing_total!H$479</f>
        <v>441.68240735146821</v>
      </c>
      <c r="J271" s="110">
        <f>Gasto_o_ing_total!I271*1000/Gasto_o_ing_total!I$479</f>
        <v>48.108080836717861</v>
      </c>
      <c r="K271" s="110">
        <f>Gasto_o_ing_total!J271*1000/Gasto_o_ing_total!J$479</f>
        <v>116.60925753060197</v>
      </c>
      <c r="L271" s="110">
        <f>Gasto_o_ing_total!K271*1000/Gasto_o_ing_total!K$479</f>
        <v>98.681411990115976</v>
      </c>
      <c r="M271" s="110">
        <f>Gasto_o_ing_total!L271*1000/Gasto_o_ing_total!L$479</f>
        <v>1.5409062384968106</v>
      </c>
      <c r="N271" s="110">
        <f>Gasto_o_ing_total!M271*1000/Gasto_o_ing_total!M$479</f>
        <v>50.253222051524723</v>
      </c>
      <c r="O271" s="110">
        <f>Gasto_o_ing_total!N271*1000/Gasto_o_ing_total!N$479</f>
        <v>313.93750663932968</v>
      </c>
      <c r="P271" s="110">
        <f>Gasto_o_ing_total!O271*1000/Gasto_o_ing_total!O$479</f>
        <v>145.43390135263101</v>
      </c>
      <c r="Q271" s="110">
        <f>Gasto_o_ing_total!P271*1000/Gasto_o_ing_total!P$479</f>
        <v>12.429652453718866</v>
      </c>
      <c r="R271" s="110">
        <f>Gasto_o_ing_total!Q271*1000/Gasto_o_ing_total!Q$479</f>
        <v>62.29619444887102</v>
      </c>
      <c r="S271" s="110">
        <f>Gasto_o_ing_total!R271*1000/Gasto_o_ing_total!R$479</f>
        <v>24.565466305798136</v>
      </c>
      <c r="T271" s="110">
        <f>Gasto_o_ing_total!S271*1000/Gasto_o_ing_total!S$479</f>
        <v>26.248212825327716</v>
      </c>
      <c r="U271" s="110">
        <f>Gasto_o_ing_total!T271*1000/Gasto_o_ing_total!T$479</f>
        <v>36.322541586466791</v>
      </c>
      <c r="V271" s="110">
        <f>Gasto_o_ing_total!U271*1000/Gasto_o_ing_total!U$479</f>
        <v>429.23441738273362</v>
      </c>
      <c r="W271" s="114"/>
    </row>
    <row r="272" spans="1:24">
      <c r="A272" s="355"/>
      <c r="B272" s="115" t="s">
        <v>641</v>
      </c>
      <c r="C272" s="333" t="str">
        <f>VLOOKUP(B272,Tot_res!C:D,2,FALSE)</f>
        <v>Subsidio y renta para eventuales agrarios en Andalucía y Extremadura</v>
      </c>
      <c r="D272" s="336">
        <f>Gasto_o_ing_total!V272*1000/Gasto_o_ing_total!V$479</f>
        <v>21.964856364699653</v>
      </c>
      <c r="E272" s="336">
        <f>Gasto_o_ing_total!D272*1000/Gasto_o_ing_total!D$479</f>
        <v>106.84538754379835</v>
      </c>
      <c r="F272" s="336">
        <f>Gasto_o_ing_total!E272*1000/Gasto_o_ing_total!E$479</f>
        <v>0</v>
      </c>
      <c r="G272" s="336">
        <f>Gasto_o_ing_total!F272*1000/Gasto_o_ing_total!F$479</f>
        <v>0</v>
      </c>
      <c r="H272" s="336">
        <f>Gasto_o_ing_total!G272*1000/Gasto_o_ing_total!G$479</f>
        <v>0</v>
      </c>
      <c r="I272" s="336">
        <f>Gasto_o_ing_total!H272*1000/Gasto_o_ing_total!H$479</f>
        <v>0</v>
      </c>
      <c r="J272" s="336">
        <f>Gasto_o_ing_total!I272*1000/Gasto_o_ing_total!I$479</f>
        <v>0</v>
      </c>
      <c r="K272" s="336">
        <f>Gasto_o_ing_total!J272*1000/Gasto_o_ing_total!J$479</f>
        <v>0</v>
      </c>
      <c r="L272" s="336">
        <f>Gasto_o_ing_total!K272*1000/Gasto_o_ing_total!K$479</f>
        <v>0</v>
      </c>
      <c r="M272" s="336">
        <f>Gasto_o_ing_total!L272*1000/Gasto_o_ing_total!L$479</f>
        <v>0</v>
      </c>
      <c r="N272" s="336">
        <f>Gasto_o_ing_total!M272*1000/Gasto_o_ing_total!M$479</f>
        <v>0</v>
      </c>
      <c r="O272" s="336">
        <f>Gasto_o_ing_total!N272*1000/Gasto_o_ing_total!N$479</f>
        <v>119.33461001351198</v>
      </c>
      <c r="P272" s="336">
        <f>Gasto_o_ing_total!O272*1000/Gasto_o_ing_total!O$479</f>
        <v>0</v>
      </c>
      <c r="Q272" s="336">
        <f>Gasto_o_ing_total!P272*1000/Gasto_o_ing_total!P$479</f>
        <v>0</v>
      </c>
      <c r="R272" s="336">
        <f>Gasto_o_ing_total!Q272*1000/Gasto_o_ing_total!Q$479</f>
        <v>0</v>
      </c>
      <c r="S272" s="336">
        <f>Gasto_o_ing_total!R272*1000/Gasto_o_ing_total!R$479</f>
        <v>0</v>
      </c>
      <c r="T272" s="336">
        <f>Gasto_o_ing_total!S272*1000/Gasto_o_ing_total!S$479</f>
        <v>0</v>
      </c>
      <c r="U272" s="336">
        <f>Gasto_o_ing_total!T272*1000/Gasto_o_ing_total!T$479</f>
        <v>0</v>
      </c>
      <c r="V272" s="336">
        <f>Gasto_o_ing_total!U272*1000/Gasto_o_ing_total!U$479</f>
        <v>0</v>
      </c>
      <c r="W272" s="2"/>
    </row>
    <row r="273" spans="1:23">
      <c r="A273" s="355"/>
      <c r="B273" s="115" t="s">
        <v>295</v>
      </c>
      <c r="C273" s="333" t="str">
        <f>VLOOKUP(B273,Tot_res!C:D,2,FALSE)</f>
        <v>Incentivos regionales a la localización industrial</v>
      </c>
      <c r="D273" s="336">
        <f>Gasto_o_ing_total!V273*1000/Gasto_o_ing_total!V$479</f>
        <v>1.7369637336822503</v>
      </c>
      <c r="E273" s="336">
        <f>Gasto_o_ing_total!D273*1000/Gasto_o_ing_total!D$479</f>
        <v>1.7632765107736716</v>
      </c>
      <c r="F273" s="336">
        <f>Gasto_o_ing_total!E273*1000/Gasto_o_ing_total!E$479</f>
        <v>0.65542881712234402</v>
      </c>
      <c r="G273" s="336">
        <f>Gasto_o_ing_total!F273*1000/Gasto_o_ing_total!F$479</f>
        <v>3.37569035292079</v>
      </c>
      <c r="H273" s="336">
        <f>Gasto_o_ing_total!G273*1000/Gasto_o_ing_total!G$479</f>
        <v>0</v>
      </c>
      <c r="I273" s="336">
        <f>Gasto_o_ing_total!H273*1000/Gasto_o_ing_total!H$479</f>
        <v>3.0473166254672082</v>
      </c>
      <c r="J273" s="336">
        <f>Gasto_o_ing_total!I273*1000/Gasto_o_ing_total!I$479</f>
        <v>0</v>
      </c>
      <c r="K273" s="336">
        <f>Gasto_o_ing_total!J273*1000/Gasto_o_ing_total!J$479</f>
        <v>4.9623426274644693</v>
      </c>
      <c r="L273" s="336">
        <f>Gasto_o_ing_total!K273*1000/Gasto_o_ing_total!K$479</f>
        <v>4.2632589776690892</v>
      </c>
      <c r="M273" s="336">
        <f>Gasto_o_ing_total!L273*1000/Gasto_o_ing_total!L$479</f>
        <v>0</v>
      </c>
      <c r="N273" s="336">
        <f>Gasto_o_ing_total!M273*1000/Gasto_o_ing_total!M$479</f>
        <v>3.6110140287428827</v>
      </c>
      <c r="O273" s="336">
        <f>Gasto_o_ing_total!N273*1000/Gasto_o_ing_total!N$479</f>
        <v>7.3830501111043549</v>
      </c>
      <c r="P273" s="336">
        <f>Gasto_o_ing_total!O273*1000/Gasto_o_ing_total!O$479</f>
        <v>2.2285715692904664</v>
      </c>
      <c r="Q273" s="336">
        <f>Gasto_o_ing_total!P273*1000/Gasto_o_ing_total!P$479</f>
        <v>0</v>
      </c>
      <c r="R273" s="336">
        <f>Gasto_o_ing_total!Q273*1000/Gasto_o_ing_total!Q$479</f>
        <v>1.2901463650735419</v>
      </c>
      <c r="S273" s="336">
        <f>Gasto_o_ing_total!R273*1000/Gasto_o_ing_total!R$479</f>
        <v>0</v>
      </c>
      <c r="T273" s="336">
        <f>Gasto_o_ing_total!S273*1000/Gasto_o_ing_total!S$479</f>
        <v>0</v>
      </c>
      <c r="U273" s="336">
        <f>Gasto_o_ing_total!T273*1000/Gasto_o_ing_total!T$479</f>
        <v>0</v>
      </c>
      <c r="V273" s="336">
        <f>Gasto_o_ing_total!U273*1000/Gasto_o_ing_total!U$479</f>
        <v>0</v>
      </c>
      <c r="W273" s="2"/>
    </row>
    <row r="274" spans="1:23">
      <c r="A274" s="355"/>
      <c r="B274" s="115" t="s">
        <v>296</v>
      </c>
      <c r="C274" s="333" t="str">
        <f>VLOOKUP(B274,Tot_res!C:D,2,FALSE)</f>
        <v>Desarrollo alternativo de las comarcas mineras del carbón</v>
      </c>
      <c r="D274" s="336">
        <f>Gasto_o_ing_total!V274*1000/Gasto_o_ing_total!V$479</f>
        <v>0.4263771788290841</v>
      </c>
      <c r="E274" s="336">
        <f>Gasto_o_ing_total!D274*1000/Gasto_o_ing_total!D$479</f>
        <v>0.23730375556512784</v>
      </c>
      <c r="F274" s="336">
        <f>Gasto_o_ing_total!E274*1000/Gasto_o_ing_total!E$479</f>
        <v>0.66492138737191464</v>
      </c>
      <c r="G274" s="336">
        <f>Gasto_o_ing_total!F274*1000/Gasto_o_ing_total!F$479</f>
        <v>8.6814295365884462</v>
      </c>
      <c r="H274" s="336">
        <f>Gasto_o_ing_total!G274*1000/Gasto_o_ing_total!G$479</f>
        <v>0</v>
      </c>
      <c r="I274" s="336">
        <f>Gasto_o_ing_total!H274*1000/Gasto_o_ing_total!H$479</f>
        <v>0</v>
      </c>
      <c r="J274" s="336">
        <f>Gasto_o_ing_total!I274*1000/Gasto_o_ing_total!I$479</f>
        <v>0</v>
      </c>
      <c r="K274" s="336">
        <f>Gasto_o_ing_total!J274*1000/Gasto_o_ing_total!J$479</f>
        <v>0.73921752699332866</v>
      </c>
      <c r="L274" s="336">
        <f>Gasto_o_ing_total!K274*1000/Gasto_o_ing_total!K$479</f>
        <v>0.56255216217593562</v>
      </c>
      <c r="M274" s="336">
        <f>Gasto_o_ing_total!L274*1000/Gasto_o_ing_total!L$479</f>
        <v>1.7118348829159864E-2</v>
      </c>
      <c r="N274" s="336">
        <f>Gasto_o_ing_total!M274*1000/Gasto_o_ing_total!M$479</f>
        <v>0</v>
      </c>
      <c r="O274" s="336">
        <f>Gasto_o_ing_total!N274*1000/Gasto_o_ing_total!N$479</f>
        <v>0</v>
      </c>
      <c r="P274" s="336">
        <f>Gasto_o_ing_total!O274*1000/Gasto_o_ing_total!O$479</f>
        <v>1.7148015417158162</v>
      </c>
      <c r="Q274" s="336">
        <f>Gasto_o_ing_total!P274*1000/Gasto_o_ing_total!P$479</f>
        <v>0</v>
      </c>
      <c r="R274" s="336">
        <f>Gasto_o_ing_total!Q274*1000/Gasto_o_ing_total!Q$479</f>
        <v>0</v>
      </c>
      <c r="S274" s="336">
        <f>Gasto_o_ing_total!R274*1000/Gasto_o_ing_total!R$479</f>
        <v>0</v>
      </c>
      <c r="T274" s="336">
        <f>Gasto_o_ing_total!S274*1000/Gasto_o_ing_total!S$479</f>
        <v>0</v>
      </c>
      <c r="U274" s="336">
        <f>Gasto_o_ing_total!T274*1000/Gasto_o_ing_total!T$479</f>
        <v>0</v>
      </c>
      <c r="V274" s="336">
        <f>Gasto_o_ing_total!U274*1000/Gasto_o_ing_total!U$479</f>
        <v>0</v>
      </c>
      <c r="W274" s="2"/>
    </row>
    <row r="275" spans="1:23">
      <c r="A275" s="355"/>
      <c r="B275" s="115" t="s">
        <v>642</v>
      </c>
      <c r="C275" s="333" t="str">
        <f>VLOOKUP(B275,Tot_res!C:D,2,FALSE)</f>
        <v>Explotación minera</v>
      </c>
      <c r="D275" s="336">
        <f>Gasto_o_ing_total!V275*1000/Gasto_o_ing_total!V$479</f>
        <v>7.5704620928712218</v>
      </c>
      <c r="E275" s="336">
        <f>Gasto_o_ing_total!D275*1000/Gasto_o_ing_total!D$479</f>
        <v>2.0350900127929488</v>
      </c>
      <c r="F275" s="336">
        <f>Gasto_o_ing_total!E275*1000/Gasto_o_ing_total!E$479</f>
        <v>28.861883679894525</v>
      </c>
      <c r="G275" s="336">
        <f>Gasto_o_ing_total!F275*1000/Gasto_o_ing_total!F$479</f>
        <v>77.812866319024337</v>
      </c>
      <c r="H275" s="336">
        <f>Gasto_o_ing_total!G275*1000/Gasto_o_ing_total!G$479</f>
        <v>7.6452778587169326E-2</v>
      </c>
      <c r="I275" s="336">
        <f>Gasto_o_ing_total!H275*1000/Gasto_o_ing_total!H$479</f>
        <v>7.1208587083486846E-2</v>
      </c>
      <c r="J275" s="336">
        <f>Gasto_o_ing_total!I275*1000/Gasto_o_ing_total!I$479</f>
        <v>0.94690868817368745</v>
      </c>
      <c r="K275" s="336">
        <f>Gasto_o_ing_total!J275*1000/Gasto_o_ing_total!J$479</f>
        <v>61.0403874232967</v>
      </c>
      <c r="L275" s="336">
        <f>Gasto_o_ing_total!K275*1000/Gasto_o_ing_total!K$479</f>
        <v>2.3775350970088307</v>
      </c>
      <c r="M275" s="336">
        <f>Gasto_o_ing_total!L275*1000/Gasto_o_ing_total!L$479</f>
        <v>0.63475652309734432</v>
      </c>
      <c r="N275" s="336">
        <f>Gasto_o_ing_total!M275*1000/Gasto_o_ing_total!M$479</f>
        <v>0.31102502377831892</v>
      </c>
      <c r="O275" s="336">
        <f>Gasto_o_ing_total!N275*1000/Gasto_o_ing_total!N$479</f>
        <v>0.19073719136501111</v>
      </c>
      <c r="P275" s="336">
        <f>Gasto_o_ing_total!O275*1000/Gasto_o_ing_total!O$479</f>
        <v>17.685662602433531</v>
      </c>
      <c r="Q275" s="336">
        <f>Gasto_o_ing_total!P275*1000/Gasto_o_ing_total!P$479</f>
        <v>0.37841384522416494</v>
      </c>
      <c r="R275" s="336">
        <f>Gasto_o_ing_total!Q275*1000/Gasto_o_ing_total!Q$479</f>
        <v>4.6658321327931802E-2</v>
      </c>
      <c r="S275" s="336">
        <f>Gasto_o_ing_total!R275*1000/Gasto_o_ing_total!R$479</f>
        <v>8.5386525466669763E-2</v>
      </c>
      <c r="T275" s="336">
        <f>Gasto_o_ing_total!S275*1000/Gasto_o_ing_total!S$479</f>
        <v>5.3402249111041696E-2</v>
      </c>
      <c r="U275" s="336">
        <f>Gasto_o_ing_total!T275*1000/Gasto_o_ing_total!T$479</f>
        <v>9.4680921337479435E-2</v>
      </c>
      <c r="V275" s="336">
        <f>Gasto_o_ing_total!U275*1000/Gasto_o_ing_total!U$479</f>
        <v>0</v>
      </c>
      <c r="W275" s="2"/>
    </row>
    <row r="276" spans="1:23">
      <c r="A276" s="355"/>
      <c r="B276" s="115" t="s">
        <v>1188</v>
      </c>
      <c r="C276" s="333" t="str">
        <f>VLOOKUP(B276,Tot_res!C:D,2,FALSE)</f>
        <v>Sobrecostes sistemas eléctricos extrapeninsulares</v>
      </c>
      <c r="D276" s="336">
        <f>Gasto_o_ing_total!V276*1000/Gasto_o_ing_total!V$479</f>
        <v>10.706197771129467</v>
      </c>
      <c r="E276" s="336">
        <f>Gasto_o_ing_total!D276*1000/Gasto_o_ing_total!D$479</f>
        <v>0</v>
      </c>
      <c r="F276" s="336">
        <f>Gasto_o_ing_total!E276*1000/Gasto_o_ing_total!E$479</f>
        <v>0</v>
      </c>
      <c r="G276" s="336">
        <f>Gasto_o_ing_total!F276*1000/Gasto_o_ing_total!F$479</f>
        <v>0</v>
      </c>
      <c r="H276" s="336">
        <f>Gasto_o_ing_total!G276*1000/Gasto_o_ing_total!G$479</f>
        <v>97.660024028058046</v>
      </c>
      <c r="I276" s="336">
        <f>Gasto_o_ing_total!H276*1000/Gasto_o_ing_total!H$479</f>
        <v>172.81728596572307</v>
      </c>
      <c r="J276" s="336">
        <f>Gasto_o_ing_total!I276*1000/Gasto_o_ing_total!I$479</f>
        <v>0</v>
      </c>
      <c r="K276" s="336">
        <f>Gasto_o_ing_total!J276*1000/Gasto_o_ing_total!J$479</f>
        <v>0</v>
      </c>
      <c r="L276" s="336">
        <f>Gasto_o_ing_total!K276*1000/Gasto_o_ing_total!K$479</f>
        <v>0</v>
      </c>
      <c r="M276" s="336">
        <f>Gasto_o_ing_total!L276*1000/Gasto_o_ing_total!L$479</f>
        <v>0</v>
      </c>
      <c r="N276" s="336">
        <f>Gasto_o_ing_total!M276*1000/Gasto_o_ing_total!M$479</f>
        <v>0</v>
      </c>
      <c r="O276" s="336">
        <f>Gasto_o_ing_total!N276*1000/Gasto_o_ing_total!N$479</f>
        <v>0</v>
      </c>
      <c r="P276" s="336">
        <f>Gasto_o_ing_total!O276*1000/Gasto_o_ing_total!O$479</f>
        <v>0</v>
      </c>
      <c r="Q276" s="336">
        <f>Gasto_o_ing_total!P276*1000/Gasto_o_ing_total!P$479</f>
        <v>0</v>
      </c>
      <c r="R276" s="336">
        <f>Gasto_o_ing_total!Q276*1000/Gasto_o_ing_total!Q$479</f>
        <v>0</v>
      </c>
      <c r="S276" s="336">
        <f>Gasto_o_ing_total!R276*1000/Gasto_o_ing_total!R$479</f>
        <v>0</v>
      </c>
      <c r="T276" s="336">
        <f>Gasto_o_ing_total!S276*1000/Gasto_o_ing_total!S$479</f>
        <v>0</v>
      </c>
      <c r="U276" s="336">
        <f>Gasto_o_ing_total!T276*1000/Gasto_o_ing_total!T$479</f>
        <v>0</v>
      </c>
      <c r="V276" s="336">
        <f>Gasto_o_ing_total!U276*1000/Gasto_o_ing_total!U$479</f>
        <v>175.20759229925574</v>
      </c>
      <c r="W276" s="2"/>
    </row>
    <row r="277" spans="1:23">
      <c r="A277" s="355"/>
      <c r="B277" s="115" t="s">
        <v>297</v>
      </c>
      <c r="C277" s="333" t="str">
        <f>VLOOKUP(B277,Tot_res!C:D,2,FALSE)</f>
        <v>Subvenciones y apoyo al transporte marítimo</v>
      </c>
      <c r="D277" s="336">
        <f>Gasto_o_ing_total!V277*1000/Gasto_o_ing_total!V$479</f>
        <v>1.273090239260608</v>
      </c>
      <c r="E277" s="336">
        <f>Gasto_o_ing_total!D277*1000/Gasto_o_ing_total!D$479</f>
        <v>5.7004669747052011E-2</v>
      </c>
      <c r="F277" s="336">
        <f>Gasto_o_ing_total!E277*1000/Gasto_o_ing_total!E$479</f>
        <v>2.2350522363744803E-2</v>
      </c>
      <c r="G277" s="336">
        <f>Gasto_o_ing_total!F277*1000/Gasto_o_ing_total!F$479</f>
        <v>8.6255196129878427E-3</v>
      </c>
      <c r="H277" s="336">
        <f>Gasto_o_ing_total!G277*1000/Gasto_o_ing_total!G$479</f>
        <v>11.744632859953214</v>
      </c>
      <c r="I277" s="336">
        <f>Gasto_o_ing_total!H277*1000/Gasto_o_ing_total!H$479</f>
        <v>11.769922441966223</v>
      </c>
      <c r="J277" s="336">
        <f>Gasto_o_ing_total!I277*1000/Gasto_o_ing_total!I$479</f>
        <v>2.6604961909230524E-2</v>
      </c>
      <c r="K277" s="336">
        <f>Gasto_o_ing_total!J277*1000/Gasto_o_ing_total!J$479</f>
        <v>5.2621241665228016E-3</v>
      </c>
      <c r="L277" s="336">
        <f>Gasto_o_ing_total!K277*1000/Gasto_o_ing_total!K$479</f>
        <v>1.1594879191297917E-2</v>
      </c>
      <c r="M277" s="336">
        <f>Gasto_o_ing_total!L277*1000/Gasto_o_ing_total!L$479</f>
        <v>4.5765492886320515E-2</v>
      </c>
      <c r="N277" s="336">
        <f>Gasto_o_ing_total!M277*1000/Gasto_o_ing_total!M$479</f>
        <v>4.3885596372046434E-2</v>
      </c>
      <c r="O277" s="336">
        <f>Gasto_o_ing_total!N277*1000/Gasto_o_ing_total!N$479</f>
        <v>1.2860303843421928E-2</v>
      </c>
      <c r="P277" s="336">
        <f>Gasto_o_ing_total!O277*1000/Gasto_o_ing_total!O$479</f>
        <v>6.0805055834986859E-3</v>
      </c>
      <c r="Q277" s="336">
        <f>Gasto_o_ing_total!P277*1000/Gasto_o_ing_total!P$479</f>
        <v>2.0187466764871494E-2</v>
      </c>
      <c r="R277" s="336">
        <f>Gasto_o_ing_total!Q277*1000/Gasto_o_ing_total!Q$479</f>
        <v>2.386665481594729E-2</v>
      </c>
      <c r="S277" s="336">
        <f>Gasto_o_ing_total!R277*1000/Gasto_o_ing_total!R$479</f>
        <v>2.7084955525106078E-2</v>
      </c>
      <c r="T277" s="336">
        <f>Gasto_o_ing_total!S277*1000/Gasto_o_ing_total!S$479</f>
        <v>7.7579389372585388E-3</v>
      </c>
      <c r="U277" s="336">
        <f>Gasto_o_ing_total!T277*1000/Gasto_o_ing_total!T$479</f>
        <v>2.7369323316761202E-2</v>
      </c>
      <c r="V277" s="336">
        <f>Gasto_o_ing_total!U277*1000/Gasto_o_ing_total!U$479</f>
        <v>121.72189092288775</v>
      </c>
      <c r="W277" s="2"/>
    </row>
    <row r="278" spans="1:23">
      <c r="A278" s="355"/>
      <c r="B278" s="115" t="s">
        <v>298</v>
      </c>
      <c r="C278" s="333" t="str">
        <f>VLOOKUP(B278,Tot_res!C:D,2,FALSE)</f>
        <v>Subvenciones y apoyo al transporte aéreo</v>
      </c>
      <c r="D278" s="336">
        <f>Gasto_o_ing_total!V278*1000/Gasto_o_ing_total!V$479</f>
        <v>5.8211404628127772</v>
      </c>
      <c r="E278" s="336">
        <f>Gasto_o_ing_total!D278*1000/Gasto_o_ing_total!D$479</f>
        <v>0.12670751779850503</v>
      </c>
      <c r="F278" s="336">
        <f>Gasto_o_ing_total!E278*1000/Gasto_o_ing_total!E$479</f>
        <v>0.12667132814274415</v>
      </c>
      <c r="G278" s="336">
        <f>Gasto_o_ing_total!F278*1000/Gasto_o_ing_total!F$479</f>
        <v>0.13350198369369329</v>
      </c>
      <c r="H278" s="336">
        <f>Gasto_o_ing_total!G278*1000/Gasto_o_ing_total!G$479</f>
        <v>87.870538985205854</v>
      </c>
      <c r="I278" s="336">
        <f>Gasto_o_ing_total!H278*1000/Gasto_o_ing_total!H$479</f>
        <v>80.073700194867357</v>
      </c>
      <c r="J278" s="336">
        <f>Gasto_o_ing_total!I278*1000/Gasto_o_ing_total!I$479</f>
        <v>0.14193921173522381</v>
      </c>
      <c r="K278" s="336">
        <f>Gasto_o_ing_total!J278*1000/Gasto_o_ing_total!J$479</f>
        <v>0.12414140821212284</v>
      </c>
      <c r="L278" s="336">
        <f>Gasto_o_ing_total!K278*1000/Gasto_o_ing_total!K$479</f>
        <v>0.12083782562061927</v>
      </c>
      <c r="M278" s="336">
        <f>Gasto_o_ing_total!L278*1000/Gasto_o_ing_total!L$479</f>
        <v>0.13968898130219018</v>
      </c>
      <c r="N278" s="336">
        <f>Gasto_o_ing_total!M278*1000/Gasto_o_ing_total!M$479</f>
        <v>0.12776578880794795</v>
      </c>
      <c r="O278" s="336">
        <f>Gasto_o_ing_total!N278*1000/Gasto_o_ing_total!N$479</f>
        <v>0.12333431852893881</v>
      </c>
      <c r="P278" s="336">
        <f>Gasto_o_ing_total!O278*1000/Gasto_o_ing_total!O$479</f>
        <v>0.12717699272436786</v>
      </c>
      <c r="Q278" s="336">
        <f>Gasto_o_ing_total!P278*1000/Gasto_o_ing_total!P$479</f>
        <v>0.13629229595147843</v>
      </c>
      <c r="R278" s="336">
        <f>Gasto_o_ing_total!Q278*1000/Gasto_o_ing_total!Q$479</f>
        <v>0.12087378871537849</v>
      </c>
      <c r="S278" s="336">
        <f>Gasto_o_ing_total!R278*1000/Gasto_o_ing_total!R$479</f>
        <v>0.12755894261222195</v>
      </c>
      <c r="T278" s="336">
        <f>Gasto_o_ing_total!S278*1000/Gasto_o_ing_total!S$479</f>
        <v>0.13681416902790081</v>
      </c>
      <c r="U278" s="336">
        <f>Gasto_o_ing_total!T278*1000/Gasto_o_ing_total!T$479</f>
        <v>0.12658516908089909</v>
      </c>
      <c r="V278" s="336">
        <f>Gasto_o_ing_total!U278*1000/Gasto_o_ing_total!U$479</f>
        <v>7.0827655487519641</v>
      </c>
      <c r="W278" s="2"/>
    </row>
    <row r="279" spans="1:23">
      <c r="A279" s="355"/>
      <c r="B279" s="115" t="s">
        <v>299</v>
      </c>
      <c r="C279" s="333" t="str">
        <f>VLOOKUP(B279,Tot_res!C:D,2,FALSE)</f>
        <v>Subvenciones al transporte extrapeninsular de mercancías</v>
      </c>
      <c r="D279" s="336">
        <f>Gasto_o_ing_total!V279*1000/Gasto_o_ing_total!V$479</f>
        <v>0.4222410698726034</v>
      </c>
      <c r="E279" s="336">
        <f>Gasto_o_ing_total!D279*1000/Gasto_o_ing_total!D$479</f>
        <v>0</v>
      </c>
      <c r="F279" s="336">
        <f>Gasto_o_ing_total!E279*1000/Gasto_o_ing_total!E$479</f>
        <v>0</v>
      </c>
      <c r="G279" s="336">
        <f>Gasto_o_ing_total!F279*1000/Gasto_o_ing_total!F$479</f>
        <v>0</v>
      </c>
      <c r="H279" s="336">
        <f>Gasto_o_ing_total!G279*1000/Gasto_o_ing_total!G$479</f>
        <v>1.0557825414109239</v>
      </c>
      <c r="I279" s="336">
        <f>Gasto_o_ing_total!H279*1000/Gasto_o_ing_total!H$479</f>
        <v>8.8339725970961478</v>
      </c>
      <c r="J279" s="336">
        <f>Gasto_o_ing_total!I279*1000/Gasto_o_ing_total!I$479</f>
        <v>0</v>
      </c>
      <c r="K279" s="336">
        <f>Gasto_o_ing_total!J279*1000/Gasto_o_ing_total!J$479</f>
        <v>0</v>
      </c>
      <c r="L279" s="336">
        <f>Gasto_o_ing_total!K279*1000/Gasto_o_ing_total!K$479</f>
        <v>0</v>
      </c>
      <c r="M279" s="336">
        <f>Gasto_o_ing_total!L279*1000/Gasto_o_ing_total!L$479</f>
        <v>0</v>
      </c>
      <c r="N279" s="336">
        <f>Gasto_o_ing_total!M279*1000/Gasto_o_ing_total!M$479</f>
        <v>0</v>
      </c>
      <c r="O279" s="336">
        <f>Gasto_o_ing_total!N279*1000/Gasto_o_ing_total!N$479</f>
        <v>0</v>
      </c>
      <c r="P279" s="336">
        <f>Gasto_o_ing_total!O279*1000/Gasto_o_ing_total!O$479</f>
        <v>0</v>
      </c>
      <c r="Q279" s="336">
        <f>Gasto_o_ing_total!P279*1000/Gasto_o_ing_total!P$479</f>
        <v>0</v>
      </c>
      <c r="R279" s="336">
        <f>Gasto_o_ing_total!Q279*1000/Gasto_o_ing_total!Q$479</f>
        <v>0</v>
      </c>
      <c r="S279" s="336">
        <f>Gasto_o_ing_total!R279*1000/Gasto_o_ing_total!R$479</f>
        <v>0</v>
      </c>
      <c r="T279" s="336">
        <f>Gasto_o_ing_total!S279*1000/Gasto_o_ing_total!S$479</f>
        <v>0</v>
      </c>
      <c r="U279" s="336">
        <f>Gasto_o_ing_total!T279*1000/Gasto_o_ing_total!T$479</f>
        <v>0</v>
      </c>
      <c r="V279" s="336">
        <f>Gasto_o_ing_total!U279*1000/Gasto_o_ing_total!U$479</f>
        <v>0</v>
      </c>
      <c r="W279" s="2"/>
    </row>
    <row r="280" spans="1:23">
      <c r="A280" s="355"/>
      <c r="B280" s="115" t="s">
        <v>300</v>
      </c>
      <c r="C280" s="333" t="str">
        <f>VLOOKUP(B280,Tot_res!C:D,2,FALSE)</f>
        <v>Infraestructuras en comarcas mineras del carbón</v>
      </c>
      <c r="D280" s="336">
        <f>Gasto_o_ing_total!V280*1000/Gasto_o_ing_total!V$479</f>
        <v>0.21720713588050342</v>
      </c>
      <c r="E280" s="336">
        <f>Gasto_o_ing_total!D280*1000/Gasto_o_ing_total!D$479</f>
        <v>4.7486470174892777E-2</v>
      </c>
      <c r="F280" s="336">
        <f>Gasto_o_ing_total!E280*1000/Gasto_o_ing_total!E$479</f>
        <v>0.52686301208403263</v>
      </c>
      <c r="G280" s="336">
        <f>Gasto_o_ing_total!F280*1000/Gasto_o_ing_total!F$479</f>
        <v>0</v>
      </c>
      <c r="H280" s="336">
        <f>Gasto_o_ing_total!G280*1000/Gasto_o_ing_total!G$479</f>
        <v>0</v>
      </c>
      <c r="I280" s="336">
        <f>Gasto_o_ing_total!H280*1000/Gasto_o_ing_total!H$479</f>
        <v>0</v>
      </c>
      <c r="J280" s="336">
        <f>Gasto_o_ing_total!I280*1000/Gasto_o_ing_total!I$479</f>
        <v>0</v>
      </c>
      <c r="K280" s="336">
        <f>Gasto_o_ing_total!J280*1000/Gasto_o_ing_total!J$479</f>
        <v>3.6269897390952335</v>
      </c>
      <c r="L280" s="336">
        <f>Gasto_o_ing_total!K280*1000/Gasto_o_ing_total!K$479</f>
        <v>0</v>
      </c>
      <c r="M280" s="336">
        <f>Gasto_o_ing_total!L280*1000/Gasto_o_ing_total!L$479</f>
        <v>0</v>
      </c>
      <c r="N280" s="336">
        <f>Gasto_o_ing_total!M280*1000/Gasto_o_ing_total!M$479</f>
        <v>0</v>
      </c>
      <c r="O280" s="336">
        <f>Gasto_o_ing_total!N280*1000/Gasto_o_ing_total!N$479</f>
        <v>0</v>
      </c>
      <c r="P280" s="336">
        <f>Gasto_o_ing_total!O280*1000/Gasto_o_ing_total!O$479</f>
        <v>0</v>
      </c>
      <c r="Q280" s="336">
        <f>Gasto_o_ing_total!P280*1000/Gasto_o_ing_total!P$479</f>
        <v>0</v>
      </c>
      <c r="R280" s="336">
        <f>Gasto_o_ing_total!Q280*1000/Gasto_o_ing_total!Q$479</f>
        <v>0</v>
      </c>
      <c r="S280" s="336">
        <f>Gasto_o_ing_total!R280*1000/Gasto_o_ing_total!R$479</f>
        <v>0</v>
      </c>
      <c r="T280" s="336">
        <f>Gasto_o_ing_total!S280*1000/Gasto_o_ing_total!S$479</f>
        <v>0</v>
      </c>
      <c r="U280" s="336">
        <f>Gasto_o_ing_total!T280*1000/Gasto_o_ing_total!T$479</f>
        <v>0</v>
      </c>
      <c r="V280" s="336">
        <f>Gasto_o_ing_total!U280*1000/Gasto_o_ing_total!U$479</f>
        <v>0</v>
      </c>
      <c r="W280" s="2"/>
    </row>
    <row r="281" spans="1:23">
      <c r="A281" s="355"/>
      <c r="B281" s="115" t="s">
        <v>643</v>
      </c>
      <c r="C281" s="333" t="str">
        <f>VLOOKUP(B281,Tot_res!C:D,2,FALSE)</f>
        <v>Direc. y serv. grales. de hacienda y admones. Públicas, transferencias a la ZEC</v>
      </c>
      <c r="D281" s="336">
        <f>Gasto_o_ing_total!V281*1000/Gasto_o_ing_total!V$479</f>
        <v>1.911436118698643E-2</v>
      </c>
      <c r="E281" s="336">
        <f>Gasto_o_ing_total!D281*1000/Gasto_o_ing_total!D$479</f>
        <v>0</v>
      </c>
      <c r="F281" s="336">
        <f>Gasto_o_ing_total!E281*1000/Gasto_o_ing_total!E$479</f>
        <v>0</v>
      </c>
      <c r="G281" s="336">
        <f>Gasto_o_ing_total!F281*1000/Gasto_o_ing_total!F$479</f>
        <v>0</v>
      </c>
      <c r="H281" s="336">
        <f>Gasto_o_ing_total!G281*1000/Gasto_o_ing_total!G$479</f>
        <v>0</v>
      </c>
      <c r="I281" s="336">
        <f>Gasto_o_ing_total!H281*1000/Gasto_o_ing_total!H$479</f>
        <v>0.42497041549011316</v>
      </c>
      <c r="J281" s="336">
        <f>Gasto_o_ing_total!I281*1000/Gasto_o_ing_total!I$479</f>
        <v>0</v>
      </c>
      <c r="K281" s="336">
        <f>Gasto_o_ing_total!J281*1000/Gasto_o_ing_total!J$479</f>
        <v>0</v>
      </c>
      <c r="L281" s="336">
        <f>Gasto_o_ing_total!K281*1000/Gasto_o_ing_total!K$479</f>
        <v>0</v>
      </c>
      <c r="M281" s="336">
        <f>Gasto_o_ing_total!L281*1000/Gasto_o_ing_total!L$479</f>
        <v>0</v>
      </c>
      <c r="N281" s="336">
        <f>Gasto_o_ing_total!M281*1000/Gasto_o_ing_total!M$479</f>
        <v>0</v>
      </c>
      <c r="O281" s="336">
        <f>Gasto_o_ing_total!N281*1000/Gasto_o_ing_total!N$479</f>
        <v>0</v>
      </c>
      <c r="P281" s="336">
        <f>Gasto_o_ing_total!O281*1000/Gasto_o_ing_total!O$479</f>
        <v>0</v>
      </c>
      <c r="Q281" s="336">
        <f>Gasto_o_ing_total!P281*1000/Gasto_o_ing_total!P$479</f>
        <v>0</v>
      </c>
      <c r="R281" s="336">
        <f>Gasto_o_ing_total!Q281*1000/Gasto_o_ing_total!Q$479</f>
        <v>0</v>
      </c>
      <c r="S281" s="336">
        <f>Gasto_o_ing_total!R281*1000/Gasto_o_ing_total!R$479</f>
        <v>0</v>
      </c>
      <c r="T281" s="336">
        <f>Gasto_o_ing_total!S281*1000/Gasto_o_ing_total!S$479</f>
        <v>0</v>
      </c>
      <c r="U281" s="336">
        <f>Gasto_o_ing_total!T281*1000/Gasto_o_ing_total!T$479</f>
        <v>0</v>
      </c>
      <c r="V281" s="336">
        <f>Gasto_o_ing_total!U281*1000/Gasto_o_ing_total!U$479</f>
        <v>0</v>
      </c>
      <c r="W281" s="2"/>
    </row>
    <row r="282" spans="1:23">
      <c r="A282" s="355"/>
      <c r="B282" s="115" t="s">
        <v>301</v>
      </c>
      <c r="C282" s="333" t="str">
        <f>VLOOKUP(B282,Tot_res!C:D,2,FALSE)</f>
        <v>Transfer. a cc.aa. por fondos de compens. intert.</v>
      </c>
      <c r="D282" s="336">
        <f>Gasto_o_ing_total!V282*1000/Gasto_o_ing_total!V$479</f>
        <v>12.519023424469337</v>
      </c>
      <c r="E282" s="336">
        <f>Gasto_o_ing_total!D282*1000/Gasto_o_ing_total!D$479</f>
        <v>24.294563697242797</v>
      </c>
      <c r="F282" s="336">
        <f>Gasto_o_ing_total!E282*1000/Gasto_o_ing_total!E$479</f>
        <v>0</v>
      </c>
      <c r="G282" s="336">
        <f>Gasto_o_ing_total!F282*1000/Gasto_o_ing_total!F$479</f>
        <v>15.232302043127421</v>
      </c>
      <c r="H282" s="336">
        <f>Gasto_o_ing_total!G282*1000/Gasto_o_ing_total!G$479</f>
        <v>0</v>
      </c>
      <c r="I282" s="336">
        <f>Gasto_o_ing_total!H282*1000/Gasto_o_ing_total!H$479</f>
        <v>36.232540365867692</v>
      </c>
      <c r="J282" s="336">
        <f>Gasto_o_ing_total!I282*1000/Gasto_o_ing_total!I$479</f>
        <v>6.0624805174563594</v>
      </c>
      <c r="K282" s="336">
        <f>Gasto_o_ing_total!J282*1000/Gasto_o_ing_total!J$479</f>
        <v>9.9857637549068574</v>
      </c>
      <c r="L282" s="336">
        <f>Gasto_o_ing_total!K282*1000/Gasto_o_ing_total!K$479</f>
        <v>22.337752167726691</v>
      </c>
      <c r="M282" s="336">
        <f>Gasto_o_ing_total!L282*1000/Gasto_o_ing_total!L$479</f>
        <v>0</v>
      </c>
      <c r="N282" s="336">
        <f>Gasto_o_ing_total!M282*1000/Gasto_o_ing_total!M$479</f>
        <v>14.395913529648544</v>
      </c>
      <c r="O282" s="336">
        <f>Gasto_o_ing_total!N282*1000/Gasto_o_ing_total!N$479</f>
        <v>26.344929462034568</v>
      </c>
      <c r="P282" s="336">
        <f>Gasto_o_ing_total!O282*1000/Gasto_o_ing_total!O$479</f>
        <v>26.6057207340105</v>
      </c>
      <c r="Q282" s="336">
        <f>Gasto_o_ing_total!P282*1000/Gasto_o_ing_total!P$479</f>
        <v>0</v>
      </c>
      <c r="R282" s="336">
        <f>Gasto_o_ing_total!Q282*1000/Gasto_o_ing_total!Q$479</f>
        <v>19.715722419558286</v>
      </c>
      <c r="S282" s="336">
        <f>Gasto_o_ing_total!R282*1000/Gasto_o_ing_total!R$479</f>
        <v>0</v>
      </c>
      <c r="T282" s="336">
        <f>Gasto_o_ing_total!S282*1000/Gasto_o_ing_total!S$479</f>
        <v>0</v>
      </c>
      <c r="U282" s="336">
        <f>Gasto_o_ing_total!T282*1000/Gasto_o_ing_total!T$479</f>
        <v>0</v>
      </c>
      <c r="V282" s="336">
        <f>Gasto_o_ing_total!U282*1000/Gasto_o_ing_total!U$479</f>
        <v>64.966040357986671</v>
      </c>
      <c r="W282" s="2"/>
    </row>
    <row r="283" spans="1:23">
      <c r="A283" s="355"/>
      <c r="B283" s="115" t="s">
        <v>644</v>
      </c>
      <c r="C283" s="333" t="str">
        <f>VLOOKUP(B283,Tot_res!C:D,2,FALSE)</f>
        <v>Otras transferencias a Comunidades Autónomas: Transferencias de capital a Aragón para proyectos de inversión en Teruel y a la CA de Extremadura para proyectos de inversión.</v>
      </c>
      <c r="D283" s="336">
        <f>Gasto_o_ing_total!V283*1000/Gasto_o_ing_total!V$479</f>
        <v>1.0649499786605323</v>
      </c>
      <c r="E283" s="336">
        <f>Gasto_o_ing_total!D283*1000/Gasto_o_ing_total!D$479</f>
        <v>0</v>
      </c>
      <c r="F283" s="336">
        <f>Gasto_o_ing_total!E283*1000/Gasto_o_ing_total!E$479</f>
        <v>22.450594660126061</v>
      </c>
      <c r="G283" s="336">
        <f>Gasto_o_ing_total!F283*1000/Gasto_o_ing_total!F$479</f>
        <v>0</v>
      </c>
      <c r="H283" s="336">
        <f>Gasto_o_ing_total!G283*1000/Gasto_o_ing_total!G$479</f>
        <v>0</v>
      </c>
      <c r="I283" s="336">
        <f>Gasto_o_ing_total!H283*1000/Gasto_o_ing_total!H$479</f>
        <v>0</v>
      </c>
      <c r="J283" s="336">
        <f>Gasto_o_ing_total!I283*1000/Gasto_o_ing_total!I$479</f>
        <v>0</v>
      </c>
      <c r="K283" s="336">
        <f>Gasto_o_ing_total!J283*1000/Gasto_o_ing_total!J$479</f>
        <v>0</v>
      </c>
      <c r="L283" s="336">
        <f>Gasto_o_ing_total!K283*1000/Gasto_o_ing_total!K$479</f>
        <v>0</v>
      </c>
      <c r="M283" s="336">
        <f>Gasto_o_ing_total!L283*1000/Gasto_o_ing_total!L$479</f>
        <v>0</v>
      </c>
      <c r="N283" s="336">
        <f>Gasto_o_ing_total!M283*1000/Gasto_o_ing_total!M$479</f>
        <v>0</v>
      </c>
      <c r="O283" s="336">
        <f>Gasto_o_ing_total!N283*1000/Gasto_o_ing_total!N$479</f>
        <v>18.151818176867685</v>
      </c>
      <c r="P283" s="336">
        <f>Gasto_o_ing_total!O283*1000/Gasto_o_ing_total!O$479</f>
        <v>0</v>
      </c>
      <c r="Q283" s="336">
        <f>Gasto_o_ing_total!P283*1000/Gasto_o_ing_total!P$479</f>
        <v>0</v>
      </c>
      <c r="R283" s="336">
        <f>Gasto_o_ing_total!Q283*1000/Gasto_o_ing_total!Q$479</f>
        <v>0</v>
      </c>
      <c r="S283" s="336">
        <f>Gasto_o_ing_total!R283*1000/Gasto_o_ing_total!R$479</f>
        <v>0</v>
      </c>
      <c r="T283" s="336">
        <f>Gasto_o_ing_total!S283*1000/Gasto_o_ing_total!S$479</f>
        <v>0</v>
      </c>
      <c r="U283" s="336">
        <f>Gasto_o_ing_total!T283*1000/Gasto_o_ing_total!T$479</f>
        <v>0</v>
      </c>
      <c r="V283" s="336">
        <f>Gasto_o_ing_total!U283*1000/Gasto_o_ing_total!U$479</f>
        <v>0</v>
      </c>
      <c r="W283" s="2"/>
    </row>
    <row r="284" spans="1:23">
      <c r="A284" s="355"/>
      <c r="B284" s="115" t="s">
        <v>302</v>
      </c>
      <c r="C284" s="333" t="str">
        <f>VLOOKUP(B284,Tot_res!C:D,2,FALSE)</f>
        <v>Infraestructuras REF Canarias</v>
      </c>
      <c r="D284" s="336">
        <f>Gasto_o_ing_total!V284*1000/Gasto_o_ing_total!V$479</f>
        <v>2.4553607342790413</v>
      </c>
      <c r="E284" s="336">
        <f>Gasto_o_ing_total!D284*1000/Gasto_o_ing_total!D$479</f>
        <v>0</v>
      </c>
      <c r="F284" s="336">
        <f>Gasto_o_ing_total!E284*1000/Gasto_o_ing_total!E$479</f>
        <v>0</v>
      </c>
      <c r="G284" s="336">
        <f>Gasto_o_ing_total!F284*1000/Gasto_o_ing_total!F$479</f>
        <v>0</v>
      </c>
      <c r="H284" s="336">
        <f>Gasto_o_ing_total!G284*1000/Gasto_o_ing_total!G$479</f>
        <v>0</v>
      </c>
      <c r="I284" s="336">
        <f>Gasto_o_ing_total!H284*1000/Gasto_o_ing_total!H$479</f>
        <v>54.590140953027827</v>
      </c>
      <c r="J284" s="336">
        <f>Gasto_o_ing_total!I284*1000/Gasto_o_ing_total!I$479</f>
        <v>0</v>
      </c>
      <c r="K284" s="336">
        <f>Gasto_o_ing_total!J284*1000/Gasto_o_ing_total!J$479</f>
        <v>0</v>
      </c>
      <c r="L284" s="336">
        <f>Gasto_o_ing_total!K284*1000/Gasto_o_ing_total!K$479</f>
        <v>0</v>
      </c>
      <c r="M284" s="336">
        <f>Gasto_o_ing_total!L284*1000/Gasto_o_ing_total!L$479</f>
        <v>0</v>
      </c>
      <c r="N284" s="336">
        <f>Gasto_o_ing_total!M284*1000/Gasto_o_ing_total!M$479</f>
        <v>0</v>
      </c>
      <c r="O284" s="336">
        <f>Gasto_o_ing_total!N284*1000/Gasto_o_ing_total!N$479</f>
        <v>0</v>
      </c>
      <c r="P284" s="336">
        <f>Gasto_o_ing_total!O284*1000/Gasto_o_ing_total!O$479</f>
        <v>0</v>
      </c>
      <c r="Q284" s="336">
        <f>Gasto_o_ing_total!P284*1000/Gasto_o_ing_total!P$479</f>
        <v>0</v>
      </c>
      <c r="R284" s="336">
        <f>Gasto_o_ing_total!Q284*1000/Gasto_o_ing_total!Q$479</f>
        <v>0</v>
      </c>
      <c r="S284" s="336">
        <f>Gasto_o_ing_total!R284*1000/Gasto_o_ing_total!R$479</f>
        <v>0</v>
      </c>
      <c r="T284" s="336">
        <f>Gasto_o_ing_total!S284*1000/Gasto_o_ing_total!S$479</f>
        <v>0</v>
      </c>
      <c r="U284" s="336">
        <f>Gasto_o_ing_total!T284*1000/Gasto_o_ing_total!T$479</f>
        <v>0</v>
      </c>
      <c r="V284" s="336">
        <f>Gasto_o_ing_total!U284*1000/Gasto_o_ing_total!U$479</f>
        <v>0</v>
      </c>
      <c r="W284" s="2"/>
    </row>
    <row r="285" spans="1:23">
      <c r="A285" s="355"/>
      <c r="B285" s="115" t="s">
        <v>303</v>
      </c>
      <c r="C285" s="333" t="str">
        <f>VLOOKUP(B285,Tot_res!C:D,2,FALSE)</f>
        <v>Transporte interinsular Canarias</v>
      </c>
      <c r="D285" s="336">
        <f>Gasto_o_ing_total!V285*1000/Gasto_o_ing_total!V$479</f>
        <v>0.63565187397236556</v>
      </c>
      <c r="E285" s="336">
        <f>Gasto_o_ing_total!D285*1000/Gasto_o_ing_total!D$479</f>
        <v>0</v>
      </c>
      <c r="F285" s="336">
        <f>Gasto_o_ing_total!E285*1000/Gasto_o_ing_total!E$479</f>
        <v>0</v>
      </c>
      <c r="G285" s="336">
        <f>Gasto_o_ing_total!F285*1000/Gasto_o_ing_total!F$479</f>
        <v>0</v>
      </c>
      <c r="H285" s="336">
        <f>Gasto_o_ing_total!G285*1000/Gasto_o_ing_total!G$479</f>
        <v>0</v>
      </c>
      <c r="I285" s="336">
        <f>Gasto_o_ing_total!H285*1000/Gasto_o_ing_total!H$479</f>
        <v>14.132475490366856</v>
      </c>
      <c r="J285" s="336">
        <f>Gasto_o_ing_total!I285*1000/Gasto_o_ing_total!I$479</f>
        <v>0</v>
      </c>
      <c r="K285" s="336">
        <f>Gasto_o_ing_total!J285*1000/Gasto_o_ing_total!J$479</f>
        <v>0</v>
      </c>
      <c r="L285" s="336">
        <f>Gasto_o_ing_total!K285*1000/Gasto_o_ing_total!K$479</f>
        <v>0</v>
      </c>
      <c r="M285" s="336">
        <f>Gasto_o_ing_total!L285*1000/Gasto_o_ing_total!L$479</f>
        <v>0</v>
      </c>
      <c r="N285" s="336">
        <f>Gasto_o_ing_total!M285*1000/Gasto_o_ing_total!M$479</f>
        <v>0</v>
      </c>
      <c r="O285" s="336">
        <f>Gasto_o_ing_total!N285*1000/Gasto_o_ing_total!N$479</f>
        <v>0</v>
      </c>
      <c r="P285" s="336">
        <f>Gasto_o_ing_total!O285*1000/Gasto_o_ing_total!O$479</f>
        <v>0</v>
      </c>
      <c r="Q285" s="336">
        <f>Gasto_o_ing_total!P285*1000/Gasto_o_ing_total!P$479</f>
        <v>0</v>
      </c>
      <c r="R285" s="336">
        <f>Gasto_o_ing_total!Q285*1000/Gasto_o_ing_total!Q$479</f>
        <v>0</v>
      </c>
      <c r="S285" s="336">
        <f>Gasto_o_ing_total!R285*1000/Gasto_o_ing_total!R$479</f>
        <v>0</v>
      </c>
      <c r="T285" s="336">
        <f>Gasto_o_ing_total!S285*1000/Gasto_o_ing_total!S$479</f>
        <v>0</v>
      </c>
      <c r="U285" s="336">
        <f>Gasto_o_ing_total!T285*1000/Gasto_o_ing_total!T$479</f>
        <v>0</v>
      </c>
      <c r="V285" s="336">
        <f>Gasto_o_ing_total!U285*1000/Gasto_o_ing_total!U$479</f>
        <v>0</v>
      </c>
      <c r="W285" s="2"/>
    </row>
    <row r="286" spans="1:23">
      <c r="A286" s="355"/>
      <c r="B286" s="115" t="s">
        <v>304</v>
      </c>
      <c r="C286" s="333" t="str">
        <f>VLOOKUP(B286,Tot_res!C:D,2,FALSE)</f>
        <v>Ayudas de la UE gestionadas por las comunidades autónomas, excepto FEOGA Garantía</v>
      </c>
      <c r="D286" s="336">
        <f>Gasto_o_ing_total!V286*1000/Gasto_o_ing_total!V$479</f>
        <v>42.550592046161235</v>
      </c>
      <c r="E286" s="336">
        <f>Gasto_o_ing_total!D286*1000/Gasto_o_ing_total!D$479</f>
        <v>81.073360088893608</v>
      </c>
      <c r="F286" s="336">
        <f>Gasto_o_ing_total!E286*1000/Gasto_o_ing_total!E$479</f>
        <v>28.874727552679357</v>
      </c>
      <c r="G286" s="336">
        <f>Gasto_o_ing_total!F286*1000/Gasto_o_ing_total!F$479</f>
        <v>36.949764803483312</v>
      </c>
      <c r="H286" s="336">
        <f>Gasto_o_ing_total!G286*1000/Gasto_o_ing_total!G$479</f>
        <v>26.842765796463933</v>
      </c>
      <c r="I286" s="336">
        <f>Gasto_o_ing_total!H286*1000/Gasto_o_ing_total!H$479</f>
        <v>59.688873714512198</v>
      </c>
      <c r="J286" s="336">
        <f>Gasto_o_ing_total!I286*1000/Gasto_o_ing_total!I$479</f>
        <v>40.930147457443354</v>
      </c>
      <c r="K286" s="336">
        <f>Gasto_o_ing_total!J286*1000/Gasto_o_ing_total!J$479</f>
        <v>36.125152926466725</v>
      </c>
      <c r="L286" s="336">
        <f>Gasto_o_ing_total!K286*1000/Gasto_o_ing_total!K$479</f>
        <v>69.007880880723505</v>
      </c>
      <c r="M286" s="336">
        <f>Gasto_o_ing_total!L286*1000/Gasto_o_ing_total!L$479</f>
        <v>0.70357689238179566</v>
      </c>
      <c r="N286" s="336">
        <f>Gasto_o_ing_total!M286*1000/Gasto_o_ing_total!M$479</f>
        <v>31.76361808417499</v>
      </c>
      <c r="O286" s="336">
        <f>Gasto_o_ing_total!N286*1000/Gasto_o_ing_total!N$479</f>
        <v>142.39616706207372</v>
      </c>
      <c r="P286" s="336">
        <f>Gasto_o_ing_total!O286*1000/Gasto_o_ing_total!O$479</f>
        <v>97.065887406872818</v>
      </c>
      <c r="Q286" s="336">
        <f>Gasto_o_ing_total!P286*1000/Gasto_o_ing_total!P$479</f>
        <v>11.89475884577835</v>
      </c>
      <c r="R286" s="336">
        <f>Gasto_o_ing_total!Q286*1000/Gasto_o_ing_total!Q$479</f>
        <v>41.098926899379933</v>
      </c>
      <c r="S286" s="336">
        <f>Gasto_o_ing_total!R286*1000/Gasto_o_ing_total!R$479</f>
        <v>24.325435882194139</v>
      </c>
      <c r="T286" s="336">
        <f>Gasto_o_ing_total!S286*1000/Gasto_o_ing_total!S$479</f>
        <v>26.050238468251518</v>
      </c>
      <c r="U286" s="336">
        <f>Gasto_o_ing_total!T286*1000/Gasto_o_ing_total!T$479</f>
        <v>36.073906172731661</v>
      </c>
      <c r="V286" s="336">
        <f>Gasto_o_ing_total!U286*1000/Gasto_o_ing_total!U$479</f>
        <v>60.256128253851571</v>
      </c>
      <c r="W286" s="2"/>
    </row>
    <row r="287" spans="1:23">
      <c r="A287" s="356"/>
      <c r="C287" s="11"/>
      <c r="D287" s="19"/>
      <c r="E287" s="19"/>
      <c r="F287" s="19"/>
      <c r="G287" s="19"/>
      <c r="H287" s="19"/>
      <c r="I287" s="19"/>
      <c r="J287" s="19"/>
      <c r="K287" s="19"/>
      <c r="L287" s="19"/>
      <c r="M287" s="19"/>
      <c r="N287" s="19"/>
      <c r="O287" s="19"/>
      <c r="P287" s="19"/>
      <c r="Q287" s="19"/>
      <c r="R287" s="19"/>
      <c r="S287" s="19"/>
      <c r="T287" s="19"/>
      <c r="U287" s="19"/>
      <c r="V287" s="19"/>
      <c r="W287" s="2"/>
    </row>
    <row r="288" spans="1:23">
      <c r="A288" s="356"/>
      <c r="C288" s="112" t="s">
        <v>22</v>
      </c>
      <c r="D288" s="113">
        <f>Gasto_o_ing_total!V288*1000/Gasto_o_ing_total!V$479</f>
        <v>415.75908953742675</v>
      </c>
      <c r="E288" s="113">
        <f>Gasto_o_ing_total!D288*1000/Gasto_o_ing_total!D$479</f>
        <v>380.8228684559711</v>
      </c>
      <c r="F288" s="113">
        <f>Gasto_o_ing_total!E288*1000/Gasto_o_ing_total!E$479</f>
        <v>456.87541768946284</v>
      </c>
      <c r="G288" s="113">
        <f>Gasto_o_ing_total!F288*1000/Gasto_o_ing_total!F$479</f>
        <v>401.12555987403164</v>
      </c>
      <c r="H288" s="113">
        <f>Gasto_o_ing_total!G288*1000/Gasto_o_ing_total!G$479</f>
        <v>408.05107545745773</v>
      </c>
      <c r="I288" s="113">
        <f>Gasto_o_ing_total!H288*1000/Gasto_o_ing_total!H$479</f>
        <v>386.48612145187354</v>
      </c>
      <c r="J288" s="113">
        <f>Gasto_o_ing_total!I288*1000/Gasto_o_ing_total!I$479</f>
        <v>401.5064044006856</v>
      </c>
      <c r="K288" s="113">
        <f>Gasto_o_ing_total!J288*1000/Gasto_o_ing_total!J$479</f>
        <v>459.69163679008892</v>
      </c>
      <c r="L288" s="113">
        <f>Gasto_o_ing_total!K288*1000/Gasto_o_ing_total!K$479</f>
        <v>394.48481714413253</v>
      </c>
      <c r="M288" s="113">
        <f>Gasto_o_ing_total!L288*1000/Gasto_o_ing_total!L$479</f>
        <v>438.73192129143206</v>
      </c>
      <c r="N288" s="113">
        <f>Gasto_o_ing_total!M288*1000/Gasto_o_ing_total!M$479</f>
        <v>350.76281038283457</v>
      </c>
      <c r="O288" s="113">
        <f>Gasto_o_ing_total!N288*1000/Gasto_o_ing_total!N$479</f>
        <v>400.26783947062984</v>
      </c>
      <c r="P288" s="113">
        <f>Gasto_o_ing_total!O288*1000/Gasto_o_ing_total!O$479</f>
        <v>401.55787636401499</v>
      </c>
      <c r="Q288" s="113">
        <f>Gasto_o_ing_total!P288*1000/Gasto_o_ing_total!P$479</f>
        <v>442.47058488333613</v>
      </c>
      <c r="R288" s="113">
        <f>Gasto_o_ing_total!Q288*1000/Gasto_o_ing_total!Q$479</f>
        <v>361.61629453285843</v>
      </c>
      <c r="S288" s="113">
        <f>Gasto_o_ing_total!R288*1000/Gasto_o_ing_total!R$479</f>
        <v>476.35017817345482</v>
      </c>
      <c r="T288" s="113">
        <f>Gasto_o_ing_total!S288*1000/Gasto_o_ing_total!S$479</f>
        <v>519.45606115953706</v>
      </c>
      <c r="U288" s="113">
        <f>Gasto_o_ing_total!T288*1000/Gasto_o_ing_total!T$479</f>
        <v>532.29553718748753</v>
      </c>
      <c r="V288" s="113">
        <f>Gasto_o_ing_total!U288*1000/Gasto_o_ing_total!U$479</f>
        <v>908.08661457574317</v>
      </c>
      <c r="W288" s="2"/>
    </row>
    <row r="289" spans="1:23">
      <c r="A289" s="356"/>
      <c r="C289" s="102"/>
      <c r="D289" s="110"/>
      <c r="E289" s="110"/>
      <c r="F289" s="110"/>
      <c r="G289" s="110"/>
      <c r="H289" s="110"/>
      <c r="I289" s="110"/>
      <c r="J289" s="110"/>
      <c r="K289" s="110"/>
      <c r="L289" s="110"/>
      <c r="M289" s="110"/>
      <c r="N289" s="110"/>
      <c r="O289" s="110"/>
      <c r="P289" s="110"/>
      <c r="Q289" s="110"/>
      <c r="R289" s="110"/>
      <c r="S289" s="110"/>
      <c r="T289" s="110"/>
      <c r="U289" s="110"/>
      <c r="V289" s="110"/>
      <c r="W289" s="2"/>
    </row>
    <row r="290" spans="1:23">
      <c r="A290" s="356"/>
      <c r="C290" s="117" t="s">
        <v>28</v>
      </c>
      <c r="D290" s="113">
        <f>Gasto_o_ing_total!V290*1000/Gasto_o_ing_total!V$479</f>
        <v>78.502648740653669</v>
      </c>
      <c r="E290" s="113">
        <f>Gasto_o_ing_total!D290*1000/Gasto_o_ing_total!D$479</f>
        <v>79.131208757919637</v>
      </c>
      <c r="F290" s="113">
        <f>Gasto_o_ing_total!E290*1000/Gasto_o_ing_total!E$479</f>
        <v>101.87540558483745</v>
      </c>
      <c r="G290" s="113">
        <f>Gasto_o_ing_total!F290*1000/Gasto_o_ing_total!F$479</f>
        <v>79.319928427832195</v>
      </c>
      <c r="H290" s="113">
        <f>Gasto_o_ing_total!G290*1000/Gasto_o_ing_total!G$479</f>
        <v>65.38875071877797</v>
      </c>
      <c r="I290" s="113">
        <f>Gasto_o_ing_total!H290*1000/Gasto_o_ing_total!H$479</f>
        <v>75.243487191905288</v>
      </c>
      <c r="J290" s="113">
        <f>Gasto_o_ing_total!I290*1000/Gasto_o_ing_total!I$479</f>
        <v>89.905308412399648</v>
      </c>
      <c r="K290" s="113">
        <f>Gasto_o_ing_total!J290*1000/Gasto_o_ing_total!J$479</f>
        <v>90.611265200398407</v>
      </c>
      <c r="L290" s="113">
        <f>Gasto_o_ing_total!K290*1000/Gasto_o_ing_total!K$479</f>
        <v>75.456038679515203</v>
      </c>
      <c r="M290" s="113">
        <f>Gasto_o_ing_total!L290*1000/Gasto_o_ing_total!L$479</f>
        <v>62.630026580960617</v>
      </c>
      <c r="N290" s="113">
        <f>Gasto_o_ing_total!M290*1000/Gasto_o_ing_total!M$479</f>
        <v>69.865767564512069</v>
      </c>
      <c r="O290" s="113">
        <f>Gasto_o_ing_total!N290*1000/Gasto_o_ing_total!N$479</f>
        <v>83.646750502785338</v>
      </c>
      <c r="P290" s="113">
        <f>Gasto_o_ing_total!O290*1000/Gasto_o_ing_total!O$479</f>
        <v>104.29159111308047</v>
      </c>
      <c r="Q290" s="113">
        <f>Gasto_o_ing_total!P290*1000/Gasto_o_ing_total!P$479</f>
        <v>87.781922225691233</v>
      </c>
      <c r="R290" s="113">
        <f>Gasto_o_ing_total!Q290*1000/Gasto_o_ing_total!Q$479</f>
        <v>83.122653026100437</v>
      </c>
      <c r="S290" s="113">
        <f>Gasto_o_ing_total!R290*1000/Gasto_o_ing_total!R$479</f>
        <v>65.56215814321726</v>
      </c>
      <c r="T290" s="113">
        <f>Gasto_o_ing_total!S290*1000/Gasto_o_ing_total!S$479</f>
        <v>59.502283310378125</v>
      </c>
      <c r="U290" s="113">
        <f>Gasto_o_ing_total!T290*1000/Gasto_o_ing_total!T$479</f>
        <v>79.039545105497254</v>
      </c>
      <c r="V290" s="113">
        <f>Gasto_o_ing_total!U290*1000/Gasto_o_ing_total!U$479</f>
        <v>213.18913153842166</v>
      </c>
    </row>
    <row r="291" spans="1:23">
      <c r="A291" s="355"/>
      <c r="B291" s="115" t="s">
        <v>305</v>
      </c>
      <c r="C291" s="333" t="str">
        <f>VLOOKUP(B291,Tot_res!C:D,2,FALSE)</f>
        <v>Plan nacional sobre drogas + AF 11/1</v>
      </c>
      <c r="D291" s="336">
        <f>Gasto_o_ing_total!V291*1000/Gasto_o_ing_total!V$479</f>
        <v>0.74812956697327315</v>
      </c>
      <c r="E291" s="336">
        <f>Gasto_o_ing_total!D291*1000/Gasto_o_ing_total!D$479</f>
        <v>0.62460955869412171</v>
      </c>
      <c r="F291" s="336">
        <f>Gasto_o_ing_total!E291*1000/Gasto_o_ing_total!E$479</f>
        <v>0.71469692702249032</v>
      </c>
      <c r="G291" s="336">
        <f>Gasto_o_ing_total!F291*1000/Gasto_o_ing_total!F$479</f>
        <v>0.95438756332826946</v>
      </c>
      <c r="H291" s="336">
        <f>Gasto_o_ing_total!G291*1000/Gasto_o_ing_total!G$479</f>
        <v>0.76112824895048714</v>
      </c>
      <c r="I291" s="336">
        <f>Gasto_o_ing_total!H291*1000/Gasto_o_ing_total!H$479</f>
        <v>0.62717202141324924</v>
      </c>
      <c r="J291" s="336">
        <f>Gasto_o_ing_total!I291*1000/Gasto_o_ing_total!I$479</f>
        <v>1.1751008508388729</v>
      </c>
      <c r="K291" s="336">
        <f>Gasto_o_ing_total!J291*1000/Gasto_o_ing_total!J$479</f>
        <v>1.0329553842864647</v>
      </c>
      <c r="L291" s="336">
        <f>Gasto_o_ing_total!K291*1000/Gasto_o_ing_total!K$479</f>
        <v>0.78876737152444221</v>
      </c>
      <c r="M291" s="336">
        <f>Gasto_o_ing_total!L291*1000/Gasto_o_ing_total!L$479</f>
        <v>0.64388864812245283</v>
      </c>
      <c r="N291" s="336">
        <f>Gasto_o_ing_total!M291*1000/Gasto_o_ing_total!M$479</f>
        <v>0.51476425735522047</v>
      </c>
      <c r="O291" s="336">
        <f>Gasto_o_ing_total!N291*1000/Gasto_o_ing_total!N$479</f>
        <v>0.97552302509853972</v>
      </c>
      <c r="P291" s="336">
        <f>Gasto_o_ing_total!O291*1000/Gasto_o_ing_total!O$479</f>
        <v>0.73500313047149179</v>
      </c>
      <c r="Q291" s="336">
        <f>Gasto_o_ing_total!P291*1000/Gasto_o_ing_total!P$479</f>
        <v>0.78944734112505477</v>
      </c>
      <c r="R291" s="336">
        <f>Gasto_o_ing_total!Q291*1000/Gasto_o_ing_total!Q$479</f>
        <v>0.61707109098944435</v>
      </c>
      <c r="S291" s="336">
        <f>Gasto_o_ing_total!R291*1000/Gasto_o_ing_total!R$479</f>
        <v>1.2659882882384199</v>
      </c>
      <c r="T291" s="336">
        <f>Gasto_o_ing_total!S291*1000/Gasto_o_ing_total!S$479</f>
        <v>1.2659882882384197</v>
      </c>
      <c r="U291" s="336">
        <f>Gasto_o_ing_total!T291*1000/Gasto_o_ing_total!T$479</f>
        <v>0.88088378771386777</v>
      </c>
      <c r="V291" s="336">
        <f>Gasto_o_ing_total!U291*1000/Gasto_o_ing_total!U$479</f>
        <v>2.0671678959893818</v>
      </c>
      <c r="W291" s="4"/>
    </row>
    <row r="292" spans="1:23">
      <c r="A292" s="355"/>
      <c r="B292" s="115" t="s">
        <v>306</v>
      </c>
      <c r="C292" s="333" t="str">
        <f>VLOOKUP(B292,Tot_res!C:D,2,FALSE)</f>
        <v>Direc. y serv. grales. de sanidad, serv. soc. e igualdad</v>
      </c>
      <c r="D292" s="336">
        <f>Gasto_o_ing_total!V292*1000/Gasto_o_ing_total!V$479</f>
        <v>1.2783711049081801</v>
      </c>
      <c r="E292" s="336">
        <f>Gasto_o_ing_total!D292*1000/Gasto_o_ing_total!D$479</f>
        <v>0.9516267224180508</v>
      </c>
      <c r="F292" s="336">
        <f>Gasto_o_ing_total!E292*1000/Gasto_o_ing_total!E$479</f>
        <v>1.0499802672153067</v>
      </c>
      <c r="G292" s="336">
        <f>Gasto_o_ing_total!F292*1000/Gasto_o_ing_total!F$479</f>
        <v>1.1176712959399464</v>
      </c>
      <c r="H292" s="336">
        <f>Gasto_o_ing_total!G292*1000/Gasto_o_ing_total!G$479</f>
        <v>0.93295562836521517</v>
      </c>
      <c r="I292" s="336">
        <f>Gasto_o_ing_total!H292*1000/Gasto_o_ing_total!H$479</f>
        <v>0.92850311200113589</v>
      </c>
      <c r="J292" s="336">
        <f>Gasto_o_ing_total!I292*1000/Gasto_o_ing_total!I$479</f>
        <v>1.0419614641543149</v>
      </c>
      <c r="K292" s="336">
        <f>Gasto_o_ing_total!J292*1000/Gasto_o_ing_total!J$479</f>
        <v>1.1131132357511906</v>
      </c>
      <c r="L292" s="336">
        <f>Gasto_o_ing_total!K292*1000/Gasto_o_ing_total!K$479</f>
        <v>0.9926036162743106</v>
      </c>
      <c r="M292" s="336">
        <f>Gasto_o_ing_total!L292*1000/Gasto_o_ing_total!L$479</f>
        <v>2.7498736462118782</v>
      </c>
      <c r="N292" s="336">
        <f>Gasto_o_ing_total!M292*1000/Gasto_o_ing_total!M$479</f>
        <v>0.99430326977642225</v>
      </c>
      <c r="O292" s="336">
        <f>Gasto_o_ing_total!N292*1000/Gasto_o_ing_total!N$479</f>
        <v>1.0272306093572807</v>
      </c>
      <c r="P292" s="336">
        <f>Gasto_o_ing_total!O292*1000/Gasto_o_ing_total!O$479</f>
        <v>1.1036904851475837</v>
      </c>
      <c r="Q292" s="336">
        <f>Gasto_o_ing_total!P292*1000/Gasto_o_ing_total!P$479</f>
        <v>0.9599737927870563</v>
      </c>
      <c r="R292" s="336">
        <f>Gasto_o_ing_total!Q292*1000/Gasto_o_ing_total!Q$479</f>
        <v>0.92575130686892704</v>
      </c>
      <c r="S292" s="336">
        <f>Gasto_o_ing_total!R292*1000/Gasto_o_ing_total!R$479</f>
        <v>1.0076280204864161</v>
      </c>
      <c r="T292" s="336">
        <f>Gasto_o_ing_total!S292*1000/Gasto_o_ing_total!S$479</f>
        <v>1.0563188877495977</v>
      </c>
      <c r="U292" s="336">
        <f>Gasto_o_ing_total!T292*1000/Gasto_o_ing_total!T$479</f>
        <v>1.0251606913425666</v>
      </c>
      <c r="V292" s="336">
        <f>Gasto_o_ing_total!U292*1000/Gasto_o_ing_total!U$479</f>
        <v>0.84932874007461956</v>
      </c>
      <c r="W292" s="2"/>
    </row>
    <row r="293" spans="1:23">
      <c r="A293" s="355"/>
      <c r="B293" s="115" t="s">
        <v>307</v>
      </c>
      <c r="C293" s="333" t="str">
        <f>VLOOKUP(B293,Tot_res!C:D,2,FALSE)</f>
        <v>Políticas de salud y ordenación profesional</v>
      </c>
      <c r="D293" s="336">
        <f>Gasto_o_ing_total!V293*1000/Gasto_o_ing_total!V$479</f>
        <v>0.42929402549004636</v>
      </c>
      <c r="E293" s="336">
        <f>Gasto_o_ing_total!D293*1000/Gasto_o_ing_total!D$479</f>
        <v>0.35260364514885378</v>
      </c>
      <c r="F293" s="336">
        <f>Gasto_o_ing_total!E293*1000/Gasto_o_ing_total!E$479</f>
        <v>0.38371948283042884</v>
      </c>
      <c r="G293" s="336">
        <f>Gasto_o_ing_total!F293*1000/Gasto_o_ing_total!F$479</f>
        <v>0.39610520121928827</v>
      </c>
      <c r="H293" s="336">
        <f>Gasto_o_ing_total!G293*1000/Gasto_o_ing_total!G$479</f>
        <v>0.32415631659130784</v>
      </c>
      <c r="I293" s="336">
        <f>Gasto_o_ing_total!H293*1000/Gasto_o_ing_total!H$479</f>
        <v>0.32208818949047463</v>
      </c>
      <c r="J293" s="336">
        <f>Gasto_o_ing_total!I293*1000/Gasto_o_ing_total!I$479</f>
        <v>2.0206569335316611</v>
      </c>
      <c r="K293" s="336">
        <f>Gasto_o_ing_total!J293*1000/Gasto_o_ing_total!J$479</f>
        <v>0.39300288273933232</v>
      </c>
      <c r="L293" s="336">
        <f>Gasto_o_ing_total!K293*1000/Gasto_o_ing_total!K$479</f>
        <v>0.42482233643114214</v>
      </c>
      <c r="M293" s="336">
        <f>Gasto_o_ing_total!L293*1000/Gasto_o_ing_total!L$479</f>
        <v>0.52127641842515648</v>
      </c>
      <c r="N293" s="336">
        <f>Gasto_o_ing_total!M293*1000/Gasto_o_ing_total!M$479</f>
        <v>0.34893876317389738</v>
      </c>
      <c r="O293" s="336">
        <f>Gasto_o_ing_total!N293*1000/Gasto_o_ing_total!N$479</f>
        <v>0.35947219369714994</v>
      </c>
      <c r="P293" s="336">
        <f>Gasto_o_ing_total!O293*1000/Gasto_o_ing_total!O$479</f>
        <v>0.42249137206324272</v>
      </c>
      <c r="Q293" s="336">
        <f>Gasto_o_ing_total!P293*1000/Gasto_o_ing_total!P$479</f>
        <v>0.42480709275481071</v>
      </c>
      <c r="R293" s="336">
        <f>Gasto_o_ing_total!Q293*1000/Gasto_o_ing_total!Q$479</f>
        <v>0.40308378676652212</v>
      </c>
      <c r="S293" s="336">
        <f>Gasto_o_ing_total!R293*1000/Gasto_o_ing_total!R$479</f>
        <v>0.6100434225779926</v>
      </c>
      <c r="T293" s="336">
        <f>Gasto_o_ing_total!S293*1000/Gasto_o_ing_total!S$479</f>
        <v>0.45455181637519643</v>
      </c>
      <c r="U293" s="336">
        <f>Gasto_o_ing_total!T293*1000/Gasto_o_ing_total!T$479</f>
        <v>0.37619571338625624</v>
      </c>
      <c r="V293" s="336">
        <f>Gasto_o_ing_total!U293*1000/Gasto_o_ing_total!U$479</f>
        <v>0.23987413907246261</v>
      </c>
      <c r="W293" s="2"/>
    </row>
    <row r="294" spans="1:23">
      <c r="A294" s="355"/>
      <c r="B294" s="115" t="s">
        <v>308</v>
      </c>
      <c r="C294" s="333" t="str">
        <f>VLOOKUP(B294,Tot_res!C:D,2,FALSE)</f>
        <v>Asistencia sanitaria del mutualismo administrativo</v>
      </c>
      <c r="D294" s="336">
        <f>Gasto_o_ing_total!V294*1000/Gasto_o_ing_total!V$479</f>
        <v>43.38377846446226</v>
      </c>
      <c r="E294" s="336">
        <f>Gasto_o_ing_total!D294*1000/Gasto_o_ing_total!D$479</f>
        <v>53.96437585920323</v>
      </c>
      <c r="F294" s="336">
        <f>Gasto_o_ing_total!E294*1000/Gasto_o_ing_total!E$479</f>
        <v>54.791154254440116</v>
      </c>
      <c r="G294" s="336">
        <f>Gasto_o_ing_total!F294*1000/Gasto_o_ing_total!F$479</f>
        <v>40.536006824433656</v>
      </c>
      <c r="H294" s="336">
        <f>Gasto_o_ing_total!G294*1000/Gasto_o_ing_total!G$479</f>
        <v>31.176311688732238</v>
      </c>
      <c r="I294" s="336">
        <f>Gasto_o_ing_total!H294*1000/Gasto_o_ing_total!H$479</f>
        <v>42.116270838437877</v>
      </c>
      <c r="J294" s="336">
        <f>Gasto_o_ing_total!I294*1000/Gasto_o_ing_total!I$479</f>
        <v>38.805331532981718</v>
      </c>
      <c r="K294" s="336">
        <f>Gasto_o_ing_total!J294*1000/Gasto_o_ing_total!J$479</f>
        <v>61.901821960036486</v>
      </c>
      <c r="L294" s="336">
        <f>Gasto_o_ing_total!K294*1000/Gasto_o_ing_total!K$479</f>
        <v>46.01545655801096</v>
      </c>
      <c r="M294" s="336">
        <f>Gasto_o_ing_total!L294*1000/Gasto_o_ing_total!L$479</f>
        <v>21.414237984087457</v>
      </c>
      <c r="N294" s="336">
        <f>Gasto_o_ing_total!M294*1000/Gasto_o_ing_total!M$479</f>
        <v>35.731895820925764</v>
      </c>
      <c r="O294" s="336">
        <f>Gasto_o_ing_total!N294*1000/Gasto_o_ing_total!N$479</f>
        <v>61.227815241400343</v>
      </c>
      <c r="P294" s="336">
        <f>Gasto_o_ing_total!O294*1000/Gasto_o_ing_total!O$479</f>
        <v>50.882140209782719</v>
      </c>
      <c r="Q294" s="336">
        <f>Gasto_o_ing_total!P294*1000/Gasto_o_ing_total!P$479</f>
        <v>52.640621247372422</v>
      </c>
      <c r="R294" s="336">
        <f>Gasto_o_ing_total!Q294*1000/Gasto_o_ing_total!Q$479</f>
        <v>54.153202422399247</v>
      </c>
      <c r="S294" s="336">
        <f>Gasto_o_ing_total!R294*1000/Gasto_o_ing_total!R$479</f>
        <v>29.274605082815089</v>
      </c>
      <c r="T294" s="336">
        <f>Gasto_o_ing_total!S294*1000/Gasto_o_ing_total!S$479</f>
        <v>17.081740576331146</v>
      </c>
      <c r="U294" s="336">
        <f>Gasto_o_ing_total!T294*1000/Gasto_o_ing_total!T$479</f>
        <v>43.338540691900768</v>
      </c>
      <c r="V294" s="336">
        <f>Gasto_o_ing_total!U294*1000/Gasto_o_ing_total!U$479</f>
        <v>165.10754831058551</v>
      </c>
      <c r="W294" s="2"/>
    </row>
    <row r="295" spans="1:23">
      <c r="A295" s="355"/>
      <c r="B295" s="115" t="s">
        <v>310</v>
      </c>
      <c r="C295" s="333" t="str">
        <f>VLOOKUP(B295,Tot_res!C:D,2,FALSE)</f>
        <v>Prestaciones y farmacia</v>
      </c>
      <c r="D295" s="336">
        <f>Gasto_o_ing_total!V295*1000/Gasto_o_ing_total!V$479</f>
        <v>2.6930039578652978</v>
      </c>
      <c r="E295" s="336">
        <f>Gasto_o_ing_total!D295*1000/Gasto_o_ing_total!D$479</f>
        <v>2.3914146766248949</v>
      </c>
      <c r="F295" s="336">
        <f>Gasto_o_ing_total!E295*1000/Gasto_o_ing_total!E$479</f>
        <v>3.3230313470880719</v>
      </c>
      <c r="G295" s="336">
        <f>Gasto_o_ing_total!F295*1000/Gasto_o_ing_total!F$479</f>
        <v>2.7418384956053856</v>
      </c>
      <c r="H295" s="336">
        <f>Gasto_o_ing_total!G295*1000/Gasto_o_ing_total!G$479</f>
        <v>2.5648416317817864</v>
      </c>
      <c r="I295" s="336">
        <f>Gasto_o_ing_total!H295*1000/Gasto_o_ing_total!H$479</f>
        <v>2.4841608757796156</v>
      </c>
      <c r="J295" s="336">
        <f>Gasto_o_ing_total!I295*1000/Gasto_o_ing_total!I$479</f>
        <v>2.7352807983708107</v>
      </c>
      <c r="K295" s="336">
        <f>Gasto_o_ing_total!J295*1000/Gasto_o_ing_total!J$479</f>
        <v>3.3991189702556799</v>
      </c>
      <c r="L295" s="336">
        <f>Gasto_o_ing_total!K295*1000/Gasto_o_ing_total!K$479</f>
        <v>3.389476770543105</v>
      </c>
      <c r="M295" s="336">
        <f>Gasto_o_ing_total!L295*1000/Gasto_o_ing_total!L$479</f>
        <v>2.4728021715434982</v>
      </c>
      <c r="N295" s="336">
        <f>Gasto_o_ing_total!M295*1000/Gasto_o_ing_total!M$479</f>
        <v>2.5555371391953483</v>
      </c>
      <c r="O295" s="336">
        <f>Gasto_o_ing_total!N295*1000/Gasto_o_ing_total!N$479</f>
        <v>3.070208002104057</v>
      </c>
      <c r="P295" s="336">
        <f>Gasto_o_ing_total!O295*1000/Gasto_o_ing_total!O$479</f>
        <v>2.5248722632098888</v>
      </c>
      <c r="Q295" s="336">
        <f>Gasto_o_ing_total!P295*1000/Gasto_o_ing_total!P$479</f>
        <v>2.6960885146524296</v>
      </c>
      <c r="R295" s="336">
        <f>Gasto_o_ing_total!Q295*1000/Gasto_o_ing_total!Q$479</f>
        <v>2.5176750018940717</v>
      </c>
      <c r="S295" s="336">
        <f>Gasto_o_ing_total!R295*1000/Gasto_o_ing_total!R$479</f>
        <v>2.5841418668569078</v>
      </c>
      <c r="T295" s="336">
        <f>Gasto_o_ing_total!S295*1000/Gasto_o_ing_total!S$479</f>
        <v>2.9151371498131073</v>
      </c>
      <c r="U295" s="336">
        <f>Gasto_o_ing_total!T295*1000/Gasto_o_ing_total!T$479</f>
        <v>3.0353641536506792</v>
      </c>
      <c r="V295" s="336">
        <f>Gasto_o_ing_total!U295*1000/Gasto_o_ing_total!U$479</f>
        <v>9.1688885568922753</v>
      </c>
      <c r="W295" s="2"/>
    </row>
    <row r="296" spans="1:23">
      <c r="A296" s="355"/>
      <c r="B296" s="115" t="s">
        <v>311</v>
      </c>
      <c r="C296" s="333" t="str">
        <f>VLOOKUP(B296,Tot_res!C:D,2,FALSE)</f>
        <v>Salud pública, sanidad exterior y calidad + AF11/2</v>
      </c>
      <c r="D296" s="336">
        <f>Gasto_o_ing_total!V296*1000/Gasto_o_ing_total!V$479</f>
        <v>0.38851717848609435</v>
      </c>
      <c r="E296" s="336">
        <f>Gasto_o_ing_total!D296*1000/Gasto_o_ing_total!D$479</f>
        <v>0.37633455881514033</v>
      </c>
      <c r="F296" s="336">
        <f>Gasto_o_ing_total!E296*1000/Gasto_o_ing_total!E$479</f>
        <v>0.41992306024468784</v>
      </c>
      <c r="G296" s="336">
        <f>Gasto_o_ing_total!F296*1000/Gasto_o_ing_total!F$479</f>
        <v>0.40599909401574374</v>
      </c>
      <c r="H296" s="336">
        <f>Gasto_o_ing_total!G296*1000/Gasto_o_ing_total!G$479</f>
        <v>0.40456056123282708</v>
      </c>
      <c r="I296" s="336">
        <f>Gasto_o_ing_total!H296*1000/Gasto_o_ing_total!H$479</f>
        <v>0.38753653955558126</v>
      </c>
      <c r="J296" s="336">
        <f>Gasto_o_ing_total!I296*1000/Gasto_o_ing_total!I$479</f>
        <v>0.48896375337989445</v>
      </c>
      <c r="K296" s="336">
        <f>Gasto_o_ing_total!J296*1000/Gasto_o_ing_total!J$479</f>
        <v>0.38486104847895636</v>
      </c>
      <c r="L296" s="336">
        <f>Gasto_o_ing_total!K296*1000/Gasto_o_ing_total!K$479</f>
        <v>0.39661661413546995</v>
      </c>
      <c r="M296" s="336">
        <f>Gasto_o_ing_total!L296*1000/Gasto_o_ing_total!L$479</f>
        <v>0.37978010178207561</v>
      </c>
      <c r="N296" s="336">
        <f>Gasto_o_ing_total!M296*1000/Gasto_o_ing_total!M$479</f>
        <v>0.39236968439291037</v>
      </c>
      <c r="O296" s="336">
        <f>Gasto_o_ing_total!N296*1000/Gasto_o_ing_total!N$479</f>
        <v>0.40464008101536725</v>
      </c>
      <c r="P296" s="336">
        <f>Gasto_o_ing_total!O296*1000/Gasto_o_ing_total!O$479</f>
        <v>0.38330014892459674</v>
      </c>
      <c r="Q296" s="336">
        <f>Gasto_o_ing_total!P296*1000/Gasto_o_ing_total!P$479</f>
        <v>0.38063364882845169</v>
      </c>
      <c r="R296" s="336">
        <f>Gasto_o_ing_total!Q296*1000/Gasto_o_ing_total!Q$479</f>
        <v>0.41064491876859749</v>
      </c>
      <c r="S296" s="336">
        <f>Gasto_o_ing_total!R296*1000/Gasto_o_ing_total!R$479</f>
        <v>0.386604051938718</v>
      </c>
      <c r="T296" s="336">
        <f>Gasto_o_ing_total!S296*1000/Gasto_o_ing_total!S$479</f>
        <v>0.38660405193871805</v>
      </c>
      <c r="U296" s="336">
        <f>Gasto_o_ing_total!T296*1000/Gasto_o_ing_total!T$479</f>
        <v>0.49162411744222018</v>
      </c>
      <c r="V296" s="336">
        <f>Gasto_o_ing_total!U296*1000/Gasto_o_ing_total!U$479</f>
        <v>0.34783820448040415</v>
      </c>
      <c r="W296" s="2"/>
    </row>
    <row r="297" spans="1:23">
      <c r="A297" s="355"/>
      <c r="B297" s="115" t="s">
        <v>312</v>
      </c>
      <c r="C297" s="333" t="str">
        <f>VLOOKUP(B297,Tot_res!C:D,2,FALSE)</f>
        <v>Seguridad alimentaria y nutrición</v>
      </c>
      <c r="D297" s="336">
        <f>Gasto_o_ing_total!V297*1000/Gasto_o_ing_total!V$479</f>
        <v>0.31557711960934565</v>
      </c>
      <c r="E297" s="336">
        <f>Gasto_o_ing_total!D297*1000/Gasto_o_ing_total!D$479</f>
        <v>0.3155771196093457</v>
      </c>
      <c r="F297" s="336">
        <f>Gasto_o_ing_total!E297*1000/Gasto_o_ing_total!E$479</f>
        <v>0.3155771196093457</v>
      </c>
      <c r="G297" s="336">
        <f>Gasto_o_ing_total!F297*1000/Gasto_o_ing_total!F$479</f>
        <v>0.3155771196093457</v>
      </c>
      <c r="H297" s="336">
        <f>Gasto_o_ing_total!G297*1000/Gasto_o_ing_total!G$479</f>
        <v>0.3155771196093457</v>
      </c>
      <c r="I297" s="336">
        <f>Gasto_o_ing_total!H297*1000/Gasto_o_ing_total!H$479</f>
        <v>0.31557711960934576</v>
      </c>
      <c r="J297" s="336">
        <f>Gasto_o_ing_total!I297*1000/Gasto_o_ing_total!I$479</f>
        <v>0.3155771196093457</v>
      </c>
      <c r="K297" s="336">
        <f>Gasto_o_ing_total!J297*1000/Gasto_o_ing_total!J$479</f>
        <v>0.31557711960934576</v>
      </c>
      <c r="L297" s="336">
        <f>Gasto_o_ing_total!K297*1000/Gasto_o_ing_total!K$479</f>
        <v>0.3155771196093457</v>
      </c>
      <c r="M297" s="336">
        <f>Gasto_o_ing_total!L297*1000/Gasto_o_ing_total!L$479</f>
        <v>0.3155771196093457</v>
      </c>
      <c r="N297" s="336">
        <f>Gasto_o_ing_total!M297*1000/Gasto_o_ing_total!M$479</f>
        <v>0.3155771196093457</v>
      </c>
      <c r="O297" s="336">
        <f>Gasto_o_ing_total!N297*1000/Gasto_o_ing_total!N$479</f>
        <v>0.3155771196093457</v>
      </c>
      <c r="P297" s="336">
        <f>Gasto_o_ing_total!O297*1000/Gasto_o_ing_total!O$479</f>
        <v>0.3155771196093457</v>
      </c>
      <c r="Q297" s="336">
        <f>Gasto_o_ing_total!P297*1000/Gasto_o_ing_total!P$479</f>
        <v>0.3155771196093457</v>
      </c>
      <c r="R297" s="336">
        <f>Gasto_o_ing_total!Q297*1000/Gasto_o_ing_total!Q$479</f>
        <v>0.3155771196093457</v>
      </c>
      <c r="S297" s="336">
        <f>Gasto_o_ing_total!R297*1000/Gasto_o_ing_total!R$479</f>
        <v>0.31557711960934576</v>
      </c>
      <c r="T297" s="336">
        <f>Gasto_o_ing_total!S297*1000/Gasto_o_ing_total!S$479</f>
        <v>0.3155771196093457</v>
      </c>
      <c r="U297" s="336">
        <f>Gasto_o_ing_total!T297*1000/Gasto_o_ing_total!T$479</f>
        <v>0.3155771196093457</v>
      </c>
      <c r="V297" s="336">
        <f>Gasto_o_ing_total!U297*1000/Gasto_o_ing_total!U$479</f>
        <v>0.3155771196093457</v>
      </c>
      <c r="W297" s="2"/>
    </row>
    <row r="298" spans="1:23">
      <c r="A298" s="355"/>
      <c r="B298" s="115" t="s">
        <v>313</v>
      </c>
      <c r="C298" s="333" t="str">
        <f>VLOOKUP(B298,Tot_res!C:D,2,FALSE)</f>
        <v>Donación y trasplante de órganos, tejidos y células</v>
      </c>
      <c r="D298" s="336">
        <f>Gasto_o_ing_total!V298*1000/Gasto_o_ing_total!V$479</f>
        <v>7.3731101237936206E-2</v>
      </c>
      <c r="E298" s="336">
        <f>Gasto_o_ing_total!D298*1000/Gasto_o_ing_total!D$479</f>
        <v>7.0378967748180782E-2</v>
      </c>
      <c r="F298" s="336">
        <f>Gasto_o_ing_total!E298*1000/Gasto_o_ing_total!E$479</f>
        <v>7.7845713529179641E-2</v>
      </c>
      <c r="G298" s="336">
        <f>Gasto_o_ing_total!F298*1000/Gasto_o_ing_total!F$479</f>
        <v>8.2984640694266185E-2</v>
      </c>
      <c r="H298" s="336">
        <f>Gasto_o_ing_total!G298*1000/Gasto_o_ing_total!G$479</f>
        <v>6.8961506760546604E-2</v>
      </c>
      <c r="I298" s="336">
        <f>Gasto_o_ing_total!H298*1000/Gasto_o_ing_total!H$479</f>
        <v>6.8623483277561306E-2</v>
      </c>
      <c r="J298" s="336">
        <f>Gasto_o_ing_total!I298*1000/Gasto_o_ing_total!I$479</f>
        <v>7.7236946818760144E-2</v>
      </c>
      <c r="K298" s="336">
        <f>Gasto_o_ing_total!J298*1000/Gasto_o_ing_total!J$479</f>
        <v>8.263860459811849E-2</v>
      </c>
      <c r="L298" s="336">
        <f>Gasto_o_ing_total!K298*1000/Gasto_o_ing_total!K$479</f>
        <v>7.3489827147812756E-2</v>
      </c>
      <c r="M298" s="336">
        <f>Gasto_o_ing_total!L298*1000/Gasto_o_ing_total!L$479</f>
        <v>7.3243455508796282E-2</v>
      </c>
      <c r="N298" s="336">
        <f>Gasto_o_ing_total!M298*1000/Gasto_o_ing_total!M$479</f>
        <v>7.3618860429147059E-2</v>
      </c>
      <c r="O298" s="336">
        <f>Gasto_o_ing_total!N298*1000/Gasto_o_ing_total!N$479</f>
        <v>7.6118618565996152E-2</v>
      </c>
      <c r="P298" s="336">
        <f>Gasto_o_ing_total!O298*1000/Gasto_o_ing_total!O$479</f>
        <v>8.1923253835114285E-2</v>
      </c>
      <c r="Q298" s="336">
        <f>Gasto_o_ing_total!P298*1000/Gasto_o_ing_total!P$479</f>
        <v>7.1012655660395316E-2</v>
      </c>
      <c r="R298" s="336">
        <f>Gasto_o_ing_total!Q298*1000/Gasto_o_ing_total!Q$479</f>
        <v>6.8414573376007606E-2</v>
      </c>
      <c r="S298" s="336">
        <f>Gasto_o_ing_total!R298*1000/Gasto_o_ing_total!R$479</f>
        <v>7.4630440910072274E-2</v>
      </c>
      <c r="T298" s="336">
        <f>Gasto_o_ing_total!S298*1000/Gasto_o_ing_total!S$479</f>
        <v>7.8326925144168544E-2</v>
      </c>
      <c r="U298" s="336">
        <f>Gasto_o_ing_total!T298*1000/Gasto_o_ing_total!T$479</f>
        <v>7.5961475764125194E-2</v>
      </c>
      <c r="V298" s="336">
        <f>Gasto_o_ing_total!U298*1000/Gasto_o_ing_total!U$479</f>
        <v>6.2612770509005919E-2</v>
      </c>
      <c r="W298" s="2"/>
    </row>
    <row r="299" spans="1:23">
      <c r="A299" s="355"/>
      <c r="B299" s="115" t="s">
        <v>314</v>
      </c>
      <c r="C299" s="333" t="str">
        <f>VLOOKUP(B299,Tot_res!C:D,2,FALSE)</f>
        <v>Protec. y promoc. de derechos de consum. y usuar.</v>
      </c>
      <c r="D299" s="336">
        <f>Gasto_o_ing_total!V299*1000/Gasto_o_ing_total!V$479</f>
        <v>0.32609285933574134</v>
      </c>
      <c r="E299" s="336">
        <f>Gasto_o_ing_total!D299*1000/Gasto_o_ing_total!D$479</f>
        <v>0.32609285933574134</v>
      </c>
      <c r="F299" s="336">
        <f>Gasto_o_ing_total!E299*1000/Gasto_o_ing_total!E$479</f>
        <v>0.32609285933574128</v>
      </c>
      <c r="G299" s="336">
        <f>Gasto_o_ing_total!F299*1000/Gasto_o_ing_total!F$479</f>
        <v>0.32609285933574134</v>
      </c>
      <c r="H299" s="336">
        <f>Gasto_o_ing_total!G299*1000/Gasto_o_ing_total!G$479</f>
        <v>0.32609285933574134</v>
      </c>
      <c r="I299" s="336">
        <f>Gasto_o_ing_total!H299*1000/Gasto_o_ing_total!H$479</f>
        <v>0.32609285933574134</v>
      </c>
      <c r="J299" s="336">
        <f>Gasto_o_ing_total!I299*1000/Gasto_o_ing_total!I$479</f>
        <v>0.32609285933574134</v>
      </c>
      <c r="K299" s="336">
        <f>Gasto_o_ing_total!J299*1000/Gasto_o_ing_total!J$479</f>
        <v>0.32609285933574134</v>
      </c>
      <c r="L299" s="336">
        <f>Gasto_o_ing_total!K299*1000/Gasto_o_ing_total!K$479</f>
        <v>0.32609285933574134</v>
      </c>
      <c r="M299" s="336">
        <f>Gasto_o_ing_total!L299*1000/Gasto_o_ing_total!L$479</f>
        <v>0.32609285933574139</v>
      </c>
      <c r="N299" s="336">
        <f>Gasto_o_ing_total!M299*1000/Gasto_o_ing_total!M$479</f>
        <v>0.32609285933574134</v>
      </c>
      <c r="O299" s="336">
        <f>Gasto_o_ing_total!N299*1000/Gasto_o_ing_total!N$479</f>
        <v>0.32609285933574134</v>
      </c>
      <c r="P299" s="336">
        <f>Gasto_o_ing_total!O299*1000/Gasto_o_ing_total!O$479</f>
        <v>0.32609285933574134</v>
      </c>
      <c r="Q299" s="336">
        <f>Gasto_o_ing_total!P299*1000/Gasto_o_ing_total!P$479</f>
        <v>0.32609285933574128</v>
      </c>
      <c r="R299" s="336">
        <f>Gasto_o_ing_total!Q299*1000/Gasto_o_ing_total!Q$479</f>
        <v>0.32609285933574128</v>
      </c>
      <c r="S299" s="336">
        <f>Gasto_o_ing_total!R299*1000/Gasto_o_ing_total!R$479</f>
        <v>0.32609285933574134</v>
      </c>
      <c r="T299" s="336">
        <f>Gasto_o_ing_total!S299*1000/Gasto_o_ing_total!S$479</f>
        <v>0.32609285933574134</v>
      </c>
      <c r="U299" s="336">
        <f>Gasto_o_ing_total!T299*1000/Gasto_o_ing_total!T$479</f>
        <v>0.32609285933574134</v>
      </c>
      <c r="V299" s="336">
        <f>Gasto_o_ing_total!U299*1000/Gasto_o_ing_total!U$479</f>
        <v>0.32609285933574128</v>
      </c>
      <c r="W299" s="2"/>
    </row>
    <row r="300" spans="1:23">
      <c r="A300" s="355"/>
      <c r="B300" s="115" t="s">
        <v>801</v>
      </c>
      <c r="C300" s="333" t="str">
        <f>VLOOKUP(B300,Tot_res!C:D,2,FALSE)</f>
        <v>Atención Primaria de Salud, ISM</v>
      </c>
      <c r="D300" s="336">
        <f>Gasto_o_ing_total!V300*1000/Gasto_o_ing_total!V$479</f>
        <v>2.2799498118893657E-2</v>
      </c>
      <c r="E300" s="336">
        <f>Gasto_o_ing_total!D300*1000/Gasto_o_ing_total!D$479</f>
        <v>0</v>
      </c>
      <c r="F300" s="336">
        <f>Gasto_o_ing_total!E300*1000/Gasto_o_ing_total!E$479</f>
        <v>0</v>
      </c>
      <c r="G300" s="336">
        <f>Gasto_o_ing_total!F300*1000/Gasto_o_ing_total!F$479</f>
        <v>0</v>
      </c>
      <c r="H300" s="336">
        <f>Gasto_o_ing_total!G300*1000/Gasto_o_ing_total!G$479</f>
        <v>0</v>
      </c>
      <c r="I300" s="336">
        <f>Gasto_o_ing_total!H300*1000/Gasto_o_ing_total!H$479</f>
        <v>0</v>
      </c>
      <c r="J300" s="336">
        <f>Gasto_o_ing_total!I300*1000/Gasto_o_ing_total!I$479</f>
        <v>0</v>
      </c>
      <c r="K300" s="336">
        <f>Gasto_o_ing_total!J300*1000/Gasto_o_ing_total!J$479</f>
        <v>0</v>
      </c>
      <c r="L300" s="336">
        <f>Gasto_o_ing_total!K300*1000/Gasto_o_ing_total!K$479</f>
        <v>0</v>
      </c>
      <c r="M300" s="336">
        <f>Gasto_o_ing_total!L300*1000/Gasto_o_ing_total!L$479</f>
        <v>0</v>
      </c>
      <c r="N300" s="336">
        <f>Gasto_o_ing_total!M300*1000/Gasto_o_ing_total!M$479</f>
        <v>0</v>
      </c>
      <c r="O300" s="336">
        <f>Gasto_o_ing_total!N300*1000/Gasto_o_ing_total!N$479</f>
        <v>0</v>
      </c>
      <c r="P300" s="336">
        <f>Gasto_o_ing_total!O300*1000/Gasto_o_ing_total!O$479</f>
        <v>0</v>
      </c>
      <c r="Q300" s="336">
        <f>Gasto_o_ing_total!P300*1000/Gasto_o_ing_total!P$479</f>
        <v>0.16532046238487733</v>
      </c>
      <c r="R300" s="336">
        <f>Gasto_o_ing_total!Q300*1000/Gasto_o_ing_total!Q$479</f>
        <v>0</v>
      </c>
      <c r="S300" s="336">
        <f>Gasto_o_ing_total!R300*1000/Gasto_o_ing_total!R$479</f>
        <v>0</v>
      </c>
      <c r="T300" s="336">
        <f>Gasto_o_ing_total!S300*1000/Gasto_o_ing_total!S$479</f>
        <v>0</v>
      </c>
      <c r="U300" s="336">
        <f>Gasto_o_ing_total!T300*1000/Gasto_o_ing_total!T$479</f>
        <v>0</v>
      </c>
      <c r="V300" s="336">
        <f>Gasto_o_ing_total!U300*1000/Gasto_o_ing_total!U$479</f>
        <v>0</v>
      </c>
      <c r="W300" s="2"/>
    </row>
    <row r="301" spans="1:23">
      <c r="A301" s="355"/>
      <c r="B301" s="115" t="s">
        <v>802</v>
      </c>
      <c r="C301" s="333" t="str">
        <f>VLOOKUP(B301,Tot_res!C:D,2,FALSE)</f>
        <v xml:space="preserve">Medicina Ambulatoria de Mutuas de Accidentes de Trabajo, mutuas de enfermedades profesionales y accidentes de trabajo de la Seguridad Social </v>
      </c>
      <c r="D301" s="336">
        <f>Gasto_o_ing_total!V301*1000/Gasto_o_ing_total!V$479</f>
        <v>16.641635401539872</v>
      </c>
      <c r="E301" s="336">
        <f>Gasto_o_ing_total!D301*1000/Gasto_o_ing_total!D$479</f>
        <v>12.243956159519167</v>
      </c>
      <c r="F301" s="336">
        <f>Gasto_o_ing_total!E301*1000/Gasto_o_ing_total!E$479</f>
        <v>15.212172583612251</v>
      </c>
      <c r="G301" s="336">
        <f>Gasto_o_ing_total!F301*1000/Gasto_o_ing_total!F$479</f>
        <v>21.92255030055685</v>
      </c>
      <c r="H301" s="336">
        <f>Gasto_o_ing_total!G301*1000/Gasto_o_ing_total!G$479</f>
        <v>18.565520088411855</v>
      </c>
      <c r="I301" s="336">
        <f>Gasto_o_ing_total!H301*1000/Gasto_o_ing_total!H$479</f>
        <v>16.280392952640227</v>
      </c>
      <c r="J301" s="336">
        <f>Gasto_o_ing_total!I301*1000/Gasto_o_ing_total!I$479</f>
        <v>17.689394115120191</v>
      </c>
      <c r="K301" s="336">
        <f>Gasto_o_ing_total!J301*1000/Gasto_o_ing_total!J$479</f>
        <v>15.407399662262231</v>
      </c>
      <c r="L301" s="336">
        <f>Gasto_o_ing_total!K301*1000/Gasto_o_ing_total!K$479</f>
        <v>16.682281683052697</v>
      </c>
      <c r="M301" s="336">
        <f>Gasto_o_ing_total!L301*1000/Gasto_o_ing_total!L$479</f>
        <v>21.781833923827339</v>
      </c>
      <c r="N301" s="336">
        <f>Gasto_o_ing_total!M301*1000/Gasto_o_ing_total!M$479</f>
        <v>18.536479116451655</v>
      </c>
      <c r="O301" s="336">
        <f>Gasto_o_ing_total!N301*1000/Gasto_o_ing_total!N$479</f>
        <v>11.442599781745329</v>
      </c>
      <c r="P301" s="336">
        <f>Gasto_o_ing_total!O301*1000/Gasto_o_ing_total!O$479</f>
        <v>16.414969686145994</v>
      </c>
      <c r="Q301" s="336">
        <f>Gasto_o_ing_total!P301*1000/Gasto_o_ing_total!P$479</f>
        <v>14.966787822305484</v>
      </c>
      <c r="R301" s="336">
        <f>Gasto_o_ing_total!Q301*1000/Gasto_o_ing_total!Q$479</f>
        <v>14.542575204822731</v>
      </c>
      <c r="S301" s="336">
        <f>Gasto_o_ing_total!R301*1000/Gasto_o_ing_total!R$479</f>
        <v>22.82669587117266</v>
      </c>
      <c r="T301" s="336">
        <f>Gasto_o_ing_total!S301*1000/Gasto_o_ing_total!S$479</f>
        <v>17.085791752264289</v>
      </c>
      <c r="U301" s="336">
        <f>Gasto_o_ing_total!T301*1000/Gasto_o_ing_total!T$479</f>
        <v>23.005283343180263</v>
      </c>
      <c r="V301" s="336">
        <f>Gasto_o_ing_total!U301*1000/Gasto_o_ing_total!U$479</f>
        <v>12.575979408169829</v>
      </c>
      <c r="W301" s="2"/>
    </row>
    <row r="302" spans="1:23">
      <c r="A302" s="355"/>
      <c r="B302" s="115" t="s">
        <v>804</v>
      </c>
      <c r="C302" s="333" t="str">
        <f>VLOOKUP(B302,Tot_res!C:D,2,FALSE)</f>
        <v>Atenció Primaria de Salud INGESA neto de Ceuta y Melilla</v>
      </c>
      <c r="D302" s="336">
        <f>Gasto_o_ing_total!V302*1000/Gasto_o_ing_total!V$479</f>
        <v>0.15323854909340595</v>
      </c>
      <c r="E302" s="336">
        <f>Gasto_o_ing_total!D302*1000/Gasto_o_ing_total!D$479</f>
        <v>0</v>
      </c>
      <c r="F302" s="336">
        <f>Gasto_o_ing_total!E302*1000/Gasto_o_ing_total!E$479</f>
        <v>0.42074265955135343</v>
      </c>
      <c r="G302" s="336">
        <f>Gasto_o_ing_total!F302*1000/Gasto_o_ing_total!F$479</f>
        <v>0.45553670107112998</v>
      </c>
      <c r="H302" s="336">
        <f>Gasto_o_ing_total!G302*1000/Gasto_o_ing_total!G$479</f>
        <v>0.36132714321660714</v>
      </c>
      <c r="I302" s="336">
        <f>Gasto_o_ing_total!H302*1000/Gasto_o_ing_total!H$479</f>
        <v>0</v>
      </c>
      <c r="J302" s="336">
        <f>Gasto_o_ing_total!I302*1000/Gasto_o_ing_total!I$479</f>
        <v>0.41360105433917771</v>
      </c>
      <c r="K302" s="336">
        <f>Gasto_o_ing_total!J302*1000/Gasto_o_ing_total!J$479</f>
        <v>0.43833935918324723</v>
      </c>
      <c r="L302" s="336">
        <f>Gasto_o_ing_total!K302*1000/Gasto_o_ing_total!K$479</f>
        <v>0.39265684801743245</v>
      </c>
      <c r="M302" s="336">
        <f>Gasto_o_ing_total!L302*1000/Gasto_o_ing_total!L$479</f>
        <v>0</v>
      </c>
      <c r="N302" s="336">
        <f>Gasto_o_ing_total!M302*1000/Gasto_o_ing_total!M$479</f>
        <v>0</v>
      </c>
      <c r="O302" s="336">
        <f>Gasto_o_ing_total!N302*1000/Gasto_o_ing_total!N$479</f>
        <v>0.41165954781405506</v>
      </c>
      <c r="P302" s="336">
        <f>Gasto_o_ing_total!O302*1000/Gasto_o_ing_total!O$479</f>
        <v>0</v>
      </c>
      <c r="Q302" s="336">
        <f>Gasto_o_ing_total!P302*1000/Gasto_o_ing_total!P$479</f>
        <v>0.37480617739139821</v>
      </c>
      <c r="R302" s="336">
        <f>Gasto_o_ing_total!Q302*1000/Gasto_o_ing_total!Q$479</f>
        <v>0.35559822265683261</v>
      </c>
      <c r="S302" s="336">
        <f>Gasto_o_ing_total!R302*1000/Gasto_o_ing_total!R$479</f>
        <v>0</v>
      </c>
      <c r="T302" s="336">
        <f>Gasto_o_ing_total!S302*1000/Gasto_o_ing_total!S$479</f>
        <v>0</v>
      </c>
      <c r="U302" s="336">
        <f>Gasto_o_ing_total!T302*1000/Gasto_o_ing_total!T$479</f>
        <v>0.40999843335389713</v>
      </c>
      <c r="V302" s="336">
        <f>Gasto_o_ing_total!U302*1000/Gasto_o_ing_total!U$479</f>
        <v>0.29013408750944103</v>
      </c>
      <c r="W302" s="2"/>
    </row>
    <row r="303" spans="1:23">
      <c r="A303" s="355"/>
      <c r="B303" s="115" t="s">
        <v>806</v>
      </c>
      <c r="C303" s="333" t="str">
        <f>VLOOKUP(B303,Tot_res!C:D,2,FALSE)</f>
        <v>Atención Especializada, INGESA neto de Ceuta y Melilla</v>
      </c>
      <c r="D303" s="336">
        <f>Gasto_o_ing_total!V303*1000/Gasto_o_ing_total!V$479</f>
        <v>0.1659833512833189</v>
      </c>
      <c r="E303" s="336">
        <f>Gasto_o_ing_total!D303*1000/Gasto_o_ing_total!D$479</f>
        <v>6.9474349116728021E-2</v>
      </c>
      <c r="F303" s="336">
        <f>Gasto_o_ing_total!E303*1000/Gasto_o_ing_total!E$479</f>
        <v>0.33282630089030762</v>
      </c>
      <c r="G303" s="336">
        <f>Gasto_o_ing_total!F303*1000/Gasto_o_ing_total!F$479</f>
        <v>0.35891369253009187</v>
      </c>
      <c r="H303" s="336">
        <f>Gasto_o_ing_total!G303*1000/Gasto_o_ing_total!G$479</f>
        <v>0.28808589711272853</v>
      </c>
      <c r="I303" s="336">
        <f>Gasto_o_ing_total!H303*1000/Gasto_o_ing_total!H$479</f>
        <v>6.7825982515759095E-2</v>
      </c>
      <c r="J303" s="336">
        <f>Gasto_o_ing_total!I303*1000/Gasto_o_ing_total!I$479</f>
        <v>0.3274840654087583</v>
      </c>
      <c r="K303" s="336">
        <f>Gasto_o_ing_total!J303*1000/Gasto_o_ing_total!J$479</f>
        <v>0.34833389233166784</v>
      </c>
      <c r="L303" s="336">
        <f>Gasto_o_ing_total!K303*1000/Gasto_o_ing_total!K$479</f>
        <v>0.31154523112771687</v>
      </c>
      <c r="M303" s="336">
        <f>Gasto_o_ing_total!L303*1000/Gasto_o_ing_total!L$479</f>
        <v>7.2260197175444379E-2</v>
      </c>
      <c r="N303" s="336">
        <f>Gasto_o_ing_total!M303*1000/Gasto_o_ing_total!M$479</f>
        <v>7.3360491058205871E-2</v>
      </c>
      <c r="O303" s="336">
        <f>Gasto_o_ing_total!N303*1000/Gasto_o_ing_total!N$479</f>
        <v>0.32534909749328755</v>
      </c>
      <c r="P303" s="336">
        <f>Gasto_o_ing_total!O303*1000/Gasto_o_ing_total!O$479</f>
        <v>8.1093125030170882E-2</v>
      </c>
      <c r="Q303" s="336">
        <f>Gasto_o_ing_total!P303*1000/Gasto_o_ing_total!P$479</f>
        <v>0.29753815747197154</v>
      </c>
      <c r="R303" s="336">
        <f>Gasto_o_ing_total!Q303*1000/Gasto_o_ing_total!Q$479</f>
        <v>0.28351276249190643</v>
      </c>
      <c r="S303" s="336">
        <f>Gasto_o_ing_total!R303*1000/Gasto_o_ing_total!R$479</f>
        <v>7.3599984156180617E-2</v>
      </c>
      <c r="T303" s="336">
        <f>Gasto_o_ing_total!S303*1000/Gasto_o_ing_total!S$479</f>
        <v>7.7024113213287004E-2</v>
      </c>
      <c r="U303" s="336">
        <f>Gasto_o_ing_total!T303*1000/Gasto_o_ing_total!T$479</f>
        <v>0.32419834594935115</v>
      </c>
      <c r="V303" s="336">
        <f>Gasto_o_ing_total!U303*1000/Gasto_o_ing_total!U$479</f>
        <v>0.23731721211840534</v>
      </c>
      <c r="W303" s="2"/>
    </row>
    <row r="304" spans="1:23">
      <c r="A304" s="355"/>
      <c r="B304" s="115" t="s">
        <v>808</v>
      </c>
      <c r="C304" s="333" t="str">
        <f>VLOOKUP(B304,Tot_res!C:D,2,FALSE)</f>
        <v>Atención Especializada, ISM</v>
      </c>
      <c r="D304" s="336">
        <f>Gasto_o_ing_total!V304*1000/Gasto_o_ing_total!V$479</f>
        <v>4.1265578461020351E-3</v>
      </c>
      <c r="E304" s="336">
        <f>Gasto_o_ing_total!D304*1000/Gasto_o_ing_total!D$479</f>
        <v>0</v>
      </c>
      <c r="F304" s="336">
        <f>Gasto_o_ing_total!E304*1000/Gasto_o_ing_total!E$479</f>
        <v>0</v>
      </c>
      <c r="G304" s="336">
        <f>Gasto_o_ing_total!F304*1000/Gasto_o_ing_total!F$479</f>
        <v>1.2150685401007831E-4</v>
      </c>
      <c r="H304" s="336">
        <f>Gasto_o_ing_total!G304*1000/Gasto_o_ing_total!G$479</f>
        <v>0</v>
      </c>
      <c r="I304" s="336">
        <f>Gasto_o_ing_total!H304*1000/Gasto_o_ing_total!H$479</f>
        <v>1.0245545512791069E-4</v>
      </c>
      <c r="J304" s="336">
        <f>Gasto_o_ing_total!I304*1000/Gasto_o_ing_total!I$479</f>
        <v>0</v>
      </c>
      <c r="K304" s="336">
        <f>Gasto_o_ing_total!J304*1000/Gasto_o_ing_total!J$479</f>
        <v>0</v>
      </c>
      <c r="L304" s="336">
        <f>Gasto_o_ing_total!K304*1000/Gasto_o_ing_total!K$479</f>
        <v>0</v>
      </c>
      <c r="M304" s="336">
        <f>Gasto_o_ing_total!L304*1000/Gasto_o_ing_total!L$479</f>
        <v>0</v>
      </c>
      <c r="N304" s="336">
        <f>Gasto_o_ing_total!M304*1000/Gasto_o_ing_total!M$479</f>
        <v>0</v>
      </c>
      <c r="O304" s="336">
        <f>Gasto_o_ing_total!N304*1000/Gasto_o_ing_total!N$479</f>
        <v>0</v>
      </c>
      <c r="P304" s="336">
        <f>Gasto_o_ing_total!O304*1000/Gasto_o_ing_total!O$479</f>
        <v>0</v>
      </c>
      <c r="Q304" s="336">
        <f>Gasto_o_ing_total!P304*1000/Gasto_o_ing_total!P$479</f>
        <v>2.9868507244522412E-2</v>
      </c>
      <c r="R304" s="336">
        <f>Gasto_o_ing_total!Q304*1000/Gasto_o_ing_total!Q$479</f>
        <v>0</v>
      </c>
      <c r="S304" s="336">
        <f>Gasto_o_ing_total!R304*1000/Gasto_o_ing_total!R$479</f>
        <v>0</v>
      </c>
      <c r="T304" s="336">
        <f>Gasto_o_ing_total!S304*1000/Gasto_o_ing_total!S$479</f>
        <v>0</v>
      </c>
      <c r="U304" s="336">
        <f>Gasto_o_ing_total!T304*1000/Gasto_o_ing_total!T$479</f>
        <v>0</v>
      </c>
      <c r="V304" s="336">
        <f>Gasto_o_ing_total!U304*1000/Gasto_o_ing_total!U$479</f>
        <v>0</v>
      </c>
      <c r="W304" s="2"/>
    </row>
    <row r="305" spans="1:23">
      <c r="A305" s="355"/>
      <c r="B305" s="115" t="s">
        <v>810</v>
      </c>
      <c r="C305" s="333" t="str">
        <f>VLOOKUP(B305,Tot_res!C:D,2,FALSE)</f>
        <v>Atención Especializada, mutuas de la Seg. Social</v>
      </c>
      <c r="D305" s="336">
        <f>Gasto_o_ing_total!V305*1000/Gasto_o_ing_total!V$479</f>
        <v>8.0690317063583095</v>
      </c>
      <c r="E305" s="336">
        <f>Gasto_o_ing_total!D305*1000/Gasto_o_ing_total!D$479</f>
        <v>3.8816702630379458</v>
      </c>
      <c r="F305" s="336">
        <f>Gasto_o_ing_total!E305*1000/Gasto_o_ing_total!E$479</f>
        <v>21.98899520946917</v>
      </c>
      <c r="G305" s="336">
        <f>Gasto_o_ing_total!F305*1000/Gasto_o_ing_total!F$479</f>
        <v>4.2158862164328532</v>
      </c>
      <c r="H305" s="336">
        <f>Gasto_o_ing_total!G305*1000/Gasto_o_ing_total!G$479</f>
        <v>7.237377770363322</v>
      </c>
      <c r="I305" s="336">
        <f>Gasto_o_ing_total!H305*1000/Gasto_o_ing_total!H$479</f>
        <v>3.691360338715409</v>
      </c>
      <c r="J305" s="336">
        <f>Gasto_o_ing_total!I305*1000/Gasto_o_ing_total!I$479</f>
        <v>9.4754118936017804</v>
      </c>
      <c r="K305" s="336">
        <f>Gasto_o_ing_total!J305*1000/Gasto_o_ing_total!J$479</f>
        <v>2.8929526173922335</v>
      </c>
      <c r="L305" s="336">
        <f>Gasto_o_ing_total!K305*1000/Gasto_o_ing_total!K$479</f>
        <v>2.5267248706772842</v>
      </c>
      <c r="M305" s="336">
        <f>Gasto_o_ing_total!L305*1000/Gasto_o_ing_total!L$479</f>
        <v>11.08436343971556</v>
      </c>
      <c r="N305" s="336">
        <f>Gasto_o_ing_total!M305*1000/Gasto_o_ing_total!M$479</f>
        <v>7.7069411892462032</v>
      </c>
      <c r="O305" s="336">
        <f>Gasto_o_ing_total!N305*1000/Gasto_o_ing_total!N$479</f>
        <v>1.7772257058270116</v>
      </c>
      <c r="P305" s="336">
        <f>Gasto_o_ing_total!O305*1000/Gasto_o_ing_total!O$479</f>
        <v>8.5227934662657816</v>
      </c>
      <c r="Q305" s="336">
        <f>Gasto_o_ing_total!P305*1000/Gasto_o_ing_total!P$479</f>
        <v>12.254277575894124</v>
      </c>
      <c r="R305" s="336">
        <f>Gasto_o_ing_total!Q305*1000/Gasto_o_ing_total!Q$479</f>
        <v>6.1484281961533993</v>
      </c>
      <c r="S305" s="336">
        <f>Gasto_o_ing_total!R305*1000/Gasto_o_ing_total!R$479</f>
        <v>6.2275222532394423</v>
      </c>
      <c r="T305" s="336">
        <f>Gasto_o_ing_total!S305*1000/Gasto_o_ing_total!S$479</f>
        <v>16.719569829300006</v>
      </c>
      <c r="U305" s="336">
        <f>Gasto_o_ing_total!T305*1000/Gasto_o_ing_total!T$479</f>
        <v>3.6142503891094577</v>
      </c>
      <c r="V305" s="336">
        <f>Gasto_o_ing_total!U305*1000/Gasto_o_ing_total!U$479</f>
        <v>1.1732439360746281</v>
      </c>
      <c r="W305" s="2"/>
    </row>
    <row r="306" spans="1:23">
      <c r="A306" s="355"/>
      <c r="B306" s="115" t="s">
        <v>633</v>
      </c>
      <c r="C306" s="333" t="str">
        <f>VLOOKUP(B306,Tot_res!C:D,2,FALSE)</f>
        <v xml:space="preserve">Medicina Marítima </v>
      </c>
      <c r="D306" s="336">
        <f>Gasto_o_ing_total!V306*1000/Gasto_o_ing_total!V$479</f>
        <v>0.49724150330724487</v>
      </c>
      <c r="E306" s="336">
        <f>Gasto_o_ing_total!D306*1000/Gasto_o_ing_total!D$479</f>
        <v>0.26066722741570192</v>
      </c>
      <c r="F306" s="336">
        <f>Gasto_o_ing_total!E306*1000/Gasto_o_ing_total!E$479</f>
        <v>0</v>
      </c>
      <c r="G306" s="336">
        <f>Gasto_o_ing_total!F306*1000/Gasto_o_ing_total!F$479</f>
        <v>0.49926236698288612</v>
      </c>
      <c r="H306" s="336">
        <f>Gasto_o_ing_total!G306*1000/Gasto_o_ing_total!G$479</f>
        <v>0.27521935812959303</v>
      </c>
      <c r="I306" s="336">
        <f>Gasto_o_ing_total!H306*1000/Gasto_o_ing_total!H$479</f>
        <v>3.1531014080182906</v>
      </c>
      <c r="J306" s="336">
        <f>Gasto_o_ing_total!I306*1000/Gasto_o_ing_total!I$479</f>
        <v>11.22406519209671</v>
      </c>
      <c r="K306" s="336">
        <f>Gasto_o_ing_total!J306*1000/Gasto_o_ing_total!J$479</f>
        <v>0</v>
      </c>
      <c r="L306" s="336">
        <f>Gasto_o_ing_total!K306*1000/Gasto_o_ing_total!K$479</f>
        <v>0</v>
      </c>
      <c r="M306" s="336">
        <f>Gasto_o_ing_total!L306*1000/Gasto_o_ing_total!L$479</f>
        <v>0.13721755278509448</v>
      </c>
      <c r="N306" s="336">
        <f>Gasto_o_ing_total!M306*1000/Gasto_o_ing_total!M$479</f>
        <v>0.13965728062720906</v>
      </c>
      <c r="O306" s="336">
        <f>Gasto_o_ing_total!N306*1000/Gasto_o_ing_total!N$479</f>
        <v>0</v>
      </c>
      <c r="P306" s="336">
        <f>Gasto_o_ing_total!O306*1000/Gasto_o_ing_total!O$479</f>
        <v>1.3355842794946351</v>
      </c>
      <c r="Q306" s="336">
        <f>Gasto_o_ing_total!P306*1000/Gasto_o_ing_total!P$479</f>
        <v>1.3629624083546364E-2</v>
      </c>
      <c r="R306" s="336">
        <f>Gasto_o_ing_total!Q306*1000/Gasto_o_ing_total!Q$479</f>
        <v>0.19450574659285477</v>
      </c>
      <c r="S306" s="336">
        <f>Gasto_o_ing_total!R306*1000/Gasto_o_ing_total!R$479</f>
        <v>0</v>
      </c>
      <c r="T306" s="336">
        <f>Gasto_o_ing_total!S306*1000/Gasto_o_ing_total!S$479</f>
        <v>0.39670176908149618</v>
      </c>
      <c r="U306" s="336">
        <f>Gasto_o_ing_total!T306*1000/Gasto_o_ing_total!T$479</f>
        <v>0</v>
      </c>
      <c r="V306" s="336">
        <f>Gasto_o_ing_total!U306*1000/Gasto_o_ing_total!U$479</f>
        <v>2.1581461082280899</v>
      </c>
      <c r="W306" s="2"/>
    </row>
    <row r="307" spans="1:23">
      <c r="A307" s="355"/>
      <c r="B307" s="115" t="s">
        <v>812</v>
      </c>
      <c r="C307" s="333" t="str">
        <f>VLOOKUP(B307,Tot_res!C:D,2,FALSE)</f>
        <v>Admón.,Ser.Grales.y Cont.Int.Asist.San., neto CyMel</v>
      </c>
      <c r="D307" s="336">
        <f>Gasto_o_ing_total!V307*1000/Gasto_o_ing_total!V$479</f>
        <v>4.368591729352244E-2</v>
      </c>
      <c r="E307" s="336">
        <f>Gasto_o_ing_total!D307*1000/Gasto_o_ing_total!D$479</f>
        <v>9.5305190069608983E-3</v>
      </c>
      <c r="F307" s="336">
        <f>Gasto_o_ing_total!E307*1000/Gasto_o_ing_total!E$479</f>
        <v>0.10308583907204522</v>
      </c>
      <c r="G307" s="336">
        <f>Gasto_o_ing_total!F307*1000/Gasto_o_ing_total!F$479</f>
        <v>0.11141429334710605</v>
      </c>
      <c r="H307" s="336">
        <f>Gasto_o_ing_total!G307*1000/Gasto_o_ing_total!G$479</f>
        <v>8.8837533681468517E-2</v>
      </c>
      <c r="I307" s="336">
        <f>Gasto_o_ing_total!H307*1000/Gasto_o_ing_total!H$479</f>
        <v>9.304062810184385E-3</v>
      </c>
      <c r="J307" s="336">
        <f>Gasto_o_ing_total!I307*1000/Gasto_o_ing_total!I$479</f>
        <v>0.10137807486352467</v>
      </c>
      <c r="K307" s="336">
        <f>Gasto_o_ing_total!J307*1000/Gasto_o_ing_total!J$479</f>
        <v>0.10761432605821217</v>
      </c>
      <c r="L307" s="336">
        <f>Gasto_o_ing_total!K307*1000/Gasto_o_ing_total!K$479</f>
        <v>9.6332562474134992E-2</v>
      </c>
      <c r="M307" s="336">
        <f>Gasto_o_ing_total!L307*1000/Gasto_o_ing_total!L$479</f>
        <v>9.9139500887978991E-3</v>
      </c>
      <c r="N307" s="336">
        <f>Gasto_o_ing_total!M307*1000/Gasto_o_ing_total!M$479</f>
        <v>1.0062961950746631E-2</v>
      </c>
      <c r="O307" s="336">
        <f>Gasto_o_ing_total!N307*1000/Gasto_o_ing_total!N$479</f>
        <v>0.1008204543519703</v>
      </c>
      <c r="P307" s="336">
        <f>Gasto_o_ing_total!O307*1000/Gasto_o_ing_total!O$479</f>
        <v>1.1126398733874139E-2</v>
      </c>
      <c r="Q307" s="336">
        <f>Gasto_o_ing_total!P307*1000/Gasto_o_ing_total!P$479</f>
        <v>9.1974518940754715E-2</v>
      </c>
      <c r="R307" s="336">
        <f>Gasto_o_ing_total!Q307*1000/Gasto_o_ing_total!Q$479</f>
        <v>8.7428247217500116E-2</v>
      </c>
      <c r="S307" s="336">
        <f>Gasto_o_ing_total!R307*1000/Gasto_o_ing_total!R$479</f>
        <v>1.0096578036688371E-2</v>
      </c>
      <c r="T307" s="336">
        <f>Gasto_o_ing_total!S307*1000/Gasto_o_ing_total!S$479</f>
        <v>1.0569073457292244E-2</v>
      </c>
      <c r="U307" s="336">
        <f>Gasto_o_ing_total!T307*1000/Gasto_o_ing_total!T$479</f>
        <v>0.10043579232369047</v>
      </c>
      <c r="V307" s="336">
        <f>Gasto_o_ing_total!U307*1000/Gasto_o_ing_total!U$479</f>
        <v>7.2153293643436811E-2</v>
      </c>
      <c r="W307" s="2"/>
    </row>
    <row r="308" spans="1:23">
      <c r="A308" s="355"/>
      <c r="B308" s="115" t="s">
        <v>814</v>
      </c>
      <c r="C308" s="333" t="str">
        <f>VLOOKUP(B308,Tot_res!C:D,2,FALSE)</f>
        <v>Formación del Personal Sanitario, neto de CyMel</v>
      </c>
      <c r="D308" s="336">
        <f>Gasto_o_ing_total!V308*1000/Gasto_o_ing_total!V$479</f>
        <v>2.3707916424940771E-4</v>
      </c>
      <c r="E308" s="336">
        <f>Gasto_o_ing_total!D308*1000/Gasto_o_ing_total!D$479</f>
        <v>2.1881666946983492E-4</v>
      </c>
      <c r="F308" s="336">
        <f>Gasto_o_ing_total!E308*1000/Gasto_o_ing_total!E$479</f>
        <v>2.597101071346098E-4</v>
      </c>
      <c r="G308" s="336">
        <f>Gasto_o_ing_total!F308*1000/Gasto_o_ing_total!F$479</f>
        <v>2.8118728337431633E-4</v>
      </c>
      <c r="H308" s="336">
        <f>Gasto_o_ing_total!G308*1000/Gasto_o_ing_total!G$479</f>
        <v>2.230349334566916E-4</v>
      </c>
      <c r="I308" s="336">
        <f>Gasto_o_ing_total!H308*1000/Gasto_o_ing_total!H$479</f>
        <v>2.1119273584876969E-4</v>
      </c>
      <c r="J308" s="336">
        <f>Gasto_o_ing_total!I308*1000/Gasto_o_ing_total!I$479</f>
        <v>2.5530183758394197E-4</v>
      </c>
      <c r="K308" s="336">
        <f>Gasto_o_ing_total!J308*1000/Gasto_o_ing_total!J$479</f>
        <v>2.7057195021818928E-4</v>
      </c>
      <c r="L308" s="336">
        <f>Gasto_o_ing_total!K308*1000/Gasto_o_ing_total!K$479</f>
        <v>2.4237369268541897E-4</v>
      </c>
      <c r="M308" s="336">
        <f>Gasto_o_ing_total!L308*1000/Gasto_o_ing_total!L$479</f>
        <v>2.3685850746631658E-4</v>
      </c>
      <c r="N308" s="336">
        <f>Gasto_o_ing_total!M308*1000/Gasto_o_ing_total!M$479</f>
        <v>2.2623333963189474E-4</v>
      </c>
      <c r="O308" s="336">
        <f>Gasto_o_ing_total!N308*1000/Gasto_o_ing_total!N$479</f>
        <v>2.5410341176189708E-4</v>
      </c>
      <c r="P308" s="336">
        <f>Gasto_o_ing_total!O308*1000/Gasto_o_ing_total!O$479</f>
        <v>2.7011982531613063E-4</v>
      </c>
      <c r="Q308" s="336">
        <f>Gasto_o_ing_total!P308*1000/Gasto_o_ing_total!P$479</f>
        <v>2.3135508196109772E-4</v>
      </c>
      <c r="R308" s="336">
        <f>Gasto_o_ing_total!Q308*1000/Gasto_o_ing_total!Q$479</f>
        <v>2.1949866600539191E-4</v>
      </c>
      <c r="S308" s="336">
        <f>Gasto_o_ing_total!R308*1000/Gasto_o_ing_total!R$479</f>
        <v>2.3256226340743173E-4</v>
      </c>
      <c r="T308" s="336">
        <f>Gasto_o_ing_total!S308*1000/Gasto_o_ing_total!S$479</f>
        <v>2.6361772010496319E-4</v>
      </c>
      <c r="U308" s="336">
        <f>Gasto_o_ing_total!T308*1000/Gasto_o_ing_total!T$479</f>
        <v>2.5307806240732855E-4</v>
      </c>
      <c r="V308" s="336">
        <f>Gasto_o_ing_total!U308*1000/Gasto_o_ing_total!U$479</f>
        <v>1.7908988603824311E-4</v>
      </c>
      <c r="W308" s="2"/>
    </row>
    <row r="309" spans="1:23">
      <c r="A309" s="355"/>
      <c r="B309" s="115" t="s">
        <v>317</v>
      </c>
      <c r="C309" s="333" t="str">
        <f>VLOOKUP(B309,Tot_res!C:D,2,FALSE)</f>
        <v>ISM sanidad transferida</v>
      </c>
      <c r="D309" s="336">
        <f>Gasto_o_ing_total!V309*1000/Gasto_o_ing_total!V$479</f>
        <v>0.74332282280379913</v>
      </c>
      <c r="E309" s="336">
        <f>Gasto_o_ing_total!D309*1000/Gasto_o_ing_total!D$479</f>
        <v>3.0880392508814967</v>
      </c>
      <c r="F309" s="336">
        <f>Gasto_o_ing_total!E309*1000/Gasto_o_ing_total!E$479</f>
        <v>0</v>
      </c>
      <c r="G309" s="336">
        <f>Gasto_o_ing_total!F309*1000/Gasto_o_ing_total!F$479</f>
        <v>4.1445089856412372</v>
      </c>
      <c r="H309" s="336">
        <f>Gasto_o_ing_total!G309*1000/Gasto_o_ing_total!G$479</f>
        <v>0.99504215689284703</v>
      </c>
      <c r="I309" s="336">
        <f>Gasto_o_ing_total!H309*1000/Gasto_o_ing_total!H$479</f>
        <v>0</v>
      </c>
      <c r="J309" s="336">
        <f>Gasto_o_ing_total!I309*1000/Gasto_o_ing_total!I$479</f>
        <v>2.7930921994523796</v>
      </c>
      <c r="K309" s="336">
        <f>Gasto_o_ing_total!J309*1000/Gasto_o_ing_total!J$479</f>
        <v>0</v>
      </c>
      <c r="L309" s="336">
        <f>Gasto_o_ing_total!K309*1000/Gasto_o_ing_total!K$479</f>
        <v>0</v>
      </c>
      <c r="M309" s="336">
        <f>Gasto_o_ing_total!L309*1000/Gasto_o_ing_total!L$479</f>
        <v>0</v>
      </c>
      <c r="N309" s="336">
        <f>Gasto_o_ing_total!M309*1000/Gasto_o_ing_total!M$479</f>
        <v>0</v>
      </c>
      <c r="O309" s="336">
        <f>Gasto_o_ing_total!N309*1000/Gasto_o_ing_total!N$479</f>
        <v>0</v>
      </c>
      <c r="P309" s="336">
        <f>Gasto_o_ing_total!O309*1000/Gasto_o_ing_total!O$479</f>
        <v>0</v>
      </c>
      <c r="Q309" s="336">
        <f>Gasto_o_ing_total!P309*1000/Gasto_o_ing_total!P$479</f>
        <v>0</v>
      </c>
      <c r="R309" s="336">
        <f>Gasto_o_ing_total!Q309*1000/Gasto_o_ing_total!Q$479</f>
        <v>1.1770673752546401</v>
      </c>
      <c r="S309" s="336">
        <f>Gasto_o_ing_total!R309*1000/Gasto_o_ing_total!R$479</f>
        <v>0</v>
      </c>
      <c r="T309" s="336">
        <f>Gasto_o_ing_total!S309*1000/Gasto_o_ing_total!S$479</f>
        <v>0</v>
      </c>
      <c r="U309" s="336">
        <f>Gasto_o_ing_total!T309*1000/Gasto_o_ing_total!T$479</f>
        <v>0</v>
      </c>
      <c r="V309" s="336">
        <f>Gasto_o_ing_total!U309*1000/Gasto_o_ing_total!U$479</f>
        <v>0</v>
      </c>
      <c r="W309" s="2"/>
    </row>
    <row r="310" spans="1:23">
      <c r="A310" s="355"/>
      <c r="B310" s="115" t="s">
        <v>816</v>
      </c>
      <c r="C310" s="333" t="str">
        <f>VLOOKUP(B310,Tot_res!C:D,2,FALSE)</f>
        <v>ISM transf. antes de 2002, sanidad</v>
      </c>
      <c r="D310" s="336">
        <f>Gasto_o_ing_total!V310*1000/Gasto_o_ing_total!V$479</f>
        <v>1.6333226734300488</v>
      </c>
      <c r="E310" s="336">
        <f>Gasto_o_ing_total!D310*1000/Gasto_o_ing_total!D$479</f>
        <v>0</v>
      </c>
      <c r="F310" s="336">
        <f>Gasto_o_ing_total!E310*1000/Gasto_o_ing_total!E$479</f>
        <v>0</v>
      </c>
      <c r="G310" s="336">
        <f>Gasto_o_ing_total!F310*1000/Gasto_o_ing_total!F$479</f>
        <v>0</v>
      </c>
      <c r="H310" s="336">
        <f>Gasto_o_ing_total!G310*1000/Gasto_o_ing_total!G$479</f>
        <v>0</v>
      </c>
      <c r="I310" s="336">
        <f>Gasto_o_ing_total!H310*1000/Gasto_o_ing_total!H$479</f>
        <v>3.9635754294506502</v>
      </c>
      <c r="J310" s="336">
        <f>Gasto_o_ing_total!I310*1000/Gasto_o_ing_total!I$479</f>
        <v>0</v>
      </c>
      <c r="K310" s="336">
        <f>Gasto_o_ing_total!J310*1000/Gasto_o_ing_total!J$479</f>
        <v>0</v>
      </c>
      <c r="L310" s="336">
        <f>Gasto_o_ing_total!K310*1000/Gasto_o_ing_total!K$479</f>
        <v>0</v>
      </c>
      <c r="M310" s="336">
        <f>Gasto_o_ing_total!L310*1000/Gasto_o_ing_total!L$479</f>
        <v>0.31771462965619041</v>
      </c>
      <c r="N310" s="336">
        <f>Gasto_o_ing_total!M310*1000/Gasto_o_ing_total!M$479</f>
        <v>1.6110540049786177</v>
      </c>
      <c r="O310" s="336">
        <f>Gasto_o_ing_total!N310*1000/Gasto_o_ing_total!N$479</f>
        <v>0</v>
      </c>
      <c r="P310" s="336">
        <f>Gasto_o_ing_total!O310*1000/Gasto_o_ing_total!O$479</f>
        <v>20.95156273145966</v>
      </c>
      <c r="Q310" s="336">
        <f>Gasto_o_ing_total!P310*1000/Gasto_o_ing_total!P$479</f>
        <v>0</v>
      </c>
      <c r="R310" s="336">
        <f>Gasto_o_ing_total!Q310*1000/Gasto_o_ing_total!Q$479</f>
        <v>0</v>
      </c>
      <c r="S310" s="336">
        <f>Gasto_o_ing_total!R310*1000/Gasto_o_ing_total!R$479</f>
        <v>0</v>
      </c>
      <c r="T310" s="336">
        <f>Gasto_o_ing_total!S310*1000/Gasto_o_ing_total!S$479</f>
        <v>0</v>
      </c>
      <c r="U310" s="336">
        <f>Gasto_o_ing_total!T310*1000/Gasto_o_ing_total!T$479</f>
        <v>0</v>
      </c>
      <c r="V310" s="336">
        <f>Gasto_o_ing_total!U310*1000/Gasto_o_ing_total!U$479</f>
        <v>0</v>
      </c>
      <c r="W310" s="2"/>
    </row>
    <row r="311" spans="1:23">
      <c r="A311" s="355"/>
      <c r="B311" s="115" t="s">
        <v>634</v>
      </c>
      <c r="C311" s="333" t="str">
        <f>VLOOKUP(B311,Tot_res!C:D,2,FALSE)</f>
        <v>Compensación Fondo Cohesión Sanitaria, extrapresupuestario</v>
      </c>
      <c r="D311" s="336">
        <f>Gasto_o_ing_total!V311*1000/Gasto_o_ing_total!V$479</f>
        <v>0.89152830204673594</v>
      </c>
      <c r="E311" s="336">
        <f>Gasto_o_ing_total!D311*1000/Gasto_o_ing_total!D$479</f>
        <v>0.20463820467458671</v>
      </c>
      <c r="F311" s="336">
        <f>Gasto_o_ing_total!E311*1000/Gasto_o_ing_total!E$479</f>
        <v>2.4153022508198441</v>
      </c>
      <c r="G311" s="336">
        <f>Gasto_o_ing_total!F311*1000/Gasto_o_ing_total!F$479</f>
        <v>0.73479008295100057</v>
      </c>
      <c r="H311" s="336">
        <f>Gasto_o_ing_total!G311*1000/Gasto_o_ing_total!G$479</f>
        <v>0.70253217467661511</v>
      </c>
      <c r="I311" s="336">
        <f>Gasto_o_ing_total!H311*1000/Gasto_o_ing_total!H$479</f>
        <v>0.50158833066323238</v>
      </c>
      <c r="J311" s="336">
        <f>Gasto_o_ing_total!I311*1000/Gasto_o_ing_total!I$479</f>
        <v>0.89442425665841052</v>
      </c>
      <c r="K311" s="336">
        <f>Gasto_o_ing_total!J311*1000/Gasto_o_ing_total!J$479</f>
        <v>2.4671727061292676</v>
      </c>
      <c r="L311" s="336">
        <f>Gasto_o_ing_total!K311*1000/Gasto_o_ing_total!K$479</f>
        <v>2.7233520374609275</v>
      </c>
      <c r="M311" s="336">
        <f>Gasto_o_ing_total!L311*1000/Gasto_o_ing_total!L$479</f>
        <v>0.3297136245783151</v>
      </c>
      <c r="N311" s="336">
        <f>Gasto_o_ing_total!M311*1000/Gasto_o_ing_total!M$479</f>
        <v>0.53488851266600013</v>
      </c>
      <c r="O311" s="336">
        <f>Gasto_o_ing_total!N311*1000/Gasto_o_ing_total!N$479</f>
        <v>1.806164061958083</v>
      </c>
      <c r="P311" s="336">
        <f>Gasto_o_ing_total!O311*1000/Gasto_o_ing_total!O$479</f>
        <v>0.1991004637453043</v>
      </c>
      <c r="Q311" s="336">
        <f>Gasto_o_ing_total!P311*1000/Gasto_o_ing_total!P$479</f>
        <v>0.98323375276688241</v>
      </c>
      <c r="R311" s="336">
        <f>Gasto_o_ing_total!Q311*1000/Gasto_o_ing_total!Q$479</f>
        <v>0.59580469223665578</v>
      </c>
      <c r="S311" s="336">
        <f>Gasto_o_ing_total!R311*1000/Gasto_o_ing_total!R$479</f>
        <v>0.578699741580187</v>
      </c>
      <c r="T311" s="336">
        <f>Gasto_o_ing_total!S311*1000/Gasto_o_ing_total!S$479</f>
        <v>1.3320254808062015</v>
      </c>
      <c r="U311" s="336">
        <f>Gasto_o_ing_total!T311*1000/Gasto_o_ing_total!T$479</f>
        <v>1.7197251133726286</v>
      </c>
      <c r="V311" s="336">
        <f>Gasto_o_ing_total!U311*1000/Gasto_o_ing_total!U$479</f>
        <v>18.19704980624298</v>
      </c>
      <c r="W311" s="2"/>
    </row>
    <row r="312" spans="1:23">
      <c r="A312" s="356"/>
      <c r="C312" s="12"/>
      <c r="D312" s="19"/>
      <c r="E312" s="19"/>
      <c r="F312" s="19"/>
      <c r="G312" s="19"/>
      <c r="H312" s="19"/>
      <c r="I312" s="19"/>
      <c r="J312" s="19"/>
      <c r="K312" s="19"/>
      <c r="L312" s="19"/>
      <c r="M312" s="19"/>
      <c r="N312" s="19"/>
      <c r="O312" s="19"/>
      <c r="P312" s="19"/>
      <c r="Q312" s="19"/>
      <c r="R312" s="19"/>
      <c r="S312" s="19"/>
      <c r="T312" s="19"/>
      <c r="U312" s="19"/>
      <c r="V312" s="19"/>
      <c r="W312" s="2"/>
    </row>
    <row r="313" spans="1:23">
      <c r="A313" s="356"/>
      <c r="C313" s="2"/>
      <c r="D313" s="19"/>
      <c r="E313" s="19"/>
      <c r="F313" s="19"/>
      <c r="G313" s="19"/>
      <c r="H313" s="19"/>
      <c r="I313" s="19"/>
      <c r="J313" s="19"/>
      <c r="K313" s="19"/>
      <c r="L313" s="19"/>
      <c r="M313" s="19"/>
      <c r="N313" s="19"/>
      <c r="O313" s="19"/>
      <c r="P313" s="19"/>
      <c r="Q313" s="19"/>
      <c r="R313" s="19"/>
      <c r="S313" s="19"/>
      <c r="T313" s="19"/>
      <c r="U313" s="19"/>
      <c r="V313" s="19"/>
    </row>
    <row r="314" spans="1:23" s="102" customFormat="1">
      <c r="A314" s="364"/>
      <c r="B314" s="115"/>
      <c r="C314" s="117" t="s">
        <v>58</v>
      </c>
      <c r="D314" s="113">
        <f>Gasto_o_ing_total!V314*1000/Gasto_o_ing_total!V$479</f>
        <v>13.986938455509257</v>
      </c>
      <c r="E314" s="113">
        <f>Gasto_o_ing_total!D314*1000/Gasto_o_ing_total!D$479</f>
        <v>15.708356021890928</v>
      </c>
      <c r="F314" s="113">
        <f>Gasto_o_ing_total!E314*1000/Gasto_o_ing_total!E$479</f>
        <v>15.60740479719229</v>
      </c>
      <c r="G314" s="113">
        <f>Gasto_o_ing_total!F314*1000/Gasto_o_ing_total!F$479</f>
        <v>15.137548125643217</v>
      </c>
      <c r="H314" s="113">
        <f>Gasto_o_ing_total!G314*1000/Gasto_o_ing_total!G$479</f>
        <v>11.093526487380904</v>
      </c>
      <c r="I314" s="113">
        <f>Gasto_o_ing_total!H314*1000/Gasto_o_ing_total!H$479</f>
        <v>16.911731053167841</v>
      </c>
      <c r="J314" s="113">
        <f>Gasto_o_ing_total!I314*1000/Gasto_o_ing_total!I$479</f>
        <v>15.477945453274543</v>
      </c>
      <c r="K314" s="113">
        <f>Gasto_o_ing_total!J314*1000/Gasto_o_ing_total!J$479</f>
        <v>13.610936302314363</v>
      </c>
      <c r="L314" s="113">
        <f>Gasto_o_ing_total!K314*1000/Gasto_o_ing_total!K$479</f>
        <v>15.808099101673879</v>
      </c>
      <c r="M314" s="113">
        <f>Gasto_o_ing_total!L314*1000/Gasto_o_ing_total!L$479</f>
        <v>8.2271486614716292</v>
      </c>
      <c r="N314" s="113">
        <f>Gasto_o_ing_total!M314*1000/Gasto_o_ing_total!M$479</f>
        <v>13.087575233107248</v>
      </c>
      <c r="O314" s="113">
        <f>Gasto_o_ing_total!N314*1000/Gasto_o_ing_total!N$479</f>
        <v>15.385962027207837</v>
      </c>
      <c r="P314" s="113">
        <f>Gasto_o_ing_total!O314*1000/Gasto_o_ing_total!O$479</f>
        <v>14.196868373778514</v>
      </c>
      <c r="Q314" s="113">
        <f>Gasto_o_ing_total!P314*1000/Gasto_o_ing_total!P$479</f>
        <v>16.588169892071789</v>
      </c>
      <c r="R314" s="113">
        <f>Gasto_o_ing_total!Q314*1000/Gasto_o_ing_total!Q$479</f>
        <v>18.646272091604057</v>
      </c>
      <c r="S314" s="113">
        <f>Gasto_o_ing_total!R314*1000/Gasto_o_ing_total!R$479</f>
        <v>15.934080766760575</v>
      </c>
      <c r="T314" s="113">
        <f>Gasto_o_ing_total!S314*1000/Gasto_o_ing_total!S$479</f>
        <v>12.498904560297225</v>
      </c>
      <c r="U314" s="113">
        <f>Gasto_o_ing_total!T314*1000/Gasto_o_ing_total!T$479</f>
        <v>13.303904639611849</v>
      </c>
      <c r="V314" s="113">
        <f>Gasto_o_ing_total!U314*1000/Gasto_o_ing_total!U$479</f>
        <v>12.636845074305921</v>
      </c>
      <c r="W314" s="114"/>
    </row>
    <row r="315" spans="1:23" s="102" customFormat="1">
      <c r="A315" s="355"/>
      <c r="B315" s="115" t="s">
        <v>649</v>
      </c>
      <c r="C315" s="333" t="str">
        <f>VLOOKUP(B315,Tot_res!C:D,2,FALSE)</f>
        <v xml:space="preserve">Dirección y servicios generales de la educación,cultura y deporte, neto del gasto directo del Estado en Ceuta y Melilla </v>
      </c>
      <c r="D315" s="336">
        <f>Gasto_o_ing_total!V315*1000/Gasto_o_ing_total!V$479</f>
        <v>1.3060096129475072</v>
      </c>
      <c r="E315" s="336">
        <f>Gasto_o_ing_total!D315*1000/Gasto_o_ing_total!D$479</f>
        <v>1.4213903771081986</v>
      </c>
      <c r="F315" s="336">
        <f>Gasto_o_ing_total!E315*1000/Gasto_o_ing_total!E$479</f>
        <v>1.2125639376456119</v>
      </c>
      <c r="G315" s="336">
        <f>Gasto_o_ing_total!F315*1000/Gasto_o_ing_total!F$479</f>
        <v>0.99278862356751574</v>
      </c>
      <c r="H315" s="336">
        <f>Gasto_o_ing_total!G315*1000/Gasto_o_ing_total!G$479</f>
        <v>1.1413774731571433</v>
      </c>
      <c r="I315" s="336">
        <f>Gasto_o_ing_total!H315*1000/Gasto_o_ing_total!H$479</f>
        <v>1.2344526825540516</v>
      </c>
      <c r="J315" s="336">
        <f>Gasto_o_ing_total!I315*1000/Gasto_o_ing_total!I$479</f>
        <v>1.1496745355159155</v>
      </c>
      <c r="K315" s="336">
        <f>Gasto_o_ing_total!J315*1000/Gasto_o_ing_total!J$479</f>
        <v>1.0652979466378736</v>
      </c>
      <c r="L315" s="336">
        <f>Gasto_o_ing_total!K315*1000/Gasto_o_ing_total!K$479</f>
        <v>1.4171814426386438</v>
      </c>
      <c r="M315" s="336">
        <f>Gasto_o_ing_total!L315*1000/Gasto_o_ing_total!L$479</f>
        <v>1.3100038343797751</v>
      </c>
      <c r="N315" s="336">
        <f>Gasto_o_ing_total!M315*1000/Gasto_o_ing_total!M$479</f>
        <v>1.2880065477464859</v>
      </c>
      <c r="O315" s="336">
        <f>Gasto_o_ing_total!N315*1000/Gasto_o_ing_total!N$479</f>
        <v>1.2631293263992958</v>
      </c>
      <c r="P315" s="336">
        <f>Gasto_o_ing_total!O315*1000/Gasto_o_ing_total!O$479</f>
        <v>1.1202119799494894</v>
      </c>
      <c r="Q315" s="336">
        <f>Gasto_o_ing_total!P315*1000/Gasto_o_ing_total!P$479</f>
        <v>1.4261443281198156</v>
      </c>
      <c r="R315" s="336">
        <f>Gasto_o_ing_total!Q315*1000/Gasto_o_ing_total!Q$479</f>
        <v>1.4655180864295296</v>
      </c>
      <c r="S315" s="336">
        <f>Gasto_o_ing_total!R315*1000/Gasto_o_ing_total!R$479</f>
        <v>1.2651785661039185</v>
      </c>
      <c r="T315" s="336">
        <f>Gasto_o_ing_total!S315*1000/Gasto_o_ing_total!S$479</f>
        <v>1.2386675940885632</v>
      </c>
      <c r="U315" s="336">
        <f>Gasto_o_ing_total!T315*1000/Gasto_o_ing_total!T$479</f>
        <v>1.3596673590880743</v>
      </c>
      <c r="V315" s="336">
        <f>Gasto_o_ing_total!U315*1000/Gasto_o_ing_total!U$479</f>
        <v>1.5938103105802222</v>
      </c>
      <c r="W315" s="105"/>
    </row>
    <row r="316" spans="1:23" s="102" customFormat="1">
      <c r="A316" s="355"/>
      <c r="B316" s="115" t="s">
        <v>650</v>
      </c>
      <c r="C316" s="333" t="str">
        <f>VLOOKUP(B316,Tot_res!C:D,2,FALSE)</f>
        <v xml:space="preserve">Formac. permanente del profesorado de educación, neto del gasto directo del Estado en Ceuta y Melilla </v>
      </c>
      <c r="D316" s="336">
        <f>Gasto_o_ing_total!V316*1000/Gasto_o_ing_total!V$479</f>
        <v>4.2129546606918131E-2</v>
      </c>
      <c r="E316" s="336">
        <f>Gasto_o_ing_total!D316*1000/Gasto_o_ing_total!D$479</f>
        <v>4.9608873078697061E-2</v>
      </c>
      <c r="F316" s="336">
        <f>Gasto_o_ing_total!E316*1000/Gasto_o_ing_total!E$479</f>
        <v>4.2344750774375141E-2</v>
      </c>
      <c r="G316" s="336">
        <f>Gasto_o_ing_total!F316*1000/Gasto_o_ing_total!F$479</f>
        <v>3.9718017144724505E-2</v>
      </c>
      <c r="H316" s="336">
        <f>Gasto_o_ing_total!G316*1000/Gasto_o_ing_total!G$479</f>
        <v>3.894846454550574E-2</v>
      </c>
      <c r="I316" s="336">
        <f>Gasto_o_ing_total!H316*1000/Gasto_o_ing_total!H$479</f>
        <v>4.1663541641455616E-2</v>
      </c>
      <c r="J316" s="336">
        <f>Gasto_o_ing_total!I316*1000/Gasto_o_ing_total!I$479</f>
        <v>4.3041560406103546E-2</v>
      </c>
      <c r="K316" s="336">
        <f>Gasto_o_ing_total!J316*1000/Gasto_o_ing_total!J$479</f>
        <v>4.5348166861641517E-2</v>
      </c>
      <c r="L316" s="336">
        <f>Gasto_o_ing_total!K316*1000/Gasto_o_ing_total!K$479</f>
        <v>5.1569973553740898E-2</v>
      </c>
      <c r="M316" s="336">
        <f>Gasto_o_ing_total!L316*1000/Gasto_o_ing_total!L$479</f>
        <v>3.8807062511302913E-2</v>
      </c>
      <c r="N316" s="336">
        <f>Gasto_o_ing_total!M316*1000/Gasto_o_ing_total!M$479</f>
        <v>3.8693606514567748E-2</v>
      </c>
      <c r="O316" s="336">
        <f>Gasto_o_ing_total!N316*1000/Gasto_o_ing_total!N$479</f>
        <v>5.2452233273170654E-2</v>
      </c>
      <c r="P316" s="336">
        <f>Gasto_o_ing_total!O316*1000/Gasto_o_ing_total!O$479</f>
        <v>4.4847372153066979E-2</v>
      </c>
      <c r="Q316" s="336">
        <f>Gasto_o_ing_total!P316*1000/Gasto_o_ing_total!P$479</f>
        <v>3.1275729350384841E-2</v>
      </c>
      <c r="R316" s="336">
        <f>Gasto_o_ing_total!Q316*1000/Gasto_o_ing_total!Q$479</f>
        <v>4.9040268188671035E-2</v>
      </c>
      <c r="S316" s="336">
        <f>Gasto_o_ing_total!R316*1000/Gasto_o_ing_total!R$479</f>
        <v>4.7636742817325085E-2</v>
      </c>
      <c r="T316" s="336">
        <f>Gasto_o_ing_total!S316*1000/Gasto_o_ing_total!S$479</f>
        <v>3.8967866141782395E-2</v>
      </c>
      <c r="U316" s="336">
        <f>Gasto_o_ing_total!T316*1000/Gasto_o_ing_total!T$479</f>
        <v>4.2239914874173147E-2</v>
      </c>
      <c r="V316" s="336">
        <f>Gasto_o_ing_total!U316*1000/Gasto_o_ing_total!U$479</f>
        <v>5.6918766927209007E-2</v>
      </c>
      <c r="W316" s="105"/>
    </row>
    <row r="317" spans="1:23" s="102" customFormat="1">
      <c r="A317" s="355"/>
      <c r="B317" s="115" t="s">
        <v>651</v>
      </c>
      <c r="C317" s="333" t="str">
        <f>VLOOKUP(B317,Tot_res!C:D,2,FALSE)</f>
        <v>Educación infantil y primaria +AF12/1</v>
      </c>
      <c r="D317" s="336">
        <f>Gasto_o_ing_total!V317*1000/Gasto_o_ing_total!V$479</f>
        <v>2.4343638732055966</v>
      </c>
      <c r="E317" s="336">
        <f>Gasto_o_ing_total!D317*1000/Gasto_o_ing_total!D$479</f>
        <v>7.8596514260944925</v>
      </c>
      <c r="F317" s="336">
        <f>Gasto_o_ing_total!E317*1000/Gasto_o_ing_total!E$479</f>
        <v>5.6818309550998674</v>
      </c>
      <c r="G317" s="336">
        <f>Gasto_o_ing_total!F317*1000/Gasto_o_ing_total!F$479</f>
        <v>0.10530949866647503</v>
      </c>
      <c r="H317" s="336">
        <f>Gasto_o_ing_total!G317*1000/Gasto_o_ing_total!G$479</f>
        <v>0.1455208614777545</v>
      </c>
      <c r="I317" s="336">
        <f>Gasto_o_ing_total!H317*1000/Gasto_o_ing_total!H$479</f>
        <v>8.6487333092528065</v>
      </c>
      <c r="J317" s="336">
        <f>Gasto_o_ing_total!I317*1000/Gasto_o_ing_total!I$479</f>
        <v>5.7975644193846163</v>
      </c>
      <c r="K317" s="336">
        <f>Gasto_o_ing_total!J317*1000/Gasto_o_ing_total!J$479</f>
        <v>0.11817745407098476</v>
      </c>
      <c r="L317" s="336">
        <f>Gasto_o_ing_total!K317*1000/Gasto_o_ing_total!K$479</f>
        <v>0.15562723106012535</v>
      </c>
      <c r="M317" s="336">
        <f>Gasto_o_ing_total!L317*1000/Gasto_o_ing_total!L$479</f>
        <v>0.15687449202946263</v>
      </c>
      <c r="N317" s="336">
        <f>Gasto_o_ing_total!M317*1000/Gasto_o_ing_total!M$479</f>
        <v>0.14690023047587911</v>
      </c>
      <c r="O317" s="336">
        <f>Gasto_o_ing_total!N317*1000/Gasto_o_ing_total!N$479</f>
        <v>0.13832580617025</v>
      </c>
      <c r="P317" s="336">
        <f>Gasto_o_ing_total!O317*1000/Gasto_o_ing_total!O$479</f>
        <v>0.12218099113998107</v>
      </c>
      <c r="Q317" s="336">
        <f>Gasto_o_ing_total!P317*1000/Gasto_o_ing_total!P$479</f>
        <v>0.16045336219901613</v>
      </c>
      <c r="R317" s="336">
        <f>Gasto_o_ing_total!Q317*1000/Gasto_o_ing_total!Q$479</f>
        <v>0.16917208935012959</v>
      </c>
      <c r="S317" s="336">
        <f>Gasto_o_ing_total!R317*1000/Gasto_o_ing_total!R$479</f>
        <v>4.9930888288728577</v>
      </c>
      <c r="T317" s="336">
        <f>Gasto_o_ing_total!S317*1000/Gasto_o_ing_total!S$479</f>
        <v>4.9955308719350615</v>
      </c>
      <c r="U317" s="336">
        <f>Gasto_o_ing_total!T317*1000/Gasto_o_ing_total!T$479</f>
        <v>0.14707282695917948</v>
      </c>
      <c r="V317" s="336">
        <f>Gasto_o_ing_total!U317*1000/Gasto_o_ing_total!U$479</f>
        <v>0.19464380096794665</v>
      </c>
      <c r="W317" s="105"/>
    </row>
    <row r="318" spans="1:23" s="102" customFormat="1">
      <c r="A318" s="355"/>
      <c r="B318" s="115" t="s">
        <v>652</v>
      </c>
      <c r="C318" s="333" t="str">
        <f>VLOOKUP(B318,Tot_res!C:D,2,FALSE)</f>
        <v xml:space="preserve">Educ. secund., formac. profesional y EEOO Idiomas, neto del gasto directo del Estado en Ceuta y Melilla </v>
      </c>
      <c r="D318" s="336">
        <f>Gasto_o_ing_total!V318*1000/Gasto_o_ing_total!V$479</f>
        <v>0.75391266413381819</v>
      </c>
      <c r="E318" s="336">
        <f>Gasto_o_ing_total!D318*1000/Gasto_o_ing_total!D$479</f>
        <v>0.81609662365461855</v>
      </c>
      <c r="F318" s="336">
        <f>Gasto_o_ing_total!E318*1000/Gasto_o_ing_total!E$479</f>
        <v>0.84990586041910088</v>
      </c>
      <c r="G318" s="336">
        <f>Gasto_o_ing_total!F318*1000/Gasto_o_ing_total!F$479</f>
        <v>0.66538651855350606</v>
      </c>
      <c r="H318" s="336">
        <f>Gasto_o_ing_total!G318*1000/Gasto_o_ing_total!G$479</f>
        <v>0.56333333721926926</v>
      </c>
      <c r="I318" s="336">
        <f>Gasto_o_ing_total!H318*1000/Gasto_o_ing_total!H$479</f>
        <v>0.79336854644379495</v>
      </c>
      <c r="J318" s="336">
        <f>Gasto_o_ing_total!I318*1000/Gasto_o_ing_total!I$479</f>
        <v>0.7961344297572821</v>
      </c>
      <c r="K318" s="336">
        <f>Gasto_o_ing_total!J318*1000/Gasto_o_ing_total!J$479</f>
        <v>1.0242351976840378</v>
      </c>
      <c r="L318" s="336">
        <f>Gasto_o_ing_total!K318*1000/Gasto_o_ing_total!K$479</f>
        <v>0.95257826272160728</v>
      </c>
      <c r="M318" s="336">
        <f>Gasto_o_ing_total!L318*1000/Gasto_o_ing_total!L$479</f>
        <v>0.68611664824804774</v>
      </c>
      <c r="N318" s="336">
        <f>Gasto_o_ing_total!M318*1000/Gasto_o_ing_total!M$479</f>
        <v>0.791955765101648</v>
      </c>
      <c r="O318" s="336">
        <f>Gasto_o_ing_total!N318*1000/Gasto_o_ing_total!N$479</f>
        <v>0.96696674047021525</v>
      </c>
      <c r="P318" s="336">
        <f>Gasto_o_ing_total!O318*1000/Gasto_o_ing_total!O$479</f>
        <v>0.7484331424571754</v>
      </c>
      <c r="Q318" s="336">
        <f>Gasto_o_ing_total!P318*1000/Gasto_o_ing_total!P$479</f>
        <v>0.55873736132341634</v>
      </c>
      <c r="R318" s="336">
        <f>Gasto_o_ing_total!Q318*1000/Gasto_o_ing_total!Q$479</f>
        <v>0.71809508643408193</v>
      </c>
      <c r="S318" s="336">
        <f>Gasto_o_ing_total!R318*1000/Gasto_o_ing_total!R$479</f>
        <v>0.74314085217581827</v>
      </c>
      <c r="T318" s="336">
        <f>Gasto_o_ing_total!S318*1000/Gasto_o_ing_total!S$479</f>
        <v>0.69602721956844782</v>
      </c>
      <c r="U318" s="336">
        <f>Gasto_o_ing_total!T318*1000/Gasto_o_ing_total!T$479</f>
        <v>0.9047447070458069</v>
      </c>
      <c r="V318" s="336">
        <f>Gasto_o_ing_total!U318*1000/Gasto_o_ing_total!U$479</f>
        <v>0.47397775820970733</v>
      </c>
      <c r="W318" s="105"/>
    </row>
    <row r="319" spans="1:23" s="102" customFormat="1">
      <c r="A319" s="355"/>
      <c r="B319" s="115" t="s">
        <v>653</v>
      </c>
      <c r="C319" s="333" t="str">
        <f>VLOOKUP(B319,Tot_res!C:D,2,FALSE)</f>
        <v>Enseñanzas universitarias, neto del gasto directo del Estado en Ceuta y Melilla</v>
      </c>
      <c r="D319" s="336">
        <f>Gasto_o_ing_total!V319*1000/Gasto_o_ing_total!V$479</f>
        <v>5.0402095355109919</v>
      </c>
      <c r="E319" s="336">
        <f>Gasto_o_ing_total!D319*1000/Gasto_o_ing_total!D$479</f>
        <v>4.302008264783697</v>
      </c>
      <c r="F319" s="336">
        <f>Gasto_o_ing_total!E319*1000/Gasto_o_ing_total!E$479</f>
        <v>6.547485787237223</v>
      </c>
      <c r="G319" s="336">
        <f>Gasto_o_ing_total!F319*1000/Gasto_o_ing_total!F$479</f>
        <v>5.2083802597103146</v>
      </c>
      <c r="H319" s="336">
        <f>Gasto_o_ing_total!G319*1000/Gasto_o_ing_total!G$479</f>
        <v>4.8809815778257164</v>
      </c>
      <c r="I319" s="336">
        <f>Gasto_o_ing_total!H319*1000/Gasto_o_ing_total!H$479</f>
        <v>5.154538055910435</v>
      </c>
      <c r="J319" s="336">
        <f>Gasto_o_ing_total!I319*1000/Gasto_o_ing_total!I$479</f>
        <v>6.2279161579351259</v>
      </c>
      <c r="K319" s="336">
        <f>Gasto_o_ing_total!J319*1000/Gasto_o_ing_total!J$479</f>
        <v>5.1951948216997419</v>
      </c>
      <c r="L319" s="336">
        <f>Gasto_o_ing_total!K319*1000/Gasto_o_ing_total!K$479</f>
        <v>6.4456146706252353</v>
      </c>
      <c r="M319" s="336">
        <f>Gasto_o_ing_total!L319*1000/Gasto_o_ing_total!L$479</f>
        <v>2.7213467778392468</v>
      </c>
      <c r="N319" s="336">
        <f>Gasto_o_ing_total!M319*1000/Gasto_o_ing_total!M$479</f>
        <v>4.2119826870369925</v>
      </c>
      <c r="O319" s="336">
        <f>Gasto_o_ing_total!N319*1000/Gasto_o_ing_total!N$479</f>
        <v>4.9314381002749954</v>
      </c>
      <c r="P319" s="336">
        <f>Gasto_o_ing_total!O319*1000/Gasto_o_ing_total!O$479</f>
        <v>5.7012888322723718</v>
      </c>
      <c r="Q319" s="336">
        <f>Gasto_o_ing_total!P319*1000/Gasto_o_ing_total!P$479</f>
        <v>8.1521383826936855</v>
      </c>
      <c r="R319" s="336">
        <f>Gasto_o_ing_total!Q319*1000/Gasto_o_ing_total!Q$479</f>
        <v>4.9343654186000663</v>
      </c>
      <c r="S319" s="336">
        <f>Gasto_o_ing_total!R319*1000/Gasto_o_ing_total!R$479</f>
        <v>7.6082026446102695</v>
      </c>
      <c r="T319" s="336">
        <f>Gasto_o_ing_total!S319*1000/Gasto_o_ing_total!S$479</f>
        <v>3.9537751591772445</v>
      </c>
      <c r="U319" s="336">
        <f>Gasto_o_ing_total!T319*1000/Gasto_o_ing_total!T$479</f>
        <v>5.3755878076224501</v>
      </c>
      <c r="V319" s="336">
        <f>Gasto_o_ing_total!U319*1000/Gasto_o_ing_total!U$479</f>
        <v>8.1363846872929244</v>
      </c>
      <c r="W319" s="105"/>
    </row>
    <row r="320" spans="1:23" s="102" customFormat="1">
      <c r="A320" s="355"/>
      <c r="B320" s="115" t="s">
        <v>654</v>
      </c>
      <c r="C320" s="333" t="str">
        <f>VLOOKUP(B320,Tot_res!C:D,2,FALSE)</f>
        <v xml:space="preserve">Enseñanzas artísticas, neto del gasto directo del Estado en Ceuta y Melilla </v>
      </c>
      <c r="D320" s="336">
        <f>Gasto_o_ing_total!V320*1000/Gasto_o_ing_total!V$479</f>
        <v>2.2664265445853448E-6</v>
      </c>
      <c r="E320" s="336">
        <f>Gasto_o_ing_total!D320*1000/Gasto_o_ing_total!D$479</f>
        <v>1.8494984505997494E-6</v>
      </c>
      <c r="F320" s="336">
        <f>Gasto_o_ing_total!E320*1000/Gasto_o_ing_total!E$479</f>
        <v>2.6490093036168072E-6</v>
      </c>
      <c r="G320" s="336">
        <f>Gasto_o_ing_total!F320*1000/Gasto_o_ing_total!F$479</f>
        <v>7.8055246543496702E-7</v>
      </c>
      <c r="H320" s="336">
        <f>Gasto_o_ing_total!G320*1000/Gasto_o_ing_total!G$479</f>
        <v>5.4983488485455855E-7</v>
      </c>
      <c r="I320" s="336">
        <f>Gasto_o_ing_total!H320*1000/Gasto_o_ing_total!H$479</f>
        <v>3.1787152011431301E-6</v>
      </c>
      <c r="J320" s="336">
        <f>Gasto_o_ing_total!I320*1000/Gasto_o_ing_total!I$479</f>
        <v>9.239077857169771E-7</v>
      </c>
      <c r="K320" s="336">
        <f>Gasto_o_ing_total!J320*1000/Gasto_o_ing_total!J$479</f>
        <v>2.4154857637274646E-6</v>
      </c>
      <c r="L320" s="336">
        <f>Gasto_o_ing_total!K320*1000/Gasto_o_ing_total!K$479</f>
        <v>2.343017514824543E-6</v>
      </c>
      <c r="M320" s="336">
        <f>Gasto_o_ing_total!L320*1000/Gasto_o_ing_total!L$479</f>
        <v>2.8171603389126308E-6</v>
      </c>
      <c r="N320" s="336">
        <f>Gasto_o_ing_total!M320*1000/Gasto_o_ing_total!M$479</f>
        <v>1.2954796134246411E-6</v>
      </c>
      <c r="O320" s="336">
        <f>Gasto_o_ing_total!N320*1000/Gasto_o_ing_total!N$479</f>
        <v>6.1368326266717323E-7</v>
      </c>
      <c r="P320" s="336">
        <f>Gasto_o_ing_total!O320*1000/Gasto_o_ing_total!O$479</f>
        <v>2.4383396232314643E-6</v>
      </c>
      <c r="Q320" s="336">
        <f>Gasto_o_ing_total!P320*1000/Gasto_o_ing_total!P$479</f>
        <v>2.3283615028442779E-6</v>
      </c>
      <c r="R320" s="336">
        <f>Gasto_o_ing_total!Q320*1000/Gasto_o_ing_total!Q$479</f>
        <v>9.3734579059716721E-7</v>
      </c>
      <c r="S320" s="336">
        <f>Gasto_o_ing_total!R320*1000/Gasto_o_ing_total!R$479</f>
        <v>6.3868972171193996E-6</v>
      </c>
      <c r="T320" s="336">
        <f>Gasto_o_ing_total!S320*1000/Gasto_o_ing_total!S$479</f>
        <v>4.9058986618763259E-6</v>
      </c>
      <c r="U320" s="336">
        <f>Gasto_o_ing_total!T320*1000/Gasto_o_ing_total!T$479</f>
        <v>2.964934160929091E-6</v>
      </c>
      <c r="V320" s="336">
        <f>Gasto_o_ing_total!U320*1000/Gasto_o_ing_total!U$479</f>
        <v>1.218579155957331E-6</v>
      </c>
      <c r="W320" s="105"/>
    </row>
    <row r="321" spans="1:23" s="102" customFormat="1">
      <c r="A321" s="355"/>
      <c r="B321" s="115" t="s">
        <v>655</v>
      </c>
      <c r="C321" s="333" t="str">
        <f>VLOOKUP(B321,Tot_res!C:D,2,FALSE)</f>
        <v>Educación compensatoria,neto del gasto directo del Estado en Ceuta y Melilla  +AF12/2</v>
      </c>
      <c r="D321" s="336">
        <f>Gasto_o_ing_total!V321*1000/Gasto_o_ing_total!V$479</f>
        <v>1.9126786029713603E-2</v>
      </c>
      <c r="E321" s="336">
        <f>Gasto_o_ing_total!D321*1000/Gasto_o_ing_total!D$479</f>
        <v>2.0673322765782255E-2</v>
      </c>
      <c r="F321" s="336">
        <f>Gasto_o_ing_total!E321*1000/Gasto_o_ing_total!E$479</f>
        <v>1.7748876594356425E-2</v>
      </c>
      <c r="G321" s="336">
        <f>Gasto_o_ing_total!F321*1000/Gasto_o_ing_total!F$479</f>
        <v>1.4593801845806692E-2</v>
      </c>
      <c r="H321" s="336">
        <f>Gasto_o_ing_total!G321*1000/Gasto_o_ing_total!G$479</f>
        <v>1.4701460646614527E-2</v>
      </c>
      <c r="I321" s="336">
        <f>Gasto_o_ing_total!H321*1000/Gasto_o_ing_total!H$479</f>
        <v>2.0195820892627288E-2</v>
      </c>
      <c r="J321" s="336">
        <f>Gasto_o_ing_total!I321*1000/Gasto_o_ing_total!I$479</f>
        <v>1.4600489155255986E-2</v>
      </c>
      <c r="K321" s="336">
        <f>Gasto_o_ing_total!J321*1000/Gasto_o_ing_total!J$479</f>
        <v>1.2913360005043584E-2</v>
      </c>
      <c r="L321" s="336">
        <f>Gasto_o_ing_total!K321*1000/Gasto_o_ing_total!K$479</f>
        <v>1.660992194160741E-2</v>
      </c>
      <c r="M321" s="336">
        <f>Gasto_o_ing_total!L321*1000/Gasto_o_ing_total!L$479</f>
        <v>2.5061785163386228E-2</v>
      </c>
      <c r="N321" s="336">
        <f>Gasto_o_ing_total!M321*1000/Gasto_o_ing_total!M$479</f>
        <v>1.5964777426241143E-2</v>
      </c>
      <c r="O321" s="336">
        <f>Gasto_o_ing_total!N321*1000/Gasto_o_ing_total!N$479</f>
        <v>1.6177016985754963E-2</v>
      </c>
      <c r="P321" s="336">
        <f>Gasto_o_ing_total!O321*1000/Gasto_o_ing_total!O$479</f>
        <v>1.3009752818938647E-2</v>
      </c>
      <c r="Q321" s="336">
        <f>Gasto_o_ing_total!P321*1000/Gasto_o_ing_total!P$479</f>
        <v>1.9762035704949655E-2</v>
      </c>
      <c r="R321" s="336">
        <f>Gasto_o_ing_total!Q321*1000/Gasto_o_ing_total!Q$479</f>
        <v>2.6704545918846505E-2</v>
      </c>
      <c r="S321" s="336">
        <f>Gasto_o_ing_total!R321*1000/Gasto_o_ing_total!R$479</f>
        <v>2.2188582929996817E-2</v>
      </c>
      <c r="T321" s="336">
        <f>Gasto_o_ing_total!S321*1000/Gasto_o_ing_total!S$479</f>
        <v>1.4757914694553556E-2</v>
      </c>
      <c r="U321" s="336">
        <f>Gasto_o_ing_total!T321*1000/Gasto_o_ing_total!T$479</f>
        <v>2.4664265318301588E-2</v>
      </c>
      <c r="V321" s="336">
        <f>Gasto_o_ing_total!U321*1000/Gasto_o_ing_total!U$479</f>
        <v>2.9587647371002328E-2</v>
      </c>
      <c r="W321" s="105"/>
    </row>
    <row r="322" spans="1:23" s="102" customFormat="1">
      <c r="A322" s="355"/>
      <c r="B322" s="115" t="s">
        <v>656</v>
      </c>
      <c r="C322" s="333" t="str">
        <f>VLOOKUP(B322,Tot_res!C:D,2,FALSE)</f>
        <v xml:space="preserve">Deporte en edad escolar y en la universidad, neto del gasto directo del Estado en Ceuta y Melilla  </v>
      </c>
      <c r="D322" s="336">
        <f>Gasto_o_ing_total!V322*1000/Gasto_o_ing_total!V$479</f>
        <v>2.3249067178365192E-2</v>
      </c>
      <c r="E322" s="336">
        <f>Gasto_o_ing_total!D322*1000/Gasto_o_ing_total!D$479</f>
        <v>2.53696420476658E-2</v>
      </c>
      <c r="F322" s="336">
        <f>Gasto_o_ing_total!E322*1000/Gasto_o_ing_total!E$479</f>
        <v>2.1642409821686619E-2</v>
      </c>
      <c r="G322" s="336">
        <f>Gasto_o_ing_total!F322*1000/Gasto_o_ing_total!F$479</f>
        <v>1.7719756946817603E-2</v>
      </c>
      <c r="H322" s="336">
        <f>Gasto_o_ing_total!G322*1000/Gasto_o_ing_total!G$479</f>
        <v>2.0371840418799882E-2</v>
      </c>
      <c r="I322" s="336">
        <f>Gasto_o_ing_total!H322*1000/Gasto_o_ing_total!H$479</f>
        <v>2.2033090406094091E-2</v>
      </c>
      <c r="J322" s="336">
        <f>Gasto_o_ing_total!I322*1000/Gasto_o_ing_total!I$479</f>
        <v>2.0519930278896904E-2</v>
      </c>
      <c r="K322" s="336">
        <f>Gasto_o_ing_total!J322*1000/Gasto_o_ing_total!J$479</f>
        <v>1.901393735006196E-2</v>
      </c>
      <c r="L322" s="336">
        <f>Gasto_o_ing_total!K322*1000/Gasto_o_ing_total!K$479</f>
        <v>2.5294519011366704E-2</v>
      </c>
      <c r="M322" s="336">
        <f>Gasto_o_ing_total!L322*1000/Gasto_o_ing_total!L$479</f>
        <v>2.3381562795506891E-2</v>
      </c>
      <c r="N322" s="336">
        <f>Gasto_o_ing_total!M322*1000/Gasto_o_ing_total!M$479</f>
        <v>2.2988944907490916E-2</v>
      </c>
      <c r="O322" s="336">
        <f>Gasto_o_ing_total!N322*1000/Gasto_o_ing_total!N$479</f>
        <v>2.2544924594082871E-2</v>
      </c>
      <c r="P322" s="336">
        <f>Gasto_o_ing_total!O322*1000/Gasto_o_ing_total!O$479</f>
        <v>1.9994068769935255E-2</v>
      </c>
      <c r="Q322" s="336">
        <f>Gasto_o_ing_total!P322*1000/Gasto_o_ing_total!P$479</f>
        <v>2.5010692717257831E-2</v>
      </c>
      <c r="R322" s="336">
        <f>Gasto_o_ing_total!Q322*1000/Gasto_o_ing_total!Q$479</f>
        <v>2.61572540984405E-2</v>
      </c>
      <c r="S322" s="336">
        <f>Gasto_o_ing_total!R322*1000/Gasto_o_ing_total!R$479</f>
        <v>2.2581500385373873E-2</v>
      </c>
      <c r="T322" s="336">
        <f>Gasto_o_ing_total!S322*1000/Gasto_o_ing_total!S$479</f>
        <v>2.2108320123851631E-2</v>
      </c>
      <c r="U322" s="336">
        <f>Gasto_o_ing_total!T322*1000/Gasto_o_ing_total!T$479</f>
        <v>2.4267980675469113E-2</v>
      </c>
      <c r="V322" s="336">
        <f>Gasto_o_ing_total!U322*1000/Gasto_o_ing_total!U$479</f>
        <v>2.8447073880971806E-2</v>
      </c>
      <c r="W322" s="105"/>
    </row>
    <row r="323" spans="1:23" s="102" customFormat="1">
      <c r="A323" s="355"/>
      <c r="B323" s="115" t="s">
        <v>657</v>
      </c>
      <c r="C323" s="333" t="str">
        <f>VLOOKUP(B323,Tot_res!C:D,2,FALSE)</f>
        <v xml:space="preserve">Otras enseñanzas y actividades educativas, neto del gasto directo del Estado en Ceuta y Melilla  </v>
      </c>
      <c r="D323" s="336">
        <f>Gasto_o_ing_total!V323*1000/Gasto_o_ing_total!V$479</f>
        <v>0.31399633448477138</v>
      </c>
      <c r="E323" s="336">
        <f>Gasto_o_ing_total!D323*1000/Gasto_o_ing_total!D$479</f>
        <v>0.34307174163234067</v>
      </c>
      <c r="F323" s="336">
        <f>Gasto_o_ing_total!E323*1000/Gasto_o_ing_total!E$479</f>
        <v>0.44166753226980399</v>
      </c>
      <c r="G323" s="336">
        <f>Gasto_o_ing_total!F323*1000/Gasto_o_ing_total!F$479</f>
        <v>0.4955672409704211</v>
      </c>
      <c r="H323" s="336">
        <f>Gasto_o_ing_total!G323*1000/Gasto_o_ing_total!G$479</f>
        <v>0.25406283558287346</v>
      </c>
      <c r="I323" s="336">
        <f>Gasto_o_ing_total!H323*1000/Gasto_o_ing_total!H$479</f>
        <v>0.19521688419286801</v>
      </c>
      <c r="J323" s="336">
        <f>Gasto_o_ing_total!I323*1000/Gasto_o_ing_total!I$479</f>
        <v>0.68778389014870944</v>
      </c>
      <c r="K323" s="336">
        <f>Gasto_o_ing_total!J323*1000/Gasto_o_ing_total!J$479</f>
        <v>0.38145673307594452</v>
      </c>
      <c r="L323" s="336">
        <f>Gasto_o_ing_total!K323*1000/Gasto_o_ing_total!K$479</f>
        <v>0.43716409480392238</v>
      </c>
      <c r="M323" s="336">
        <f>Gasto_o_ing_total!L323*1000/Gasto_o_ing_total!L$479</f>
        <v>0.1852097008876504</v>
      </c>
      <c r="N323" s="336">
        <f>Gasto_o_ing_total!M323*1000/Gasto_o_ing_total!M$479</f>
        <v>0.20433270110161048</v>
      </c>
      <c r="O323" s="336">
        <f>Gasto_o_ing_total!N323*1000/Gasto_o_ing_total!N$479</f>
        <v>0.30570982503382638</v>
      </c>
      <c r="P323" s="336">
        <f>Gasto_o_ing_total!O323*1000/Gasto_o_ing_total!O$479</f>
        <v>0.18647253559479618</v>
      </c>
      <c r="Q323" s="336">
        <f>Gasto_o_ing_total!P323*1000/Gasto_o_ing_total!P$479</f>
        <v>0.29514781324541289</v>
      </c>
      <c r="R323" s="336">
        <f>Gasto_o_ing_total!Q323*1000/Gasto_o_ing_total!Q$479</f>
        <v>0.23154649564556326</v>
      </c>
      <c r="S323" s="336">
        <f>Gasto_o_ing_total!R323*1000/Gasto_o_ing_total!R$479</f>
        <v>0.36068691031973188</v>
      </c>
      <c r="T323" s="336">
        <f>Gasto_o_ing_total!S323*1000/Gasto_o_ing_total!S$479</f>
        <v>0.74158128968323678</v>
      </c>
      <c r="U323" s="336">
        <f>Gasto_o_ing_total!T323*1000/Gasto_o_ing_total!T$479</f>
        <v>0.26615675053207333</v>
      </c>
      <c r="V323" s="336">
        <f>Gasto_o_ing_total!U323*1000/Gasto_o_ing_total!U$479</f>
        <v>1.7329898529991901</v>
      </c>
      <c r="W323" s="105"/>
    </row>
    <row r="324" spans="1:23" s="102" customFormat="1">
      <c r="A324" s="355"/>
      <c r="B324" s="115" t="s">
        <v>658</v>
      </c>
      <c r="C324" s="333" t="str">
        <f>VLOOKUP(B324,Tot_res!C:D,2,FALSE)</f>
        <v xml:space="preserve">Servicios complementarios de la enseñanza, neto del gasto directo del Estado en Ceuta y Melilla  </v>
      </c>
      <c r="D324" s="336">
        <f>Gasto_o_ing_total!V324*1000/Gasto_o_ing_total!V$479</f>
        <v>7.7645695487095559E-2</v>
      </c>
      <c r="E324" s="336">
        <f>Gasto_o_ing_total!D324*1000/Gasto_o_ing_total!D$479</f>
        <v>8.2044406564660208E-2</v>
      </c>
      <c r="F324" s="336">
        <f>Gasto_o_ing_total!E324*1000/Gasto_o_ing_total!E$479</f>
        <v>7.300340255568262E-2</v>
      </c>
      <c r="G324" s="336">
        <f>Gasto_o_ing_total!F324*1000/Gasto_o_ing_total!F$479</f>
        <v>6.6599357887843214E-2</v>
      </c>
      <c r="H324" s="336">
        <f>Gasto_o_ing_total!G324*1000/Gasto_o_ing_total!G$479</f>
        <v>6.4272578451335202E-2</v>
      </c>
      <c r="I324" s="336">
        <f>Gasto_o_ing_total!H324*1000/Gasto_o_ing_total!H$479</f>
        <v>7.7935944777648855E-2</v>
      </c>
      <c r="J324" s="336">
        <f>Gasto_o_ing_total!I324*1000/Gasto_o_ing_total!I$479</f>
        <v>7.0945691583313805E-2</v>
      </c>
      <c r="K324" s="336">
        <f>Gasto_o_ing_total!J324*1000/Gasto_o_ing_total!J$479</f>
        <v>6.8216894230629169E-2</v>
      </c>
      <c r="L324" s="336">
        <f>Gasto_o_ing_total!K324*1000/Gasto_o_ing_total!K$479</f>
        <v>8.6254941587170286E-2</v>
      </c>
      <c r="M324" s="336">
        <f>Gasto_o_ing_total!L324*1000/Gasto_o_ing_total!L$479</f>
        <v>7.5603579247519884E-2</v>
      </c>
      <c r="N324" s="336">
        <f>Gasto_o_ing_total!M324*1000/Gasto_o_ing_total!M$479</f>
        <v>7.7586998613052044E-2</v>
      </c>
      <c r="O324" s="336">
        <f>Gasto_o_ing_total!N324*1000/Gasto_o_ing_total!N$479</f>
        <v>7.8727339711149119E-2</v>
      </c>
      <c r="P324" s="336">
        <f>Gasto_o_ing_total!O324*1000/Gasto_o_ing_total!O$479</f>
        <v>7.1782107553747115E-2</v>
      </c>
      <c r="Q324" s="336">
        <f>Gasto_o_ing_total!P324*1000/Gasto_o_ing_total!P$479</f>
        <v>8.2783041320456191E-2</v>
      </c>
      <c r="R324" s="336">
        <f>Gasto_o_ing_total!Q324*1000/Gasto_o_ing_total!Q$479</f>
        <v>8.5308952645032465E-2</v>
      </c>
      <c r="S324" s="336">
        <f>Gasto_o_ing_total!R324*1000/Gasto_o_ing_total!R$479</f>
        <v>7.5816883382449504E-2</v>
      </c>
      <c r="T324" s="336">
        <f>Gasto_o_ing_total!S324*1000/Gasto_o_ing_total!S$479</f>
        <v>7.2312653775911298E-2</v>
      </c>
      <c r="U324" s="336">
        <f>Gasto_o_ing_total!T324*1000/Gasto_o_ing_total!T$479</f>
        <v>8.4298452624657128E-2</v>
      </c>
      <c r="V324" s="336">
        <f>Gasto_o_ing_total!U324*1000/Gasto_o_ing_total!U$479</f>
        <v>8.7068757930530843E-2</v>
      </c>
      <c r="W324" s="105"/>
    </row>
    <row r="325" spans="1:23" s="102" customFormat="1">
      <c r="A325" s="355"/>
      <c r="B325" s="115" t="s">
        <v>319</v>
      </c>
      <c r="C325" s="333" t="str">
        <f>VLOOKUP(B325,Tot_res!C:D,2,FALSE)</f>
        <v>Investigación y evaluación educativa</v>
      </c>
      <c r="D325" s="336">
        <f>Gasto_o_ing_total!V325*1000/Gasto_o_ing_total!V$479</f>
        <v>4.8207855318110997E-3</v>
      </c>
      <c r="E325" s="336">
        <f>Gasto_o_ing_total!D325*1000/Gasto_o_ing_total!D$479</f>
        <v>5.3637626125635531E-3</v>
      </c>
      <c r="F325" s="336">
        <f>Gasto_o_ing_total!E325*1000/Gasto_o_ing_total!E$479</f>
        <v>4.488364562099484E-3</v>
      </c>
      <c r="G325" s="336">
        <f>Gasto_o_ing_total!F325*1000/Gasto_o_ing_total!F$479</f>
        <v>3.6076117478651714E-3</v>
      </c>
      <c r="H325" s="336">
        <f>Gasto_o_ing_total!G325*1000/Gasto_o_ing_total!G$479</f>
        <v>4.4947681385583615E-3</v>
      </c>
      <c r="I325" s="336">
        <f>Gasto_o_ing_total!H325*1000/Gasto_o_ing_total!H$479</f>
        <v>4.716572729016255E-3</v>
      </c>
      <c r="J325" s="336">
        <f>Gasto_o_ing_total!I325*1000/Gasto_o_ing_total!I$479</f>
        <v>4.3499209187694834E-3</v>
      </c>
      <c r="K325" s="336">
        <f>Gasto_o_ing_total!J325*1000/Gasto_o_ing_total!J$479</f>
        <v>4.1034878625883561E-3</v>
      </c>
      <c r="L325" s="336">
        <f>Gasto_o_ing_total!K325*1000/Gasto_o_ing_total!K$479</f>
        <v>5.0814897053803277E-3</v>
      </c>
      <c r="M325" s="336">
        <f>Gasto_o_ing_total!L325*1000/Gasto_o_ing_total!L$479</f>
        <v>4.876275676188156E-3</v>
      </c>
      <c r="N325" s="336">
        <f>Gasto_o_ing_total!M325*1000/Gasto_o_ing_total!M$479</f>
        <v>4.7527207488138826E-3</v>
      </c>
      <c r="O325" s="336">
        <f>Gasto_o_ing_total!N325*1000/Gasto_o_ing_total!N$479</f>
        <v>4.7522062115675995E-3</v>
      </c>
      <c r="P325" s="336">
        <f>Gasto_o_ing_total!O325*1000/Gasto_o_ing_total!O$479</f>
        <v>4.1251719270029245E-3</v>
      </c>
      <c r="Q325" s="336">
        <f>Gasto_o_ing_total!P325*1000/Gasto_o_ing_total!P$479</f>
        <v>4.9097087358481502E-3</v>
      </c>
      <c r="R325" s="336">
        <f>Gasto_o_ing_total!Q325*1000/Gasto_o_ing_total!Q$479</f>
        <v>5.4340748204237087E-3</v>
      </c>
      <c r="S325" s="336">
        <f>Gasto_o_ing_total!R325*1000/Gasto_o_ing_total!R$479</f>
        <v>4.6479434523309503E-3</v>
      </c>
      <c r="T325" s="336">
        <f>Gasto_o_ing_total!S325*1000/Gasto_o_ing_total!S$479</f>
        <v>4.6379568816384701E-3</v>
      </c>
      <c r="U325" s="336">
        <f>Gasto_o_ing_total!T325*1000/Gasto_o_ing_total!T$479</f>
        <v>4.7134705738523987E-3</v>
      </c>
      <c r="V325" s="336">
        <f>Gasto_o_ing_total!U325*1000/Gasto_o_ing_total!U$479</f>
        <v>6.3925944699865598E-3</v>
      </c>
      <c r="W325" s="105"/>
    </row>
    <row r="326" spans="1:23" s="102" customFormat="1">
      <c r="A326" s="355"/>
      <c r="B326" s="115" t="s">
        <v>659</v>
      </c>
      <c r="C326" s="333" t="str">
        <f>VLOOKUP(B326,Tot_res!C:D,2,FALSE)</f>
        <v>Formación del personal de las administraciones públicas + AF12/3</v>
      </c>
      <c r="D326" s="336">
        <f>Gasto_o_ing_total!V326*1000/Gasto_o_ing_total!V$479</f>
        <v>0.72053280832826827</v>
      </c>
      <c r="E326" s="336">
        <f>Gasto_o_ing_total!D326*1000/Gasto_o_ing_total!D$479</f>
        <v>0.78307573204976311</v>
      </c>
      <c r="F326" s="336">
        <f>Gasto_o_ing_total!E326*1000/Gasto_o_ing_total!E$479</f>
        <v>0.7147202712031836</v>
      </c>
      <c r="G326" s="336">
        <f>Gasto_o_ing_total!F326*1000/Gasto_o_ing_total!F$479</f>
        <v>0.71145178623995919</v>
      </c>
      <c r="H326" s="336">
        <f>Gasto_o_ing_total!G326*1000/Gasto_o_ing_total!G$479</f>
        <v>0.62671573858885943</v>
      </c>
      <c r="I326" s="336">
        <f>Gasto_o_ing_total!H326*1000/Gasto_o_ing_total!H$479</f>
        <v>0.71887342565184187</v>
      </c>
      <c r="J326" s="336">
        <f>Gasto_o_ing_total!I326*1000/Gasto_o_ing_total!I$479</f>
        <v>0.66541350428277124</v>
      </c>
      <c r="K326" s="336">
        <f>Gasto_o_ing_total!J326*1000/Gasto_o_ing_total!J$479</f>
        <v>0.79976590659595403</v>
      </c>
      <c r="L326" s="336">
        <f>Gasto_o_ing_total!K326*1000/Gasto_o_ing_total!K$479</f>
        <v>0.7843197533549191</v>
      </c>
      <c r="M326" s="336">
        <f>Gasto_o_ing_total!L326*1000/Gasto_o_ing_total!L$479</f>
        <v>0.64104449723945245</v>
      </c>
      <c r="N326" s="336">
        <f>Gasto_o_ing_total!M326*1000/Gasto_o_ing_total!M$479</f>
        <v>0.699310948219522</v>
      </c>
      <c r="O326" s="336">
        <f>Gasto_o_ing_total!N326*1000/Gasto_o_ing_total!N$479</f>
        <v>1.2025374517388534</v>
      </c>
      <c r="P326" s="336">
        <f>Gasto_o_ing_total!O326*1000/Gasto_o_ing_total!O$479</f>
        <v>0.7640220141496219</v>
      </c>
      <c r="Q326" s="336">
        <f>Gasto_o_ing_total!P326*1000/Gasto_o_ing_total!P$479</f>
        <v>0.62749723031004423</v>
      </c>
      <c r="R326" s="336">
        <f>Gasto_o_ing_total!Q326*1000/Gasto_o_ing_total!Q$479</f>
        <v>0.72385334212130059</v>
      </c>
      <c r="S326" s="336">
        <f>Gasto_o_ing_total!R326*1000/Gasto_o_ing_total!R$479</f>
        <v>0.79090492481328778</v>
      </c>
      <c r="T326" s="336">
        <f>Gasto_o_ing_total!S326*1000/Gasto_o_ing_total!S$479</f>
        <v>0.72053280832826838</v>
      </c>
      <c r="U326" s="336">
        <f>Gasto_o_ing_total!T326*1000/Gasto_o_ing_total!T$479</f>
        <v>0.65172823694403847</v>
      </c>
      <c r="V326" s="336">
        <f>Gasto_o_ing_total!U326*1000/Gasto_o_ing_total!U$479</f>
        <v>0.29662260509707084</v>
      </c>
      <c r="W326" s="105"/>
    </row>
    <row r="327" spans="1:23" s="102" customFormat="1">
      <c r="A327" s="355"/>
      <c r="B327" s="115" t="s">
        <v>320</v>
      </c>
      <c r="C327" s="333" t="str">
        <f>VLOOKUP(B327,Tot_res!C:D,2,FALSE)</f>
        <v>Profesores de religión</v>
      </c>
      <c r="D327" s="336">
        <f>Gasto_o_ing_total!V327*1000/Gasto_o_ing_total!V$479</f>
        <v>3.2509394796378528</v>
      </c>
      <c r="E327" s="336">
        <f>Gasto_o_ing_total!D327*1000/Gasto_o_ing_total!D$479</f>
        <v>0</v>
      </c>
      <c r="F327" s="336">
        <f>Gasto_o_ing_total!E327*1000/Gasto_o_ing_total!E$479</f>
        <v>0</v>
      </c>
      <c r="G327" s="336">
        <f>Gasto_o_ing_total!F327*1000/Gasto_o_ing_total!F$479</f>
        <v>6.8164248718095042</v>
      </c>
      <c r="H327" s="336">
        <f>Gasto_o_ing_total!G327*1000/Gasto_o_ing_total!G$479</f>
        <v>3.3387450014935869</v>
      </c>
      <c r="I327" s="336">
        <f>Gasto_o_ing_total!H327*1000/Gasto_o_ing_total!H$479</f>
        <v>0</v>
      </c>
      <c r="J327" s="336">
        <f>Gasto_o_ing_total!I327*1000/Gasto_o_ing_total!I$479</f>
        <v>0</v>
      </c>
      <c r="K327" s="336">
        <f>Gasto_o_ing_total!J327*1000/Gasto_o_ing_total!J$479</f>
        <v>4.8772099807540963</v>
      </c>
      <c r="L327" s="336">
        <f>Gasto_o_ing_total!K327*1000/Gasto_o_ing_total!K$479</f>
        <v>5.4308004576526434</v>
      </c>
      <c r="M327" s="336">
        <f>Gasto_o_ing_total!L327*1000/Gasto_o_ing_total!L$479</f>
        <v>2.3588196282937526</v>
      </c>
      <c r="N327" s="336">
        <f>Gasto_o_ing_total!M327*1000/Gasto_o_ing_total!M$479</f>
        <v>5.5850980097353329</v>
      </c>
      <c r="O327" s="336">
        <f>Gasto_o_ing_total!N327*1000/Gasto_o_ing_total!N$479</f>
        <v>6.4032004426614124</v>
      </c>
      <c r="P327" s="336">
        <f>Gasto_o_ing_total!O327*1000/Gasto_o_ing_total!O$479</f>
        <v>5.4004979666527655</v>
      </c>
      <c r="Q327" s="336">
        <f>Gasto_o_ing_total!P327*1000/Gasto_o_ing_total!P$479</f>
        <v>5.2043078779900052</v>
      </c>
      <c r="R327" s="336">
        <f>Gasto_o_ing_total!Q327*1000/Gasto_o_ing_total!Q$479</f>
        <v>10.211075540006176</v>
      </c>
      <c r="S327" s="336">
        <f>Gasto_o_ing_total!R327*1000/Gasto_o_ing_total!R$479</f>
        <v>0</v>
      </c>
      <c r="T327" s="336">
        <f>Gasto_o_ing_total!S327*1000/Gasto_o_ing_total!S$479</f>
        <v>0</v>
      </c>
      <c r="U327" s="336">
        <f>Gasto_o_ing_total!T327*1000/Gasto_o_ing_total!T$479</f>
        <v>4.4187599024196089</v>
      </c>
      <c r="V327" s="336">
        <f>Gasto_o_ing_total!U327*1000/Gasto_o_ing_total!U$479</f>
        <v>0</v>
      </c>
      <c r="W327" s="105"/>
    </row>
    <row r="328" spans="1:23">
      <c r="A328" s="356"/>
      <c r="D328" s="19"/>
      <c r="E328" s="19"/>
      <c r="F328" s="19"/>
      <c r="G328" s="19"/>
      <c r="H328" s="19"/>
      <c r="I328" s="19"/>
      <c r="J328" s="19"/>
      <c r="K328" s="19"/>
      <c r="L328" s="19"/>
      <c r="M328" s="19"/>
      <c r="N328" s="19"/>
      <c r="O328" s="19"/>
      <c r="P328" s="19"/>
      <c r="Q328" s="19"/>
      <c r="R328" s="19"/>
      <c r="S328" s="19"/>
      <c r="T328" s="19"/>
      <c r="U328" s="19"/>
      <c r="V328" s="19"/>
      <c r="W328" s="2"/>
    </row>
    <row r="329" spans="1:23" s="102" customFormat="1">
      <c r="A329" s="356"/>
      <c r="B329" s="115"/>
      <c r="C329" s="117" t="s">
        <v>76</v>
      </c>
      <c r="D329" s="113">
        <f>Gasto_o_ing_total!V329*1000/Gasto_o_ing_total!V$479</f>
        <v>274.82860721385805</v>
      </c>
      <c r="E329" s="113">
        <f>Gasto_o_ing_total!D329*1000/Gasto_o_ing_total!D$479</f>
        <v>249.16977154019588</v>
      </c>
      <c r="F329" s="113">
        <f>Gasto_o_ing_total!E329*1000/Gasto_o_ing_total!E$479</f>
        <v>279.80857385655622</v>
      </c>
      <c r="G329" s="113">
        <f>Gasto_o_ing_total!F329*1000/Gasto_o_ing_total!F$479</f>
        <v>263.98372546852306</v>
      </c>
      <c r="H329" s="113">
        <f>Gasto_o_ing_total!G329*1000/Gasto_o_ing_total!G$479</f>
        <v>273.87370919083389</v>
      </c>
      <c r="I329" s="113">
        <f>Gasto_o_ing_total!H329*1000/Gasto_o_ing_total!H$479</f>
        <v>257.23453703847309</v>
      </c>
      <c r="J329" s="113">
        <f>Gasto_o_ing_total!I329*1000/Gasto_o_ing_total!I$479</f>
        <v>247.76217336828341</v>
      </c>
      <c r="K329" s="113">
        <f>Gasto_o_ing_total!J329*1000/Gasto_o_ing_total!J$479</f>
        <v>308.55526283843415</v>
      </c>
      <c r="L329" s="113">
        <f>Gasto_o_ing_total!K329*1000/Gasto_o_ing_total!K$479</f>
        <v>257.10665992623922</v>
      </c>
      <c r="M329" s="113">
        <f>Gasto_o_ing_total!L329*1000/Gasto_o_ing_total!L$479</f>
        <v>322.16359822406793</v>
      </c>
      <c r="N329" s="113">
        <f>Gasto_o_ing_total!M329*1000/Gasto_o_ing_total!M$479</f>
        <v>221.98431628494694</v>
      </c>
      <c r="O329" s="113">
        <f>Gasto_o_ing_total!N329*1000/Gasto_o_ing_total!N$479</f>
        <v>258.13890517171239</v>
      </c>
      <c r="P329" s="113">
        <f>Gasto_o_ing_total!O329*1000/Gasto_o_ing_total!O$479</f>
        <v>239.36663896654932</v>
      </c>
      <c r="Q329" s="113">
        <f>Gasto_o_ing_total!P329*1000/Gasto_o_ing_total!P$479</f>
        <v>262.68903507864161</v>
      </c>
      <c r="R329" s="113">
        <f>Gasto_o_ing_total!Q329*1000/Gasto_o_ing_total!Q$479</f>
        <v>221.84211316233993</v>
      </c>
      <c r="S329" s="113">
        <f>Gasto_o_ing_total!R329*1000/Gasto_o_ing_total!R$479</f>
        <v>345.9222640993134</v>
      </c>
      <c r="T329" s="113">
        <f>Gasto_o_ing_total!S329*1000/Gasto_o_ing_total!S$479</f>
        <v>398.56103920417615</v>
      </c>
      <c r="U329" s="113">
        <f>Gasto_o_ing_total!T329*1000/Gasto_o_ing_total!T$479</f>
        <v>372.38689135971191</v>
      </c>
      <c r="V329" s="113">
        <f>Gasto_o_ing_total!U329*1000/Gasto_o_ing_total!U$479</f>
        <v>647.89835848399343</v>
      </c>
      <c r="W329" s="105"/>
    </row>
    <row r="330" spans="1:23" s="102" customFormat="1">
      <c r="A330" s="355"/>
      <c r="B330" s="115" t="s">
        <v>322</v>
      </c>
      <c r="C330" s="333" t="str">
        <f>VLOOKUP(B330,Tot_res!C:D,2,FALSE)</f>
        <v>Dirección y servicios generales de justicia</v>
      </c>
      <c r="D330" s="336">
        <f>Gasto_o_ing_total!V330*1000/Gasto_o_ing_total!V$479</f>
        <v>1.2212917581263456</v>
      </c>
      <c r="E330" s="336">
        <f>Gasto_o_ing_total!D330*1000/Gasto_o_ing_total!D$479</f>
        <v>1.0511542066211192</v>
      </c>
      <c r="F330" s="336">
        <f>Gasto_o_ing_total!E330*1000/Gasto_o_ing_total!E$479</f>
        <v>1.0747837630033317</v>
      </c>
      <c r="G330" s="336">
        <f>Gasto_o_ing_total!F330*1000/Gasto_o_ing_total!F$479</f>
        <v>1.1177550825338978</v>
      </c>
      <c r="H330" s="336">
        <f>Gasto_o_ing_total!G330*1000/Gasto_o_ing_total!G$479</f>
        <v>1.8786033453357229</v>
      </c>
      <c r="I330" s="336">
        <f>Gasto_o_ing_total!H330*1000/Gasto_o_ing_total!H$479</f>
        <v>1.1045021192524933</v>
      </c>
      <c r="J330" s="336">
        <f>Gasto_o_ing_total!I330*1000/Gasto_o_ing_total!I$479</f>
        <v>1.0974958326809356</v>
      </c>
      <c r="K330" s="336">
        <f>Gasto_o_ing_total!J330*1000/Gasto_o_ing_total!J$479</f>
        <v>1.8931212738328826</v>
      </c>
      <c r="L330" s="336">
        <f>Gasto_o_ing_total!K330*1000/Gasto_o_ing_total!K$479</f>
        <v>1.9392862161560462</v>
      </c>
      <c r="M330" s="336">
        <f>Gasto_o_ing_total!L330*1000/Gasto_o_ing_total!L$479</f>
        <v>1.0827385049575682</v>
      </c>
      <c r="N330" s="336">
        <f>Gasto_o_ing_total!M330*1000/Gasto_o_ing_total!M$479</f>
        <v>1.0490697411950214</v>
      </c>
      <c r="O330" s="336">
        <f>Gasto_o_ing_total!N330*1000/Gasto_o_ing_total!N$479</f>
        <v>1.7442201086872275</v>
      </c>
      <c r="P330" s="336">
        <f>Gasto_o_ing_total!O330*1000/Gasto_o_ing_total!O$479</f>
        <v>1.0905183677792947</v>
      </c>
      <c r="Q330" s="336">
        <f>Gasto_o_ing_total!P330*1000/Gasto_o_ing_total!P$479</f>
        <v>1.1187848908750626</v>
      </c>
      <c r="R330" s="336">
        <f>Gasto_o_ing_total!Q330*1000/Gasto_o_ing_total!Q$479</f>
        <v>1.6892472167591908</v>
      </c>
      <c r="S330" s="336">
        <f>Gasto_o_ing_total!R330*1000/Gasto_o_ing_total!R$479</f>
        <v>1.0510041089563484</v>
      </c>
      <c r="T330" s="336">
        <f>Gasto_o_ing_total!S330*1000/Gasto_o_ing_total!S$479</f>
        <v>1.0936854528031303</v>
      </c>
      <c r="U330" s="336">
        <f>Gasto_o_ing_total!T330*1000/Gasto_o_ing_total!T$479</f>
        <v>1.8652585068829257</v>
      </c>
      <c r="V330" s="336">
        <f>Gasto_o_ing_total!U330*1000/Gasto_o_ing_total!U$479</f>
        <v>1.2455444193540299</v>
      </c>
      <c r="W330" s="105"/>
    </row>
    <row r="331" spans="1:23" s="102" customFormat="1">
      <c r="A331" s="355"/>
      <c r="B331" s="115" t="s">
        <v>323</v>
      </c>
      <c r="C331" s="333" t="str">
        <f>VLOOKUP(B331,Tot_res!C:D,2,FALSE)</f>
        <v>Formación del personal de la administración de justicia</v>
      </c>
      <c r="D331" s="336">
        <f>Gasto_o_ing_total!V331*1000/Gasto_o_ing_total!V$479</f>
        <v>0.13859691903155497</v>
      </c>
      <c r="E331" s="336">
        <f>Gasto_o_ing_total!D331*1000/Gasto_o_ing_total!D$479</f>
        <v>0.12289923058765471</v>
      </c>
      <c r="F331" s="336">
        <f>Gasto_o_ing_total!E331*1000/Gasto_o_ing_total!E$479</f>
        <v>0.1345990089307281</v>
      </c>
      <c r="G331" s="336">
        <f>Gasto_o_ing_total!F331*1000/Gasto_o_ing_total!F$479</f>
        <v>0.1540237497576791</v>
      </c>
      <c r="H331" s="336">
        <f>Gasto_o_ing_total!G331*1000/Gasto_o_ing_total!G$479</f>
        <v>0.1433236330792394</v>
      </c>
      <c r="I331" s="336">
        <f>Gasto_o_ing_total!H331*1000/Gasto_o_ing_total!H$479</f>
        <v>0.14010360636611174</v>
      </c>
      <c r="J331" s="336">
        <f>Gasto_o_ing_total!I331*1000/Gasto_o_ing_total!I$479</f>
        <v>0.14700639442958233</v>
      </c>
      <c r="K331" s="336">
        <f>Gasto_o_ing_total!J331*1000/Gasto_o_ing_total!J$479</f>
        <v>0.14366259233131232</v>
      </c>
      <c r="L331" s="336">
        <f>Gasto_o_ing_total!K331*1000/Gasto_o_ing_total!K$479</f>
        <v>0.25130741833457726</v>
      </c>
      <c r="M331" s="336">
        <f>Gasto_o_ing_total!L331*1000/Gasto_o_ing_total!L$479</f>
        <v>0.13438154472368741</v>
      </c>
      <c r="N331" s="336">
        <f>Gasto_o_ing_total!M331*1000/Gasto_o_ing_total!M$479</f>
        <v>0.12446146060143132</v>
      </c>
      <c r="O331" s="336">
        <f>Gasto_o_ing_total!N331*1000/Gasto_o_ing_total!N$479</f>
        <v>0.12383874533935808</v>
      </c>
      <c r="P331" s="336">
        <f>Gasto_o_ing_total!O331*1000/Gasto_o_ing_total!O$479</f>
        <v>0.13972930774603204</v>
      </c>
      <c r="Q331" s="336">
        <f>Gasto_o_ing_total!P331*1000/Gasto_o_ing_total!P$479</f>
        <v>0.13719783612240505</v>
      </c>
      <c r="R331" s="336">
        <f>Gasto_o_ing_total!Q331*1000/Gasto_o_ing_total!Q$479</f>
        <v>0.12461254660993372</v>
      </c>
      <c r="S331" s="336">
        <f>Gasto_o_ing_total!R331*1000/Gasto_o_ing_total!R$479</f>
        <v>0.12784233009467222</v>
      </c>
      <c r="T331" s="336">
        <f>Gasto_o_ing_total!S331*1000/Gasto_o_ing_total!S$479</f>
        <v>0.13990973155251993</v>
      </c>
      <c r="U331" s="336">
        <f>Gasto_o_ing_total!T331*1000/Gasto_o_ing_total!T$479</f>
        <v>0.14167407224822073</v>
      </c>
      <c r="V331" s="336">
        <f>Gasto_o_ing_total!U331*1000/Gasto_o_ing_total!U$479</f>
        <v>0.18936968272448892</v>
      </c>
      <c r="W331" s="105"/>
    </row>
    <row r="332" spans="1:23" s="102" customFormat="1">
      <c r="A332" s="355"/>
      <c r="B332" s="115" t="s">
        <v>324</v>
      </c>
      <c r="C332" s="333" t="str">
        <f>VLOOKUP(B332,Tot_res!C:D,2,FALSE)</f>
        <v>Formación de la carrera fiscal</v>
      </c>
      <c r="D332" s="336">
        <f>Gasto_o_ing_total!V332*1000/Gasto_o_ing_total!V$479</f>
        <v>6.0181959909233897E-2</v>
      </c>
      <c r="E332" s="336">
        <f>Gasto_o_ing_total!D332*1000/Gasto_o_ing_total!D$479</f>
        <v>6.0073602085722495E-2</v>
      </c>
      <c r="F332" s="336">
        <f>Gasto_o_ing_total!E332*1000/Gasto_o_ing_total!E$479</f>
        <v>5.8404331646234965E-2</v>
      </c>
      <c r="G332" s="336">
        <f>Gasto_o_ing_total!F332*1000/Gasto_o_ing_total!F$479</f>
        <v>5.813531216429265E-2</v>
      </c>
      <c r="H332" s="336">
        <f>Gasto_o_ing_total!G332*1000/Gasto_o_ing_total!G$479</f>
        <v>6.4469878032708344E-2</v>
      </c>
      <c r="I332" s="336">
        <f>Gasto_o_ing_total!H332*1000/Gasto_o_ing_total!H$479</f>
        <v>6.6136090175088244E-2</v>
      </c>
      <c r="J332" s="336">
        <f>Gasto_o_ing_total!I332*1000/Gasto_o_ing_total!I$479</f>
        <v>5.8750843179485715E-2</v>
      </c>
      <c r="K332" s="336">
        <f>Gasto_o_ing_total!J332*1000/Gasto_o_ing_total!J$479</f>
        <v>6.1918322405152056E-2</v>
      </c>
      <c r="L332" s="336">
        <f>Gasto_o_ing_total!K332*1000/Gasto_o_ing_total!K$479</f>
        <v>5.0640437401901224E-2</v>
      </c>
      <c r="M332" s="336">
        <f>Gasto_o_ing_total!L332*1000/Gasto_o_ing_total!L$479</f>
        <v>6.3202499392009073E-2</v>
      </c>
      <c r="N332" s="336">
        <f>Gasto_o_ing_total!M332*1000/Gasto_o_ing_total!M$479</f>
        <v>5.9389277357482194E-2</v>
      </c>
      <c r="O332" s="336">
        <f>Gasto_o_ing_total!N332*1000/Gasto_o_ing_total!N$479</f>
        <v>5.979839384643737E-2</v>
      </c>
      <c r="P332" s="336">
        <f>Gasto_o_ing_total!O332*1000/Gasto_o_ing_total!O$479</f>
        <v>6.2782773430057032E-2</v>
      </c>
      <c r="Q332" s="336">
        <f>Gasto_o_ing_total!P332*1000/Gasto_o_ing_total!P$479</f>
        <v>6.0710787730582708E-2</v>
      </c>
      <c r="R332" s="336">
        <f>Gasto_o_ing_total!Q332*1000/Gasto_o_ing_total!Q$479</f>
        <v>5.1650126530329549E-2</v>
      </c>
      <c r="S332" s="336">
        <f>Gasto_o_ing_total!R332*1000/Gasto_o_ing_total!R$479</f>
        <v>4.8846245887208095E-2</v>
      </c>
      <c r="T332" s="336">
        <f>Gasto_o_ing_total!S332*1000/Gasto_o_ing_total!S$479</f>
        <v>5.8364266357285373E-2</v>
      </c>
      <c r="U332" s="336">
        <f>Gasto_o_ing_total!T332*1000/Gasto_o_ing_total!T$479</f>
        <v>5.4279524096655395E-2</v>
      </c>
      <c r="V332" s="336">
        <f>Gasto_o_ing_total!U332*1000/Gasto_o_ing_total!U$479</f>
        <v>6.8154246036979088E-2</v>
      </c>
      <c r="W332" s="105"/>
    </row>
    <row r="333" spans="1:23" s="102" customFormat="1">
      <c r="A333" s="355"/>
      <c r="B333" s="115" t="s">
        <v>326</v>
      </c>
      <c r="C333" s="333" t="str">
        <f>VLOOKUP(B333,Tot_res!C:D,2,FALSE)</f>
        <v>Tribunales de justicia y ministerio fiscal</v>
      </c>
      <c r="D333" s="336">
        <f>Gasto_o_ing_total!V333*1000/Gasto_o_ing_total!V$479</f>
        <v>29.743015491060572</v>
      </c>
      <c r="E333" s="336">
        <f>Gasto_o_ing_total!D333*1000/Gasto_o_ing_total!D$479</f>
        <v>21.110865630350169</v>
      </c>
      <c r="F333" s="336">
        <f>Gasto_o_ing_total!E333*1000/Gasto_o_ing_total!E$479</f>
        <v>22.301906607764984</v>
      </c>
      <c r="G333" s="336">
        <f>Gasto_o_ing_total!F333*1000/Gasto_o_ing_total!F$479</f>
        <v>24.466948750308809</v>
      </c>
      <c r="H333" s="336">
        <f>Gasto_o_ing_total!G333*1000/Gasto_o_ing_total!G$479</f>
        <v>63.144624046079713</v>
      </c>
      <c r="I333" s="336">
        <f>Gasto_o_ing_total!H333*1000/Gasto_o_ing_total!H$479</f>
        <v>23.799230573122365</v>
      </c>
      <c r="J333" s="336">
        <f>Gasto_o_ing_total!I333*1000/Gasto_o_ing_total!I$479</f>
        <v>23.443589079367786</v>
      </c>
      <c r="K333" s="336">
        <f>Gasto_o_ing_total!J333*1000/Gasto_o_ing_total!J$479</f>
        <v>63.884771357004297</v>
      </c>
      <c r="L333" s="336">
        <f>Gasto_o_ing_total!K333*1000/Gasto_o_ing_total!K$479</f>
        <v>66.134931576685958</v>
      </c>
      <c r="M333" s="336">
        <f>Gasto_o_ing_total!L333*1000/Gasto_o_ing_total!L$479</f>
        <v>22.701659086777724</v>
      </c>
      <c r="N333" s="336">
        <f>Gasto_o_ing_total!M333*1000/Gasto_o_ing_total!M$479</f>
        <v>21.004036011671353</v>
      </c>
      <c r="O333" s="336">
        <f>Gasto_o_ing_total!N333*1000/Gasto_o_ing_total!N$479</f>
        <v>56.338187789326497</v>
      </c>
      <c r="P333" s="336">
        <f>Gasto_o_ing_total!O333*1000/Gasto_o_ing_total!O$479</f>
        <v>23.092175265584995</v>
      </c>
      <c r="Q333" s="336">
        <f>Gasto_o_ing_total!P333*1000/Gasto_o_ing_total!P$479</f>
        <v>24.533543524171044</v>
      </c>
      <c r="R333" s="336">
        <f>Gasto_o_ing_total!Q333*1000/Gasto_o_ing_total!Q$479</f>
        <v>53.551334048449036</v>
      </c>
      <c r="S333" s="336">
        <f>Gasto_o_ing_total!R333*1000/Gasto_o_ing_total!R$479</f>
        <v>21.109520542577762</v>
      </c>
      <c r="T333" s="336">
        <f>Gasto_o_ing_total!S333*1000/Gasto_o_ing_total!S$479</f>
        <v>23.257393752045445</v>
      </c>
      <c r="U333" s="336">
        <f>Gasto_o_ing_total!T333*1000/Gasto_o_ing_total!T$479</f>
        <v>62.478156476669838</v>
      </c>
      <c r="V333" s="336">
        <f>Gasto_o_ing_total!U333*1000/Gasto_o_ing_total!U$479</f>
        <v>30.91701384837328</v>
      </c>
    </row>
    <row r="334" spans="1:23" s="102" customFormat="1">
      <c r="A334" s="355"/>
      <c r="B334" s="115" t="s">
        <v>327</v>
      </c>
      <c r="C334" s="333" t="str">
        <f>VLOOKUP(B334,Tot_res!C:D,2,FALSE)</f>
        <v>Dirección y serv. grales. seguridad y protecc. civil</v>
      </c>
      <c r="D334" s="336">
        <f>Gasto_o_ing_total!V334*1000/Gasto_o_ing_total!V$479</f>
        <v>1.3333656078493794</v>
      </c>
      <c r="E334" s="336">
        <f>Gasto_o_ing_total!D334*1000/Gasto_o_ing_total!D$479</f>
        <v>1.3949234733715885</v>
      </c>
      <c r="F334" s="336">
        <f>Gasto_o_ing_total!E334*1000/Gasto_o_ing_total!E$479</f>
        <v>1.4026550067558945</v>
      </c>
      <c r="G334" s="336">
        <f>Gasto_o_ing_total!F334*1000/Gasto_o_ing_total!F$479</f>
        <v>1.446638774498709</v>
      </c>
      <c r="H334" s="336">
        <f>Gasto_o_ing_total!G334*1000/Gasto_o_ing_total!G$479</f>
        <v>1.3750934860058324</v>
      </c>
      <c r="I334" s="336">
        <f>Gasto_o_ing_total!H334*1000/Gasto_o_ing_total!H$479</f>
        <v>1.3746233571777533</v>
      </c>
      <c r="J334" s="336">
        <f>Gasto_o_ing_total!I334*1000/Gasto_o_ing_total!I$479</f>
        <v>1.3041610504708878</v>
      </c>
      <c r="K334" s="336">
        <f>Gasto_o_ing_total!J334*1000/Gasto_o_ing_total!J$479</f>
        <v>1.454423401230301</v>
      </c>
      <c r="L334" s="336">
        <f>Gasto_o_ing_total!K334*1000/Gasto_o_ing_total!K$479</f>
        <v>1.3094214194104932</v>
      </c>
      <c r="M334" s="336">
        <f>Gasto_o_ing_total!L334*1000/Gasto_o_ing_total!L$479</f>
        <v>1.0905663248932915</v>
      </c>
      <c r="N334" s="336">
        <f>Gasto_o_ing_total!M334*1000/Gasto_o_ing_total!M$479</f>
        <v>1.2843104212903065</v>
      </c>
      <c r="O334" s="336">
        <f>Gasto_o_ing_total!N334*1000/Gasto_o_ing_total!N$479</f>
        <v>1.3678925000019333</v>
      </c>
      <c r="P334" s="336">
        <f>Gasto_o_ing_total!O334*1000/Gasto_o_ing_total!O$479</f>
        <v>1.3298016243362134</v>
      </c>
      <c r="Q334" s="336">
        <f>Gasto_o_ing_total!P334*1000/Gasto_o_ing_total!P$479</f>
        <v>1.4657726462605092</v>
      </c>
      <c r="R334" s="336">
        <f>Gasto_o_ing_total!Q334*1000/Gasto_o_ing_total!Q$479</f>
        <v>1.2619037095531163</v>
      </c>
      <c r="S334" s="336">
        <f>Gasto_o_ing_total!R334*1000/Gasto_o_ing_total!R$479</f>
        <v>1.5145897142344211</v>
      </c>
      <c r="T334" s="336">
        <f>Gasto_o_ing_total!S334*1000/Gasto_o_ing_total!S$479</f>
        <v>1.2574652803905437</v>
      </c>
      <c r="U334" s="336">
        <f>Gasto_o_ing_total!T334*1000/Gasto_o_ing_total!T$479</f>
        <v>1.5122482274388616</v>
      </c>
      <c r="V334" s="336">
        <f>Gasto_o_ing_total!U334*1000/Gasto_o_ing_total!U$479</f>
        <v>2.4520539875480907</v>
      </c>
      <c r="W334" s="114"/>
    </row>
    <row r="335" spans="1:23" s="102" customFormat="1">
      <c r="A335" s="355"/>
      <c r="B335" s="115" t="s">
        <v>328</v>
      </c>
      <c r="C335" s="333" t="str">
        <f>VLOOKUP(B335,Tot_res!C:D,2,FALSE)</f>
        <v>Formac. fuerzas y cuerpos de segur. del estado</v>
      </c>
      <c r="D335" s="336">
        <f>Gasto_o_ing_total!V335*1000/Gasto_o_ing_total!V$479</f>
        <v>1.5333179984086236</v>
      </c>
      <c r="E335" s="336">
        <f>Gasto_o_ing_total!D335*1000/Gasto_o_ing_total!D$479</f>
        <v>1.6045219745608981</v>
      </c>
      <c r="F335" s="336">
        <f>Gasto_o_ing_total!E335*1000/Gasto_o_ing_total!E$479</f>
        <v>1.9106472412533604</v>
      </c>
      <c r="G335" s="336">
        <f>Gasto_o_ing_total!F335*1000/Gasto_o_ing_total!F$479</f>
        <v>1.6748031590572001</v>
      </c>
      <c r="H335" s="336">
        <f>Gasto_o_ing_total!G335*1000/Gasto_o_ing_total!G$479</f>
        <v>1.742775073682171</v>
      </c>
      <c r="I335" s="336">
        <f>Gasto_o_ing_total!H335*1000/Gasto_o_ing_total!H$479</f>
        <v>1.744392971015136</v>
      </c>
      <c r="J335" s="336">
        <f>Gasto_o_ing_total!I335*1000/Gasto_o_ing_total!I$479</f>
        <v>1.5413057400073784</v>
      </c>
      <c r="K335" s="336">
        <f>Gasto_o_ing_total!J335*1000/Gasto_o_ing_total!J$479</f>
        <v>1.9179854551911231</v>
      </c>
      <c r="L335" s="336">
        <f>Gasto_o_ing_total!K335*1000/Gasto_o_ing_total!K$479</f>
        <v>1.614126804046937</v>
      </c>
      <c r="M335" s="336">
        <f>Gasto_o_ing_total!L335*1000/Gasto_o_ing_total!L$479</f>
        <v>0.89409697025901314</v>
      </c>
      <c r="N335" s="336">
        <f>Gasto_o_ing_total!M335*1000/Gasto_o_ing_total!M$479</f>
        <v>1.46422847244647</v>
      </c>
      <c r="O335" s="336">
        <f>Gasto_o_ing_total!N335*1000/Gasto_o_ing_total!N$479</f>
        <v>1.7375472434832266</v>
      </c>
      <c r="P335" s="336">
        <f>Gasto_o_ing_total!O335*1000/Gasto_o_ing_total!O$479</f>
        <v>1.5866277124123267</v>
      </c>
      <c r="Q335" s="336">
        <f>Gasto_o_ing_total!P335*1000/Gasto_o_ing_total!P$479</f>
        <v>1.7478138194339106</v>
      </c>
      <c r="R335" s="336">
        <f>Gasto_o_ing_total!Q335*1000/Gasto_o_ing_total!Q$479</f>
        <v>1.342368003611806</v>
      </c>
      <c r="S335" s="336">
        <f>Gasto_o_ing_total!R335*1000/Gasto_o_ing_total!R$479</f>
        <v>1.9031615078879371</v>
      </c>
      <c r="T335" s="336">
        <f>Gasto_o_ing_total!S335*1000/Gasto_o_ing_total!S$479</f>
        <v>1.3046580249542929</v>
      </c>
      <c r="U335" s="336">
        <f>Gasto_o_ing_total!T335*1000/Gasto_o_ing_total!T$479</f>
        <v>2.3715097303142678</v>
      </c>
      <c r="V335" s="336">
        <f>Gasto_o_ing_total!U335*1000/Gasto_o_ing_total!U$479</f>
        <v>5.1546936739541414</v>
      </c>
      <c r="W335" s="105"/>
    </row>
    <row r="336" spans="1:23" s="102" customFormat="1">
      <c r="A336" s="355"/>
      <c r="B336" s="115" t="s">
        <v>329</v>
      </c>
      <c r="C336" s="333" t="str">
        <f>VLOOKUP(B336,Tot_res!C:D,2,FALSE)</f>
        <v>Fuerzas y cuerpos en reserva</v>
      </c>
      <c r="D336" s="336">
        <f>Gasto_o_ing_total!V336*1000/Gasto_o_ing_total!V$479</f>
        <v>12.635500064301681</v>
      </c>
      <c r="E336" s="336">
        <f>Gasto_o_ing_total!D336*1000/Gasto_o_ing_total!D$479</f>
        <v>18.152010860992725</v>
      </c>
      <c r="F336" s="336">
        <f>Gasto_o_ing_total!E336*1000/Gasto_o_ing_total!E$479</f>
        <v>12.979455351228177</v>
      </c>
      <c r="G336" s="336">
        <f>Gasto_o_ing_total!F336*1000/Gasto_o_ing_total!F$479</f>
        <v>15.131120254699114</v>
      </c>
      <c r="H336" s="336">
        <f>Gasto_o_ing_total!G336*1000/Gasto_o_ing_total!G$479</f>
        <v>10.577343462668757</v>
      </c>
      <c r="I336" s="336">
        <f>Gasto_o_ing_total!H336*1000/Gasto_o_ing_total!H$479</f>
        <v>12.824065228770831</v>
      </c>
      <c r="J336" s="336">
        <f>Gasto_o_ing_total!I336*1000/Gasto_o_ing_total!I$479</f>
        <v>13.191329024400956</v>
      </c>
      <c r="K336" s="336">
        <f>Gasto_o_ing_total!J336*1000/Gasto_o_ing_total!J$479</f>
        <v>14.146946400626465</v>
      </c>
      <c r="L336" s="336">
        <f>Gasto_o_ing_total!K336*1000/Gasto_o_ing_total!K$479</f>
        <v>9.8134636869619474</v>
      </c>
      <c r="M336" s="336">
        <f>Gasto_o_ing_total!L336*1000/Gasto_o_ing_total!L$479</f>
        <v>6.7442558837773339</v>
      </c>
      <c r="N336" s="336">
        <f>Gasto_o_ing_total!M336*1000/Gasto_o_ing_total!M$479</f>
        <v>11.640202362752792</v>
      </c>
      <c r="O336" s="336">
        <f>Gasto_o_ing_total!N336*1000/Gasto_o_ing_total!N$479</f>
        <v>11.963101002917105</v>
      </c>
      <c r="P336" s="336">
        <f>Gasto_o_ing_total!O336*1000/Gasto_o_ing_total!O$479</f>
        <v>14.329896643869439</v>
      </c>
      <c r="Q336" s="336">
        <f>Gasto_o_ing_total!P336*1000/Gasto_o_ing_total!P$479</f>
        <v>12.090841551448843</v>
      </c>
      <c r="R336" s="336">
        <f>Gasto_o_ing_total!Q336*1000/Gasto_o_ing_total!Q$479</f>
        <v>11.069867336334195</v>
      </c>
      <c r="S336" s="336">
        <f>Gasto_o_ing_total!R336*1000/Gasto_o_ing_total!R$479</f>
        <v>11.936535005033829</v>
      </c>
      <c r="T336" s="336">
        <f>Gasto_o_ing_total!S336*1000/Gasto_o_ing_total!S$479</f>
        <v>9.4587144449317169</v>
      </c>
      <c r="U336" s="336">
        <f>Gasto_o_ing_total!T336*1000/Gasto_o_ing_total!T$479</f>
        <v>20.407967510528987</v>
      </c>
      <c r="V336" s="336">
        <f>Gasto_o_ing_total!U336*1000/Gasto_o_ing_total!U$479</f>
        <v>73.901156697250627</v>
      </c>
      <c r="W336" s="105"/>
    </row>
    <row r="337" spans="1:23" s="102" customFormat="1">
      <c r="A337" s="355"/>
      <c r="B337" s="115" t="s">
        <v>330</v>
      </c>
      <c r="C337" s="333" t="str">
        <f>VLOOKUP(B337,Tot_res!C:D,2,FALSE)</f>
        <v>Seguridad ciudadana</v>
      </c>
      <c r="D337" s="336">
        <f>Gasto_o_ing_total!V337*1000/Gasto_o_ing_total!V$479</f>
        <v>112.88153520121868</v>
      </c>
      <c r="E337" s="336">
        <f>Gasto_o_ing_total!D337*1000/Gasto_o_ing_total!D$479</f>
        <v>118.09771377431464</v>
      </c>
      <c r="F337" s="336">
        <f>Gasto_o_ing_total!E337*1000/Gasto_o_ing_total!E$479</f>
        <v>134.69710276713579</v>
      </c>
      <c r="G337" s="336">
        <f>Gasto_o_ing_total!F337*1000/Gasto_o_ing_total!F$479</f>
        <v>120.62429759177736</v>
      </c>
      <c r="H337" s="336">
        <f>Gasto_o_ing_total!G337*1000/Gasto_o_ing_total!G$479</f>
        <v>129.34706384256734</v>
      </c>
      <c r="I337" s="336">
        <f>Gasto_o_ing_total!H337*1000/Gasto_o_ing_total!H$479</f>
        <v>128.63408002735858</v>
      </c>
      <c r="J337" s="336">
        <f>Gasto_o_ing_total!I337*1000/Gasto_o_ing_total!I$479</f>
        <v>110.56275199335487</v>
      </c>
      <c r="K337" s="336">
        <f>Gasto_o_ing_total!J337*1000/Gasto_o_ing_total!J$479</f>
        <v>132.64523209900585</v>
      </c>
      <c r="L337" s="336">
        <f>Gasto_o_ing_total!K337*1000/Gasto_o_ing_total!K$479</f>
        <v>113.83152071940002</v>
      </c>
      <c r="M337" s="336">
        <f>Gasto_o_ing_total!L337*1000/Gasto_o_ing_total!L$479</f>
        <v>69.044560613420799</v>
      </c>
      <c r="N337" s="336">
        <f>Gasto_o_ing_total!M337*1000/Gasto_o_ing_total!M$479</f>
        <v>108.06713138634912</v>
      </c>
      <c r="O337" s="336">
        <f>Gasto_o_ing_total!N337*1000/Gasto_o_ing_total!N$479</f>
        <v>123.1993668258785</v>
      </c>
      <c r="P337" s="336">
        <f>Gasto_o_ing_total!O337*1000/Gasto_o_ing_total!O$479</f>
        <v>112.87397610224235</v>
      </c>
      <c r="Q337" s="336">
        <f>Gasto_o_ing_total!P337*1000/Gasto_o_ing_total!P$479</f>
        <v>131.42133374412666</v>
      </c>
      <c r="R337" s="336">
        <f>Gasto_o_ing_total!Q337*1000/Gasto_o_ing_total!Q$479</f>
        <v>98.410876551635567</v>
      </c>
      <c r="S337" s="336">
        <f>Gasto_o_ing_total!R337*1000/Gasto_o_ing_total!R$479</f>
        <v>138.52031394458956</v>
      </c>
      <c r="T337" s="336">
        <f>Gasto_o_ing_total!S337*1000/Gasto_o_ing_total!S$479</f>
        <v>101.1713362127513</v>
      </c>
      <c r="U337" s="336">
        <f>Gasto_o_ing_total!T337*1000/Gasto_o_ing_total!T$479</f>
        <v>172.9669678203627</v>
      </c>
      <c r="V337" s="336">
        <f>Gasto_o_ing_total!U337*1000/Gasto_o_ing_total!U$479</f>
        <v>418.30297739887652</v>
      </c>
      <c r="W337" s="105"/>
    </row>
    <row r="338" spans="1:23" s="102" customFormat="1">
      <c r="A338" s="355"/>
      <c r="B338" s="115" t="s">
        <v>332</v>
      </c>
      <c r="C338" s="333" t="str">
        <f>VLOOKUP(B338,Tot_res!C:D,2,FALSE)</f>
        <v>Seguridad vial</v>
      </c>
      <c r="D338" s="336">
        <f>Gasto_o_ing_total!V338*1000/Gasto_o_ing_total!V$479</f>
        <v>14.351905253658092</v>
      </c>
      <c r="E338" s="336">
        <f>Gasto_o_ing_total!D338*1000/Gasto_o_ing_total!D$479</f>
        <v>14.265736967028182</v>
      </c>
      <c r="F338" s="336">
        <f>Gasto_o_ing_total!E338*1000/Gasto_o_ing_total!E$479</f>
        <v>25.802163381715182</v>
      </c>
      <c r="G338" s="336">
        <f>Gasto_o_ing_total!F338*1000/Gasto_o_ing_total!F$479</f>
        <v>18.108882139983891</v>
      </c>
      <c r="H338" s="336">
        <f>Gasto_o_ing_total!G338*1000/Gasto_o_ing_total!G$479</f>
        <v>15.178706067752065</v>
      </c>
      <c r="I338" s="336">
        <f>Gasto_o_ing_total!H338*1000/Gasto_o_ing_total!H$479</f>
        <v>13.869836555545701</v>
      </c>
      <c r="J338" s="336">
        <f>Gasto_o_ing_total!I338*1000/Gasto_o_ing_total!I$479</f>
        <v>18.709404306957293</v>
      </c>
      <c r="K338" s="336">
        <f>Gasto_o_ing_total!J338*1000/Gasto_o_ing_total!J$479</f>
        <v>30.055066463116187</v>
      </c>
      <c r="L338" s="336">
        <f>Gasto_o_ing_total!K338*1000/Gasto_o_ing_total!K$479</f>
        <v>21.522326882270992</v>
      </c>
      <c r="M338" s="336">
        <f>Gasto_o_ing_total!L338*1000/Gasto_o_ing_total!L$479</f>
        <v>5.9232123832328512</v>
      </c>
      <c r="N338" s="336">
        <f>Gasto_o_ing_total!M338*1000/Gasto_o_ing_total!M$479</f>
        <v>13.014826622549728</v>
      </c>
      <c r="O338" s="336">
        <f>Gasto_o_ing_total!N338*1000/Gasto_o_ing_total!N$479</f>
        <v>20.77368777889891</v>
      </c>
      <c r="P338" s="336">
        <f>Gasto_o_ing_total!O338*1000/Gasto_o_ing_total!O$479</f>
        <v>20.66009594054924</v>
      </c>
      <c r="Q338" s="336">
        <f>Gasto_o_ing_total!P338*1000/Gasto_o_ing_total!P$479</f>
        <v>12.29335766304934</v>
      </c>
      <c r="R338" s="336">
        <f>Gasto_o_ing_total!Q338*1000/Gasto_o_ing_total!Q$479</f>
        <v>12.350014525551092</v>
      </c>
      <c r="S338" s="336">
        <f>Gasto_o_ing_total!R338*1000/Gasto_o_ing_total!R$479</f>
        <v>17.590653314330822</v>
      </c>
      <c r="T338" s="336">
        <f>Gasto_o_ing_total!S338*1000/Gasto_o_ing_total!S$479</f>
        <v>6.2605332090099557</v>
      </c>
      <c r="U338" s="336">
        <f>Gasto_o_ing_total!T338*1000/Gasto_o_ing_total!T$479</f>
        <v>24.066562325560128</v>
      </c>
      <c r="V338" s="336">
        <f>Gasto_o_ing_total!U338*1000/Gasto_o_ing_total!U$479</f>
        <v>9.6753760601339422</v>
      </c>
      <c r="W338" s="105"/>
    </row>
    <row r="339" spans="1:23" s="102" customFormat="1">
      <c r="A339" s="355"/>
      <c r="B339" s="115" t="s">
        <v>333</v>
      </c>
      <c r="C339" s="333" t="str">
        <f>VLOOKUP(B339,Tot_res!C:D,2,FALSE)</f>
        <v>Actuaciones policiales en materia de droga</v>
      </c>
      <c r="D339" s="336">
        <f>Gasto_o_ing_total!V339*1000/Gasto_o_ing_total!V$479</f>
        <v>1.7828779917480007</v>
      </c>
      <c r="E339" s="336">
        <f>Gasto_o_ing_total!D339*1000/Gasto_o_ing_total!D$479</f>
        <v>1.9083566996534551</v>
      </c>
      <c r="F339" s="336">
        <f>Gasto_o_ing_total!E339*1000/Gasto_o_ing_total!E$479</f>
        <v>2.0253313845811416</v>
      </c>
      <c r="G339" s="336">
        <f>Gasto_o_ing_total!F339*1000/Gasto_o_ing_total!F$479</f>
        <v>1.9019703218223205</v>
      </c>
      <c r="H339" s="336">
        <f>Gasto_o_ing_total!G339*1000/Gasto_o_ing_total!G$479</f>
        <v>1.9586730627973965</v>
      </c>
      <c r="I339" s="336">
        <f>Gasto_o_ing_total!H339*1000/Gasto_o_ing_total!H$479</f>
        <v>2.0118175194796852</v>
      </c>
      <c r="J339" s="336">
        <f>Gasto_o_ing_total!I339*1000/Gasto_o_ing_total!I$479</f>
        <v>1.7630526680281531</v>
      </c>
      <c r="K339" s="336">
        <f>Gasto_o_ing_total!J339*1000/Gasto_o_ing_total!J$479</f>
        <v>2.0321505684415055</v>
      </c>
      <c r="L339" s="336">
        <f>Gasto_o_ing_total!K339*1000/Gasto_o_ing_total!K$479</f>
        <v>1.8392500614248084</v>
      </c>
      <c r="M339" s="336">
        <f>Gasto_o_ing_total!L339*1000/Gasto_o_ing_total!L$479</f>
        <v>1.2073844491639456</v>
      </c>
      <c r="N339" s="336">
        <f>Gasto_o_ing_total!M339*1000/Gasto_o_ing_total!M$479</f>
        <v>1.7586434746345676</v>
      </c>
      <c r="O339" s="336">
        <f>Gasto_o_ing_total!N339*1000/Gasto_o_ing_total!N$479</f>
        <v>1.9875408073984688</v>
      </c>
      <c r="P339" s="336">
        <f>Gasto_o_ing_total!O339*1000/Gasto_o_ing_total!O$479</f>
        <v>1.8111757912653552</v>
      </c>
      <c r="Q339" s="336">
        <f>Gasto_o_ing_total!P339*1000/Gasto_o_ing_total!P$479</f>
        <v>1.9255968307272822</v>
      </c>
      <c r="R339" s="336">
        <f>Gasto_o_ing_total!Q339*1000/Gasto_o_ing_total!Q$479</f>
        <v>1.6562876016045733</v>
      </c>
      <c r="S339" s="336">
        <f>Gasto_o_ing_total!R339*1000/Gasto_o_ing_total!R$479</f>
        <v>2.0390034505756649</v>
      </c>
      <c r="T339" s="336">
        <f>Gasto_o_ing_total!S339*1000/Gasto_o_ing_total!S$479</f>
        <v>1.5631553292035167</v>
      </c>
      <c r="U339" s="336">
        <f>Gasto_o_ing_total!T339*1000/Gasto_o_ing_total!T$479</f>
        <v>2.4814780216906969</v>
      </c>
      <c r="V339" s="336">
        <f>Gasto_o_ing_total!U339*1000/Gasto_o_ing_total!U$479</f>
        <v>5.3049331226686336</v>
      </c>
      <c r="W339" s="105"/>
    </row>
    <row r="340" spans="1:23" s="102" customFormat="1">
      <c r="A340" s="355"/>
      <c r="B340" s="115" t="s">
        <v>335</v>
      </c>
      <c r="C340" s="333" t="str">
        <f>VLOOKUP(B340,Tot_res!C:D,2,FALSE)</f>
        <v>Centros e instituciones penitenciarias</v>
      </c>
      <c r="D340" s="336">
        <f>Gasto_o_ing_total!V340*1000/Gasto_o_ing_total!V$479</f>
        <v>23.293027281547779</v>
      </c>
      <c r="E340" s="336">
        <f>Gasto_o_ing_total!D340*1000/Gasto_o_ing_total!D$479</f>
        <v>28.646904026327501</v>
      </c>
      <c r="F340" s="336">
        <f>Gasto_o_ing_total!E340*1000/Gasto_o_ing_total!E$479</f>
        <v>28.782915454545336</v>
      </c>
      <c r="G340" s="336">
        <f>Gasto_o_ing_total!F340*1000/Gasto_o_ing_total!F$479</f>
        <v>21.349972899304895</v>
      </c>
      <c r="H340" s="336">
        <f>Gasto_o_ing_total!G340*1000/Gasto_o_ing_total!G$479</f>
        <v>28.450642645231628</v>
      </c>
      <c r="I340" s="336">
        <f>Gasto_o_ing_total!H340*1000/Gasto_o_ing_total!H$479</f>
        <v>29.096748306781695</v>
      </c>
      <c r="J340" s="336">
        <f>Gasto_o_ing_total!I340*1000/Gasto_o_ing_total!I$479</f>
        <v>24.195743266627328</v>
      </c>
      <c r="K340" s="336">
        <f>Gasto_o_ing_total!J340*1000/Gasto_o_ing_total!J$479</f>
        <v>40.726484347822101</v>
      </c>
      <c r="L340" s="336">
        <f>Gasto_o_ing_total!K340*1000/Gasto_o_ing_total!K$479</f>
        <v>20.548553793522455</v>
      </c>
      <c r="M340" s="336">
        <f>Gasto_o_ing_total!L340*1000/Gasto_o_ing_total!L$479</f>
        <v>6.503964277003254</v>
      </c>
      <c r="N340" s="336">
        <f>Gasto_o_ing_total!M340*1000/Gasto_o_ing_total!M$479</f>
        <v>24.374469394881061</v>
      </c>
      <c r="O340" s="336">
        <f>Gasto_o_ing_total!N340*1000/Gasto_o_ing_total!N$479</f>
        <v>21.390809815279884</v>
      </c>
      <c r="P340" s="336">
        <f>Gasto_o_ing_total!O340*1000/Gasto_o_ing_total!O$479</f>
        <v>25.880809104864216</v>
      </c>
      <c r="Q340" s="336">
        <f>Gasto_o_ing_total!P340*1000/Gasto_o_ing_total!P$479</f>
        <v>26.424939728100554</v>
      </c>
      <c r="R340" s="336">
        <f>Gasto_o_ing_total!Q340*1000/Gasto_o_ing_total!Q$479</f>
        <v>21.131567933139298</v>
      </c>
      <c r="S340" s="336">
        <f>Gasto_o_ing_total!R340*1000/Gasto_o_ing_total!R$479</f>
        <v>17.761918147933937</v>
      </c>
      <c r="T340" s="336">
        <f>Gasto_o_ing_total!S340*1000/Gasto_o_ing_total!S$479</f>
        <v>16.591839867518509</v>
      </c>
      <c r="U340" s="336">
        <f>Gasto_o_ing_total!T340*1000/Gasto_o_ing_total!T$479</f>
        <v>24.594898114232052</v>
      </c>
      <c r="V340" s="336">
        <f>Gasto_o_ing_total!U340*1000/Gasto_o_ing_total!U$479</f>
        <v>81.975444863963546</v>
      </c>
      <c r="W340" s="114"/>
    </row>
    <row r="341" spans="1:23" s="102" customFormat="1">
      <c r="A341" s="355"/>
      <c r="B341" s="115" t="s">
        <v>336</v>
      </c>
      <c r="C341" s="333" t="str">
        <f>VLOOKUP(B341,Tot_res!C:D,2,FALSE)</f>
        <v>Trabajo, formación y asistencia a reclusos</v>
      </c>
      <c r="D341" s="336">
        <f>Gasto_o_ing_total!V341*1000/Gasto_o_ing_total!V$479</f>
        <v>0.49103890726590244</v>
      </c>
      <c r="E341" s="336">
        <f>Gasto_o_ing_total!D341*1000/Gasto_o_ing_total!D$479</f>
        <v>0.52546716052087583</v>
      </c>
      <c r="F341" s="336">
        <f>Gasto_o_ing_total!E341*1000/Gasto_o_ing_total!E$479</f>
        <v>0.67725373687576129</v>
      </c>
      <c r="G341" s="336">
        <f>Gasto_o_ing_total!F341*1000/Gasto_o_ing_total!F$479</f>
        <v>0.36866014478673864</v>
      </c>
      <c r="H341" s="336">
        <f>Gasto_o_ing_total!G341*1000/Gasto_o_ing_total!G$479</f>
        <v>0.44140414565498087</v>
      </c>
      <c r="I341" s="336">
        <f>Gasto_o_ing_total!H341*1000/Gasto_o_ing_total!H$479</f>
        <v>0.42114549511042265</v>
      </c>
      <c r="J341" s="336">
        <f>Gasto_o_ing_total!I341*1000/Gasto_o_ing_total!I$479</f>
        <v>0.64113048415776575</v>
      </c>
      <c r="K341" s="336">
        <f>Gasto_o_ing_total!J341*1000/Gasto_o_ing_total!J$479</f>
        <v>1.0408592549294866</v>
      </c>
      <c r="L341" s="336">
        <f>Gasto_o_ing_total!K341*1000/Gasto_o_ing_total!K$479</f>
        <v>0.69179594230620167</v>
      </c>
      <c r="M341" s="336">
        <f>Gasto_o_ing_total!L341*1000/Gasto_o_ing_total!L$479</f>
        <v>0.13347589440383603</v>
      </c>
      <c r="N341" s="336">
        <f>Gasto_o_ing_total!M341*1000/Gasto_o_ing_total!M$479</f>
        <v>0.47348674303688848</v>
      </c>
      <c r="O341" s="336">
        <f>Gasto_o_ing_total!N341*1000/Gasto_o_ing_total!N$479</f>
        <v>0.61457191371286823</v>
      </c>
      <c r="P341" s="336">
        <f>Gasto_o_ing_total!O341*1000/Gasto_o_ing_total!O$479</f>
        <v>0.6699838934072897</v>
      </c>
      <c r="Q341" s="336">
        <f>Gasto_o_ing_total!P341*1000/Gasto_o_ing_total!P$479</f>
        <v>0.51962015202754874</v>
      </c>
      <c r="R341" s="336">
        <f>Gasto_o_ing_total!Q341*1000/Gasto_o_ing_total!Q$479</f>
        <v>0.46017730197522649</v>
      </c>
      <c r="S341" s="336">
        <f>Gasto_o_ing_total!R341*1000/Gasto_o_ing_total!R$479</f>
        <v>0.35995788281949176</v>
      </c>
      <c r="T341" s="336">
        <f>Gasto_o_ing_total!S341*1000/Gasto_o_ing_total!S$479</f>
        <v>0.39615255855238285</v>
      </c>
      <c r="U341" s="336">
        <f>Gasto_o_ing_total!T341*1000/Gasto_o_ing_total!T$479</f>
        <v>0.58359278743416243</v>
      </c>
      <c r="V341" s="336">
        <f>Gasto_o_ing_total!U341*1000/Gasto_o_ing_total!U$479</f>
        <v>1.5824464773443283</v>
      </c>
      <c r="W341" s="105"/>
    </row>
    <row r="342" spans="1:23" s="102" customFormat="1">
      <c r="A342" s="355"/>
      <c r="B342" s="115" t="s">
        <v>337</v>
      </c>
      <c r="C342" s="333" t="str">
        <f>VLOOKUP(B342,Tot_res!C:D,2,FALSE)</f>
        <v>Protección civil</v>
      </c>
      <c r="D342" s="336">
        <f>Gasto_o_ing_total!V342*1000/Gasto_o_ing_total!V$479</f>
        <v>0.44273444160263731</v>
      </c>
      <c r="E342" s="336">
        <f>Gasto_o_ing_total!D342*1000/Gasto_o_ing_total!D$479</f>
        <v>0.66036568958289465</v>
      </c>
      <c r="F342" s="336">
        <f>Gasto_o_ing_total!E342*1000/Gasto_o_ing_total!E$479</f>
        <v>0.4285509070724044</v>
      </c>
      <c r="G342" s="336">
        <f>Gasto_o_ing_total!F342*1000/Gasto_o_ing_total!F$479</f>
        <v>0.2509488101868631</v>
      </c>
      <c r="H342" s="336">
        <f>Gasto_o_ing_total!G342*1000/Gasto_o_ing_total!G$479</f>
        <v>0.2509488101868631</v>
      </c>
      <c r="I342" s="336">
        <f>Gasto_o_ing_total!H342*1000/Gasto_o_ing_total!H$479</f>
        <v>0.35850808693734504</v>
      </c>
      <c r="J342" s="336">
        <f>Gasto_o_ing_total!I342*1000/Gasto_o_ing_total!I$479</f>
        <v>0.25156378091222359</v>
      </c>
      <c r="K342" s="336">
        <f>Gasto_o_ing_total!J342*1000/Gasto_o_ing_total!J$479</f>
        <v>0.31904800724190069</v>
      </c>
      <c r="L342" s="336">
        <f>Gasto_o_ing_total!K342*1000/Gasto_o_ing_total!K$479</f>
        <v>0.67311022767830786</v>
      </c>
      <c r="M342" s="336">
        <f>Gasto_o_ing_total!L342*1000/Gasto_o_ing_total!L$479</f>
        <v>0.28909974453753345</v>
      </c>
      <c r="N342" s="336">
        <f>Gasto_o_ing_total!M342*1000/Gasto_o_ing_total!M$479</f>
        <v>0.30990651001645519</v>
      </c>
      <c r="O342" s="336">
        <f>Gasto_o_ing_total!N342*1000/Gasto_o_ing_total!N$479</f>
        <v>0.95093775572959349</v>
      </c>
      <c r="P342" s="336">
        <f>Gasto_o_ing_total!O342*1000/Gasto_o_ing_total!O$479</f>
        <v>0.25549150430895823</v>
      </c>
      <c r="Q342" s="336">
        <f>Gasto_o_ing_total!P342*1000/Gasto_o_ing_total!P$479</f>
        <v>0.32707412000297814</v>
      </c>
      <c r="R342" s="336">
        <f>Gasto_o_ing_total!Q342*1000/Gasto_o_ing_total!Q$479</f>
        <v>1.6368740119738101</v>
      </c>
      <c r="S342" s="336">
        <f>Gasto_o_ing_total!R342*1000/Gasto_o_ing_total!R$479</f>
        <v>0.26508791124524245</v>
      </c>
      <c r="T342" s="336">
        <f>Gasto_o_ing_total!S342*1000/Gasto_o_ing_total!S$479</f>
        <v>0.31062101535561937</v>
      </c>
      <c r="U342" s="336">
        <f>Gasto_o_ing_total!T342*1000/Gasto_o_ing_total!T$479</f>
        <v>0.2509488101868631</v>
      </c>
      <c r="V342" s="336">
        <f>Gasto_o_ing_total!U342*1000/Gasto_o_ing_total!U$479</f>
        <v>0.2509488101868631</v>
      </c>
      <c r="W342" s="105"/>
    </row>
    <row r="343" spans="1:23" s="102" customFormat="1">
      <c r="A343" s="355"/>
      <c r="B343" s="115" t="s">
        <v>839</v>
      </c>
      <c r="C343" s="333" t="str">
        <f>VLOOKUP(B343,Tot_res!C:D,2,FALSE)</f>
        <v>Otras transferencias a Comunidades Autónomas: Transferencias a PV para prejubilaciones policía autónoma</v>
      </c>
      <c r="D343" s="336">
        <f>Gasto_o_ing_total!V343*1000/Gasto_o_ing_total!V$479</f>
        <v>0.30670028869941968</v>
      </c>
      <c r="E343" s="336">
        <f>Gasto_o_ing_total!D343*1000/Gasto_o_ing_total!D$479</f>
        <v>6.708509733224742E-2</v>
      </c>
      <c r="F343" s="336">
        <f>Gasto_o_ing_total!E343*1000/Gasto_o_ing_total!E$479</f>
        <v>8.1031555321290735E-2</v>
      </c>
      <c r="G343" s="336">
        <f>Gasto_o_ing_total!F343*1000/Gasto_o_ing_total!F$479</f>
        <v>7.2323904723504473E-2</v>
      </c>
      <c r="H343" s="336">
        <f>Gasto_o_ing_total!G343*1000/Gasto_o_ing_total!G$479</f>
        <v>7.9090281224268949E-2</v>
      </c>
      <c r="I343" s="336">
        <f>Gasto_o_ing_total!H343*1000/Gasto_o_ing_total!H$479</f>
        <v>7.1415042809061177E-2</v>
      </c>
      <c r="J343" s="336">
        <f>Gasto_o_ing_total!I343*1000/Gasto_o_ing_total!I$479</f>
        <v>7.3131941612349136E-2</v>
      </c>
      <c r="K343" s="336">
        <f>Gasto_o_ing_total!J343*1000/Gasto_o_ing_total!J$479</f>
        <v>7.4642712631239047E-2</v>
      </c>
      <c r="L343" s="336">
        <f>Gasto_o_ing_total!K343*1000/Gasto_o_ing_total!K$479</f>
        <v>6.9129866517798635E-2</v>
      </c>
      <c r="M343" s="336">
        <f>Gasto_o_ing_total!L343*1000/Gasto_o_ing_total!L$479</f>
        <v>8.3368333430047167E-2</v>
      </c>
      <c r="N343" s="336">
        <f>Gasto_o_ing_total!M343*1000/Gasto_o_ing_total!M$479</f>
        <v>7.1444468602942054E-2</v>
      </c>
      <c r="O343" s="336">
        <f>Gasto_o_ing_total!N343*1000/Gasto_o_ing_total!N$479</f>
        <v>6.5038138598955991E-2</v>
      </c>
      <c r="P343" s="336">
        <f>Gasto_o_ing_total!O343*1000/Gasto_o_ing_total!O$479</f>
        <v>7.2484845868866332E-2</v>
      </c>
      <c r="Q343" s="336">
        <f>Gasto_o_ing_total!P343*1000/Gasto_o_ing_total!P$479</f>
        <v>9.0631942163939119E-2</v>
      </c>
      <c r="R343" s="336">
        <f>Gasto_o_ing_total!Q343*1000/Gasto_o_ing_total!Q$479</f>
        <v>7.0023959557510243E-2</v>
      </c>
      <c r="S343" s="336">
        <f>Gasto_o_ing_total!R343*1000/Gasto_o_ing_total!R$479</f>
        <v>8.5782104846779714E-2</v>
      </c>
      <c r="T343" s="336">
        <f>Gasto_o_ing_total!S343*1000/Gasto_o_ing_total!S$479</f>
        <v>5.0188682638806457</v>
      </c>
      <c r="U343" s="336">
        <f>Gasto_o_ing_total!T343*1000/Gasto_o_ing_total!T$479</f>
        <v>7.9632519428059337E-2</v>
      </c>
      <c r="V343" s="336">
        <f>Gasto_o_ing_total!U343*1000/Gasto_o_ing_total!U$479</f>
        <v>6.9094335134750426E-2</v>
      </c>
      <c r="W343" s="105"/>
    </row>
    <row r="344" spans="1:23" s="102" customFormat="1">
      <c r="A344" s="355"/>
      <c r="B344" s="115" t="s">
        <v>339</v>
      </c>
      <c r="C344" s="333" t="str">
        <f>VLOOKUP(B344,Tot_res!C:D,2,FALSE)</f>
        <v>Administración de Justicia + AF13</v>
      </c>
      <c r="D344" s="336">
        <f>Gasto_o_ing_total!V344*1000/Gasto_o_ing_total!V$479</f>
        <v>27.732225229339157</v>
      </c>
      <c r="E344" s="336">
        <f>Gasto_o_ing_total!D344*1000/Gasto_o_ing_total!D$479</f>
        <v>31.247264938682513</v>
      </c>
      <c r="F344" s="336">
        <f>Gasto_o_ing_total!E344*1000/Gasto_o_ing_total!E$479</f>
        <v>35.065531112936299</v>
      </c>
      <c r="G344" s="336">
        <f>Gasto_o_ing_total!F344*1000/Gasto_o_ing_total!F$479</f>
        <v>46.202027867341144</v>
      </c>
      <c r="H344" s="336">
        <f>Gasto_o_ing_total!G344*1000/Gasto_o_ing_total!G$479</f>
        <v>7.1514425423732941</v>
      </c>
      <c r="I344" s="336">
        <f>Gasto_o_ing_total!H344*1000/Gasto_o_ing_total!H$479</f>
        <v>30.801641278772596</v>
      </c>
      <c r="J344" s="336">
        <f>Gasto_o_ing_total!I344*1000/Gasto_o_ing_total!I$479</f>
        <v>39.603026143911748</v>
      </c>
      <c r="K344" s="336">
        <f>Gasto_o_ing_total!J344*1000/Gasto_o_ing_total!J$479</f>
        <v>6.7492878053566612</v>
      </c>
      <c r="L344" s="336">
        <f>Gasto_o_ing_total!K344*1000/Gasto_o_ing_total!K$479</f>
        <v>6.250809337270022</v>
      </c>
      <c r="M344" s="336">
        <f>Gasto_o_ing_total!L344*1000/Gasto_o_ing_total!L$479</f>
        <v>35.223617253326459</v>
      </c>
      <c r="N344" s="336">
        <f>Gasto_o_ing_total!M344*1000/Gasto_o_ing_total!M$479</f>
        <v>26.367921218536349</v>
      </c>
      <c r="O344" s="336">
        <f>Gasto_o_ing_total!N344*1000/Gasto_o_ing_total!N$479</f>
        <v>5.8808301608443765</v>
      </c>
      <c r="P344" s="336">
        <f>Gasto_o_ing_total!O344*1000/Gasto_o_ing_total!O$479</f>
        <v>24.431272399088314</v>
      </c>
      <c r="Q344" s="336">
        <f>Gasto_o_ing_total!P344*1000/Gasto_o_ing_total!P$479</f>
        <v>34.678087052450749</v>
      </c>
      <c r="R344" s="336">
        <f>Gasto_o_ing_total!Q344*1000/Gasto_o_ing_total!Q$479</f>
        <v>6.3316543526379974</v>
      </c>
      <c r="S344" s="336">
        <f>Gasto_o_ing_total!R344*1000/Gasto_o_ing_total!R$479</f>
        <v>33.06934607612579</v>
      </c>
      <c r="T344" s="336">
        <f>Gasto_o_ing_total!S344*1000/Gasto_o_ing_total!S$479</f>
        <v>33.23727457484032</v>
      </c>
      <c r="U344" s="336">
        <f>Gasto_o_ing_total!T344*1000/Gasto_o_ing_total!T$479</f>
        <v>46.359327127353559</v>
      </c>
      <c r="V344" s="336">
        <f>Gasto_o_ing_total!U344*1000/Gasto_o_ing_total!U$479</f>
        <v>6.2475965449978643</v>
      </c>
      <c r="W344" s="105"/>
    </row>
    <row r="345" spans="1:23" s="102" customFormat="1">
      <c r="A345" s="355"/>
      <c r="B345" s="115" t="s">
        <v>341</v>
      </c>
      <c r="C345" s="333" t="str">
        <f>VLOOKUP(B345,Tot_res!C:D,2,FALSE)</f>
        <v>Instituciones Penitenciarias transferidas, Cataluña</v>
      </c>
      <c r="D345" s="336">
        <f>Gasto_o_ing_total!V345*1000/Gasto_o_ing_total!V$479</f>
        <v>8.8474716997707024</v>
      </c>
      <c r="E345" s="336">
        <f>Gasto_o_ing_total!D345*1000/Gasto_o_ing_total!D$479</f>
        <v>1.9352231543059035</v>
      </c>
      <c r="F345" s="336">
        <f>Gasto_o_ing_total!E345*1000/Gasto_o_ing_total!E$479</f>
        <v>2.3375406509517269</v>
      </c>
      <c r="G345" s="336">
        <f>Gasto_o_ing_total!F345*1000/Gasto_o_ing_total!F$479</f>
        <v>2.0863485423231345</v>
      </c>
      <c r="H345" s="336">
        <f>Gasto_o_ing_total!G345*1000/Gasto_o_ing_total!G$479</f>
        <v>2.2815401570893599</v>
      </c>
      <c r="I345" s="336">
        <f>Gasto_o_ing_total!H345*1000/Gasto_o_ing_total!H$479</f>
        <v>2.0601303405042333</v>
      </c>
      <c r="J345" s="336">
        <f>Gasto_o_ing_total!I345*1000/Gasto_o_ing_total!I$479</f>
        <v>2.1096582155443109</v>
      </c>
      <c r="K345" s="336">
        <f>Gasto_o_ing_total!J345*1000/Gasto_o_ing_total!J$479</f>
        <v>2.1532398629276361</v>
      </c>
      <c r="L345" s="336">
        <f>Gasto_o_ing_total!K345*1000/Gasto_o_ing_total!K$479</f>
        <v>1.9942092008415742</v>
      </c>
      <c r="M345" s="336">
        <f>Gasto_o_ing_total!L345*1000/Gasto_o_ing_total!L$479</f>
        <v>43.744373941536217</v>
      </c>
      <c r="N345" s="336">
        <f>Gasto_o_ing_total!M345*1000/Gasto_o_ing_total!M$479</f>
        <v>2.0609791948685654</v>
      </c>
      <c r="O345" s="336">
        <f>Gasto_o_ing_total!N345*1000/Gasto_o_ing_total!N$479</f>
        <v>1.8761739452549682</v>
      </c>
      <c r="P345" s="336">
        <f>Gasto_o_ing_total!O345*1000/Gasto_o_ing_total!O$479</f>
        <v>2.0909912579689394</v>
      </c>
      <c r="Q345" s="336">
        <f>Gasto_o_ing_total!P345*1000/Gasto_o_ing_total!P$479</f>
        <v>2.614485779557155</v>
      </c>
      <c r="R345" s="336">
        <f>Gasto_o_ing_total!Q345*1000/Gasto_o_ing_total!Q$479</f>
        <v>2.0200013606708169</v>
      </c>
      <c r="S345" s="336">
        <f>Gasto_o_ing_total!R345*1000/Gasto_o_ing_total!R$479</f>
        <v>2.4745811234708595</v>
      </c>
      <c r="T345" s="336">
        <f>Gasto_o_ing_total!S345*1000/Gasto_o_ing_total!S$479</f>
        <v>2.5442608525022181</v>
      </c>
      <c r="U345" s="336">
        <f>Gasto_o_ing_total!T345*1000/Gasto_o_ing_total!T$479</f>
        <v>2.2971822589697122</v>
      </c>
      <c r="V345" s="336">
        <f>Gasto_o_ing_total!U345*1000/Gasto_o_ing_total!U$479</f>
        <v>1.9931842167852967</v>
      </c>
      <c r="W345" s="105"/>
    </row>
    <row r="346" spans="1:23" s="102" customFormat="1">
      <c r="A346" s="355"/>
      <c r="B346" s="115" t="s">
        <v>342</v>
      </c>
      <c r="C346" s="333" t="str">
        <f>VLOOKUP(B346,Tot_res!C:D,2,FALSE)</f>
        <v>Policía áutonómica catalana y tráfico</v>
      </c>
      <c r="D346" s="336">
        <f>Gasto_o_ing_total!V346*1000/Gasto_o_ing_total!V$479</f>
        <v>25.032049927055777</v>
      </c>
      <c r="E346" s="336">
        <f>Gasto_o_ing_total!D346*1000/Gasto_o_ing_total!D$479</f>
        <v>5.4753046138407209</v>
      </c>
      <c r="F346" s="336">
        <f>Gasto_o_ing_total!E346*1000/Gasto_o_ing_total!E$479</f>
        <v>6.6135768801230039</v>
      </c>
      <c r="G346" s="336">
        <f>Gasto_o_ing_total!F346*1000/Gasto_o_ing_total!F$479</f>
        <v>5.9028819360932525</v>
      </c>
      <c r="H346" s="336">
        <f>Gasto_o_ing_total!G346*1000/Gasto_o_ing_total!G$479</f>
        <v>6.4551353268893399</v>
      </c>
      <c r="I346" s="336">
        <f>Gasto_o_ing_total!H346*1000/Gasto_o_ing_total!H$479</f>
        <v>5.8287030792176378</v>
      </c>
      <c r="J346" s="336">
        <f>Gasto_o_ing_total!I346*1000/Gasto_o_ing_total!I$479</f>
        <v>5.9688317264577648</v>
      </c>
      <c r="K346" s="336">
        <f>Gasto_o_ing_total!J346*1000/Gasto_o_ing_total!J$479</f>
        <v>6.0921367801750907</v>
      </c>
      <c r="L346" s="336">
        <f>Gasto_o_ing_total!K346*1000/Gasto_o_ing_total!K$479</f>
        <v>5.6421931569166848</v>
      </c>
      <c r="M346" s="336">
        <f>Gasto_o_ing_total!L346*1000/Gasto_o_ing_total!L$479</f>
        <v>123.76545409698358</v>
      </c>
      <c r="N346" s="336">
        <f>Gasto_o_ing_total!M346*1000/Gasto_o_ing_total!M$479</f>
        <v>5.8311047331081269</v>
      </c>
      <c r="O346" s="336">
        <f>Gasto_o_ing_total!N346*1000/Gasto_o_ing_total!N$479</f>
        <v>5.3082373657867405</v>
      </c>
      <c r="P346" s="336">
        <f>Gasto_o_ing_total!O346*1000/Gasto_o_ing_total!O$479</f>
        <v>5.9160175180749297</v>
      </c>
      <c r="Q346" s="336">
        <f>Gasto_o_ing_total!P346*1000/Gasto_o_ing_total!P$479</f>
        <v>7.397134547392584</v>
      </c>
      <c r="R346" s="336">
        <f>Gasto_o_ing_total!Q346*1000/Gasto_o_ing_total!Q$479</f>
        <v>5.7151666180907901</v>
      </c>
      <c r="S346" s="336">
        <f>Gasto_o_ing_total!R346*1000/Gasto_o_ing_total!R$479</f>
        <v>7.0013039129447252</v>
      </c>
      <c r="T346" s="336">
        <f>Gasto_o_ing_total!S346*1000/Gasto_o_ing_total!S$479</f>
        <v>7.1984479689197087</v>
      </c>
      <c r="U346" s="336">
        <f>Gasto_o_ing_total!T346*1000/Gasto_o_ing_total!T$479</f>
        <v>6.4993913458425538</v>
      </c>
      <c r="V346" s="336">
        <f>Gasto_o_ing_total!U346*1000/Gasto_o_ing_total!U$479</f>
        <v>5.6392931813144083</v>
      </c>
      <c r="W346" s="105"/>
    </row>
    <row r="347" spans="1:23" s="102" customFormat="1">
      <c r="A347" s="355"/>
      <c r="B347" s="115" t="s">
        <v>232</v>
      </c>
      <c r="C347" s="333" t="str">
        <f>VLOOKUP(B347,Tot_res!C:D,2,FALSE)</f>
        <v>Ajuste forales, seguridad ciudadana y vial</v>
      </c>
      <c r="D347" s="336">
        <f>Gasto_o_ing_total!V347*1000/Gasto_o_ing_total!V$479</f>
        <v>13.001771193264551</v>
      </c>
      <c r="E347" s="336">
        <f>Gasto_o_ing_total!D347*1000/Gasto_o_ing_total!D$479</f>
        <v>2.8439004400370287</v>
      </c>
      <c r="F347" s="336">
        <f>Gasto_o_ing_total!E347*1000/Gasto_o_ing_total!E$479</f>
        <v>3.4351247147155832</v>
      </c>
      <c r="G347" s="336">
        <f>Gasto_o_ing_total!F347*1000/Gasto_o_ing_total!F$479</f>
        <v>3.065986227160177</v>
      </c>
      <c r="H347" s="336">
        <f>Gasto_o_ing_total!G347*1000/Gasto_o_ing_total!G$479</f>
        <v>3.3528293841832251</v>
      </c>
      <c r="I347" s="336">
        <f>Gasto_o_ing_total!H347*1000/Gasto_o_ing_total!H$479</f>
        <v>3.0274573600763728</v>
      </c>
      <c r="J347" s="336">
        <f>Gasto_o_ing_total!I347*1000/Gasto_o_ing_total!I$479</f>
        <v>3.1002408761826041</v>
      </c>
      <c r="K347" s="336">
        <f>Gasto_o_ing_total!J347*1000/Gasto_o_ing_total!J$479</f>
        <v>3.1642861341649748</v>
      </c>
      <c r="L347" s="336">
        <f>Gasto_o_ing_total!K347*1000/Gasto_o_ing_total!K$479</f>
        <v>2.9305831790925176</v>
      </c>
      <c r="M347" s="336">
        <f>Gasto_o_ing_total!L347*1000/Gasto_o_ing_total!L$479</f>
        <v>3.5341864222487529</v>
      </c>
      <c r="N347" s="336">
        <f>Gasto_o_ing_total!M347*1000/Gasto_o_ing_total!M$479</f>
        <v>3.0287047910482898</v>
      </c>
      <c r="O347" s="336">
        <f>Gasto_o_ing_total!N347*1000/Gasto_o_ing_total!N$479</f>
        <v>2.7571248807274231</v>
      </c>
      <c r="P347" s="336">
        <f>Gasto_o_ing_total!O347*1000/Gasto_o_ing_total!O$479</f>
        <v>3.0728089137525187</v>
      </c>
      <c r="Q347" s="336">
        <f>Gasto_o_ing_total!P347*1000/Gasto_o_ing_total!P$479</f>
        <v>3.8421084630004541</v>
      </c>
      <c r="R347" s="336">
        <f>Gasto_o_ing_total!Q347*1000/Gasto_o_ing_total!Q$479</f>
        <v>2.968485957655643</v>
      </c>
      <c r="S347" s="336">
        <f>Gasto_o_ing_total!R347*1000/Gasto_o_ing_total!R$479</f>
        <v>89.062816775758307</v>
      </c>
      <c r="T347" s="336">
        <f>Gasto_o_ing_total!S347*1000/Gasto_o_ing_total!S$479</f>
        <v>187.69835839860707</v>
      </c>
      <c r="U347" s="336">
        <f>Gasto_o_ing_total!T347*1000/Gasto_o_ing_total!T$479</f>
        <v>3.3758161804716327</v>
      </c>
      <c r="V347" s="336">
        <f>Gasto_o_ing_total!U347*1000/Gasto_o_ing_total!U$479</f>
        <v>2.9290769173458076</v>
      </c>
      <c r="W347" s="105"/>
    </row>
    <row r="348" spans="1:23">
      <c r="A348" s="356"/>
      <c r="D348" s="19"/>
      <c r="E348" s="19"/>
      <c r="F348" s="19"/>
      <c r="G348" s="19"/>
      <c r="H348" s="19"/>
      <c r="I348" s="19"/>
      <c r="J348" s="19"/>
      <c r="K348" s="19"/>
      <c r="L348" s="19"/>
      <c r="M348" s="19"/>
      <c r="N348" s="19"/>
      <c r="O348" s="19"/>
      <c r="P348" s="19"/>
      <c r="Q348" s="19"/>
      <c r="R348" s="19"/>
      <c r="S348" s="19"/>
      <c r="T348" s="19"/>
      <c r="U348" s="19"/>
      <c r="V348" s="19"/>
      <c r="W348" s="2"/>
    </row>
    <row r="349" spans="1:23" s="102" customFormat="1">
      <c r="A349" s="356"/>
      <c r="B349" s="115"/>
      <c r="C349" s="117" t="s">
        <v>6</v>
      </c>
      <c r="D349" s="113">
        <f>Gasto_o_ing_total!V349*1000/Gasto_o_ing_total!V$479</f>
        <v>17.092280218796347</v>
      </c>
      <c r="E349" s="113">
        <f>Gasto_o_ing_total!D349*1000/Gasto_o_ing_total!D$479</f>
        <v>16.428263486331691</v>
      </c>
      <c r="F349" s="113">
        <f>Gasto_o_ing_total!E349*1000/Gasto_o_ing_total!E$479</f>
        <v>36.544422711783071</v>
      </c>
      <c r="G349" s="113">
        <f>Gasto_o_ing_total!F349*1000/Gasto_o_ing_total!F$479</f>
        <v>21.521473249559975</v>
      </c>
      <c r="H349" s="113">
        <f>Gasto_o_ing_total!G349*1000/Gasto_o_ing_total!G$479</f>
        <v>13.326178423052193</v>
      </c>
      <c r="I349" s="113">
        <f>Gasto_o_ing_total!H349*1000/Gasto_o_ing_total!H$479</f>
        <v>15.913274585896524</v>
      </c>
      <c r="J349" s="113">
        <f>Gasto_o_ing_total!I349*1000/Gasto_o_ing_total!I$479</f>
        <v>17.631415547111828</v>
      </c>
      <c r="K349" s="113">
        <f>Gasto_o_ing_total!J349*1000/Gasto_o_ing_total!J$479</f>
        <v>17.21111286295141</v>
      </c>
      <c r="L349" s="113">
        <f>Gasto_o_ing_total!K349*1000/Gasto_o_ing_total!K$479</f>
        <v>21.148409018195348</v>
      </c>
      <c r="M349" s="113">
        <f>Gasto_o_ing_total!L349*1000/Gasto_o_ing_total!L$479</f>
        <v>14.489563543176553</v>
      </c>
      <c r="N349" s="113">
        <f>Gasto_o_ing_total!M349*1000/Gasto_o_ing_total!M$479</f>
        <v>17.107173568411138</v>
      </c>
      <c r="O349" s="113">
        <f>Gasto_o_ing_total!N349*1000/Gasto_o_ing_total!N$479</f>
        <v>18.009653288688636</v>
      </c>
      <c r="P349" s="113">
        <f>Gasto_o_ing_total!O349*1000/Gasto_o_ing_total!O$479</f>
        <v>9.4747257702913394</v>
      </c>
      <c r="Q349" s="113">
        <f>Gasto_o_ing_total!P349*1000/Gasto_o_ing_total!P$479</f>
        <v>18.698955904278705</v>
      </c>
      <c r="R349" s="113">
        <f>Gasto_o_ing_total!Q349*1000/Gasto_o_ing_total!Q$479</f>
        <v>14.800335987318743</v>
      </c>
      <c r="S349" s="113">
        <f>Gasto_o_ing_total!R349*1000/Gasto_o_ing_total!R$479</f>
        <v>16.810662814283337</v>
      </c>
      <c r="T349" s="113">
        <f>Gasto_o_ing_total!S349*1000/Gasto_o_ing_total!S$479</f>
        <v>16.862701367004885</v>
      </c>
      <c r="U349" s="113">
        <f>Gasto_o_ing_total!T349*1000/Gasto_o_ing_total!T$479</f>
        <v>40.53647352751598</v>
      </c>
      <c r="V349" s="113">
        <f>Gasto_o_ing_total!U349*1000/Gasto_o_ing_total!U$479</f>
        <v>5.9274929021778089</v>
      </c>
      <c r="W349" s="105"/>
    </row>
    <row r="350" spans="1:23" s="102" customFormat="1">
      <c r="A350" s="355"/>
      <c r="B350" s="115" t="s">
        <v>343</v>
      </c>
      <c r="C350" s="333" t="str">
        <f>VLOOKUP(B350,Tot_res!C:D,2,FALSE)</f>
        <v>Promoción, administración y ayudas para rehabilitación y acceso a vivienda+AF15</v>
      </c>
      <c r="D350" s="336">
        <f>Gasto_o_ing_total!V350*1000/Gasto_o_ing_total!V$479</f>
        <v>16.536765697159737</v>
      </c>
      <c r="E350" s="336">
        <f>Gasto_o_ing_total!D350*1000/Gasto_o_ing_total!D$479</f>
        <v>16.049469740482259</v>
      </c>
      <c r="F350" s="336">
        <f>Gasto_o_ing_total!E350*1000/Gasto_o_ing_total!E$479</f>
        <v>36.38118123942715</v>
      </c>
      <c r="G350" s="336">
        <f>Gasto_o_ing_total!F350*1000/Gasto_o_ing_total!F$479</f>
        <v>21.359072497042952</v>
      </c>
      <c r="H350" s="336">
        <f>Gasto_o_ing_total!G350*1000/Gasto_o_ing_total!G$479</f>
        <v>9.866437755419577</v>
      </c>
      <c r="I350" s="336">
        <f>Gasto_o_ing_total!H350*1000/Gasto_o_ing_total!H$479</f>
        <v>15.145829261144284</v>
      </c>
      <c r="J350" s="336">
        <f>Gasto_o_ing_total!I350*1000/Gasto_o_ing_total!I$479</f>
        <v>17.419215547749936</v>
      </c>
      <c r="K350" s="336">
        <f>Gasto_o_ing_total!J350*1000/Gasto_o_ing_total!J$479</f>
        <v>14.949572245703386</v>
      </c>
      <c r="L350" s="336">
        <f>Gasto_o_ing_total!K350*1000/Gasto_o_ing_total!K$479</f>
        <v>20.939879964300651</v>
      </c>
      <c r="M350" s="336">
        <f>Gasto_o_ing_total!L350*1000/Gasto_o_ing_total!L$479</f>
        <v>14.119984402217906</v>
      </c>
      <c r="N350" s="336">
        <f>Gasto_o_ing_total!M350*1000/Gasto_o_ing_total!M$479</f>
        <v>16.932246967855146</v>
      </c>
      <c r="O350" s="336">
        <f>Gasto_o_ing_total!N350*1000/Gasto_o_ing_total!N$479</f>
        <v>17.034076413028433</v>
      </c>
      <c r="P350" s="336">
        <f>Gasto_o_ing_total!O350*1000/Gasto_o_ing_total!O$479</f>
        <v>8.8333787575701699</v>
      </c>
      <c r="Q350" s="336">
        <f>Gasto_o_ing_total!P350*1000/Gasto_o_ing_total!P$479</f>
        <v>18.344399319244694</v>
      </c>
      <c r="R350" s="336">
        <f>Gasto_o_ing_total!Q350*1000/Gasto_o_ing_total!Q$479</f>
        <v>14.272150245753053</v>
      </c>
      <c r="S350" s="336">
        <f>Gasto_o_ing_total!R350*1000/Gasto_o_ing_total!R$479</f>
        <v>16.536765697159744</v>
      </c>
      <c r="T350" s="336">
        <f>Gasto_o_ing_total!S350*1000/Gasto_o_ing_total!S$479</f>
        <v>16.536765697159737</v>
      </c>
      <c r="U350" s="336">
        <f>Gasto_o_ing_total!T350*1000/Gasto_o_ing_total!T$479</f>
        <v>39.553720357707419</v>
      </c>
      <c r="V350" s="336">
        <f>Gasto_o_ing_total!U350*1000/Gasto_o_ing_total!U$479</f>
        <v>5.7712938820255051</v>
      </c>
      <c r="W350" s="105"/>
    </row>
    <row r="351" spans="1:23" s="102" customFormat="1">
      <c r="A351" s="355"/>
      <c r="B351" s="115" t="s">
        <v>844</v>
      </c>
      <c r="C351" s="333" t="str">
        <f>VLOOKUP(B351,Tot_res!C:D,2,FALSE)</f>
        <v>Ordenación y fomento de la edificación, neto de actuaciones relacionadas con el 1% cultural</v>
      </c>
      <c r="D351" s="336">
        <f>Gasto_o_ing_total!V351*1000/Gasto_o_ing_total!V$479</f>
        <v>0.52499594658739124</v>
      </c>
      <c r="E351" s="336">
        <f>Gasto_o_ing_total!D351*1000/Gasto_o_ing_total!D$479</f>
        <v>0.3482751708002087</v>
      </c>
      <c r="F351" s="336">
        <f>Gasto_o_ing_total!E351*1000/Gasto_o_ing_total!E$479</f>
        <v>0.13272289730670464</v>
      </c>
      <c r="G351" s="336">
        <f>Gasto_o_ing_total!F351*1000/Gasto_o_ing_total!F$479</f>
        <v>0.13188217746780675</v>
      </c>
      <c r="H351" s="336">
        <f>Gasto_o_ing_total!G351*1000/Gasto_o_ing_total!G$479</f>
        <v>3.4292220925833972</v>
      </c>
      <c r="I351" s="336">
        <f>Gasto_o_ing_total!H351*1000/Gasto_o_ing_total!H$479</f>
        <v>0.73692674970302074</v>
      </c>
      <c r="J351" s="336">
        <f>Gasto_o_ing_total!I351*1000/Gasto_o_ing_total!I$479</f>
        <v>0.18168142431266998</v>
      </c>
      <c r="K351" s="336">
        <f>Gasto_o_ing_total!J351*1000/Gasto_o_ing_total!J$479</f>
        <v>2.2310220421988034</v>
      </c>
      <c r="L351" s="336">
        <f>Gasto_o_ing_total!K351*1000/Gasto_o_ing_total!K$479</f>
        <v>0.17801047884547599</v>
      </c>
      <c r="M351" s="336">
        <f>Gasto_o_ing_total!L351*1000/Gasto_o_ing_total!L$479</f>
        <v>0.33906056590942779</v>
      </c>
      <c r="N351" s="336">
        <f>Gasto_o_ing_total!M351*1000/Gasto_o_ing_total!M$479</f>
        <v>0.14440802550677312</v>
      </c>
      <c r="O351" s="336">
        <f>Gasto_o_ing_total!N351*1000/Gasto_o_ing_total!N$479</f>
        <v>0.94505830061098228</v>
      </c>
      <c r="P351" s="336">
        <f>Gasto_o_ing_total!O351*1000/Gasto_o_ing_total!O$479</f>
        <v>0.61082843767194972</v>
      </c>
      <c r="Q351" s="336">
        <f>Gasto_o_ing_total!P351*1000/Gasto_o_ing_total!P$479</f>
        <v>0.32403800998479065</v>
      </c>
      <c r="R351" s="336">
        <f>Gasto_o_ing_total!Q351*1000/Gasto_o_ing_total!Q$479</f>
        <v>0.49766716651647341</v>
      </c>
      <c r="S351" s="336">
        <f>Gasto_o_ing_total!R351*1000/Gasto_o_ing_total!R$479</f>
        <v>0.24337854207437606</v>
      </c>
      <c r="T351" s="336">
        <f>Gasto_o_ing_total!S351*1000/Gasto_o_ing_total!S$479</f>
        <v>0.29541709479592881</v>
      </c>
      <c r="U351" s="336">
        <f>Gasto_o_ing_total!T351*1000/Gasto_o_ing_total!T$479</f>
        <v>0.95223459475934114</v>
      </c>
      <c r="V351" s="336">
        <f>Gasto_o_ing_total!U351*1000/Gasto_o_ing_total!U$479</f>
        <v>0.12568044510308524</v>
      </c>
      <c r="W351" s="105"/>
    </row>
    <row r="352" spans="1:23" s="102" customFormat="1">
      <c r="A352" s="355"/>
      <c r="B352" s="115" t="s">
        <v>344</v>
      </c>
      <c r="C352" s="333" t="str">
        <f>VLOOKUP(B352,Tot_res!C:D,2,FALSE)</f>
        <v>Suelo y políticas urbanas</v>
      </c>
      <c r="D352" s="336">
        <f>Gasto_o_ing_total!V352*1000/Gasto_o_ing_total!V$479</f>
        <v>3.0518575049218784E-2</v>
      </c>
      <c r="E352" s="336">
        <f>Gasto_o_ing_total!D352*1000/Gasto_o_ing_total!D$479</f>
        <v>3.0518575049218784E-2</v>
      </c>
      <c r="F352" s="336">
        <f>Gasto_o_ing_total!E352*1000/Gasto_o_ing_total!E$479</f>
        <v>3.0518575049218788E-2</v>
      </c>
      <c r="G352" s="336">
        <f>Gasto_o_ing_total!F352*1000/Gasto_o_ing_total!F$479</f>
        <v>3.0518575049218791E-2</v>
      </c>
      <c r="H352" s="336">
        <f>Gasto_o_ing_total!G352*1000/Gasto_o_ing_total!G$479</f>
        <v>3.0518575049218788E-2</v>
      </c>
      <c r="I352" s="336">
        <f>Gasto_o_ing_total!H352*1000/Gasto_o_ing_total!H$479</f>
        <v>3.0518575049218788E-2</v>
      </c>
      <c r="J352" s="336">
        <f>Gasto_o_ing_total!I352*1000/Gasto_o_ing_total!I$479</f>
        <v>3.0518575049218784E-2</v>
      </c>
      <c r="K352" s="336">
        <f>Gasto_o_ing_total!J352*1000/Gasto_o_ing_total!J$479</f>
        <v>3.0518575049218788E-2</v>
      </c>
      <c r="L352" s="336">
        <f>Gasto_o_ing_total!K352*1000/Gasto_o_ing_total!K$479</f>
        <v>3.0518575049218791E-2</v>
      </c>
      <c r="M352" s="336">
        <f>Gasto_o_ing_total!L352*1000/Gasto_o_ing_total!L$479</f>
        <v>3.0518575049218791E-2</v>
      </c>
      <c r="N352" s="336">
        <f>Gasto_o_ing_total!M352*1000/Gasto_o_ing_total!M$479</f>
        <v>3.0518575049218791E-2</v>
      </c>
      <c r="O352" s="336">
        <f>Gasto_o_ing_total!N352*1000/Gasto_o_ing_total!N$479</f>
        <v>3.0518575049218784E-2</v>
      </c>
      <c r="P352" s="336">
        <f>Gasto_o_ing_total!O352*1000/Gasto_o_ing_total!O$479</f>
        <v>3.0518575049218788E-2</v>
      </c>
      <c r="Q352" s="336">
        <f>Gasto_o_ing_total!P352*1000/Gasto_o_ing_total!P$479</f>
        <v>3.0518575049218791E-2</v>
      </c>
      <c r="R352" s="336">
        <f>Gasto_o_ing_total!Q352*1000/Gasto_o_ing_total!Q$479</f>
        <v>3.0518575049218784E-2</v>
      </c>
      <c r="S352" s="336">
        <f>Gasto_o_ing_total!R352*1000/Gasto_o_ing_total!R$479</f>
        <v>3.0518575049218788E-2</v>
      </c>
      <c r="T352" s="336">
        <f>Gasto_o_ing_total!S352*1000/Gasto_o_ing_total!S$479</f>
        <v>3.0518575049218791E-2</v>
      </c>
      <c r="U352" s="336">
        <f>Gasto_o_ing_total!T352*1000/Gasto_o_ing_total!T$479</f>
        <v>3.0518575049218791E-2</v>
      </c>
      <c r="V352" s="336">
        <f>Gasto_o_ing_total!U352*1000/Gasto_o_ing_total!U$479</f>
        <v>3.0518575049218788E-2</v>
      </c>
      <c r="W352" s="105"/>
    </row>
    <row r="353" spans="1:23">
      <c r="A353" s="356"/>
      <c r="D353" s="19"/>
      <c r="E353" s="19"/>
      <c r="F353" s="19"/>
      <c r="G353" s="19"/>
      <c r="H353" s="19"/>
      <c r="I353" s="19"/>
      <c r="J353" s="19"/>
      <c r="K353" s="19"/>
      <c r="L353" s="19"/>
      <c r="M353" s="19"/>
      <c r="N353" s="19"/>
      <c r="O353" s="19"/>
      <c r="P353" s="19"/>
      <c r="Q353" s="19"/>
      <c r="R353" s="19"/>
      <c r="S353" s="19"/>
      <c r="T353" s="19"/>
      <c r="U353" s="19"/>
      <c r="V353" s="19"/>
      <c r="W353" s="2"/>
    </row>
    <row r="354" spans="1:23" s="102" customFormat="1">
      <c r="A354" s="356"/>
      <c r="B354" s="115"/>
      <c r="C354" s="117" t="s">
        <v>45</v>
      </c>
      <c r="D354" s="113">
        <f>Gasto_o_ing_total!V354*1000/Gasto_o_ing_total!V$479</f>
        <v>31.348614908609441</v>
      </c>
      <c r="E354" s="113">
        <f>Gasto_o_ing_total!D354*1000/Gasto_o_ing_total!D$479</f>
        <v>20.385268649632962</v>
      </c>
      <c r="F354" s="113">
        <f>Gasto_o_ing_total!E354*1000/Gasto_o_ing_total!E$479</f>
        <v>23.039610739093799</v>
      </c>
      <c r="G354" s="113">
        <f>Gasto_o_ing_total!F354*1000/Gasto_o_ing_total!F$479</f>
        <v>21.162884602473294</v>
      </c>
      <c r="H354" s="113">
        <f>Gasto_o_ing_total!G354*1000/Gasto_o_ing_total!G$479</f>
        <v>44.368910637412746</v>
      </c>
      <c r="I354" s="113">
        <f>Gasto_o_ing_total!H354*1000/Gasto_o_ing_total!H$479</f>
        <v>21.183091582430809</v>
      </c>
      <c r="J354" s="113">
        <f>Gasto_o_ing_total!I354*1000/Gasto_o_ing_total!I$479</f>
        <v>30.72956161961617</v>
      </c>
      <c r="K354" s="113">
        <f>Gasto_o_ing_total!J354*1000/Gasto_o_ing_total!J$479</f>
        <v>29.703059585990552</v>
      </c>
      <c r="L354" s="113">
        <f>Gasto_o_ing_total!K354*1000/Gasto_o_ing_total!K$479</f>
        <v>24.965610418508895</v>
      </c>
      <c r="M354" s="113">
        <f>Gasto_o_ing_total!L354*1000/Gasto_o_ing_total!L$479</f>
        <v>31.221584281755373</v>
      </c>
      <c r="N354" s="113">
        <f>Gasto_o_ing_total!M354*1000/Gasto_o_ing_total!M$479</f>
        <v>28.717977731857143</v>
      </c>
      <c r="O354" s="113">
        <f>Gasto_o_ing_total!N354*1000/Gasto_o_ing_total!N$479</f>
        <v>25.086568480235599</v>
      </c>
      <c r="P354" s="113">
        <f>Gasto_o_ing_total!O354*1000/Gasto_o_ing_total!O$479</f>
        <v>34.228052140315341</v>
      </c>
      <c r="Q354" s="113">
        <f>Gasto_o_ing_total!P354*1000/Gasto_o_ing_total!P$479</f>
        <v>56.712501782652822</v>
      </c>
      <c r="R354" s="113">
        <f>Gasto_o_ing_total!Q354*1000/Gasto_o_ing_total!Q$479</f>
        <v>23.204920265495261</v>
      </c>
      <c r="S354" s="113">
        <f>Gasto_o_ing_total!R354*1000/Gasto_o_ing_total!R$479</f>
        <v>32.121012349880267</v>
      </c>
      <c r="T354" s="113">
        <f>Gasto_o_ing_total!S354*1000/Gasto_o_ing_total!S$479</f>
        <v>32.031132717680563</v>
      </c>
      <c r="U354" s="113">
        <f>Gasto_o_ing_total!T354*1000/Gasto_o_ing_total!T$479</f>
        <v>27.028722555150487</v>
      </c>
      <c r="V354" s="113">
        <f>Gasto_o_ing_total!U354*1000/Gasto_o_ing_total!U$479</f>
        <v>28.434786576844278</v>
      </c>
      <c r="W354" s="105"/>
    </row>
    <row r="355" spans="1:23" s="102" customFormat="1">
      <c r="A355" s="355"/>
      <c r="B355" s="115" t="s">
        <v>660</v>
      </c>
      <c r="C355" s="333" t="str">
        <f>VLOOKUP(B355,Tot_res!C:D,2,FALSE)</f>
        <v>Dirección y servicios generales de Cultura</v>
      </c>
      <c r="D355" s="336">
        <f>Gasto_o_ing_total!V355*1000/Gasto_o_ing_total!V$479</f>
        <v>0.50548037487916564</v>
      </c>
      <c r="E355" s="336">
        <f>Gasto_o_ing_total!D355*1000/Gasto_o_ing_total!D$479</f>
        <v>0.37432559669720017</v>
      </c>
      <c r="F355" s="336">
        <f>Gasto_o_ing_total!E355*1000/Gasto_o_ing_total!E$479</f>
        <v>0.41416712155374585</v>
      </c>
      <c r="G355" s="336">
        <f>Gasto_o_ing_total!F355*1000/Gasto_o_ing_total!F$479</f>
        <v>0.38225950048148705</v>
      </c>
      <c r="H355" s="336">
        <f>Gasto_o_ing_total!G355*1000/Gasto_o_ing_total!G$479</f>
        <v>0.47705830332637</v>
      </c>
      <c r="I355" s="336">
        <f>Gasto_o_ing_total!H355*1000/Gasto_o_ing_total!H$479</f>
        <v>0.38908942840638133</v>
      </c>
      <c r="J355" s="336">
        <f>Gasto_o_ing_total!I355*1000/Gasto_o_ing_total!I$479</f>
        <v>0.55954752949734121</v>
      </c>
      <c r="K355" s="336">
        <f>Gasto_o_ing_total!J355*1000/Gasto_o_ing_total!J$479</f>
        <v>0.51847818882615804</v>
      </c>
      <c r="L355" s="336">
        <f>Gasto_o_ing_total!K355*1000/Gasto_o_ing_total!K$479</f>
        <v>0.44208420833759327</v>
      </c>
      <c r="M355" s="336">
        <f>Gasto_o_ing_total!L355*1000/Gasto_o_ing_total!L$479</f>
        <v>0.43752767591241282</v>
      </c>
      <c r="N355" s="336">
        <f>Gasto_o_ing_total!M355*1000/Gasto_o_ing_total!M$479</f>
        <v>0.38594067800764376</v>
      </c>
      <c r="O355" s="336">
        <f>Gasto_o_ing_total!N355*1000/Gasto_o_ing_total!N$479</f>
        <v>0.44464039696321517</v>
      </c>
      <c r="P355" s="336">
        <f>Gasto_o_ing_total!O355*1000/Gasto_o_ing_total!O$479</f>
        <v>0.39728054746291175</v>
      </c>
      <c r="Q355" s="336">
        <f>Gasto_o_ing_total!P355*1000/Gasto_o_ing_total!P$479</f>
        <v>1.0591645021301248</v>
      </c>
      <c r="R355" s="336">
        <f>Gasto_o_ing_total!Q355*1000/Gasto_o_ing_total!Q$479</f>
        <v>0.40866779852166807</v>
      </c>
      <c r="S355" s="336">
        <f>Gasto_o_ing_total!R355*1000/Gasto_o_ing_total!R$479</f>
        <v>0.40611758110751273</v>
      </c>
      <c r="T355" s="336">
        <f>Gasto_o_ing_total!S355*1000/Gasto_o_ing_total!S$479</f>
        <v>0.42334763117159968</v>
      </c>
      <c r="U355" s="336">
        <f>Gasto_o_ing_total!T355*1000/Gasto_o_ing_total!T$479</f>
        <v>0.48856896596586485</v>
      </c>
      <c r="V355" s="336">
        <f>Gasto_o_ing_total!U355*1000/Gasto_o_ing_total!U$479</f>
        <v>0.45564050837222381</v>
      </c>
      <c r="W355" s="105"/>
    </row>
    <row r="356" spans="1:23" s="102" customFormat="1">
      <c r="A356" s="355"/>
      <c r="B356" s="115" t="s">
        <v>345</v>
      </c>
      <c r="C356" s="333" t="str">
        <f>VLOOKUP(B356,Tot_res!C:D,2,FALSE)</f>
        <v>Archivos</v>
      </c>
      <c r="D356" s="336">
        <f>Gasto_o_ing_total!V356*1000/Gasto_o_ing_total!V$479</f>
        <v>0.65117794372727633</v>
      </c>
      <c r="E356" s="336">
        <f>Gasto_o_ing_total!D356*1000/Gasto_o_ing_total!D$479</f>
        <v>0.46856675462641889</v>
      </c>
      <c r="F356" s="336">
        <f>Gasto_o_ing_total!E356*1000/Gasto_o_ing_total!E$479</f>
        <v>0.35354730551308999</v>
      </c>
      <c r="G356" s="336">
        <f>Gasto_o_ing_total!F356*1000/Gasto_o_ing_total!F$479</f>
        <v>0.30963667584619092</v>
      </c>
      <c r="H356" s="336">
        <f>Gasto_o_ing_total!G356*1000/Gasto_o_ing_total!G$479</f>
        <v>2.0326814848056665</v>
      </c>
      <c r="I356" s="336">
        <f>Gasto_o_ing_total!H356*1000/Gasto_o_ing_total!H$479</f>
        <v>0.32047129280106684</v>
      </c>
      <c r="J356" s="336">
        <f>Gasto_o_ing_total!I356*1000/Gasto_o_ing_total!I$479</f>
        <v>0.33681290331839442</v>
      </c>
      <c r="K356" s="336">
        <f>Gasto_o_ing_total!J356*1000/Gasto_o_ing_total!J$479</f>
        <v>2.5631948092181522</v>
      </c>
      <c r="L356" s="336">
        <f>Gasto_o_ing_total!K356*1000/Gasto_o_ing_total!K$479</f>
        <v>0.48060208810609995</v>
      </c>
      <c r="M356" s="336">
        <f>Gasto_o_ing_total!L356*1000/Gasto_o_ing_total!L$479</f>
        <v>0.49019047012355982</v>
      </c>
      <c r="N356" s="336">
        <f>Gasto_o_ing_total!M356*1000/Gasto_o_ing_total!M$479</f>
        <v>0.30504916295466727</v>
      </c>
      <c r="O356" s="336">
        <f>Gasto_o_ing_total!N356*1000/Gasto_o_ing_total!N$479</f>
        <v>0.31265621080251976</v>
      </c>
      <c r="P356" s="336">
        <f>Gasto_o_ing_total!O356*1000/Gasto_o_ing_total!O$479</f>
        <v>0.33563766001114126</v>
      </c>
      <c r="Q356" s="336">
        <f>Gasto_o_ing_total!P356*1000/Gasto_o_ing_total!P$479</f>
        <v>1.0935149165212688</v>
      </c>
      <c r="R356" s="336">
        <f>Gasto_o_ing_total!Q356*1000/Gasto_o_ing_total!Q$479</f>
        <v>0.29827400697859652</v>
      </c>
      <c r="S356" s="336">
        <f>Gasto_o_ing_total!R356*1000/Gasto_o_ing_total!R$479</f>
        <v>0.37156855914357911</v>
      </c>
      <c r="T356" s="336">
        <f>Gasto_o_ing_total!S356*1000/Gasto_o_ing_total!S$479</f>
        <v>0.38082302776107624</v>
      </c>
      <c r="U356" s="336">
        <f>Gasto_o_ing_total!T356*1000/Gasto_o_ing_total!T$479</f>
        <v>0.33907528750700594</v>
      </c>
      <c r="V356" s="336">
        <f>Gasto_o_ing_total!U356*1000/Gasto_o_ing_total!U$479</f>
        <v>0.35055106773585321</v>
      </c>
      <c r="W356" s="105"/>
    </row>
    <row r="357" spans="1:23" s="102" customFormat="1">
      <c r="A357" s="355"/>
      <c r="B357" s="115" t="s">
        <v>347</v>
      </c>
      <c r="C357" s="333" t="str">
        <f>VLOOKUP(B357,Tot_res!C:D,2,FALSE)</f>
        <v>Bibliotecas</v>
      </c>
      <c r="D357" s="336">
        <f>Gasto_o_ing_total!V357*1000/Gasto_o_ing_total!V$479</f>
        <v>0.93004186020180124</v>
      </c>
      <c r="E357" s="336">
        <f>Gasto_o_ing_total!D357*1000/Gasto_o_ing_total!D$479</f>
        <v>0.1735796339171774</v>
      </c>
      <c r="F357" s="336">
        <f>Gasto_o_ing_total!E357*1000/Gasto_o_ing_total!E$479</f>
        <v>0.1934115426332228</v>
      </c>
      <c r="G357" s="336">
        <f>Gasto_o_ing_total!F357*1000/Gasto_o_ing_total!F$479</f>
        <v>0.25037372274807601</v>
      </c>
      <c r="H357" s="336">
        <f>Gasto_o_ing_total!G357*1000/Gasto_o_ing_total!G$479</f>
        <v>0.17485663874094856</v>
      </c>
      <c r="I357" s="336">
        <f>Gasto_o_ing_total!H357*1000/Gasto_o_ing_total!H$479</f>
        <v>0.31396607512411345</v>
      </c>
      <c r="J357" s="336">
        <f>Gasto_o_ing_total!I357*1000/Gasto_o_ing_total!I$479</f>
        <v>0.20857981492734151</v>
      </c>
      <c r="K357" s="336">
        <f>Gasto_o_ing_total!J357*1000/Gasto_o_ing_total!J$479</f>
        <v>2.5149443476529738</v>
      </c>
      <c r="L357" s="336">
        <f>Gasto_o_ing_total!K357*1000/Gasto_o_ing_total!K$479</f>
        <v>0.35269925818209552</v>
      </c>
      <c r="M357" s="336">
        <f>Gasto_o_ing_total!L357*1000/Gasto_o_ing_total!L$479</f>
        <v>0.80052086065155914</v>
      </c>
      <c r="N357" s="336">
        <f>Gasto_o_ing_total!M357*1000/Gasto_o_ing_total!M$479</f>
        <v>0.17284390548275416</v>
      </c>
      <c r="O357" s="336">
        <f>Gasto_o_ing_total!N357*1000/Gasto_o_ing_total!N$479</f>
        <v>0.23793195386365451</v>
      </c>
      <c r="P357" s="336">
        <f>Gasto_o_ing_total!O357*1000/Gasto_o_ing_total!O$479</f>
        <v>0.23344954793225722</v>
      </c>
      <c r="Q357" s="336">
        <f>Gasto_o_ing_total!P357*1000/Gasto_o_ing_total!P$479</f>
        <v>3.7020951822678825</v>
      </c>
      <c r="R357" s="336">
        <f>Gasto_o_ing_total!Q357*1000/Gasto_o_ing_total!Q$479</f>
        <v>0.19831768226622973</v>
      </c>
      <c r="S357" s="336">
        <f>Gasto_o_ing_total!R357*1000/Gasto_o_ing_total!R$479</f>
        <v>0.18762499790194956</v>
      </c>
      <c r="T357" s="336">
        <f>Gasto_o_ing_total!S357*1000/Gasto_o_ing_total!S$479</f>
        <v>0.23712514734904921</v>
      </c>
      <c r="U357" s="336">
        <f>Gasto_o_ing_total!T357*1000/Gasto_o_ing_total!T$479</f>
        <v>0.39012830472350729</v>
      </c>
      <c r="V357" s="336">
        <f>Gasto_o_ing_total!U357*1000/Gasto_o_ing_total!U$479</f>
        <v>4.8363390180202739</v>
      </c>
      <c r="W357" s="105"/>
    </row>
    <row r="358" spans="1:23" s="102" customFormat="1">
      <c r="A358" s="355"/>
      <c r="B358" s="115" t="s">
        <v>348</v>
      </c>
      <c r="C358" s="333" t="str">
        <f>VLOOKUP(B358,Tot_res!C:D,2,FALSE)</f>
        <v>Museos</v>
      </c>
      <c r="D358" s="336">
        <f>Gasto_o_ing_total!V358*1000/Gasto_o_ing_total!V$479</f>
        <v>2.7902072571570073</v>
      </c>
      <c r="E358" s="336">
        <f>Gasto_o_ing_total!D358*1000/Gasto_o_ing_total!D$479</f>
        <v>0.77980739267735033</v>
      </c>
      <c r="F358" s="336">
        <f>Gasto_o_ing_total!E358*1000/Gasto_o_ing_total!E$479</f>
        <v>0.78108809519408928</v>
      </c>
      <c r="G358" s="336">
        <f>Gasto_o_ing_total!F358*1000/Gasto_o_ing_total!F$479</f>
        <v>0.65796704881235413</v>
      </c>
      <c r="H358" s="336">
        <f>Gasto_o_ing_total!G358*1000/Gasto_o_ing_total!G$479</f>
        <v>1.8346908510980466</v>
      </c>
      <c r="I358" s="336">
        <f>Gasto_o_ing_total!H358*1000/Gasto_o_ing_total!H$479</f>
        <v>0.65729884170348152</v>
      </c>
      <c r="J358" s="336">
        <f>Gasto_o_ing_total!I358*1000/Gasto_o_ing_total!I$479</f>
        <v>8.9135976559244874</v>
      </c>
      <c r="K358" s="336">
        <f>Gasto_o_ing_total!J358*1000/Gasto_o_ing_total!J$479</f>
        <v>2.2619248354986325</v>
      </c>
      <c r="L358" s="336">
        <f>Gasto_o_ing_total!K358*1000/Gasto_o_ing_total!K$479</f>
        <v>3.0185782602149129</v>
      </c>
      <c r="M358" s="336">
        <f>Gasto_o_ing_total!L358*1000/Gasto_o_ing_total!L$479</f>
        <v>1.2051657691152071</v>
      </c>
      <c r="N358" s="336">
        <f>Gasto_o_ing_total!M358*1000/Gasto_o_ing_total!M$479</f>
        <v>1.1607668875559283</v>
      </c>
      <c r="O358" s="336">
        <f>Gasto_o_ing_total!N358*1000/Gasto_o_ing_total!N$479</f>
        <v>3.7375963591500216</v>
      </c>
      <c r="P358" s="336">
        <f>Gasto_o_ing_total!O358*1000/Gasto_o_ing_total!O$479</f>
        <v>0.68504157150757594</v>
      </c>
      <c r="Q358" s="336">
        <f>Gasto_o_ing_total!P358*1000/Gasto_o_ing_total!P$479</f>
        <v>11.212306668308159</v>
      </c>
      <c r="R358" s="336">
        <f>Gasto_o_ing_total!Q358*1000/Gasto_o_ing_total!Q$479</f>
        <v>2.7844872527559907</v>
      </c>
      <c r="S358" s="336">
        <f>Gasto_o_ing_total!R358*1000/Gasto_o_ing_total!R$479</f>
        <v>0.78040308502044431</v>
      </c>
      <c r="T358" s="336">
        <f>Gasto_o_ing_total!S358*1000/Gasto_o_ing_total!S$479</f>
        <v>0.99742696512625861</v>
      </c>
      <c r="U358" s="336">
        <f>Gasto_o_ing_total!T358*1000/Gasto_o_ing_total!T$479</f>
        <v>4.9405451092139616</v>
      </c>
      <c r="V358" s="336">
        <f>Gasto_o_ing_total!U358*1000/Gasto_o_ing_total!U$479</f>
        <v>0.62858602493967541</v>
      </c>
      <c r="W358" s="105"/>
    </row>
    <row r="359" spans="1:23" s="102" customFormat="1">
      <c r="A359" s="355"/>
      <c r="B359" s="115" t="s">
        <v>350</v>
      </c>
      <c r="C359" s="333" t="str">
        <f>VLOOKUP(B359,Tot_res!C:D,2,FALSE)</f>
        <v>Exposiciones</v>
      </c>
      <c r="D359" s="336">
        <f>Gasto_o_ing_total!V359*1000/Gasto_o_ing_total!V$479</f>
        <v>4.5813656288075946E-2</v>
      </c>
      <c r="E359" s="336">
        <f>Gasto_o_ing_total!D359*1000/Gasto_o_ing_total!D$479</f>
        <v>2.1807740055334316E-2</v>
      </c>
      <c r="F359" s="336">
        <f>Gasto_o_ing_total!E359*1000/Gasto_o_ing_total!E$479</f>
        <v>9.2455776689101023E-3</v>
      </c>
      <c r="G359" s="336">
        <f>Gasto_o_ing_total!F359*1000/Gasto_o_ing_total!F$479</f>
        <v>2.7074877184955926E-3</v>
      </c>
      <c r="H359" s="336">
        <f>Gasto_o_ing_total!G359*1000/Gasto_o_ing_total!G$479</f>
        <v>2.7074877184955922E-3</v>
      </c>
      <c r="I359" s="336">
        <f>Gasto_o_ing_total!H359*1000/Gasto_o_ing_total!H$479</f>
        <v>2.7074877184955922E-3</v>
      </c>
      <c r="J359" s="336">
        <f>Gasto_o_ing_total!I359*1000/Gasto_o_ing_total!I$479</f>
        <v>2.7074877184955922E-3</v>
      </c>
      <c r="K359" s="336">
        <f>Gasto_o_ing_total!J359*1000/Gasto_o_ing_total!J$479</f>
        <v>0.17655152482874997</v>
      </c>
      <c r="L359" s="336">
        <f>Gasto_o_ing_total!K359*1000/Gasto_o_ing_total!K$479</f>
        <v>2.7074877184955922E-3</v>
      </c>
      <c r="M359" s="336">
        <f>Gasto_o_ing_total!L359*1000/Gasto_o_ing_total!L$479</f>
        <v>5.4320268807169336E-2</v>
      </c>
      <c r="N359" s="336">
        <f>Gasto_o_ing_total!M359*1000/Gasto_o_ing_total!M$479</f>
        <v>0.10650786388450624</v>
      </c>
      <c r="O359" s="336">
        <f>Gasto_o_ing_total!N359*1000/Gasto_o_ing_total!N$479</f>
        <v>5.0283242223226068E-2</v>
      </c>
      <c r="P359" s="336">
        <f>Gasto_o_ing_total!O359*1000/Gasto_o_ing_total!O$479</f>
        <v>1.2213071075670297E-2</v>
      </c>
      <c r="Q359" s="336">
        <f>Gasto_o_ing_total!P359*1000/Gasto_o_ing_total!P$479</f>
        <v>6.0346191066610287E-2</v>
      </c>
      <c r="R359" s="336">
        <f>Gasto_o_ing_total!Q359*1000/Gasto_o_ing_total!Q$479</f>
        <v>2.7074877184955913E-3</v>
      </c>
      <c r="S359" s="336">
        <f>Gasto_o_ing_total!R359*1000/Gasto_o_ing_total!R$479</f>
        <v>2.7074877184955922E-3</v>
      </c>
      <c r="T359" s="336">
        <f>Gasto_o_ing_total!S359*1000/Gasto_o_ing_total!S$479</f>
        <v>2.6639835316198471E-2</v>
      </c>
      <c r="U359" s="336">
        <f>Gasto_o_ing_total!T359*1000/Gasto_o_ing_total!T$479</f>
        <v>2.7074877184955922E-3</v>
      </c>
      <c r="V359" s="336">
        <f>Gasto_o_ing_total!U359*1000/Gasto_o_ing_total!U$479</f>
        <v>2.7074877184955922E-3</v>
      </c>
      <c r="W359" s="111"/>
    </row>
    <row r="360" spans="1:23" s="102" customFormat="1">
      <c r="A360" s="355"/>
      <c r="B360" s="115" t="s">
        <v>351</v>
      </c>
      <c r="C360" s="333" t="str">
        <f>VLOOKUP(B360,Tot_res!C:D,2,FALSE)</f>
        <v>Promoción y cooperación cultural</v>
      </c>
      <c r="D360" s="336">
        <f>Gasto_o_ing_total!V360*1000/Gasto_o_ing_total!V$479</f>
        <v>0.2033813088328954</v>
      </c>
      <c r="E360" s="336">
        <f>Gasto_o_ing_total!D360*1000/Gasto_o_ing_total!D$479</f>
        <v>0.15610110197277974</v>
      </c>
      <c r="F360" s="336">
        <f>Gasto_o_ing_total!E360*1000/Gasto_o_ing_total!E$479</f>
        <v>0.23847941194554995</v>
      </c>
      <c r="G360" s="336">
        <f>Gasto_o_ing_total!F360*1000/Gasto_o_ing_total!F$479</f>
        <v>0.32537832463934951</v>
      </c>
      <c r="H360" s="336">
        <f>Gasto_o_ing_total!G360*1000/Gasto_o_ing_total!G$479</f>
        <v>9.431300076946493E-2</v>
      </c>
      <c r="I360" s="336">
        <f>Gasto_o_ing_total!H360*1000/Gasto_o_ing_total!H$479</f>
        <v>0.21003962894911102</v>
      </c>
      <c r="J360" s="336">
        <f>Gasto_o_ing_total!I360*1000/Gasto_o_ing_total!I$479</f>
        <v>0.21433055301816017</v>
      </c>
      <c r="K360" s="336">
        <f>Gasto_o_ing_total!J360*1000/Gasto_o_ing_total!J$479</f>
        <v>0.24846158765713711</v>
      </c>
      <c r="L360" s="336">
        <f>Gasto_o_ing_total!K360*1000/Gasto_o_ing_total!K$479</f>
        <v>0.13850623450607058</v>
      </c>
      <c r="M360" s="336">
        <f>Gasto_o_ing_total!L360*1000/Gasto_o_ing_total!L$479</f>
        <v>0.15338436963537283</v>
      </c>
      <c r="N360" s="336">
        <f>Gasto_o_ing_total!M360*1000/Gasto_o_ing_total!M$479</f>
        <v>0.12536200728360902</v>
      </c>
      <c r="O360" s="336">
        <f>Gasto_o_ing_total!N360*1000/Gasto_o_ing_total!N$479</f>
        <v>0.11879165549296347</v>
      </c>
      <c r="P360" s="336">
        <f>Gasto_o_ing_total!O360*1000/Gasto_o_ing_total!O$479</f>
        <v>0.17446767569600646</v>
      </c>
      <c r="Q360" s="336">
        <f>Gasto_o_ing_total!P360*1000/Gasto_o_ing_total!P$479</f>
        <v>0.45351926188701674</v>
      </c>
      <c r="R360" s="336">
        <f>Gasto_o_ing_total!Q360*1000/Gasto_o_ing_total!Q$479</f>
        <v>9.2710065988999113E-2</v>
      </c>
      <c r="S360" s="336">
        <f>Gasto_o_ing_total!R360*1000/Gasto_o_ing_total!R$479</f>
        <v>0.1063661367894221</v>
      </c>
      <c r="T360" s="336">
        <f>Gasto_o_ing_total!S360*1000/Gasto_o_ing_total!S$479</f>
        <v>0.15725580980084455</v>
      </c>
      <c r="U360" s="336">
        <f>Gasto_o_ing_total!T360*1000/Gasto_o_ing_total!T$479</f>
        <v>0.23801230189125888</v>
      </c>
      <c r="V360" s="336">
        <f>Gasto_o_ing_total!U360*1000/Gasto_o_ing_total!U$479</f>
        <v>0.10768527450409011</v>
      </c>
      <c r="W360" s="105"/>
    </row>
    <row r="361" spans="1:23" s="102" customFormat="1">
      <c r="A361" s="355"/>
      <c r="B361" s="115" t="s">
        <v>353</v>
      </c>
      <c r="C361" s="333" t="str">
        <f>VLOOKUP(B361,Tot_res!C:D,2,FALSE)</f>
        <v>Promoción del libro y publicaciones culturales</v>
      </c>
      <c r="D361" s="336">
        <f>Gasto_o_ing_total!V361*1000/Gasto_o_ing_total!V$479</f>
        <v>0.14977252774950803</v>
      </c>
      <c r="E361" s="336">
        <f>Gasto_o_ing_total!D361*1000/Gasto_o_ing_total!D$479</f>
        <v>0.14977252774950806</v>
      </c>
      <c r="F361" s="336">
        <f>Gasto_o_ing_total!E361*1000/Gasto_o_ing_total!E$479</f>
        <v>0.14977252774950806</v>
      </c>
      <c r="G361" s="336">
        <f>Gasto_o_ing_total!F361*1000/Gasto_o_ing_total!F$479</f>
        <v>0.14977252774950806</v>
      </c>
      <c r="H361" s="336">
        <f>Gasto_o_ing_total!G361*1000/Gasto_o_ing_total!G$479</f>
        <v>0.14977252774950806</v>
      </c>
      <c r="I361" s="336">
        <f>Gasto_o_ing_total!H361*1000/Gasto_o_ing_total!H$479</f>
        <v>0.14977252774950808</v>
      </c>
      <c r="J361" s="336">
        <f>Gasto_o_ing_total!I361*1000/Gasto_o_ing_total!I$479</f>
        <v>0.14977252774950808</v>
      </c>
      <c r="K361" s="336">
        <f>Gasto_o_ing_total!J361*1000/Gasto_o_ing_total!J$479</f>
        <v>0.14977252774950808</v>
      </c>
      <c r="L361" s="336">
        <f>Gasto_o_ing_total!K361*1000/Gasto_o_ing_total!K$479</f>
        <v>0.14977252774950806</v>
      </c>
      <c r="M361" s="336">
        <f>Gasto_o_ing_total!L361*1000/Gasto_o_ing_total!L$479</f>
        <v>0.14977252774950806</v>
      </c>
      <c r="N361" s="336">
        <f>Gasto_o_ing_total!M361*1000/Gasto_o_ing_total!M$479</f>
        <v>0.14977252774950808</v>
      </c>
      <c r="O361" s="336">
        <f>Gasto_o_ing_total!N361*1000/Gasto_o_ing_total!N$479</f>
        <v>0.14977252774950806</v>
      </c>
      <c r="P361" s="336">
        <f>Gasto_o_ing_total!O361*1000/Gasto_o_ing_total!O$479</f>
        <v>0.14977252774950806</v>
      </c>
      <c r="Q361" s="336">
        <f>Gasto_o_ing_total!P361*1000/Gasto_o_ing_total!P$479</f>
        <v>0.14977252774950806</v>
      </c>
      <c r="R361" s="336">
        <f>Gasto_o_ing_total!Q361*1000/Gasto_o_ing_total!Q$479</f>
        <v>0.14977252774950806</v>
      </c>
      <c r="S361" s="336">
        <f>Gasto_o_ing_total!R361*1000/Gasto_o_ing_total!R$479</f>
        <v>0.14977252774950806</v>
      </c>
      <c r="T361" s="336">
        <f>Gasto_o_ing_total!S361*1000/Gasto_o_ing_total!S$479</f>
        <v>0.14977252774950806</v>
      </c>
      <c r="U361" s="336">
        <f>Gasto_o_ing_total!T361*1000/Gasto_o_ing_total!T$479</f>
        <v>0.14977252774950808</v>
      </c>
      <c r="V361" s="336">
        <f>Gasto_o_ing_total!U361*1000/Gasto_o_ing_total!U$479</f>
        <v>0.14977252774950806</v>
      </c>
      <c r="W361" s="114"/>
    </row>
    <row r="362" spans="1:23" s="102" customFormat="1">
      <c r="A362" s="355"/>
      <c r="B362" s="115" t="s">
        <v>355</v>
      </c>
      <c r="C362" s="333" t="str">
        <f>VLOOKUP(B362,Tot_res!C:D,2,FALSE)</f>
        <v>Fomento de las industrias culturales</v>
      </c>
      <c r="D362" s="336">
        <f>Gasto_o_ing_total!V362*1000/Gasto_o_ing_total!V$479</f>
        <v>6.9790960542708738E-2</v>
      </c>
      <c r="E362" s="336">
        <f>Gasto_o_ing_total!D362*1000/Gasto_o_ing_total!D$479</f>
        <v>4.1581557423859015E-2</v>
      </c>
      <c r="F362" s="336">
        <f>Gasto_o_ing_total!E362*1000/Gasto_o_ing_total!E$479</f>
        <v>7.2683937975905888E-2</v>
      </c>
      <c r="G362" s="336">
        <f>Gasto_o_ing_total!F362*1000/Gasto_o_ing_total!F$479</f>
        <v>1.7226061730434651E-2</v>
      </c>
      <c r="H362" s="336">
        <f>Gasto_o_ing_total!G362*1000/Gasto_o_ing_total!G$479</f>
        <v>3.2790135596126202E-2</v>
      </c>
      <c r="I362" s="336">
        <f>Gasto_o_ing_total!H362*1000/Gasto_o_ing_total!H$479</f>
        <v>3.1081616552270673E-2</v>
      </c>
      <c r="J362" s="336">
        <f>Gasto_o_ing_total!I362*1000/Gasto_o_ing_total!I$479</f>
        <v>0.1058630603712902</v>
      </c>
      <c r="K362" s="336">
        <f>Gasto_o_ing_total!J362*1000/Gasto_o_ing_total!J$479</f>
        <v>2.5215275134982729E-2</v>
      </c>
      <c r="L362" s="336">
        <f>Gasto_o_ing_total!K362*1000/Gasto_o_ing_total!K$479</f>
        <v>7.5954564349673898E-3</v>
      </c>
      <c r="M362" s="336">
        <f>Gasto_o_ing_total!L362*1000/Gasto_o_ing_total!L$479</f>
        <v>0.12825526326901873</v>
      </c>
      <c r="N362" s="336">
        <f>Gasto_o_ing_total!M362*1000/Gasto_o_ing_total!M$479</f>
        <v>1.8940733313284924E-2</v>
      </c>
      <c r="O362" s="336">
        <f>Gasto_o_ing_total!N362*1000/Gasto_o_ing_total!N$479</f>
        <v>8.4624545004712767E-3</v>
      </c>
      <c r="P362" s="336">
        <f>Gasto_o_ing_total!O362*1000/Gasto_o_ing_total!O$479</f>
        <v>1.532013379774433E-2</v>
      </c>
      <c r="Q362" s="336">
        <f>Gasto_o_ing_total!P362*1000/Gasto_o_ing_total!P$479</f>
        <v>0.17653806790516122</v>
      </c>
      <c r="R362" s="336">
        <f>Gasto_o_ing_total!Q362*1000/Gasto_o_ing_total!Q$479</f>
        <v>1.0033108830775413E-2</v>
      </c>
      <c r="S362" s="336">
        <f>Gasto_o_ing_total!R362*1000/Gasto_o_ing_total!R$479</f>
        <v>2.2205423828524275E-2</v>
      </c>
      <c r="T362" s="336">
        <f>Gasto_o_ing_total!S362*1000/Gasto_o_ing_total!S$479</f>
        <v>0.12644169136973069</v>
      </c>
      <c r="U362" s="336">
        <f>Gasto_o_ing_total!T362*1000/Gasto_o_ing_total!T$479</f>
        <v>1.2681529685643787E-2</v>
      </c>
      <c r="V362" s="336">
        <f>Gasto_o_ing_total!U362*1000/Gasto_o_ing_total!U$479</f>
        <v>2.8149738982512057E-3</v>
      </c>
      <c r="W362" s="105"/>
    </row>
    <row r="363" spans="1:23" s="102" customFormat="1">
      <c r="A363" s="355"/>
      <c r="B363" s="115" t="s">
        <v>357</v>
      </c>
      <c r="C363" s="333" t="str">
        <f>VLOOKUP(B363,Tot_res!C:D,2,FALSE)</f>
        <v>Música y danza</v>
      </c>
      <c r="D363" s="336">
        <f>Gasto_o_ing_total!V363*1000/Gasto_o_ing_total!V$479</f>
        <v>1.4044334106160432</v>
      </c>
      <c r="E363" s="336">
        <f>Gasto_o_ing_total!D363*1000/Gasto_o_ing_total!D$479</f>
        <v>0.49864440155552664</v>
      </c>
      <c r="F363" s="336">
        <f>Gasto_o_ing_total!E363*1000/Gasto_o_ing_total!E$479</f>
        <v>0.47152384991507068</v>
      </c>
      <c r="G363" s="336">
        <f>Gasto_o_ing_total!F363*1000/Gasto_o_ing_total!F$479</f>
        <v>0.54738880995671302</v>
      </c>
      <c r="H363" s="336">
        <f>Gasto_o_ing_total!G363*1000/Gasto_o_ing_total!G$479</f>
        <v>0.40347510241061141</v>
      </c>
      <c r="I363" s="336">
        <f>Gasto_o_ing_total!H363*1000/Gasto_o_ing_total!H$479</f>
        <v>0.41182454514374056</v>
      </c>
      <c r="J363" s="336">
        <f>Gasto_o_ing_total!I363*1000/Gasto_o_ing_total!I$479</f>
        <v>0.48100282527824001</v>
      </c>
      <c r="K363" s="336">
        <f>Gasto_o_ing_total!J363*1000/Gasto_o_ing_total!J$479</f>
        <v>0.40013074977189766</v>
      </c>
      <c r="L363" s="336">
        <f>Gasto_o_ing_total!K363*1000/Gasto_o_ing_total!K$479</f>
        <v>0.36146582262664723</v>
      </c>
      <c r="M363" s="336">
        <f>Gasto_o_ing_total!L363*1000/Gasto_o_ing_total!L$479</f>
        <v>1.1965210474954264</v>
      </c>
      <c r="N363" s="336">
        <f>Gasto_o_ing_total!M363*1000/Gasto_o_ing_total!M$479</f>
        <v>0.42843920834874644</v>
      </c>
      <c r="O363" s="336">
        <f>Gasto_o_ing_total!N363*1000/Gasto_o_ing_total!N$479</f>
        <v>0.35023420586914095</v>
      </c>
      <c r="P363" s="336">
        <f>Gasto_o_ing_total!O363*1000/Gasto_o_ing_total!O$479</f>
        <v>0.35884893130423817</v>
      </c>
      <c r="Q363" s="336">
        <f>Gasto_o_ing_total!P363*1000/Gasto_o_ing_total!P$479</f>
        <v>6.4892845215123671</v>
      </c>
      <c r="R363" s="336">
        <f>Gasto_o_ing_total!Q363*1000/Gasto_o_ing_total!Q$479</f>
        <v>0.37983783729162662</v>
      </c>
      <c r="S363" s="336">
        <f>Gasto_o_ing_total!R363*1000/Gasto_o_ing_total!R$479</f>
        <v>0.4896780550412001</v>
      </c>
      <c r="T363" s="336">
        <f>Gasto_o_ing_total!S363*1000/Gasto_o_ing_total!S$479</f>
        <v>0.70382584006387539</v>
      </c>
      <c r="U363" s="336">
        <f>Gasto_o_ing_total!T363*1000/Gasto_o_ing_total!T$479</f>
        <v>0.37869093908732931</v>
      </c>
      <c r="V363" s="336">
        <f>Gasto_o_ing_total!U363*1000/Gasto_o_ing_total!U$479</f>
        <v>0.31639485296555275</v>
      </c>
      <c r="W363" s="105"/>
    </row>
    <row r="364" spans="1:23" s="102" customFormat="1">
      <c r="A364" s="355"/>
      <c r="B364" s="115" t="s">
        <v>358</v>
      </c>
      <c r="C364" s="333" t="str">
        <f>VLOOKUP(B364,Tot_res!C:D,2,FALSE)</f>
        <v>Teatro</v>
      </c>
      <c r="D364" s="336">
        <f>Gasto_o_ing_total!V364*1000/Gasto_o_ing_total!V$479</f>
        <v>0.7128815433561797</v>
      </c>
      <c r="E364" s="336">
        <f>Gasto_o_ing_total!D364*1000/Gasto_o_ing_total!D$479</f>
        <v>0.28935523913085026</v>
      </c>
      <c r="F364" s="336">
        <f>Gasto_o_ing_total!E364*1000/Gasto_o_ing_total!E$479</f>
        <v>0.45522087932012251</v>
      </c>
      <c r="G364" s="336">
        <f>Gasto_o_ing_total!F364*1000/Gasto_o_ing_total!F$479</f>
        <v>0.29958391913436333</v>
      </c>
      <c r="H364" s="336">
        <f>Gasto_o_ing_total!G364*1000/Gasto_o_ing_total!G$479</f>
        <v>0.44647215366554593</v>
      </c>
      <c r="I364" s="336">
        <f>Gasto_o_ing_total!H364*1000/Gasto_o_ing_total!H$479</f>
        <v>0.25218121597765286</v>
      </c>
      <c r="J364" s="336">
        <f>Gasto_o_ing_total!I364*1000/Gasto_o_ing_total!I$479</f>
        <v>0.32503480547480945</v>
      </c>
      <c r="K364" s="336">
        <f>Gasto_o_ing_total!J364*1000/Gasto_o_ing_total!J$479</f>
        <v>0.40677901548001905</v>
      </c>
      <c r="L364" s="336">
        <f>Gasto_o_ing_total!K364*1000/Gasto_o_ing_total!K$479</f>
        <v>0.49506936576178551</v>
      </c>
      <c r="M364" s="336">
        <f>Gasto_o_ing_total!L364*1000/Gasto_o_ing_total!L$479</f>
        <v>0.54680963632252344</v>
      </c>
      <c r="N364" s="336">
        <f>Gasto_o_ing_total!M364*1000/Gasto_o_ing_total!M$479</f>
        <v>0.37350028715608485</v>
      </c>
      <c r="O364" s="336">
        <f>Gasto_o_ing_total!N364*1000/Gasto_o_ing_total!N$479</f>
        <v>0.45714182733942932</v>
      </c>
      <c r="P364" s="336">
        <f>Gasto_o_ing_total!O364*1000/Gasto_o_ing_total!O$479</f>
        <v>0.29990767019277365</v>
      </c>
      <c r="Q364" s="336">
        <f>Gasto_o_ing_total!P364*1000/Gasto_o_ing_total!P$479</f>
        <v>2.7024444122000797</v>
      </c>
      <c r="R364" s="336">
        <f>Gasto_o_ing_total!Q364*1000/Gasto_o_ing_total!Q$479</f>
        <v>0.34120549448819343</v>
      </c>
      <c r="S364" s="336">
        <f>Gasto_o_ing_total!R364*1000/Gasto_o_ing_total!R$479</f>
        <v>0.30280047350581696</v>
      </c>
      <c r="T364" s="336">
        <f>Gasto_o_ing_total!S364*1000/Gasto_o_ing_total!S$479</f>
        <v>0.52446166929303739</v>
      </c>
      <c r="U364" s="336">
        <f>Gasto_o_ing_total!T364*1000/Gasto_o_ing_total!T$479</f>
        <v>0.34534919913928941</v>
      </c>
      <c r="V364" s="336">
        <f>Gasto_o_ing_total!U364*1000/Gasto_o_ing_total!U$479</f>
        <v>0.22386545923838155</v>
      </c>
      <c r="W364" s="105"/>
    </row>
    <row r="365" spans="1:23" s="102" customFormat="1">
      <c r="A365" s="355"/>
      <c r="B365" s="115" t="s">
        <v>360</v>
      </c>
      <c r="C365" s="333" t="str">
        <f>VLOOKUP(B365,Tot_res!C:D,2,FALSE)</f>
        <v>Cinematografía</v>
      </c>
      <c r="D365" s="336">
        <f>Gasto_o_ing_total!V365*1000/Gasto_o_ing_total!V$479</f>
        <v>1.0647268969858128</v>
      </c>
      <c r="E365" s="336">
        <f>Gasto_o_ing_total!D365*1000/Gasto_o_ing_total!D$479</f>
        <v>0.81689175694070237</v>
      </c>
      <c r="F365" s="336">
        <f>Gasto_o_ing_total!E365*1000/Gasto_o_ing_total!E$479</f>
        <v>1.0296280639848128</v>
      </c>
      <c r="G365" s="336">
        <f>Gasto_o_ing_total!F365*1000/Gasto_o_ing_total!F$479</f>
        <v>0.86128923341339958</v>
      </c>
      <c r="H365" s="336">
        <f>Gasto_o_ing_total!G365*1000/Gasto_o_ing_total!G$479</f>
        <v>1.2422451185317842</v>
      </c>
      <c r="I365" s="336">
        <f>Gasto_o_ing_total!H365*1000/Gasto_o_ing_total!H$479</f>
        <v>1.0858770163525158</v>
      </c>
      <c r="J365" s="336">
        <f>Gasto_o_ing_total!I365*1000/Gasto_o_ing_total!I$479</f>
        <v>0.77696300405622387</v>
      </c>
      <c r="K365" s="336">
        <f>Gasto_o_ing_total!J365*1000/Gasto_o_ing_total!J$479</f>
        <v>0.91455661809966415</v>
      </c>
      <c r="L365" s="336">
        <f>Gasto_o_ing_total!K365*1000/Gasto_o_ing_total!K$479</f>
        <v>0.65836709557799589</v>
      </c>
      <c r="M365" s="336">
        <f>Gasto_o_ing_total!L365*1000/Gasto_o_ing_total!L$479</f>
        <v>1.2779533278716331</v>
      </c>
      <c r="N365" s="336">
        <f>Gasto_o_ing_total!M365*1000/Gasto_o_ing_total!M$479</f>
        <v>1.0877793343887374</v>
      </c>
      <c r="O365" s="336">
        <f>Gasto_o_ing_total!N365*1000/Gasto_o_ing_total!N$479</f>
        <v>0.41623889456359886</v>
      </c>
      <c r="P365" s="336">
        <f>Gasto_o_ing_total!O365*1000/Gasto_o_ing_total!O$479</f>
        <v>0.66531258200084009</v>
      </c>
      <c r="Q365" s="336">
        <f>Gasto_o_ing_total!P365*1000/Gasto_o_ing_total!P$479</f>
        <v>1.4874156488503787</v>
      </c>
      <c r="R365" s="336">
        <f>Gasto_o_ing_total!Q365*1000/Gasto_o_ing_total!Q$479</f>
        <v>0.93631900932626477</v>
      </c>
      <c r="S365" s="336">
        <f>Gasto_o_ing_total!R365*1000/Gasto_o_ing_total!R$479</f>
        <v>1.4273127881763878</v>
      </c>
      <c r="T365" s="336">
        <f>Gasto_o_ing_total!S365*1000/Gasto_o_ing_total!S$479</f>
        <v>1.4656838989642109</v>
      </c>
      <c r="U365" s="336">
        <f>Gasto_o_ing_total!T365*1000/Gasto_o_ing_total!T$479</f>
        <v>1.4308853619111628</v>
      </c>
      <c r="V365" s="336">
        <f>Gasto_o_ing_total!U365*1000/Gasto_o_ing_total!U$479</f>
        <v>0</v>
      </c>
      <c r="W365" s="105"/>
    </row>
    <row r="366" spans="1:23" s="102" customFormat="1">
      <c r="A366" s="355"/>
      <c r="B366" s="115" t="s">
        <v>851</v>
      </c>
      <c r="C366" s="333" t="str">
        <f>VLOOKUP(B366,Tot_res!C:D,2,FALSE)</f>
        <v>Fomento y apoyo de las actividades deportivas</v>
      </c>
      <c r="D366" s="336">
        <f>Gasto_o_ing_total!V366*1000/Gasto_o_ing_total!V$479</f>
        <v>2.3625506367740599</v>
      </c>
      <c r="E366" s="336">
        <f>Gasto_o_ing_total!D366*1000/Gasto_o_ing_total!D$479</f>
        <v>2.1460800232346782</v>
      </c>
      <c r="F366" s="336">
        <f>Gasto_o_ing_total!E366*1000/Gasto_o_ing_total!E$479</f>
        <v>3.2736103639760006</v>
      </c>
      <c r="G366" s="336">
        <f>Gasto_o_ing_total!F366*1000/Gasto_o_ing_total!F$479</f>
        <v>2.6000100919695304</v>
      </c>
      <c r="H366" s="336">
        <f>Gasto_o_ing_total!G366*1000/Gasto_o_ing_total!G$479</f>
        <v>2.5477915250408794</v>
      </c>
      <c r="I366" s="336">
        <f>Gasto_o_ing_total!H366*1000/Gasto_o_ing_total!H$479</f>
        <v>2.5500027893281558</v>
      </c>
      <c r="J366" s="336">
        <f>Gasto_o_ing_total!I366*1000/Gasto_o_ing_total!I$479</f>
        <v>3.3191074727986729</v>
      </c>
      <c r="K366" s="336">
        <f>Gasto_o_ing_total!J366*1000/Gasto_o_ing_total!J$479</f>
        <v>2.1515828007714894</v>
      </c>
      <c r="L366" s="336">
        <f>Gasto_o_ing_total!K366*1000/Gasto_o_ing_total!K$479</f>
        <v>1.9773088995721488</v>
      </c>
      <c r="M366" s="336">
        <f>Gasto_o_ing_total!L366*1000/Gasto_o_ing_total!L$479</f>
        <v>2.5947132554647845</v>
      </c>
      <c r="N366" s="336">
        <f>Gasto_o_ing_total!M366*1000/Gasto_o_ing_total!M$479</f>
        <v>2.1622929790404557</v>
      </c>
      <c r="O366" s="336">
        <f>Gasto_o_ing_total!N366*1000/Gasto_o_ing_total!N$479</f>
        <v>2.2156804386118476</v>
      </c>
      <c r="P366" s="336">
        <f>Gasto_o_ing_total!O366*1000/Gasto_o_ing_total!O$479</f>
        <v>2.2674690555694688</v>
      </c>
      <c r="Q366" s="336">
        <f>Gasto_o_ing_total!P366*1000/Gasto_o_ing_total!P$479</f>
        <v>2.1121388928986744</v>
      </c>
      <c r="R366" s="336">
        <f>Gasto_o_ing_total!Q366*1000/Gasto_o_ing_total!Q$479</f>
        <v>1.990491973745866</v>
      </c>
      <c r="S366" s="336">
        <f>Gasto_o_ing_total!R366*1000/Gasto_o_ing_total!R$479</f>
        <v>3.5461935562630376</v>
      </c>
      <c r="T366" s="336">
        <f>Gasto_o_ing_total!S366*1000/Gasto_o_ing_total!S$479</f>
        <v>2.9164889200866999</v>
      </c>
      <c r="U366" s="336">
        <f>Gasto_o_ing_total!T366*1000/Gasto_o_ing_total!T$479</f>
        <v>3.2794672373216027</v>
      </c>
      <c r="V366" s="336">
        <f>Gasto_o_ing_total!U366*1000/Gasto_o_ing_total!U$479</f>
        <v>3.0080323884909079</v>
      </c>
      <c r="W366" s="105"/>
    </row>
    <row r="367" spans="1:23" s="102" customFormat="1">
      <c r="A367" s="355"/>
      <c r="B367" s="115" t="s">
        <v>363</v>
      </c>
      <c r="C367" s="333" t="str">
        <f>VLOOKUP(B367,Tot_res!C:D,2,FALSE)</f>
        <v>Administración del patrimonio histórico-nacional</v>
      </c>
      <c r="D367" s="336">
        <f>Gasto_o_ing_total!V367*1000/Gasto_o_ing_total!V$479</f>
        <v>2.2977452627723611</v>
      </c>
      <c r="E367" s="336">
        <f>Gasto_o_ing_total!D367*1000/Gasto_o_ing_total!D$479</f>
        <v>0.53357866491726624</v>
      </c>
      <c r="F367" s="336">
        <f>Gasto_o_ing_total!E367*1000/Gasto_o_ing_total!E$479</f>
        <v>0.60707433033115565</v>
      </c>
      <c r="G367" s="336">
        <f>Gasto_o_ing_total!F367*1000/Gasto_o_ing_total!F$479</f>
        <v>0.54183812531881215</v>
      </c>
      <c r="H367" s="336">
        <f>Gasto_o_ing_total!G367*1000/Gasto_o_ing_total!G$479</f>
        <v>1.7859133589705973</v>
      </c>
      <c r="I367" s="336">
        <f>Gasto_o_ing_total!H367*1000/Gasto_o_ing_total!H$479</f>
        <v>0.54499552409295904</v>
      </c>
      <c r="J367" s="336">
        <f>Gasto_o_ing_total!I367*1000/Gasto_o_ing_total!I$479</f>
        <v>0.54789179726467641</v>
      </c>
      <c r="K367" s="336">
        <f>Gasto_o_ing_total!J367*1000/Gasto_o_ing_total!J$479</f>
        <v>1.421676520243041</v>
      </c>
      <c r="L367" s="336">
        <f>Gasto_o_ing_total!K367*1000/Gasto_o_ing_total!K$479</f>
        <v>0.51790894616023897</v>
      </c>
      <c r="M367" s="336">
        <f>Gasto_o_ing_total!L367*1000/Gasto_o_ing_total!L$479</f>
        <v>0.62656409403261082</v>
      </c>
      <c r="N367" s="336">
        <f>Gasto_o_ing_total!M367*1000/Gasto_o_ing_total!M$479</f>
        <v>0.53524954273709302</v>
      </c>
      <c r="O367" s="336">
        <f>Gasto_o_ing_total!N367*1000/Gasto_o_ing_total!N$479</f>
        <v>1.3297908411432162</v>
      </c>
      <c r="P367" s="336">
        <f>Gasto_o_ing_total!O367*1000/Gasto_o_ing_total!O$479</f>
        <v>0.54304386841057284</v>
      </c>
      <c r="Q367" s="336">
        <f>Gasto_o_ing_total!P367*1000/Gasto_o_ing_total!P$479</f>
        <v>12.447472479371131</v>
      </c>
      <c r="R367" s="336">
        <f>Gasto_o_ing_total!Q367*1000/Gasto_o_ing_total!Q$479</f>
        <v>0.52460733583305885</v>
      </c>
      <c r="S367" s="336">
        <f>Gasto_o_ing_total!R367*1000/Gasto_o_ing_total!R$479</f>
        <v>0.64266462179793515</v>
      </c>
      <c r="T367" s="336">
        <f>Gasto_o_ing_total!S367*1000/Gasto_o_ing_total!S$479</f>
        <v>0.66076089525617243</v>
      </c>
      <c r="U367" s="336">
        <f>Gasto_o_ing_total!T367*1000/Gasto_o_ing_total!T$479</f>
        <v>0.59659299655167741</v>
      </c>
      <c r="V367" s="336">
        <f>Gasto_o_ing_total!U367*1000/Gasto_o_ing_total!U$479</f>
        <v>0.51764275121329262</v>
      </c>
      <c r="W367" s="105"/>
    </row>
    <row r="368" spans="1:23" s="102" customFormat="1">
      <c r="A368" s="355"/>
      <c r="B368" s="115" t="s">
        <v>364</v>
      </c>
      <c r="C368" s="333" t="str">
        <f>VLOOKUP(B368,Tot_res!C:D,2,FALSE)</f>
        <v>Conservación y restauración de bienes culturales + AF17/1</v>
      </c>
      <c r="D368" s="336">
        <f>Gasto_o_ing_total!V368*1000/Gasto_o_ing_total!V$479</f>
        <v>0.6138395041929634</v>
      </c>
      <c r="E368" s="336">
        <f>Gasto_o_ing_total!D368*1000/Gasto_o_ing_total!D$479</f>
        <v>0.2179806515900421</v>
      </c>
      <c r="F368" s="336">
        <f>Gasto_o_ing_total!E368*1000/Gasto_o_ing_total!E$479</f>
        <v>0.61588710655091006</v>
      </c>
      <c r="G368" s="336">
        <f>Gasto_o_ing_total!F368*1000/Gasto_o_ing_total!F$479</f>
        <v>0.22713433261502083</v>
      </c>
      <c r="H368" s="336">
        <f>Gasto_o_ing_total!G368*1000/Gasto_o_ing_total!G$479</f>
        <v>1.0967510753187186</v>
      </c>
      <c r="I368" s="336">
        <f>Gasto_o_ing_total!H368*1000/Gasto_o_ing_total!H$479</f>
        <v>0.61979052411989999</v>
      </c>
      <c r="J368" s="336">
        <f>Gasto_o_ing_total!I368*1000/Gasto_o_ing_total!I$479</f>
        <v>0.55766628412184249</v>
      </c>
      <c r="K368" s="336">
        <f>Gasto_o_ing_total!J368*1000/Gasto_o_ing_total!J$479</f>
        <v>0.56629744770938373</v>
      </c>
      <c r="L368" s="336">
        <f>Gasto_o_ing_total!K368*1000/Gasto_o_ing_total!K$479</f>
        <v>1.7950798415177682</v>
      </c>
      <c r="M368" s="336">
        <f>Gasto_o_ing_total!L368*1000/Gasto_o_ing_total!L$479</f>
        <v>0.49613209592525703</v>
      </c>
      <c r="N368" s="336">
        <f>Gasto_o_ing_total!M368*1000/Gasto_o_ing_total!M$479</f>
        <v>0.36672720752495902</v>
      </c>
      <c r="O368" s="336">
        <f>Gasto_o_ing_total!N368*1000/Gasto_o_ing_total!N$479</f>
        <v>0.55826008448971742</v>
      </c>
      <c r="P368" s="336">
        <f>Gasto_o_ing_total!O368*1000/Gasto_o_ing_total!O$479</f>
        <v>1.8567352803306207</v>
      </c>
      <c r="Q368" s="336">
        <f>Gasto_o_ing_total!P368*1000/Gasto_o_ing_total!P$479</f>
        <v>0.61237257925239685</v>
      </c>
      <c r="R368" s="336">
        <f>Gasto_o_ing_total!Q368*1000/Gasto_o_ing_total!Q$479</f>
        <v>0.32704140634769124</v>
      </c>
      <c r="S368" s="336">
        <f>Gasto_o_ing_total!R368*1000/Gasto_o_ing_total!R$479</f>
        <v>0.62989158897971653</v>
      </c>
      <c r="T368" s="336">
        <f>Gasto_o_ing_total!S368*1000/Gasto_o_ing_total!S$479</f>
        <v>0.6813481640618978</v>
      </c>
      <c r="U368" s="336">
        <f>Gasto_o_ing_total!T368*1000/Gasto_o_ing_total!T$479</f>
        <v>0.38466955927406005</v>
      </c>
      <c r="V368" s="336">
        <f>Gasto_o_ing_total!U368*1000/Gasto_o_ing_total!U$479</f>
        <v>0.59483423983323935</v>
      </c>
      <c r="W368" s="105"/>
    </row>
    <row r="369" spans="1:23" s="102" customFormat="1">
      <c r="A369" s="355"/>
      <c r="B369" s="115" t="s">
        <v>366</v>
      </c>
      <c r="C369" s="333" t="str">
        <f>VLOOKUP(B369,Tot_res!C:D,2,FALSE)</f>
        <v>Protección del patrimonio histórico + AF17/2</v>
      </c>
      <c r="D369" s="336">
        <f>Gasto_o_ing_total!V369*1000/Gasto_o_ing_total!V$479</f>
        <v>0.198754849875387</v>
      </c>
      <c r="E369" s="336">
        <f>Gasto_o_ing_total!D369*1000/Gasto_o_ing_total!D$479</f>
        <v>0.19079502280380412</v>
      </c>
      <c r="F369" s="336">
        <f>Gasto_o_ing_total!E369*1000/Gasto_o_ing_total!E$479</f>
        <v>0.35824664262315348</v>
      </c>
      <c r="G369" s="336">
        <f>Gasto_o_ing_total!F369*1000/Gasto_o_ing_total!F$479</f>
        <v>0.11737681391677274</v>
      </c>
      <c r="H369" s="336">
        <f>Gasto_o_ing_total!G369*1000/Gasto_o_ing_total!G$479</f>
        <v>0.11914897121466692</v>
      </c>
      <c r="I369" s="336">
        <f>Gasto_o_ing_total!H369*1000/Gasto_o_ing_total!H$479</f>
        <v>0.12193619966842199</v>
      </c>
      <c r="J369" s="336">
        <f>Gasto_o_ing_total!I369*1000/Gasto_o_ing_total!I$479</f>
        <v>0.423696024676112</v>
      </c>
      <c r="K369" s="336">
        <f>Gasto_o_ing_total!J369*1000/Gasto_o_ing_total!J$479</f>
        <v>0.37157760814917473</v>
      </c>
      <c r="L369" s="336">
        <f>Gasto_o_ing_total!K369*1000/Gasto_o_ing_total!K$479</f>
        <v>0.14266673223909265</v>
      </c>
      <c r="M369" s="336">
        <f>Gasto_o_ing_total!L369*1000/Gasto_o_ing_total!L$479</f>
        <v>0.1350104428659632</v>
      </c>
      <c r="N369" s="336">
        <f>Gasto_o_ing_total!M369*1000/Gasto_o_ing_total!M$479</f>
        <v>0.11078061194708777</v>
      </c>
      <c r="O369" s="336">
        <f>Gasto_o_ing_total!N369*1000/Gasto_o_ing_total!N$479</f>
        <v>0.29181711377144554</v>
      </c>
      <c r="P369" s="336">
        <f>Gasto_o_ing_total!O369*1000/Gasto_o_ing_total!O$479</f>
        <v>0.1115845376800178</v>
      </c>
      <c r="Q369" s="336">
        <f>Gasto_o_ing_total!P369*1000/Gasto_o_ing_total!P$479</f>
        <v>0.30999125432013003</v>
      </c>
      <c r="R369" s="336">
        <f>Gasto_o_ing_total!Q369*1000/Gasto_o_ing_total!Q$479</f>
        <v>0.28031779173489257</v>
      </c>
      <c r="S369" s="336">
        <f>Gasto_o_ing_total!R369*1000/Gasto_o_ing_total!R$479</f>
        <v>0.20465659492816912</v>
      </c>
      <c r="T369" s="336">
        <f>Gasto_o_ing_total!S369*1000/Gasto_o_ing_total!S$479</f>
        <v>0.20622192167381381</v>
      </c>
      <c r="U369" s="336">
        <f>Gasto_o_ing_total!T369*1000/Gasto_o_ing_total!T$479</f>
        <v>8.8932395744598727E-2</v>
      </c>
      <c r="V369" s="336">
        <f>Gasto_o_ing_total!U369*1000/Gasto_o_ing_total!U$479</f>
        <v>8.2103203486392232E-2</v>
      </c>
      <c r="W369" s="105"/>
    </row>
    <row r="370" spans="1:23" s="102" customFormat="1">
      <c r="A370" s="355"/>
      <c r="B370" s="115" t="s">
        <v>854</v>
      </c>
      <c r="C370" s="333" t="str">
        <f>VLOOKUP(B370,Tot_res!C:D,2,FALSE)</f>
        <v>Dirección y Servicios Generales de Economía y Hacienda, transferencias a RTVE</v>
      </c>
      <c r="D370" s="336">
        <f>Gasto_o_ing_total!V370*1000/Gasto_o_ing_total!V$479</f>
        <v>7.8107955342472781</v>
      </c>
      <c r="E370" s="336">
        <f>Gasto_o_ing_total!D370*1000/Gasto_o_ing_total!D$479</f>
        <v>7.8107955342472781</v>
      </c>
      <c r="F370" s="336">
        <f>Gasto_o_ing_total!E370*1000/Gasto_o_ing_total!E$479</f>
        <v>7.810795534247279</v>
      </c>
      <c r="G370" s="336">
        <f>Gasto_o_ing_total!F370*1000/Gasto_o_ing_total!F$479</f>
        <v>7.8107955342472799</v>
      </c>
      <c r="H370" s="336">
        <f>Gasto_o_ing_total!G370*1000/Gasto_o_ing_total!G$479</f>
        <v>7.8107955342472772</v>
      </c>
      <c r="I370" s="336">
        <f>Gasto_o_ing_total!H370*1000/Gasto_o_ing_total!H$479</f>
        <v>7.810795534247279</v>
      </c>
      <c r="J370" s="336">
        <f>Gasto_o_ing_total!I370*1000/Gasto_o_ing_total!I$479</f>
        <v>7.810795534247279</v>
      </c>
      <c r="K370" s="336">
        <f>Gasto_o_ing_total!J370*1000/Gasto_o_ing_total!J$479</f>
        <v>7.8107955342472799</v>
      </c>
      <c r="L370" s="336">
        <f>Gasto_o_ing_total!K370*1000/Gasto_o_ing_total!K$479</f>
        <v>7.810795534247279</v>
      </c>
      <c r="M370" s="336">
        <f>Gasto_o_ing_total!L370*1000/Gasto_o_ing_total!L$479</f>
        <v>7.810795534247279</v>
      </c>
      <c r="N370" s="336">
        <f>Gasto_o_ing_total!M370*1000/Gasto_o_ing_total!M$479</f>
        <v>7.8107955342472799</v>
      </c>
      <c r="O370" s="336">
        <f>Gasto_o_ing_total!N370*1000/Gasto_o_ing_total!N$479</f>
        <v>7.810795534247279</v>
      </c>
      <c r="P370" s="336">
        <f>Gasto_o_ing_total!O370*1000/Gasto_o_ing_total!O$479</f>
        <v>7.810795534247279</v>
      </c>
      <c r="Q370" s="336">
        <f>Gasto_o_ing_total!P370*1000/Gasto_o_ing_total!P$479</f>
        <v>7.810795534247279</v>
      </c>
      <c r="R370" s="336">
        <f>Gasto_o_ing_total!Q370*1000/Gasto_o_ing_total!Q$479</f>
        <v>7.8107955342472772</v>
      </c>
      <c r="S370" s="336">
        <f>Gasto_o_ing_total!R370*1000/Gasto_o_ing_total!R$479</f>
        <v>7.810795534247279</v>
      </c>
      <c r="T370" s="336">
        <f>Gasto_o_ing_total!S370*1000/Gasto_o_ing_total!S$479</f>
        <v>7.8107955342472781</v>
      </c>
      <c r="U370" s="336">
        <f>Gasto_o_ing_total!T370*1000/Gasto_o_ing_total!T$479</f>
        <v>7.810795534247279</v>
      </c>
      <c r="V370" s="336">
        <f>Gasto_o_ing_total!U370*1000/Gasto_o_ing_total!U$479</f>
        <v>7.8107955342472781</v>
      </c>
      <c r="W370" s="105"/>
    </row>
    <row r="371" spans="1:23" s="102" customFormat="1">
      <c r="A371" s="355"/>
      <c r="B371" s="115" t="s">
        <v>368</v>
      </c>
      <c r="C371" s="333" t="str">
        <f>VLOOKUP(B371,Tot_res!C:D,2,FALSE)</f>
        <v>Normalización lingüística + AF08</v>
      </c>
      <c r="D371" s="336">
        <f>Gasto_o_ing_total!V371*1000/Gasto_o_ing_total!V$479</f>
        <v>3.9583386403065468</v>
      </c>
      <c r="E371" s="336">
        <f>Gasto_o_ing_total!D371*1000/Gasto_o_ing_total!D$479</f>
        <v>0</v>
      </c>
      <c r="F371" s="336">
        <f>Gasto_o_ing_total!E371*1000/Gasto_o_ing_total!E$479</f>
        <v>0</v>
      </c>
      <c r="G371" s="336">
        <f>Gasto_o_ing_total!F371*1000/Gasto_o_ing_total!F$479</f>
        <v>0</v>
      </c>
      <c r="H371" s="336">
        <f>Gasto_o_ing_total!G371*1000/Gasto_o_ing_total!G$479</f>
        <v>18.138131696865692</v>
      </c>
      <c r="I371" s="336">
        <f>Gasto_o_ing_total!H371*1000/Gasto_o_ing_total!H$479</f>
        <v>0</v>
      </c>
      <c r="J371" s="336">
        <f>Gasto_o_ing_total!I371*1000/Gasto_o_ing_total!I$479</f>
        <v>0</v>
      </c>
      <c r="K371" s="336">
        <f>Gasto_o_ing_total!J371*1000/Gasto_o_ing_total!J$479</f>
        <v>0</v>
      </c>
      <c r="L371" s="336">
        <f>Gasto_o_ing_total!K371*1000/Gasto_o_ing_total!K$479</f>
        <v>0</v>
      </c>
      <c r="M371" s="336">
        <f>Gasto_o_ing_total!L371*1000/Gasto_o_ing_total!L$479</f>
        <v>8.7783931571956355</v>
      </c>
      <c r="N371" s="336">
        <f>Gasto_o_ing_total!M371*1000/Gasto_o_ing_total!M$479</f>
        <v>8.1693399067026533</v>
      </c>
      <c r="O371" s="336">
        <f>Gasto_o_ing_total!N371*1000/Gasto_o_ing_total!N$479</f>
        <v>0</v>
      </c>
      <c r="P371" s="336">
        <f>Gasto_o_ing_total!O371*1000/Gasto_o_ing_total!O$479</f>
        <v>11.235757302421419</v>
      </c>
      <c r="Q371" s="336">
        <f>Gasto_o_ing_total!P371*1000/Gasto_o_ing_total!P$479</f>
        <v>0</v>
      </c>
      <c r="R371" s="336">
        <f>Gasto_o_ing_total!Q371*1000/Gasto_o_ing_total!Q$479</f>
        <v>0</v>
      </c>
      <c r="S371" s="336">
        <f>Gasto_o_ing_total!R371*1000/Gasto_o_ing_total!R$479</f>
        <v>9.6326078642036563</v>
      </c>
      <c r="T371" s="336">
        <f>Gasto_o_ing_total!S371*1000/Gasto_o_ing_total!S$479</f>
        <v>9.6326078642036563</v>
      </c>
      <c r="U371" s="336">
        <f>Gasto_o_ing_total!T371*1000/Gasto_o_ing_total!T$479</f>
        <v>0</v>
      </c>
      <c r="V371" s="336">
        <f>Gasto_o_ing_total!U371*1000/Gasto_o_ing_total!U$479</f>
        <v>0</v>
      </c>
      <c r="W371" s="105"/>
    </row>
    <row r="372" spans="1:23" s="102" customFormat="1">
      <c r="A372" s="355"/>
      <c r="B372" s="115" t="s">
        <v>369</v>
      </c>
      <c r="C372" s="333" t="str">
        <f>VLOOKUP(B372,Tot_res!C:D,2,FALSE)</f>
        <v>Aportación a la Iglesia Católica ligadas a la casilla del IRPF</v>
      </c>
      <c r="D372" s="336">
        <f>Gasto_o_ing_total!V372*1000/Gasto_o_ing_total!V$479</f>
        <v>5.2807887581835553</v>
      </c>
      <c r="E372" s="336">
        <f>Gasto_o_ing_total!D372*1000/Gasto_o_ing_total!D$479</f>
        <v>5.3918600492571791</v>
      </c>
      <c r="F372" s="336">
        <f>Gasto_o_ing_total!E372*1000/Gasto_o_ing_total!E$479</f>
        <v>5.8969392400442739</v>
      </c>
      <c r="G372" s="336">
        <f>Gasto_o_ing_total!F372*1000/Gasto_o_ing_total!F$479</f>
        <v>5.7200451090021884</v>
      </c>
      <c r="H372" s="336">
        <f>Gasto_o_ing_total!G372*1000/Gasto_o_ing_total!G$479</f>
        <v>5.2519275408089872</v>
      </c>
      <c r="I372" s="336">
        <f>Gasto_o_ing_total!H372*1000/Gasto_o_ing_total!H$479</f>
        <v>5.6875169950776296</v>
      </c>
      <c r="J372" s="336">
        <f>Gasto_o_ing_total!I372*1000/Gasto_o_ing_total!I$479</f>
        <v>5.3338908938785492</v>
      </c>
      <c r="K372" s="336">
        <f>Gasto_o_ing_total!J372*1000/Gasto_o_ing_total!J$479</f>
        <v>6.7705282994162701</v>
      </c>
      <c r="L372" s="336">
        <f>Gasto_o_ing_total!K372*1000/Gasto_o_ing_total!K$479</f>
        <v>6.282435708884238</v>
      </c>
      <c r="M372" s="336">
        <f>Gasto_o_ing_total!L372*1000/Gasto_o_ing_total!L$479</f>
        <v>3.803907629867505</v>
      </c>
      <c r="N372" s="336">
        <f>Gasto_o_ing_total!M372*1000/Gasto_o_ing_total!M$479</f>
        <v>5.0492424820690092</v>
      </c>
      <c r="O372" s="336">
        <f>Gasto_o_ing_total!N372*1000/Gasto_o_ing_total!N$479</f>
        <v>6.2734019265496652</v>
      </c>
      <c r="P372" s="336">
        <f>Gasto_o_ing_total!O372*1000/Gasto_o_ing_total!O$479</f>
        <v>6.7245923010645772</v>
      </c>
      <c r="Q372" s="336">
        <f>Gasto_o_ing_total!P372*1000/Gasto_o_ing_total!P$479</f>
        <v>4.807634762781249</v>
      </c>
      <c r="R372" s="336">
        <f>Gasto_o_ing_total!Q372*1000/Gasto_o_ing_total!Q$479</f>
        <v>6.645589612251996</v>
      </c>
      <c r="S372" s="336">
        <f>Gasto_o_ing_total!R372*1000/Gasto_o_ing_total!R$479</f>
        <v>5.3839011340594967</v>
      </c>
      <c r="T372" s="336">
        <f>Gasto_o_ing_total!S372*1000/Gasto_o_ing_total!S$479</f>
        <v>4.9063610347675244</v>
      </c>
      <c r="U372" s="336">
        <f>Gasto_o_ing_total!T372*1000/Gasto_o_ing_total!T$479</f>
        <v>6.1281034780001074</v>
      </c>
      <c r="V372" s="336">
        <f>Gasto_o_ing_total!U372*1000/Gasto_o_ing_total!U$479</f>
        <v>4.4158487906283952</v>
      </c>
      <c r="W372" s="105"/>
    </row>
    <row r="373" spans="1:23">
      <c r="A373" s="355"/>
      <c r="B373" s="115" t="s">
        <v>857</v>
      </c>
      <c r="C373" s="333" t="str">
        <f>VLOOKUP(B373,Tot_res!C:D,2,FALSE)</f>
        <v>Ordenación y fomento de la edificación, actuaciones relacionadas con el 1% cultural</v>
      </c>
      <c r="D373" s="336">
        <f>Gasto_o_ing_total!V373*1000/Gasto_o_ing_total!V$479</f>
        <v>0.29809398192081271</v>
      </c>
      <c r="E373" s="336">
        <f>Gasto_o_ing_total!D373*1000/Gasto_o_ing_total!D$479</f>
        <v>0.32374500083600538</v>
      </c>
      <c r="F373" s="336">
        <f>Gasto_o_ing_total!E373*1000/Gasto_o_ing_total!E$479</f>
        <v>0.30828920786700065</v>
      </c>
      <c r="G373" s="336">
        <f>Gasto_o_ing_total!F373*1000/Gasto_o_ing_total!F$479</f>
        <v>0.34210128317332184</v>
      </c>
      <c r="H373" s="336">
        <f>Gasto_o_ing_total!G373*1000/Gasto_o_ing_total!G$479</f>
        <v>0.72738813053335927</v>
      </c>
      <c r="I373" s="336">
        <f>Gasto_o_ing_total!H373*1000/Gasto_o_ing_total!H$479</f>
        <v>2.3744339418130912E-2</v>
      </c>
      <c r="J373" s="336">
        <f>Gasto_o_ing_total!I373*1000/Gasto_o_ing_total!I$479</f>
        <v>0.66230144529474377</v>
      </c>
      <c r="K373" s="336">
        <f>Gasto_o_ing_total!J373*1000/Gasto_o_ing_total!J$479</f>
        <v>0.43059189553603716</v>
      </c>
      <c r="L373" s="336">
        <f>Gasto_o_ing_total!K373*1000/Gasto_o_ing_total!K$479</f>
        <v>0.33196695067195875</v>
      </c>
      <c r="M373" s="336">
        <f>Gasto_o_ing_total!L373*1000/Gasto_o_ing_total!L$479</f>
        <v>0.53564685520294852</v>
      </c>
      <c r="N373" s="336">
        <f>Gasto_o_ing_total!M373*1000/Gasto_o_ing_total!M$479</f>
        <v>0.19864687146313806</v>
      </c>
      <c r="O373" s="336">
        <f>Gasto_o_ing_total!N373*1000/Gasto_o_ing_total!N$479</f>
        <v>0.32307281290467765</v>
      </c>
      <c r="P373" s="336">
        <f>Gasto_o_ing_total!O373*1000/Gasto_o_ing_total!O$479</f>
        <v>0.35082234186072231</v>
      </c>
      <c r="Q373" s="336">
        <f>Gasto_o_ing_total!P373*1000/Gasto_o_ing_total!P$479</f>
        <v>2.5694379383409651E-2</v>
      </c>
      <c r="R373" s="336">
        <f>Gasto_o_ing_total!Q373*1000/Gasto_o_ing_total!Q$479</f>
        <v>2.3744339418130912E-2</v>
      </c>
      <c r="S373" s="336">
        <f>Gasto_o_ing_total!R373*1000/Gasto_o_ing_total!R$479</f>
        <v>2.3744339418130912E-2</v>
      </c>
      <c r="T373" s="336">
        <f>Gasto_o_ing_total!S373*1000/Gasto_o_ing_total!S$479</f>
        <v>2.3744339418130908E-2</v>
      </c>
      <c r="U373" s="336">
        <f>Gasto_o_ing_total!T373*1000/Gasto_o_ing_total!T$479</f>
        <v>2.3744339418130912E-2</v>
      </c>
      <c r="V373" s="336">
        <f>Gasto_o_ing_total!U373*1000/Gasto_o_ing_total!U$479</f>
        <v>4.9311724738024587</v>
      </c>
      <c r="W373" s="2"/>
    </row>
    <row r="374" spans="1:23">
      <c r="A374" s="356"/>
      <c r="D374" s="20"/>
      <c r="E374" s="20"/>
      <c r="F374" s="20"/>
      <c r="G374" s="20"/>
      <c r="H374" s="20"/>
      <c r="I374" s="20"/>
      <c r="J374" s="20"/>
      <c r="K374" s="20"/>
      <c r="L374" s="20"/>
      <c r="M374" s="20"/>
      <c r="N374" s="20"/>
      <c r="O374" s="20"/>
      <c r="P374" s="20"/>
      <c r="Q374" s="20"/>
      <c r="R374" s="20"/>
      <c r="S374" s="20"/>
      <c r="T374" s="20"/>
      <c r="U374" s="20"/>
      <c r="V374" s="20"/>
      <c r="W374" s="2"/>
    </row>
    <row r="375" spans="1:23" s="102" customFormat="1">
      <c r="A375" s="356"/>
      <c r="B375" s="115"/>
      <c r="C375" s="147" t="s">
        <v>68</v>
      </c>
      <c r="D375" s="110">
        <f>Gasto_o_ing_total!V375*1000/Gasto_o_ing_total!V$479</f>
        <v>3618.3048018865061</v>
      </c>
      <c r="E375" s="110">
        <f>Gasto_o_ing_total!D375*1000/Gasto_o_ing_total!D$479</f>
        <v>3141.6739444674622</v>
      </c>
      <c r="F375" s="110">
        <f>Gasto_o_ing_total!E375*1000/Gasto_o_ing_total!E$479</f>
        <v>4043.4576054559943</v>
      </c>
      <c r="G375" s="110">
        <f>Gasto_o_ing_total!F375*1000/Gasto_o_ing_total!F$479</f>
        <v>5341.9572878454874</v>
      </c>
      <c r="H375" s="110">
        <f>Gasto_o_ing_total!G375*1000/Gasto_o_ing_total!G$479</f>
        <v>2923.653761266462</v>
      </c>
      <c r="I375" s="110">
        <f>Gasto_o_ing_total!H375*1000/Gasto_o_ing_total!H$479</f>
        <v>2783.2726564655118</v>
      </c>
      <c r="J375" s="110">
        <f>Gasto_o_ing_total!I375*1000/Gasto_o_ing_total!I$479</f>
        <v>4163.3570284923007</v>
      </c>
      <c r="K375" s="110">
        <f>Gasto_o_ing_total!J375*1000/Gasto_o_ing_total!J$479</f>
        <v>4177.8297522971843</v>
      </c>
      <c r="L375" s="110">
        <f>Gasto_o_ing_total!K375*1000/Gasto_o_ing_total!K$479</f>
        <v>3170.1746211684649</v>
      </c>
      <c r="M375" s="110">
        <f>Gasto_o_ing_total!L375*1000/Gasto_o_ing_total!L$479</f>
        <v>3901.0310255136815</v>
      </c>
      <c r="N375" s="110">
        <f>Gasto_o_ing_total!M375*1000/Gasto_o_ing_total!M$479</f>
        <v>3230.3131369919211</v>
      </c>
      <c r="O375" s="110">
        <f>Gasto_o_ing_total!N375*1000/Gasto_o_ing_total!N$479</f>
        <v>3318.7796862989835</v>
      </c>
      <c r="P375" s="110">
        <f>Gasto_o_ing_total!O375*1000/Gasto_o_ing_total!O$479</f>
        <v>4089.752628665824</v>
      </c>
      <c r="Q375" s="110">
        <f>Gasto_o_ing_total!P375*1000/Gasto_o_ing_total!P$479</f>
        <v>3718.1146310631602</v>
      </c>
      <c r="R375" s="110">
        <f>Gasto_o_ing_total!Q375*1000/Gasto_o_ing_total!Q$479</f>
        <v>2999.1637491015781</v>
      </c>
      <c r="S375" s="110">
        <f>Gasto_o_ing_total!R375*1000/Gasto_o_ing_total!R$479</f>
        <v>3938.033690663136</v>
      </c>
      <c r="T375" s="110">
        <f>Gasto_o_ing_total!S375*1000/Gasto_o_ing_total!S$479</f>
        <v>4731.20068853678</v>
      </c>
      <c r="U375" s="110">
        <f>Gasto_o_ing_total!T375*1000/Gasto_o_ing_total!T$479</f>
        <v>3653.2765245051787</v>
      </c>
      <c r="V375" s="110">
        <f>Gasto_o_ing_total!U375*1000/Gasto_o_ing_total!U$479</f>
        <v>2588.512261235905</v>
      </c>
      <c r="W375" s="105"/>
    </row>
    <row r="376" spans="1:23" s="102" customFormat="1">
      <c r="A376" s="356"/>
      <c r="B376" s="115"/>
      <c r="D376" s="110"/>
      <c r="E376" s="110"/>
      <c r="F376" s="110"/>
      <c r="G376" s="110"/>
      <c r="H376" s="110"/>
      <c r="I376" s="110"/>
      <c r="J376" s="110"/>
      <c r="K376" s="110"/>
      <c r="L376" s="110"/>
      <c r="M376" s="110"/>
      <c r="N376" s="110"/>
      <c r="O376" s="110"/>
      <c r="P376" s="110"/>
      <c r="Q376" s="110"/>
      <c r="R376" s="110"/>
      <c r="S376" s="110"/>
      <c r="T376" s="110"/>
      <c r="U376" s="110"/>
      <c r="V376" s="110"/>
      <c r="W376" s="105"/>
    </row>
    <row r="377" spans="1:23" s="102" customFormat="1">
      <c r="A377" s="356"/>
      <c r="B377" s="115"/>
      <c r="C377" s="117" t="s">
        <v>3</v>
      </c>
      <c r="D377" s="113">
        <f>Gasto_o_ing_total!V377*1000/Gasto_o_ing_total!V$479</f>
        <v>3532.3316964801102</v>
      </c>
      <c r="E377" s="113">
        <f>Gasto_o_ing_total!D377*1000/Gasto_o_ing_total!D$479</f>
        <v>3055.8538127156057</v>
      </c>
      <c r="F377" s="113">
        <f>Gasto_o_ing_total!E377*1000/Gasto_o_ing_total!E$479</f>
        <v>3959.9781377964459</v>
      </c>
      <c r="G377" s="113">
        <f>Gasto_o_ing_total!F377*1000/Gasto_o_ing_total!F$479</f>
        <v>5244.4502023650075</v>
      </c>
      <c r="H377" s="113">
        <f>Gasto_o_ing_total!G377*1000/Gasto_o_ing_total!G$479</f>
        <v>2847.3180288796984</v>
      </c>
      <c r="I377" s="113">
        <f>Gasto_o_ing_total!H377*1000/Gasto_o_ing_total!H$479</f>
        <v>2719.3761648054124</v>
      </c>
      <c r="J377" s="113">
        <f>Gasto_o_ing_total!I377*1000/Gasto_o_ing_total!I$479</f>
        <v>4057.205098310993</v>
      </c>
      <c r="K377" s="113">
        <f>Gasto_o_ing_total!J377*1000/Gasto_o_ing_total!J$479</f>
        <v>4075.2948118906033</v>
      </c>
      <c r="L377" s="113">
        <f>Gasto_o_ing_total!K377*1000/Gasto_o_ing_total!K$479</f>
        <v>3086.1032450180473</v>
      </c>
      <c r="M377" s="113">
        <f>Gasto_o_ing_total!L377*1000/Gasto_o_ing_total!L$479</f>
        <v>3813.158316420057</v>
      </c>
      <c r="N377" s="113">
        <f>Gasto_o_ing_total!M377*1000/Gasto_o_ing_total!M$479</f>
        <v>3161.2891210789307</v>
      </c>
      <c r="O377" s="113">
        <f>Gasto_o_ing_total!N377*1000/Gasto_o_ing_total!N$479</f>
        <v>3227.6183323720052</v>
      </c>
      <c r="P377" s="113">
        <f>Gasto_o_ing_total!O377*1000/Gasto_o_ing_total!O$479</f>
        <v>3996.9247159821889</v>
      </c>
      <c r="Q377" s="113">
        <f>Gasto_o_ing_total!P377*1000/Gasto_o_ing_total!P$479</f>
        <v>3634.6353828229367</v>
      </c>
      <c r="R377" s="113">
        <f>Gasto_o_ing_total!Q377*1000/Gasto_o_ing_total!Q$479</f>
        <v>2908.9676618268404</v>
      </c>
      <c r="S377" s="113">
        <f>Gasto_o_ing_total!R377*1000/Gasto_o_ing_total!R$479</f>
        <v>3857.4319625218809</v>
      </c>
      <c r="T377" s="113">
        <f>Gasto_o_ing_total!S377*1000/Gasto_o_ing_total!S$479</f>
        <v>4626.5015364325373</v>
      </c>
      <c r="U377" s="113">
        <f>Gasto_o_ing_total!T377*1000/Gasto_o_ing_total!T$479</f>
        <v>3554.0535206015611</v>
      </c>
      <c r="V377" s="113">
        <f>Gasto_o_ing_total!U377*1000/Gasto_o_ing_total!U$479</f>
        <v>2412.9100038207025</v>
      </c>
      <c r="W377" s="105"/>
    </row>
    <row r="378" spans="1:23" s="102" customFormat="1">
      <c r="A378" s="355"/>
      <c r="B378" s="115" t="s">
        <v>370</v>
      </c>
      <c r="C378" s="333" t="str">
        <f>VLOOKUP(B378,Tot_res!C:D,2,FALSE)</f>
        <v>Pensiones de clases pasivas</v>
      </c>
      <c r="D378" s="336">
        <f>Gasto_o_ing_total!V378*1000/Gasto_o_ing_total!V$479</f>
        <v>254.37673651190798</v>
      </c>
      <c r="E378" s="336">
        <f>Gasto_o_ing_total!D378*1000/Gasto_o_ing_total!D$479</f>
        <v>280.9969068929658</v>
      </c>
      <c r="F378" s="336">
        <f>Gasto_o_ing_total!E378*1000/Gasto_o_ing_total!E$479</f>
        <v>328.00267574419041</v>
      </c>
      <c r="G378" s="336">
        <f>Gasto_o_ing_total!F378*1000/Gasto_o_ing_total!F$479</f>
        <v>301.42567933740264</v>
      </c>
      <c r="H378" s="336">
        <f>Gasto_o_ing_total!G378*1000/Gasto_o_ing_total!G$479</f>
        <v>162.86377876373066</v>
      </c>
      <c r="I378" s="336">
        <f>Gasto_o_ing_total!H378*1000/Gasto_o_ing_total!H$479</f>
        <v>226.72147373241208</v>
      </c>
      <c r="J378" s="336">
        <f>Gasto_o_ing_total!I378*1000/Gasto_o_ing_total!I$479</f>
        <v>251.28650710181068</v>
      </c>
      <c r="K378" s="336">
        <f>Gasto_o_ing_total!J378*1000/Gasto_o_ing_total!J$479</f>
        <v>420.03948899079001</v>
      </c>
      <c r="L378" s="336">
        <f>Gasto_o_ing_total!K378*1000/Gasto_o_ing_total!K$479</f>
        <v>237.37685591642662</v>
      </c>
      <c r="M378" s="336">
        <f>Gasto_o_ing_total!L378*1000/Gasto_o_ing_total!L$479</f>
        <v>137.68405082934524</v>
      </c>
      <c r="N378" s="336">
        <f>Gasto_o_ing_total!M378*1000/Gasto_o_ing_total!M$479</f>
        <v>196.00488774451239</v>
      </c>
      <c r="O378" s="336">
        <f>Gasto_o_ing_total!N378*1000/Gasto_o_ing_total!N$479</f>
        <v>341.91195137490945</v>
      </c>
      <c r="P378" s="336">
        <f>Gasto_o_ing_total!O378*1000/Gasto_o_ing_total!O$479</f>
        <v>312.21091167411805</v>
      </c>
      <c r="Q378" s="336">
        <f>Gasto_o_ing_total!P378*1000/Gasto_o_ing_total!P$479</f>
        <v>335.75388531158052</v>
      </c>
      <c r="R378" s="336">
        <f>Gasto_o_ing_total!Q378*1000/Gasto_o_ing_total!Q$479</f>
        <v>284.19146682718201</v>
      </c>
      <c r="S378" s="336">
        <f>Gasto_o_ing_total!R378*1000/Gasto_o_ing_total!R$479</f>
        <v>185.49617793034443</v>
      </c>
      <c r="T378" s="336">
        <f>Gasto_o_ing_total!S378*1000/Gasto_o_ing_total!S$479</f>
        <v>137.34253469163485</v>
      </c>
      <c r="U378" s="336">
        <f>Gasto_o_ing_total!T378*1000/Gasto_o_ing_total!T$479</f>
        <v>294.50326381489759</v>
      </c>
      <c r="V378" s="336">
        <f>Gasto_o_ing_total!U378*1000/Gasto_o_ing_total!U$479</f>
        <v>520.73840334863974</v>
      </c>
      <c r="W378" s="105"/>
    </row>
    <row r="379" spans="1:23" s="102" customFormat="1">
      <c r="A379" s="355"/>
      <c r="B379" s="115" t="s">
        <v>371</v>
      </c>
      <c r="C379" s="333" t="str">
        <f>VLOOKUP(B379,Tot_res!C:D,2,FALSE)</f>
        <v>Otras pensiones y prestac. de clases pasivas</v>
      </c>
      <c r="D379" s="336">
        <f>Gasto_o_ing_total!V379*1000/Gasto_o_ing_total!V$479</f>
        <v>0.85784741170936329</v>
      </c>
      <c r="E379" s="336">
        <f>Gasto_o_ing_total!D379*1000/Gasto_o_ing_total!D$479</f>
        <v>0.39427054544115947</v>
      </c>
      <c r="F379" s="336">
        <f>Gasto_o_ing_total!E379*1000/Gasto_o_ing_total!E$479</f>
        <v>0.2924768506305811</v>
      </c>
      <c r="G379" s="336">
        <f>Gasto_o_ing_total!F379*1000/Gasto_o_ing_total!F$479</f>
        <v>0.33563100227661025</v>
      </c>
      <c r="H379" s="336">
        <f>Gasto_o_ing_total!G379*1000/Gasto_o_ing_total!G$479</f>
        <v>0.20633783512917608</v>
      </c>
      <c r="I379" s="336">
        <f>Gasto_o_ing_total!H379*1000/Gasto_o_ing_total!H$479</f>
        <v>4.4608455605714132</v>
      </c>
      <c r="J379" s="336">
        <f>Gasto_o_ing_total!I379*1000/Gasto_o_ing_total!I$479</f>
        <v>0.37364604792366907</v>
      </c>
      <c r="K379" s="336">
        <f>Gasto_o_ing_total!J379*1000/Gasto_o_ing_total!J$479</f>
        <v>0.33031733525569507</v>
      </c>
      <c r="L379" s="336">
        <f>Gasto_o_ing_total!K379*1000/Gasto_o_ing_total!K$479</f>
        <v>0.37809776464736294</v>
      </c>
      <c r="M379" s="336">
        <f>Gasto_o_ing_total!L379*1000/Gasto_o_ing_total!L$479</f>
        <v>0.26500854102155086</v>
      </c>
      <c r="N379" s="336">
        <f>Gasto_o_ing_total!M379*1000/Gasto_o_ing_total!M$479</f>
        <v>0.26271352360031108</v>
      </c>
      <c r="O379" s="336">
        <f>Gasto_o_ing_total!N379*1000/Gasto_o_ing_total!N$479</f>
        <v>0.36004752145998709</v>
      </c>
      <c r="P379" s="336">
        <f>Gasto_o_ing_total!O379*1000/Gasto_o_ing_total!O$479</f>
        <v>0.32083163436927375</v>
      </c>
      <c r="Q379" s="336">
        <f>Gasto_o_ing_total!P379*1000/Gasto_o_ing_total!P$479</f>
        <v>2.7892360573841324</v>
      </c>
      <c r="R379" s="336">
        <f>Gasto_o_ing_total!Q379*1000/Gasto_o_ing_total!Q$479</f>
        <v>0.32469059675038031</v>
      </c>
      <c r="S379" s="336">
        <f>Gasto_o_ing_total!R379*1000/Gasto_o_ing_total!R$479</f>
        <v>0.16030250523821118</v>
      </c>
      <c r="T379" s="336">
        <f>Gasto_o_ing_total!S379*1000/Gasto_o_ing_total!S$479</f>
        <v>0.44588126420017776</v>
      </c>
      <c r="U379" s="336">
        <f>Gasto_o_ing_total!T379*1000/Gasto_o_ing_total!T$479</f>
        <v>0.29552609944323888</v>
      </c>
      <c r="V379" s="336">
        <f>Gasto_o_ing_total!U379*1000/Gasto_o_ing_total!U$479</f>
        <v>2.3764083941292085</v>
      </c>
      <c r="W379" s="105"/>
    </row>
    <row r="380" spans="1:23" s="102" customFormat="1">
      <c r="A380" s="355"/>
      <c r="B380" s="115" t="s">
        <v>372</v>
      </c>
      <c r="C380" s="333" t="str">
        <f>VLOOKUP(B380,Tot_res!C:D,2,FALSE)</f>
        <v>Pensiones no contrib. y prestac. asistenciales</v>
      </c>
      <c r="D380" s="336">
        <f>Gasto_o_ing_total!V380*1000/Gasto_o_ing_total!V$479</f>
        <v>0.31034600906374671</v>
      </c>
      <c r="E380" s="336">
        <f>Gasto_o_ing_total!D380*1000/Gasto_o_ing_total!D$479</f>
        <v>0.86920963083812031</v>
      </c>
      <c r="F380" s="336">
        <f>Gasto_o_ing_total!E380*1000/Gasto_o_ing_total!E$479</f>
        <v>3.1507136328341741E-2</v>
      </c>
      <c r="G380" s="336">
        <f>Gasto_o_ing_total!F380*1000/Gasto_o_ing_total!F$479</f>
        <v>3.5298058249270077E-2</v>
      </c>
      <c r="H380" s="336">
        <f>Gasto_o_ing_total!G380*1000/Gasto_o_ing_total!G$479</f>
        <v>1.3440425651586665E-2</v>
      </c>
      <c r="I380" s="336">
        <f>Gasto_o_ing_total!H380*1000/Gasto_o_ing_total!H$479</f>
        <v>1.8812011432744145</v>
      </c>
      <c r="J380" s="336">
        <f>Gasto_o_ing_total!I380*1000/Gasto_o_ing_total!I$479</f>
        <v>0.13144432048466226</v>
      </c>
      <c r="K380" s="336">
        <f>Gasto_o_ing_total!J380*1000/Gasto_o_ing_total!J$479</f>
        <v>5.0734424647384951E-2</v>
      </c>
      <c r="L380" s="336">
        <f>Gasto_o_ing_total!K380*1000/Gasto_o_ing_total!K$479</f>
        <v>0.20139168940696381</v>
      </c>
      <c r="M380" s="336">
        <f>Gasto_o_ing_total!L380*1000/Gasto_o_ing_total!L$479</f>
        <v>8.2401958557528771E-3</v>
      </c>
      <c r="N380" s="336">
        <f>Gasto_o_ing_total!M380*1000/Gasto_o_ing_total!M$479</f>
        <v>0.17371441470249691</v>
      </c>
      <c r="O380" s="336">
        <f>Gasto_o_ing_total!N380*1000/Gasto_o_ing_total!N$479</f>
        <v>0.13783382787281928</v>
      </c>
      <c r="P380" s="336">
        <f>Gasto_o_ing_total!O380*1000/Gasto_o_ing_total!O$479</f>
        <v>8.8343081527199226E-3</v>
      </c>
      <c r="Q380" s="336">
        <f>Gasto_o_ing_total!P380*1000/Gasto_o_ing_total!P$479</f>
        <v>0.19084068758319767</v>
      </c>
      <c r="R380" s="336">
        <f>Gasto_o_ing_total!Q380*1000/Gasto_o_ing_total!Q$479</f>
        <v>0.13744814014135939</v>
      </c>
      <c r="S380" s="336">
        <f>Gasto_o_ing_total!R380*1000/Gasto_o_ing_total!R$479</f>
        <v>5.1475861794803993E-3</v>
      </c>
      <c r="T380" s="336">
        <f>Gasto_o_ing_total!S380*1000/Gasto_o_ing_total!S$479</f>
        <v>0</v>
      </c>
      <c r="U380" s="336">
        <f>Gasto_o_ing_total!T380*1000/Gasto_o_ing_total!T$479</f>
        <v>0</v>
      </c>
      <c r="V380" s="336">
        <f>Gasto_o_ing_total!U380*1000/Gasto_o_ing_total!U$479</f>
        <v>0</v>
      </c>
      <c r="W380" s="114"/>
    </row>
    <row r="381" spans="1:23" s="102" customFormat="1">
      <c r="A381" s="355"/>
      <c r="B381" s="115" t="s">
        <v>373</v>
      </c>
      <c r="C381" s="333" t="str">
        <f>VLOOKUP(B381,Tot_res!C:D,2,FALSE)</f>
        <v>Pensiones de guerra</v>
      </c>
      <c r="D381" s="336">
        <f>Gasto_o_ing_total!V381*1000/Gasto_o_ing_total!V$479</f>
        <v>5.8711344756639958</v>
      </c>
      <c r="E381" s="336">
        <f>Gasto_o_ing_total!D381*1000/Gasto_o_ing_total!D$479</f>
        <v>3.0632151855369165</v>
      </c>
      <c r="F381" s="336">
        <f>Gasto_o_ing_total!E381*1000/Gasto_o_ing_total!E$479</f>
        <v>6.8146275652143</v>
      </c>
      <c r="G381" s="336">
        <f>Gasto_o_ing_total!F381*1000/Gasto_o_ing_total!F$479</f>
        <v>9.1880129263010222</v>
      </c>
      <c r="H381" s="336">
        <f>Gasto_o_ing_total!G381*1000/Gasto_o_ing_total!G$479</f>
        <v>2.1079598269345712</v>
      </c>
      <c r="I381" s="336">
        <f>Gasto_o_ing_total!H381*1000/Gasto_o_ing_total!H$479</f>
        <v>0.32478368384091466</v>
      </c>
      <c r="J381" s="336">
        <f>Gasto_o_ing_total!I381*1000/Gasto_o_ing_total!I$479</f>
        <v>7.2215190285156678</v>
      </c>
      <c r="K381" s="336">
        <f>Gasto_o_ing_total!J381*1000/Gasto_o_ing_total!J$479</f>
        <v>2.7392085333716212</v>
      </c>
      <c r="L381" s="336">
        <f>Gasto_o_ing_total!K381*1000/Gasto_o_ing_total!K$479</f>
        <v>6.1298076733972007</v>
      </c>
      <c r="M381" s="336">
        <f>Gasto_o_ing_total!L381*1000/Gasto_o_ing_total!L$479</f>
        <v>7.9724732910211031</v>
      </c>
      <c r="N381" s="336">
        <f>Gasto_o_ing_total!M381*1000/Gasto_o_ing_total!M$479</f>
        <v>8.370933290666283</v>
      </c>
      <c r="O381" s="336">
        <f>Gasto_o_ing_total!N381*1000/Gasto_o_ing_total!N$479</f>
        <v>3.993167483195954</v>
      </c>
      <c r="P381" s="336">
        <f>Gasto_o_ing_total!O381*1000/Gasto_o_ing_total!O$479</f>
        <v>1.2915306779143134</v>
      </c>
      <c r="Q381" s="336">
        <f>Gasto_o_ing_total!P381*1000/Gasto_o_ing_total!P$479</f>
        <v>10.901643343227034</v>
      </c>
      <c r="R381" s="336">
        <f>Gasto_o_ing_total!Q381*1000/Gasto_o_ing_total!Q$479</f>
        <v>6.1128902668953717</v>
      </c>
      <c r="S381" s="336">
        <f>Gasto_o_ing_total!R381*1000/Gasto_o_ing_total!R$479</f>
        <v>2.1308896283807179</v>
      </c>
      <c r="T381" s="336">
        <f>Gasto_o_ing_total!S381*1000/Gasto_o_ing_total!S$479</f>
        <v>5.415418451117147</v>
      </c>
      <c r="U381" s="336">
        <f>Gasto_o_ing_total!T381*1000/Gasto_o_ing_total!T$479</f>
        <v>2.0648382210477214</v>
      </c>
      <c r="V381" s="336">
        <f>Gasto_o_ing_total!U381*1000/Gasto_o_ing_total!U$479</f>
        <v>0.86580622593239287</v>
      </c>
      <c r="W381" s="105"/>
    </row>
    <row r="382" spans="1:23" s="102" customFormat="1">
      <c r="A382" s="355"/>
      <c r="B382" s="115" t="s">
        <v>374</v>
      </c>
      <c r="C382" s="333" t="str">
        <f>VLOOKUP(B382,Tot_res!C:D,2,FALSE)</f>
        <v>Gestión de pensiones de clases pasivas</v>
      </c>
      <c r="D382" s="336">
        <f>Gasto_o_ing_total!V382*1000/Gasto_o_ing_total!V$479</f>
        <v>0.14107380375979311</v>
      </c>
      <c r="E382" s="336">
        <f>Gasto_o_ing_total!D382*1000/Gasto_o_ing_total!D$479</f>
        <v>0.15368894794665613</v>
      </c>
      <c r="F382" s="336">
        <f>Gasto_o_ing_total!E382*1000/Gasto_o_ing_total!E$479</f>
        <v>0.181057740344052</v>
      </c>
      <c r="G382" s="336">
        <f>Gasto_o_ing_total!F382*1000/Gasto_o_ing_total!F$479</f>
        <v>0.16800399500475327</v>
      </c>
      <c r="H382" s="336">
        <f>Gasto_o_ing_total!G382*1000/Gasto_o_ing_total!G$479</f>
        <v>8.924469246391184E-2</v>
      </c>
      <c r="I382" s="336">
        <f>Gasto_o_ing_total!H382*1000/Gasto_o_ing_total!H$479</f>
        <v>0.1250818550224469</v>
      </c>
      <c r="J382" s="336">
        <f>Gasto_o_ing_total!I382*1000/Gasto_o_ing_total!I$479</f>
        <v>0.13987216535040875</v>
      </c>
      <c r="K382" s="336">
        <f>Gasto_o_ing_total!J382*1000/Gasto_o_ing_total!J$479</f>
        <v>0.22860318225585483</v>
      </c>
      <c r="L382" s="336">
        <f>Gasto_o_ing_total!K382*1000/Gasto_o_ing_total!K$479</f>
        <v>0.13176942724292071</v>
      </c>
      <c r="M382" s="336">
        <f>Gasto_o_ing_total!L382*1000/Gasto_o_ing_total!L$479</f>
        <v>7.8840501039970867E-2</v>
      </c>
      <c r="N382" s="336">
        <f>Gasto_o_ing_total!M382*1000/Gasto_o_ing_total!M$479</f>
        <v>0.11056493378628465</v>
      </c>
      <c r="O382" s="336">
        <f>Gasto_o_ing_total!N382*1000/Gasto_o_ing_total!N$479</f>
        <v>0.18708492648170733</v>
      </c>
      <c r="P382" s="336">
        <f>Gasto_o_ing_total!O382*1000/Gasto_o_ing_total!O$479</f>
        <v>0.16955677279312806</v>
      </c>
      <c r="Q382" s="336">
        <f>Gasto_o_ing_total!P382*1000/Gasto_o_ing_total!P$479</f>
        <v>0.18880284378341095</v>
      </c>
      <c r="R382" s="336">
        <f>Gasto_o_ing_total!Q382*1000/Gasto_o_ing_total!Q$479</f>
        <v>0.15702507586652781</v>
      </c>
      <c r="S382" s="336">
        <f>Gasto_o_ing_total!R382*1000/Gasto_o_ing_total!R$479</f>
        <v>0.10146035389565843</v>
      </c>
      <c r="T382" s="336">
        <f>Gasto_o_ing_total!S382*1000/Gasto_o_ing_total!S$479</f>
        <v>7.7372145491976643E-2</v>
      </c>
      <c r="U382" s="336">
        <f>Gasto_o_ing_total!T382*1000/Gasto_o_ing_total!T$479</f>
        <v>0.1603935810971012</v>
      </c>
      <c r="V382" s="336">
        <f>Gasto_o_ing_total!U382*1000/Gasto_o_ing_total!U$479</f>
        <v>0.28310348515697292</v>
      </c>
      <c r="W382" s="105"/>
    </row>
    <row r="383" spans="1:23" s="102" customFormat="1">
      <c r="A383" s="355"/>
      <c r="B383" s="115" t="s">
        <v>375</v>
      </c>
      <c r="C383" s="333" t="str">
        <f>VLOOKUP(B383,Tot_res!C:D,2,FALSE)</f>
        <v>Prestaciones económicas del mutualismo administrativo</v>
      </c>
      <c r="D383" s="336">
        <f>Gasto_o_ing_total!V383*1000/Gasto_o_ing_total!V$479</f>
        <v>7.3385418975389491</v>
      </c>
      <c r="E383" s="336">
        <f>Gasto_o_ing_total!D383*1000/Gasto_o_ing_total!D$479</f>
        <v>8.1990392244985308</v>
      </c>
      <c r="F383" s="336">
        <f>Gasto_o_ing_total!E383*1000/Gasto_o_ing_total!E$479</f>
        <v>9.3138451181813871</v>
      </c>
      <c r="G383" s="336">
        <f>Gasto_o_ing_total!F383*1000/Gasto_o_ing_total!F$479</f>
        <v>7.6709155141314618</v>
      </c>
      <c r="H383" s="336">
        <f>Gasto_o_ing_total!G383*1000/Gasto_o_ing_total!G$479</f>
        <v>5.7173886924497044</v>
      </c>
      <c r="I383" s="336">
        <f>Gasto_o_ing_total!H383*1000/Gasto_o_ing_total!H$479</f>
        <v>7.3211900468792548</v>
      </c>
      <c r="J383" s="336">
        <f>Gasto_o_ing_total!I383*1000/Gasto_o_ing_total!I$479</f>
        <v>7.0532767917095738</v>
      </c>
      <c r="K383" s="336">
        <f>Gasto_o_ing_total!J383*1000/Gasto_o_ing_total!J$479</f>
        <v>10.488103881731508</v>
      </c>
      <c r="L383" s="336">
        <f>Gasto_o_ing_total!K383*1000/Gasto_o_ing_total!K$479</f>
        <v>7.4281509024806045</v>
      </c>
      <c r="M383" s="336">
        <f>Gasto_o_ing_total!L383*1000/Gasto_o_ing_total!L$479</f>
        <v>4.2961366726792507</v>
      </c>
      <c r="N383" s="336">
        <f>Gasto_o_ing_total!M383*1000/Gasto_o_ing_total!M$479</f>
        <v>6.2093815792876246</v>
      </c>
      <c r="O383" s="336">
        <f>Gasto_o_ing_total!N383*1000/Gasto_o_ing_total!N$479</f>
        <v>9.3162704832011869</v>
      </c>
      <c r="P383" s="336">
        <f>Gasto_o_ing_total!O383*1000/Gasto_o_ing_total!O$479</f>
        <v>8.6122434398451198</v>
      </c>
      <c r="Q383" s="336">
        <f>Gasto_o_ing_total!P383*1000/Gasto_o_ing_total!P$479</f>
        <v>9.2864221207168178</v>
      </c>
      <c r="R383" s="336">
        <f>Gasto_o_ing_total!Q383*1000/Gasto_o_ing_total!Q$479</f>
        <v>8.2485153159495184</v>
      </c>
      <c r="S383" s="336">
        <f>Gasto_o_ing_total!R383*1000/Gasto_o_ing_total!R$479</f>
        <v>5.3068501289539451</v>
      </c>
      <c r="T383" s="336">
        <f>Gasto_o_ing_total!S383*1000/Gasto_o_ing_total!S$479</f>
        <v>3.4141656432710592</v>
      </c>
      <c r="U383" s="336">
        <f>Gasto_o_ing_total!T383*1000/Gasto_o_ing_total!T$479</f>
        <v>7.5729881301543989</v>
      </c>
      <c r="V383" s="336">
        <f>Gasto_o_ing_total!U383*1000/Gasto_o_ing_total!U$479</f>
        <v>22.177990312182658</v>
      </c>
      <c r="W383" s="105"/>
    </row>
    <row r="384" spans="1:23" s="102" customFormat="1">
      <c r="A384" s="355"/>
      <c r="B384" s="115" t="s">
        <v>377</v>
      </c>
      <c r="C384" s="333" t="str">
        <f>VLOOKUP(B384,Tot_res!C:D,2,FALSE)</f>
        <v>Prestaciones de garantía salarial</v>
      </c>
      <c r="D384" s="336">
        <f>Gasto_o_ing_total!V384*1000/Gasto_o_ing_total!V$479</f>
        <v>29.743675695298386</v>
      </c>
      <c r="E384" s="336">
        <f>Gasto_o_ing_total!D384*1000/Gasto_o_ing_total!D$479</f>
        <v>16.49501772688097</v>
      </c>
      <c r="F384" s="336">
        <f>Gasto_o_ing_total!E384*1000/Gasto_o_ing_total!E$479</f>
        <v>32.779187748256618</v>
      </c>
      <c r="G384" s="336">
        <f>Gasto_o_ing_total!F384*1000/Gasto_o_ing_total!F$479</f>
        <v>24.315249602052656</v>
      </c>
      <c r="H384" s="336">
        <f>Gasto_o_ing_total!G384*1000/Gasto_o_ing_total!G$479</f>
        <v>21.246642761366477</v>
      </c>
      <c r="I384" s="336">
        <f>Gasto_o_ing_total!H384*1000/Gasto_o_ing_total!H$479</f>
        <v>25.540795773890871</v>
      </c>
      <c r="J384" s="336">
        <f>Gasto_o_ing_total!I384*1000/Gasto_o_ing_total!I$479</f>
        <v>23.307934444190852</v>
      </c>
      <c r="K384" s="336">
        <f>Gasto_o_ing_total!J384*1000/Gasto_o_ing_total!J$479</f>
        <v>22.703893760527933</v>
      </c>
      <c r="L384" s="336">
        <f>Gasto_o_ing_total!K384*1000/Gasto_o_ing_total!K$479</f>
        <v>24.084500409447031</v>
      </c>
      <c r="M384" s="336">
        <f>Gasto_o_ing_total!L384*1000/Gasto_o_ing_total!L$479</f>
        <v>44.344814384358877</v>
      </c>
      <c r="N384" s="336">
        <f>Gasto_o_ing_total!M384*1000/Gasto_o_ing_total!M$479</f>
        <v>35.247023730538594</v>
      </c>
      <c r="O384" s="336">
        <f>Gasto_o_ing_total!N384*1000/Gasto_o_ing_total!N$479</f>
        <v>14.991159683961234</v>
      </c>
      <c r="P384" s="336">
        <f>Gasto_o_ing_total!O384*1000/Gasto_o_ing_total!O$479</f>
        <v>25.337319232959846</v>
      </c>
      <c r="Q384" s="336">
        <f>Gasto_o_ing_total!P384*1000/Gasto_o_ing_total!P$479</f>
        <v>28.916097738032661</v>
      </c>
      <c r="R384" s="336">
        <f>Gasto_o_ing_total!Q384*1000/Gasto_o_ing_total!Q$479</f>
        <v>31.604411232805717</v>
      </c>
      <c r="S384" s="336">
        <f>Gasto_o_ing_total!R384*1000/Gasto_o_ing_total!R$479</f>
        <v>42.29840898964774</v>
      </c>
      <c r="T384" s="336">
        <f>Gasto_o_ing_total!S384*1000/Gasto_o_ing_total!S$479</f>
        <v>54.848317485383781</v>
      </c>
      <c r="U384" s="336">
        <f>Gasto_o_ing_total!T384*1000/Gasto_o_ing_total!T$479</f>
        <v>27.575800174941538</v>
      </c>
      <c r="V384" s="336">
        <f>Gasto_o_ing_total!U384*1000/Gasto_o_ing_total!U$479</f>
        <v>3.923346991968697</v>
      </c>
      <c r="W384" s="105"/>
    </row>
    <row r="385" spans="1:23" s="102" customFormat="1">
      <c r="A385" s="355"/>
      <c r="B385" s="115" t="s">
        <v>378</v>
      </c>
      <c r="C385" s="333" t="str">
        <f>VLOOKUP(B385,Tot_res!C:D,2,FALSE)</f>
        <v>Prestaciones económicas por cese de actividad</v>
      </c>
      <c r="D385" s="336">
        <f>Gasto_o_ing_total!V385*1000/Gasto_o_ing_total!V$479</f>
        <v>6.6580811748323684E-2</v>
      </c>
      <c r="E385" s="336">
        <f>Gasto_o_ing_total!D385*1000/Gasto_o_ing_total!D$479</f>
        <v>1.4547050174245613E-2</v>
      </c>
      <c r="F385" s="336">
        <f>Gasto_o_ing_total!E385*1000/Gasto_o_ing_total!E$479</f>
        <v>3.60443324409222E-2</v>
      </c>
      <c r="G385" s="336">
        <f>Gasto_o_ing_total!F385*1000/Gasto_o_ing_total!F$479</f>
        <v>8.7438435510049428E-2</v>
      </c>
      <c r="H385" s="336">
        <f>Gasto_o_ing_total!G385*1000/Gasto_o_ing_total!G$479</f>
        <v>2.5326709752446375E-2</v>
      </c>
      <c r="I385" s="336">
        <f>Gasto_o_ing_total!H385*1000/Gasto_o_ing_total!H$479</f>
        <v>0</v>
      </c>
      <c r="J385" s="336">
        <f>Gasto_o_ing_total!I385*1000/Gasto_o_ing_total!I$479</f>
        <v>3.0795972026455599E-2</v>
      </c>
      <c r="K385" s="336">
        <f>Gasto_o_ing_total!J385*1000/Gasto_o_ing_total!J$479</f>
        <v>3.2367394432130561E-2</v>
      </c>
      <c r="L385" s="336">
        <f>Gasto_o_ing_total!K385*1000/Gasto_o_ing_total!K$479</f>
        <v>2.3918481369908044E-2</v>
      </c>
      <c r="M385" s="336">
        <f>Gasto_o_ing_total!L385*1000/Gasto_o_ing_total!L$479</f>
        <v>3.4516287983860465E-2</v>
      </c>
      <c r="N385" s="336">
        <f>Gasto_o_ing_total!M385*1000/Gasto_o_ing_total!M$479</f>
        <v>2.7955704407076076E-2</v>
      </c>
      <c r="O385" s="336">
        <f>Gasto_o_ing_total!N385*1000/Gasto_o_ing_total!N$479</f>
        <v>1.684281796086105E-2</v>
      </c>
      <c r="P385" s="336">
        <f>Gasto_o_ing_total!O385*1000/Gasto_o_ing_total!O$479</f>
        <v>0.66545217951868074</v>
      </c>
      <c r="Q385" s="336">
        <f>Gasto_o_ing_total!P385*1000/Gasto_o_ing_total!P$479</f>
        <v>2.9628558043013307E-2</v>
      </c>
      <c r="R385" s="336">
        <f>Gasto_o_ing_total!Q385*1000/Gasto_o_ing_total!Q$479</f>
        <v>2.8995412177550056E-2</v>
      </c>
      <c r="S385" s="336">
        <f>Gasto_o_ing_total!R385*1000/Gasto_o_ing_total!R$479</f>
        <v>0.12317227471023531</v>
      </c>
      <c r="T385" s="336">
        <f>Gasto_o_ing_total!S385*1000/Gasto_o_ing_total!S$479</f>
        <v>3.7512118588333698E-2</v>
      </c>
      <c r="U385" s="336">
        <f>Gasto_o_ing_total!T385*1000/Gasto_o_ing_total!T$479</f>
        <v>0.10637939937194729</v>
      </c>
      <c r="V385" s="336">
        <f>Gasto_o_ing_total!U385*1000/Gasto_o_ing_total!U$479</f>
        <v>0</v>
      </c>
      <c r="W385" s="105"/>
    </row>
    <row r="386" spans="1:23" s="102" customFormat="1">
      <c r="A386" s="355"/>
      <c r="B386" s="115" t="s">
        <v>864</v>
      </c>
      <c r="C386" s="333" t="str">
        <f>VLOOKUP(B386,Tot_res!C:D,2,FALSE)</f>
        <v>Prestaciones a los desempleados, neto de renta y subsidio agrarios</v>
      </c>
      <c r="D386" s="336">
        <f>Gasto_o_ing_total!V386*1000/Gasto_o_ing_total!V$479</f>
        <v>624.13641511763103</v>
      </c>
      <c r="E386" s="336">
        <f>Gasto_o_ing_total!D386*1000/Gasto_o_ing_total!D$479</f>
        <v>595.09632369141775</v>
      </c>
      <c r="F386" s="336">
        <f>Gasto_o_ing_total!E386*1000/Gasto_o_ing_total!E$479</f>
        <v>614.06168294896963</v>
      </c>
      <c r="G386" s="336">
        <f>Gasto_o_ing_total!F386*1000/Gasto_o_ing_total!F$479</f>
        <v>634.01667011012637</v>
      </c>
      <c r="H386" s="336">
        <f>Gasto_o_ing_total!G386*1000/Gasto_o_ing_total!G$479</f>
        <v>682.28319020518268</v>
      </c>
      <c r="I386" s="336">
        <f>Gasto_o_ing_total!H386*1000/Gasto_o_ing_total!H$479</f>
        <v>669.61836232248345</v>
      </c>
      <c r="J386" s="336">
        <f>Gasto_o_ing_total!I386*1000/Gasto_o_ing_total!I$479</f>
        <v>621.56393976724405</v>
      </c>
      <c r="K386" s="336">
        <f>Gasto_o_ing_total!J386*1000/Gasto_o_ing_total!J$479</f>
        <v>576.43495695175943</v>
      </c>
      <c r="L386" s="336">
        <f>Gasto_o_ing_total!K386*1000/Gasto_o_ing_total!K$479</f>
        <v>680.60166305807206</v>
      </c>
      <c r="M386" s="336">
        <f>Gasto_o_ing_total!L386*1000/Gasto_o_ing_total!L$479</f>
        <v>656.66563047957868</v>
      </c>
      <c r="N386" s="336">
        <f>Gasto_o_ing_total!M386*1000/Gasto_o_ing_total!M$479</f>
        <v>641.46484651229935</v>
      </c>
      <c r="O386" s="336">
        <f>Gasto_o_ing_total!N386*1000/Gasto_o_ing_total!N$479</f>
        <v>617.58776012481712</v>
      </c>
      <c r="P386" s="336">
        <f>Gasto_o_ing_total!O386*1000/Gasto_o_ing_total!O$479</f>
        <v>603.25292749300991</v>
      </c>
      <c r="Q386" s="336">
        <f>Gasto_o_ing_total!P386*1000/Gasto_o_ing_total!P$479</f>
        <v>618.3070297857297</v>
      </c>
      <c r="R386" s="336">
        <f>Gasto_o_ing_total!Q386*1000/Gasto_o_ing_total!Q$479</f>
        <v>595.89203389077716</v>
      </c>
      <c r="S386" s="336">
        <f>Gasto_o_ing_total!R386*1000/Gasto_o_ing_total!R$479</f>
        <v>659.84068360017818</v>
      </c>
      <c r="T386" s="336">
        <f>Gasto_o_ing_total!S386*1000/Gasto_o_ing_total!S$479</f>
        <v>582.2896247013017</v>
      </c>
      <c r="U386" s="336">
        <f>Gasto_o_ing_total!T386*1000/Gasto_o_ing_total!T$479</f>
        <v>632.53529502558956</v>
      </c>
      <c r="V386" s="336">
        <f>Gasto_o_ing_total!U386*1000/Gasto_o_ing_total!U$479</f>
        <v>430.95951439498128</v>
      </c>
      <c r="W386" s="105"/>
    </row>
    <row r="387" spans="1:23" s="102" customFormat="1">
      <c r="A387" s="355"/>
      <c r="B387" s="115" t="s">
        <v>380</v>
      </c>
      <c r="C387" s="333" t="str">
        <f>VLOOKUP(B387,Tot_res!C:D,2,FALSE)</f>
        <v>Becas y ayudas a estudiantes + AF03/1</v>
      </c>
      <c r="D387" s="336">
        <f>Gasto_o_ing_total!V387*1000/Gasto_o_ing_total!V$479</f>
        <v>27.966386050857441</v>
      </c>
      <c r="E387" s="336">
        <f>Gasto_o_ing_total!D387*1000/Gasto_o_ing_total!D$479</f>
        <v>39.20224325721604</v>
      </c>
      <c r="F387" s="336">
        <f>Gasto_o_ing_total!E387*1000/Gasto_o_ing_total!E$479</f>
        <v>20.013859415136967</v>
      </c>
      <c r="G387" s="336">
        <f>Gasto_o_ing_total!F387*1000/Gasto_o_ing_total!F$479</f>
        <v>20.426731691240466</v>
      </c>
      <c r="H387" s="336">
        <f>Gasto_o_ing_total!G387*1000/Gasto_o_ing_total!G$479</f>
        <v>12.995875724850226</v>
      </c>
      <c r="I387" s="336">
        <f>Gasto_o_ing_total!H387*1000/Gasto_o_ing_total!H$479</f>
        <v>28.762512860439099</v>
      </c>
      <c r="J387" s="336">
        <f>Gasto_o_ing_total!I387*1000/Gasto_o_ing_total!I$479</f>
        <v>20.210882992756765</v>
      </c>
      <c r="K387" s="336">
        <f>Gasto_o_ing_total!J387*1000/Gasto_o_ing_total!J$479</f>
        <v>30.558856323992391</v>
      </c>
      <c r="L387" s="336">
        <f>Gasto_o_ing_total!K387*1000/Gasto_o_ing_total!K$479</f>
        <v>25.089467307026023</v>
      </c>
      <c r="M387" s="336">
        <f>Gasto_o_ing_total!L387*1000/Gasto_o_ing_total!L$479</f>
        <v>18.267821844844985</v>
      </c>
      <c r="N387" s="336">
        <f>Gasto_o_ing_total!M387*1000/Gasto_o_ing_total!M$479</f>
        <v>29.916049948395184</v>
      </c>
      <c r="O387" s="336">
        <f>Gasto_o_ing_total!N387*1000/Gasto_o_ing_total!N$479</f>
        <v>42.840404313240676</v>
      </c>
      <c r="P387" s="336">
        <f>Gasto_o_ing_total!O387*1000/Gasto_o_ing_total!O$479</f>
        <v>29.437817226528246</v>
      </c>
      <c r="Q387" s="336">
        <f>Gasto_o_ing_total!P387*1000/Gasto_o_ing_total!P$479</f>
        <v>24.714658184577136</v>
      </c>
      <c r="R387" s="336">
        <f>Gasto_o_ing_total!Q387*1000/Gasto_o_ing_total!Q$479</f>
        <v>34.473786735175658</v>
      </c>
      <c r="S387" s="336">
        <f>Gasto_o_ing_total!R387*1000/Gasto_o_ing_total!R$479</f>
        <v>27.966027888931499</v>
      </c>
      <c r="T387" s="336">
        <f>Gasto_o_ing_total!S387*1000/Gasto_o_ing_total!S$479</f>
        <v>27.965948741435827</v>
      </c>
      <c r="U387" s="336">
        <f>Gasto_o_ing_total!T387*1000/Gasto_o_ing_total!T$479</f>
        <v>16.978875832367926</v>
      </c>
      <c r="V387" s="336">
        <f>Gasto_o_ing_total!U387*1000/Gasto_o_ing_total!U$479</f>
        <v>32.839488596612171</v>
      </c>
      <c r="W387" s="105"/>
    </row>
    <row r="388" spans="1:23" s="102" customFormat="1">
      <c r="A388" s="355"/>
      <c r="B388" s="115" t="s">
        <v>867</v>
      </c>
      <c r="C388" s="333" t="str">
        <f>VLOOKUP(B388,Tot_res!C:D,2,FALSE)</f>
        <v xml:space="preserve"> Gestión de la Deuda y de la Tesorería del Estado, indemnizaciones síndrome tóxico</v>
      </c>
      <c r="D388" s="336">
        <f>Gasto_o_ing_total!V388*1000/Gasto_o_ing_total!V$479</f>
        <v>6.7717128071864197E-2</v>
      </c>
      <c r="E388" s="336">
        <f>Gasto_o_ing_total!D388*1000/Gasto_o_ing_total!D$479</f>
        <v>5.2032407397786746E-3</v>
      </c>
      <c r="F388" s="336">
        <f>Gasto_o_ing_total!E388*1000/Gasto_o_ing_total!E$479</f>
        <v>3.2410091448755586E-3</v>
      </c>
      <c r="G388" s="336">
        <f>Gasto_o_ing_total!F388*1000/Gasto_o_ing_total!F$479</f>
        <v>6.458847123907414E-3</v>
      </c>
      <c r="H388" s="336">
        <f>Gasto_o_ing_total!G388*1000/Gasto_o_ing_total!G$479</f>
        <v>4.6003222856049074E-3</v>
      </c>
      <c r="I388" s="336">
        <f>Gasto_o_ing_total!H388*1000/Gasto_o_ing_total!H$479</f>
        <v>4.825505848948761E-3</v>
      </c>
      <c r="J388" s="336">
        <f>Gasto_o_ing_total!I388*1000/Gasto_o_ing_total!I$479</f>
        <v>2.5463879469973166E-2</v>
      </c>
      <c r="K388" s="336">
        <f>Gasto_o_ing_total!J388*1000/Gasto_o_ing_total!J$479</f>
        <v>0.29495777377451932</v>
      </c>
      <c r="L388" s="336">
        <f>Gasto_o_ing_total!K388*1000/Gasto_o_ing_total!K$479</f>
        <v>7.6799718885187593E-2</v>
      </c>
      <c r="M388" s="336">
        <f>Gasto_o_ing_total!L388*1000/Gasto_o_ing_total!L$479</f>
        <v>1.8592192460693288E-3</v>
      </c>
      <c r="N388" s="336">
        <f>Gasto_o_ing_total!M388*1000/Gasto_o_ing_total!M$479</f>
        <v>7.7041229845773041E-3</v>
      </c>
      <c r="O388" s="336">
        <f>Gasto_o_ing_total!N388*1000/Gasto_o_ing_total!N$479</f>
        <v>2.6589655970859074E-2</v>
      </c>
      <c r="P388" s="336">
        <f>Gasto_o_ing_total!O388*1000/Gasto_o_ing_total!O$479</f>
        <v>4.6196382444169013E-3</v>
      </c>
      <c r="Q388" s="336">
        <f>Gasto_o_ing_total!P388*1000/Gasto_o_ing_total!P$479</f>
        <v>0.32057990090495048</v>
      </c>
      <c r="R388" s="336">
        <f>Gasto_o_ing_total!Q388*1000/Gasto_o_ing_total!Q$479</f>
        <v>7.8016653611749026E-3</v>
      </c>
      <c r="S388" s="336">
        <f>Gasto_o_ing_total!R388*1000/Gasto_o_ing_total!R$479</f>
        <v>5.5499544063607022E-3</v>
      </c>
      <c r="T388" s="336">
        <f>Gasto_o_ing_total!S388*1000/Gasto_o_ing_total!S$479</f>
        <v>3.4892794293654374E-3</v>
      </c>
      <c r="U388" s="336">
        <f>Gasto_o_ing_total!T388*1000/Gasto_o_ing_total!T$479</f>
        <v>0</v>
      </c>
      <c r="V388" s="336">
        <f>Gasto_o_ing_total!U388*1000/Gasto_o_ing_total!U$479</f>
        <v>3.0208452528821842E-3</v>
      </c>
      <c r="W388" s="105"/>
    </row>
    <row r="389" spans="1:23" s="102" customFormat="1">
      <c r="A389" s="355"/>
      <c r="B389" s="115" t="s">
        <v>869</v>
      </c>
      <c r="C389" s="333" t="str">
        <f>VLOOKUP(B389,Tot_res!C:D,2,FALSE)</f>
        <v>Pensiones contributivas de la Seguridad Social</v>
      </c>
      <c r="D389" s="336">
        <f>Gasto_o_ing_total!V389*1000/Gasto_o_ing_total!V$479</f>
        <v>2315.604342564206</v>
      </c>
      <c r="E389" s="336">
        <f>Gasto_o_ing_total!D389*1000/Gasto_o_ing_total!D$479</f>
        <v>1869.0973134541771</v>
      </c>
      <c r="F389" s="336">
        <f>Gasto_o_ing_total!E389*1000/Gasto_o_ing_total!E$479</f>
        <v>2706.8691261544927</v>
      </c>
      <c r="G389" s="336">
        <f>Gasto_o_ing_total!F389*1000/Gasto_o_ing_total!F$479</f>
        <v>3959.0850699187858</v>
      </c>
      <c r="H389" s="336">
        <f>Gasto_o_ing_total!G389*1000/Gasto_o_ing_total!G$479</f>
        <v>1742.4516016928642</v>
      </c>
      <c r="I389" s="336">
        <f>Gasto_o_ing_total!H389*1000/Gasto_o_ing_total!H$479</f>
        <v>1468.1023641103272</v>
      </c>
      <c r="J389" s="336">
        <f>Gasto_o_ing_total!I389*1000/Gasto_o_ing_total!I$479</f>
        <v>2839.1633529961427</v>
      </c>
      <c r="K389" s="336">
        <f>Gasto_o_ing_total!J389*1000/Gasto_o_ing_total!J$479</f>
        <v>2774.6631632598787</v>
      </c>
      <c r="L389" s="336">
        <f>Gasto_o_ing_total!K389*1000/Gasto_o_ing_total!K$479</f>
        <v>1883.8615708312316</v>
      </c>
      <c r="M389" s="336">
        <f>Gasto_o_ing_total!L389*1000/Gasto_o_ing_total!L$479</f>
        <v>2682.4100846984015</v>
      </c>
      <c r="N389" s="336">
        <f>Gasto_o_ing_total!M389*1000/Gasto_o_ing_total!M$479</f>
        <v>2016.0069742688588</v>
      </c>
      <c r="O389" s="336">
        <f>Gasto_o_ing_total!N389*1000/Gasto_o_ing_total!N$479</f>
        <v>1959.1230379212329</v>
      </c>
      <c r="P389" s="336">
        <f>Gasto_o_ing_total!O389*1000/Gasto_o_ing_total!O$479</f>
        <v>2703.1303058904932</v>
      </c>
      <c r="Q389" s="336">
        <f>Gasto_o_ing_total!P389*1000/Gasto_o_ing_total!P$479</f>
        <v>2280.6332727645445</v>
      </c>
      <c r="R389" s="336">
        <f>Gasto_o_ing_total!Q389*1000/Gasto_o_ing_total!Q$479</f>
        <v>1676.2940594196464</v>
      </c>
      <c r="S389" s="336">
        <f>Gasto_o_ing_total!R389*1000/Gasto_o_ing_total!R$479</f>
        <v>2656.6497656755132</v>
      </c>
      <c r="T389" s="336">
        <f>Gasto_o_ing_total!S389*1000/Gasto_o_ing_total!S$479</f>
        <v>3489.1254681604487</v>
      </c>
      <c r="U389" s="336">
        <f>Gasto_o_ing_total!T389*1000/Gasto_o_ing_total!T$479</f>
        <v>2352.5819526737068</v>
      </c>
      <c r="V389" s="336">
        <f>Gasto_o_ing_total!U389*1000/Gasto_o_ing_total!U$479</f>
        <v>1093.6833231849384</v>
      </c>
      <c r="W389" s="105"/>
    </row>
    <row r="390" spans="1:23" s="102" customFormat="1">
      <c r="A390" s="355"/>
      <c r="B390" s="115" t="s">
        <v>870</v>
      </c>
      <c r="C390" s="333" t="str">
        <f>VLOOKUP(B390,Tot_res!C:D,2,FALSE)</f>
        <v>Otras prestaciones contributivas de la Seguridad Social + AF03/2</v>
      </c>
      <c r="D390" s="336">
        <f>Gasto_o_ing_total!V390*1000/Gasto_o_ing_total!V$479</f>
        <v>89.789106097927672</v>
      </c>
      <c r="E390" s="336">
        <f>Gasto_o_ing_total!D390*1000/Gasto_o_ing_total!D$479</f>
        <v>77.797808572182248</v>
      </c>
      <c r="F390" s="336">
        <f>Gasto_o_ing_total!E390*1000/Gasto_o_ing_total!E$479</f>
        <v>88.932272131141787</v>
      </c>
      <c r="G390" s="336">
        <f>Gasto_o_ing_total!F390*1000/Gasto_o_ing_total!F$479</f>
        <v>111.40876982076537</v>
      </c>
      <c r="H390" s="336">
        <f>Gasto_o_ing_total!G390*1000/Gasto_o_ing_total!G$479</f>
        <v>71.235187647754429</v>
      </c>
      <c r="I390" s="336">
        <f>Gasto_o_ing_total!H390*1000/Gasto_o_ing_total!H$479</f>
        <v>68.019697878596077</v>
      </c>
      <c r="J390" s="336">
        <f>Gasto_o_ing_total!I390*1000/Gasto_o_ing_total!I$479</f>
        <v>97.885383007812663</v>
      </c>
      <c r="K390" s="336">
        <f>Gasto_o_ing_total!J390*1000/Gasto_o_ing_total!J$479</f>
        <v>74.007479691669829</v>
      </c>
      <c r="L390" s="336">
        <f>Gasto_o_ing_total!K390*1000/Gasto_o_ing_total!K$479</f>
        <v>67.3555512006089</v>
      </c>
      <c r="M390" s="336">
        <f>Gasto_o_ing_total!L390*1000/Gasto_o_ing_total!L$479</f>
        <v>97.061721770207186</v>
      </c>
      <c r="N390" s="336">
        <f>Gasto_o_ing_total!M390*1000/Gasto_o_ing_total!M$479</f>
        <v>72.665577101594025</v>
      </c>
      <c r="O390" s="336">
        <f>Gasto_o_ing_total!N390*1000/Gasto_o_ing_total!N$479</f>
        <v>77.639698460134255</v>
      </c>
      <c r="P390" s="336">
        <f>Gasto_o_ing_total!O390*1000/Gasto_o_ing_total!O$479</f>
        <v>101.68916107350125</v>
      </c>
      <c r="Q390" s="336">
        <f>Gasto_o_ing_total!P390*1000/Gasto_o_ing_total!P$479</f>
        <v>99.668800972339326</v>
      </c>
      <c r="R390" s="336">
        <f>Gasto_o_ing_total!Q390*1000/Gasto_o_ing_total!Q$479</f>
        <v>98.276977238744053</v>
      </c>
      <c r="S390" s="336">
        <f>Gasto_o_ing_total!R390*1000/Gasto_o_ing_total!R$479</f>
        <v>115.53250567957619</v>
      </c>
      <c r="T390" s="336">
        <f>Gasto_o_ing_total!S390*1000/Gasto_o_ing_total!S$479</f>
        <v>162.01095525591509</v>
      </c>
      <c r="U390" s="336">
        <f>Gasto_o_ing_total!T390*1000/Gasto_o_ing_total!T$479</f>
        <v>69.40880071360418</v>
      </c>
      <c r="V390" s="336">
        <f>Gasto_o_ing_total!U390*1000/Gasto_o_ing_total!U$479</f>
        <v>60.449588295978209</v>
      </c>
      <c r="W390" s="105"/>
    </row>
    <row r="391" spans="1:23" s="102" customFormat="1">
      <c r="A391" s="355"/>
      <c r="B391" s="115" t="s">
        <v>872</v>
      </c>
      <c r="C391" s="333" t="str">
        <f>VLOOKUP(B391,Tot_res!C:D,2,FALSE)</f>
        <v>Prestaciones económicas contributivas, Mutuas</v>
      </c>
      <c r="D391" s="336">
        <f>Gasto_o_ing_total!V391*1000/Gasto_o_ing_total!V$479</f>
        <v>83.549510938218233</v>
      </c>
      <c r="E391" s="336">
        <f>Gasto_o_ing_total!D391*1000/Gasto_o_ing_total!D$479</f>
        <v>47.609585639871263</v>
      </c>
      <c r="F391" s="336">
        <f>Gasto_o_ing_total!E391*1000/Gasto_o_ing_total!E$479</f>
        <v>85.578745160354856</v>
      </c>
      <c r="G391" s="336">
        <f>Gasto_o_ing_total!F391*1000/Gasto_o_ing_total!F$479</f>
        <v>76.407185769951596</v>
      </c>
      <c r="H391" s="336">
        <f>Gasto_o_ing_total!G391*1000/Gasto_o_ing_total!G$479</f>
        <v>81.266493555237901</v>
      </c>
      <c r="I391" s="336">
        <f>Gasto_o_ing_total!H391*1000/Gasto_o_ing_total!H$479</f>
        <v>58.434903878833524</v>
      </c>
      <c r="J391" s="336">
        <f>Gasto_o_ing_total!I391*1000/Gasto_o_ing_total!I$479</f>
        <v>89.847347730496494</v>
      </c>
      <c r="K391" s="336">
        <f>Gasto_o_ing_total!J391*1000/Gasto_o_ing_total!J$479</f>
        <v>66.932474950954969</v>
      </c>
      <c r="L391" s="336">
        <f>Gasto_o_ing_total!K391*1000/Gasto_o_ing_total!K$479</f>
        <v>61.638424259626468</v>
      </c>
      <c r="M391" s="336">
        <f>Gasto_o_ing_total!L391*1000/Gasto_o_ing_total!L$479</f>
        <v>90.301709930543822</v>
      </c>
      <c r="N391" s="336">
        <f>Gasto_o_ing_total!M391*1000/Gasto_o_ing_total!M$479</f>
        <v>66.180306177835874</v>
      </c>
      <c r="O391" s="336">
        <f>Gasto_o_ing_total!N391*1000/Gasto_o_ing_total!N$479</f>
        <v>41.705303389771366</v>
      </c>
      <c r="P391" s="336">
        <f>Gasto_o_ing_total!O391*1000/Gasto_o_ing_total!O$479</f>
        <v>75.121182963799413</v>
      </c>
      <c r="Q391" s="336">
        <f>Gasto_o_ing_total!P391*1000/Gasto_o_ing_total!P$479</f>
        <v>163.77018623710538</v>
      </c>
      <c r="R391" s="336">
        <f>Gasto_o_ing_total!Q391*1000/Gasto_o_ing_total!Q$479</f>
        <v>72.139459652757353</v>
      </c>
      <c r="S391" s="336">
        <f>Gasto_o_ing_total!R391*1000/Gasto_o_ing_total!R$479</f>
        <v>108.21095174516509</v>
      </c>
      <c r="T391" s="336">
        <f>Gasto_o_ing_total!S391*1000/Gasto_o_ing_total!S$479</f>
        <v>102.70225506164249</v>
      </c>
      <c r="U391" s="336">
        <f>Gasto_o_ing_total!T391*1000/Gasto_o_ing_total!T$479</f>
        <v>85.029772046313312</v>
      </c>
      <c r="V391" s="336">
        <f>Gasto_o_ing_total!U391*1000/Gasto_o_ing_total!U$479</f>
        <v>37.632540484207844</v>
      </c>
      <c r="W391" s="105"/>
    </row>
    <row r="392" spans="1:23" s="102" customFormat="1">
      <c r="A392" s="355"/>
      <c r="B392" s="115" t="s">
        <v>874</v>
      </c>
      <c r="C392" s="333" t="str">
        <f>VLOOKUP(B392,Tot_res!C:D,2,FALSE)</f>
        <v>Pensiones no contributivas de la Seg Soc + AF03/3</v>
      </c>
      <c r="D392" s="336">
        <f>Gasto_o_ing_total!V392*1000/Gasto_o_ing_total!V$479</f>
        <v>55.320828821601751</v>
      </c>
      <c r="E392" s="336">
        <f>Gasto_o_ing_total!D392*1000/Gasto_o_ing_total!D$479</f>
        <v>75.139304560931905</v>
      </c>
      <c r="F392" s="336">
        <f>Gasto_o_ing_total!E392*1000/Gasto_o_ing_total!E$479</f>
        <v>31.652930489976725</v>
      </c>
      <c r="G392" s="336">
        <f>Gasto_o_ing_total!F392*1000/Gasto_o_ing_total!F$479</f>
        <v>49.506606748913526</v>
      </c>
      <c r="H392" s="336">
        <f>Gasto_o_ing_total!G392*1000/Gasto_o_ing_total!G$479</f>
        <v>38.120551355179146</v>
      </c>
      <c r="I392" s="336">
        <f>Gasto_o_ing_total!H392*1000/Gasto_o_ing_total!H$479</f>
        <v>118.9501375304326</v>
      </c>
      <c r="J392" s="336">
        <f>Gasto_o_ing_total!I392*1000/Gasto_o_ing_total!I$479</f>
        <v>59.160008418446402</v>
      </c>
      <c r="K392" s="336">
        <f>Gasto_o_ing_total!J392*1000/Gasto_o_ing_total!J$479</f>
        <v>50.034258710491116</v>
      </c>
      <c r="L392" s="336">
        <f>Gasto_o_ing_total!K392*1000/Gasto_o_ing_total!K$479</f>
        <v>54.178338689657295</v>
      </c>
      <c r="M392" s="336">
        <f>Gasto_o_ing_total!L392*1000/Gasto_o_ing_total!L$479</f>
        <v>43.316241554620497</v>
      </c>
      <c r="N392" s="336">
        <f>Gasto_o_ing_total!M392*1000/Gasto_o_ing_total!M$479</f>
        <v>52.59911289035572</v>
      </c>
      <c r="O392" s="336">
        <f>Gasto_o_ing_total!N392*1000/Gasto_o_ing_total!N$479</f>
        <v>73.097764446208828</v>
      </c>
      <c r="P392" s="336">
        <f>Gasto_o_ing_total!O392*1000/Gasto_o_ing_total!O$479</f>
        <v>92.154284945402267</v>
      </c>
      <c r="Q392" s="336">
        <f>Gasto_o_ing_total!P392*1000/Gasto_o_ing_total!P$479</f>
        <v>29.85852548539652</v>
      </c>
      <c r="R392" s="336">
        <f>Gasto_o_ing_total!Q392*1000/Gasto_o_ing_total!Q$479</f>
        <v>55.206625015256314</v>
      </c>
      <c r="S392" s="336">
        <f>Gasto_o_ing_total!R392*1000/Gasto_o_ing_total!R$479</f>
        <v>20.865911643261676</v>
      </c>
      <c r="T392" s="336">
        <f>Gasto_o_ing_total!S392*1000/Gasto_o_ing_total!S$479</f>
        <v>25.182328992365772</v>
      </c>
      <c r="U392" s="336">
        <f>Gasto_o_ing_total!T392*1000/Gasto_o_ing_total!T$479</f>
        <v>29.038458418650531</v>
      </c>
      <c r="V392" s="336">
        <f>Gasto_o_ing_total!U392*1000/Gasto_o_ing_total!U$479</f>
        <v>136.46252490299406</v>
      </c>
      <c r="W392" s="105"/>
    </row>
    <row r="393" spans="1:23" s="102" customFormat="1">
      <c r="A393" s="355"/>
      <c r="B393" s="115" t="s">
        <v>876</v>
      </c>
      <c r="C393" s="333" t="str">
        <f>VLOOKUP(B393,Tot_res!C:D,2,FALSE)</f>
        <v>Protección familiar y otras prestaciones no contributivas de la Seg Social</v>
      </c>
      <c r="D393" s="336">
        <f>Gasto_o_ing_total!V393*1000/Gasto_o_ing_total!V$479</f>
        <v>29.624498394076731</v>
      </c>
      <c r="E393" s="336">
        <f>Gasto_o_ing_total!D393*1000/Gasto_o_ing_total!D$479</f>
        <v>33.851797612793234</v>
      </c>
      <c r="F393" s="336">
        <f>Gasto_o_ing_total!E393*1000/Gasto_o_ing_total!E$479</f>
        <v>26.039547048027675</v>
      </c>
      <c r="G393" s="336">
        <f>Gasto_o_ing_total!F393*1000/Gasto_o_ing_total!F$479</f>
        <v>35.300811252968195</v>
      </c>
      <c r="H393" s="336">
        <f>Gasto_o_ing_total!G393*1000/Gasto_o_ing_total!G$479</f>
        <v>20.755700081556519</v>
      </c>
      <c r="I393" s="336">
        <f>Gasto_o_ing_total!H393*1000/Gasto_o_ing_total!H$479</f>
        <v>35.433840582492891</v>
      </c>
      <c r="J393" s="336">
        <f>Gasto_o_ing_total!I393*1000/Gasto_o_ing_total!I$479</f>
        <v>31.622451016355523</v>
      </c>
      <c r="K393" s="336">
        <f>Gasto_o_ing_total!J393*1000/Gasto_o_ing_total!J$479</f>
        <v>34.715563453172415</v>
      </c>
      <c r="L393" s="336">
        <f>Gasto_o_ing_total!K393*1000/Gasto_o_ing_total!K$479</f>
        <v>29.229703248136701</v>
      </c>
      <c r="M393" s="336">
        <f>Gasto_o_ing_total!L393*1000/Gasto_o_ing_total!L$479</f>
        <v>24.392613502604096</v>
      </c>
      <c r="N393" s="336">
        <f>Gasto_o_ing_total!M393*1000/Gasto_o_ing_total!M$479</f>
        <v>29.410416178322418</v>
      </c>
      <c r="O393" s="336">
        <f>Gasto_o_ing_total!N393*1000/Gasto_o_ing_total!N$479</f>
        <v>36.994226619629906</v>
      </c>
      <c r="P393" s="336">
        <f>Gasto_o_ing_total!O393*1000/Gasto_o_ing_total!O$479</f>
        <v>33.766739896831837</v>
      </c>
      <c r="Q393" s="336">
        <f>Gasto_o_ing_total!P393*1000/Gasto_o_ing_total!P$479</f>
        <v>23.171939319321883</v>
      </c>
      <c r="R393" s="336">
        <f>Gasto_o_ing_total!Q393*1000/Gasto_o_ing_total!Q$479</f>
        <v>39.744239284033931</v>
      </c>
      <c r="S393" s="336">
        <f>Gasto_o_ing_total!R393*1000/Gasto_o_ing_total!R$479</f>
        <v>25.743619262408853</v>
      </c>
      <c r="T393" s="336">
        <f>Gasto_o_ing_total!S393*1000/Gasto_o_ing_total!S$479</f>
        <v>26.949803733684664</v>
      </c>
      <c r="U393" s="336">
        <f>Gasto_o_ing_total!T393*1000/Gasto_o_ing_total!T$479</f>
        <v>26.744748279869757</v>
      </c>
      <c r="V393" s="336">
        <f>Gasto_o_ing_total!U393*1000/Gasto_o_ing_total!U$479</f>
        <v>57.7128475091654</v>
      </c>
      <c r="W393" s="114"/>
    </row>
    <row r="394" spans="1:23" s="102" customFormat="1">
      <c r="A394" s="355"/>
      <c r="B394" s="115" t="s">
        <v>383</v>
      </c>
      <c r="C394" s="333" t="str">
        <f>VLOOKUP(B394,Tot_res!C:D,2,FALSE)</f>
        <v xml:space="preserve"> Admón. y Servicios Generales prestaciones economicas</v>
      </c>
      <c r="D394" s="336">
        <f>Gasto_o_ing_total!V394*1000/Gasto_o_ing_total!V$479</f>
        <v>7.5669547508291792</v>
      </c>
      <c r="E394" s="336">
        <f>Gasto_o_ing_total!D394*1000/Gasto_o_ing_total!D$479</f>
        <v>7.8683374819947396</v>
      </c>
      <c r="F394" s="336">
        <f>Gasto_o_ing_total!E394*1000/Gasto_o_ing_total!E$479</f>
        <v>9.3753112036148121</v>
      </c>
      <c r="G394" s="336">
        <f>Gasto_o_ing_total!F394*1000/Gasto_o_ing_total!F$479</f>
        <v>15.065669334203807</v>
      </c>
      <c r="H394" s="336">
        <f>Gasto_o_ing_total!G394*1000/Gasto_o_ing_total!G$479</f>
        <v>5.934708587309462</v>
      </c>
      <c r="I394" s="336">
        <f>Gasto_o_ing_total!H394*1000/Gasto_o_ing_total!H$479</f>
        <v>5.6741483400673092</v>
      </c>
      <c r="J394" s="336">
        <f>Gasto_o_ing_total!I394*1000/Gasto_o_ing_total!I$479</f>
        <v>8.181272630256867</v>
      </c>
      <c r="K394" s="336">
        <f>Gasto_o_ing_total!J394*1000/Gasto_o_ing_total!J$479</f>
        <v>11.040383271898186</v>
      </c>
      <c r="L394" s="336">
        <f>Gasto_o_ing_total!K394*1000/Gasto_o_ing_total!K$479</f>
        <v>8.3172344403837837</v>
      </c>
      <c r="M394" s="336">
        <f>Gasto_o_ing_total!L394*1000/Gasto_o_ing_total!L$479</f>
        <v>6.0565527167049948</v>
      </c>
      <c r="N394" s="336">
        <f>Gasto_o_ing_total!M394*1000/Gasto_o_ing_total!M$479</f>
        <v>6.6309589567841947</v>
      </c>
      <c r="O394" s="336">
        <f>Gasto_o_ing_total!N394*1000/Gasto_o_ing_total!N$479</f>
        <v>7.6891893219565839</v>
      </c>
      <c r="P394" s="336">
        <f>Gasto_o_ing_total!O394*1000/Gasto_o_ing_total!O$479</f>
        <v>9.7509969347065226</v>
      </c>
      <c r="Q394" s="336">
        <f>Gasto_o_ing_total!P394*1000/Gasto_o_ing_total!P$479</f>
        <v>6.1338335126665404</v>
      </c>
      <c r="R394" s="336">
        <f>Gasto_o_ing_total!Q394*1000/Gasto_o_ing_total!Q$479</f>
        <v>6.1272360573201423</v>
      </c>
      <c r="S394" s="336">
        <f>Gasto_o_ing_total!R394*1000/Gasto_o_ing_total!R$479</f>
        <v>6.9945376750891777</v>
      </c>
      <c r="T394" s="336">
        <f>Gasto_o_ing_total!S394*1000/Gasto_o_ing_total!S$479</f>
        <v>8.6904607066256823</v>
      </c>
      <c r="U394" s="336">
        <f>Gasto_o_ing_total!T394*1000/Gasto_o_ing_total!T$479</f>
        <v>9.4564281905053331</v>
      </c>
      <c r="V394" s="336">
        <f>Gasto_o_ing_total!U394*1000/Gasto_o_ing_total!U$479</f>
        <v>12.802096848562822</v>
      </c>
      <c r="W394" s="105"/>
    </row>
    <row r="395" spans="1:23">
      <c r="A395" s="356"/>
      <c r="C395" s="13"/>
      <c r="D395" s="19"/>
      <c r="E395" s="19"/>
      <c r="F395" s="19"/>
      <c r="G395" s="19"/>
      <c r="H395" s="19"/>
      <c r="I395" s="19"/>
      <c r="J395" s="19"/>
      <c r="K395" s="19"/>
      <c r="L395" s="19"/>
      <c r="M395" s="19"/>
      <c r="N395" s="19"/>
      <c r="O395" s="19"/>
      <c r="P395" s="19"/>
      <c r="Q395" s="19"/>
      <c r="R395" s="19"/>
      <c r="S395" s="19"/>
      <c r="T395" s="19"/>
      <c r="U395" s="19"/>
      <c r="V395" s="19"/>
      <c r="W395" s="2"/>
    </row>
    <row r="396" spans="1:23" s="102" customFormat="1">
      <c r="A396" s="356"/>
      <c r="B396" s="115"/>
      <c r="C396" s="112" t="s">
        <v>4</v>
      </c>
      <c r="D396" s="113">
        <f>Gasto_o_ing_total!V396*1000/Gasto_o_ing_total!V$479</f>
        <v>45.636314961585896</v>
      </c>
      <c r="E396" s="113">
        <f>Gasto_o_ing_total!D396*1000/Gasto_o_ing_total!D$479</f>
        <v>52.589469278687766</v>
      </c>
      <c r="F396" s="113">
        <f>Gasto_o_ing_total!E396*1000/Gasto_o_ing_total!E$479</f>
        <v>38.459601049638707</v>
      </c>
      <c r="G396" s="113">
        <f>Gasto_o_ing_total!F396*1000/Gasto_o_ing_total!F$479</f>
        <v>43.06225409408264</v>
      </c>
      <c r="H396" s="113">
        <f>Gasto_o_ing_total!G396*1000/Gasto_o_ing_total!G$479</f>
        <v>35.743664003682866</v>
      </c>
      <c r="I396" s="113">
        <f>Gasto_o_ing_total!H396*1000/Gasto_o_ing_total!H$479</f>
        <v>29.739340818323388</v>
      </c>
      <c r="J396" s="113">
        <f>Gasto_o_ing_total!I396*1000/Gasto_o_ing_total!I$479</f>
        <v>61.187189252275864</v>
      </c>
      <c r="K396" s="113">
        <f>Gasto_o_ing_total!J396*1000/Gasto_o_ing_total!J$479</f>
        <v>58.466236816839768</v>
      </c>
      <c r="L396" s="113">
        <f>Gasto_o_ing_total!K396*1000/Gasto_o_ing_total!K$479</f>
        <v>49.406055685703578</v>
      </c>
      <c r="M396" s="113">
        <f>Gasto_o_ing_total!L396*1000/Gasto_o_ing_total!L$479</f>
        <v>45.807220060750829</v>
      </c>
      <c r="N396" s="113">
        <f>Gasto_o_ing_total!M396*1000/Gasto_o_ing_total!M$479</f>
        <v>29.291586986287481</v>
      </c>
      <c r="O396" s="113">
        <f>Gasto_o_ing_total!N396*1000/Gasto_o_ing_total!N$479</f>
        <v>57.0053014381363</v>
      </c>
      <c r="P396" s="113">
        <f>Gasto_o_ing_total!O396*1000/Gasto_o_ing_total!O$479</f>
        <v>45.421412645206892</v>
      </c>
      <c r="Q396" s="113">
        <f>Gasto_o_ing_total!P396*1000/Gasto_o_ing_total!P$479</f>
        <v>41.081906102589812</v>
      </c>
      <c r="R396" s="113">
        <f>Gasto_o_ing_total!Q396*1000/Gasto_o_ing_total!Q$479</f>
        <v>56.141406773317165</v>
      </c>
      <c r="S396" s="113">
        <f>Gasto_o_ing_total!R396*1000/Gasto_o_ing_total!R$479</f>
        <v>37.54373988765122</v>
      </c>
      <c r="T396" s="113">
        <f>Gasto_o_ing_total!S396*1000/Gasto_o_ing_total!S$479</f>
        <v>54.673558839447786</v>
      </c>
      <c r="U396" s="113">
        <f>Gasto_o_ing_total!T396*1000/Gasto_o_ing_total!T$479</f>
        <v>58.646480161991597</v>
      </c>
      <c r="V396" s="113">
        <f>Gasto_o_ing_total!U396*1000/Gasto_o_ing_total!U$479</f>
        <v>127.68182386948635</v>
      </c>
      <c r="W396" s="105"/>
    </row>
    <row r="397" spans="1:23" s="102" customFormat="1">
      <c r="A397" s="355"/>
      <c r="B397" s="115" t="s">
        <v>384</v>
      </c>
      <c r="C397" s="333" t="str">
        <f>VLOOKUP(B397,Tot_res!C:D,2,FALSE)</f>
        <v xml:space="preserve">Acciones en favor de los emigrantes </v>
      </c>
      <c r="D397" s="336">
        <f>Gasto_o_ing_total!V397*1000/Gasto_o_ing_total!V$479</f>
        <v>1.4909545875084522</v>
      </c>
      <c r="E397" s="336">
        <f>Gasto_o_ing_total!D397*1000/Gasto_o_ing_total!D$479</f>
        <v>1.4909545875084518</v>
      </c>
      <c r="F397" s="336">
        <f>Gasto_o_ing_total!E397*1000/Gasto_o_ing_total!E$479</f>
        <v>1.4909545875084518</v>
      </c>
      <c r="G397" s="336">
        <f>Gasto_o_ing_total!F397*1000/Gasto_o_ing_total!F$479</f>
        <v>1.4909545875084518</v>
      </c>
      <c r="H397" s="336">
        <f>Gasto_o_ing_total!G397*1000/Gasto_o_ing_total!G$479</f>
        <v>1.4909545875084518</v>
      </c>
      <c r="I397" s="336">
        <f>Gasto_o_ing_total!H397*1000/Gasto_o_ing_total!H$479</f>
        <v>1.4909545875084518</v>
      </c>
      <c r="J397" s="336">
        <f>Gasto_o_ing_total!I397*1000/Gasto_o_ing_total!I$479</f>
        <v>1.4909545875084516</v>
      </c>
      <c r="K397" s="336">
        <f>Gasto_o_ing_total!J397*1000/Gasto_o_ing_total!J$479</f>
        <v>1.4909545875084518</v>
      </c>
      <c r="L397" s="336">
        <f>Gasto_o_ing_total!K397*1000/Gasto_o_ing_total!K$479</f>
        <v>1.4909545875084516</v>
      </c>
      <c r="M397" s="336">
        <f>Gasto_o_ing_total!L397*1000/Gasto_o_ing_total!L$479</f>
        <v>1.490954587508452</v>
      </c>
      <c r="N397" s="336">
        <f>Gasto_o_ing_total!M397*1000/Gasto_o_ing_total!M$479</f>
        <v>1.4909545875084518</v>
      </c>
      <c r="O397" s="336">
        <f>Gasto_o_ing_total!N397*1000/Gasto_o_ing_total!N$479</f>
        <v>1.4909545875084518</v>
      </c>
      <c r="P397" s="336">
        <f>Gasto_o_ing_total!O397*1000/Gasto_o_ing_total!O$479</f>
        <v>1.490954587508452</v>
      </c>
      <c r="Q397" s="336">
        <f>Gasto_o_ing_total!P397*1000/Gasto_o_ing_total!P$479</f>
        <v>1.4909545875084516</v>
      </c>
      <c r="R397" s="336">
        <f>Gasto_o_ing_total!Q397*1000/Gasto_o_ing_total!Q$479</f>
        <v>1.4909545875084518</v>
      </c>
      <c r="S397" s="336">
        <f>Gasto_o_ing_total!R397*1000/Gasto_o_ing_total!R$479</f>
        <v>1.4909545875084518</v>
      </c>
      <c r="T397" s="336">
        <f>Gasto_o_ing_total!S397*1000/Gasto_o_ing_total!S$479</f>
        <v>1.4909545875084518</v>
      </c>
      <c r="U397" s="336">
        <f>Gasto_o_ing_total!T397*1000/Gasto_o_ing_total!T$479</f>
        <v>1.490954587508452</v>
      </c>
      <c r="V397" s="336">
        <f>Gasto_o_ing_total!U397*1000/Gasto_o_ing_total!U$479</f>
        <v>1.4909545875084518</v>
      </c>
      <c r="W397" s="105"/>
    </row>
    <row r="398" spans="1:23" s="102" customFormat="1">
      <c r="A398" s="355"/>
      <c r="B398" s="115" t="s">
        <v>385</v>
      </c>
      <c r="C398" s="333" t="str">
        <f>VLOOKUP(B398,Tot_res!C:D,2,FALSE)</f>
        <v>Otros servicios sociales del estado + AF19/1</v>
      </c>
      <c r="D398" s="336">
        <f>Gasto_o_ing_total!V398*1000/Gasto_o_ing_total!V$479</f>
        <v>9.2038809749248216</v>
      </c>
      <c r="E398" s="336">
        <f>Gasto_o_ing_total!D398*1000/Gasto_o_ing_total!D$479</f>
        <v>9.117003586548913</v>
      </c>
      <c r="F398" s="336">
        <f>Gasto_o_ing_total!E398*1000/Gasto_o_ing_total!E$479</f>
        <v>9.1913796875732814</v>
      </c>
      <c r="G398" s="336">
        <f>Gasto_o_ing_total!F398*1000/Gasto_o_ing_total!F$479</f>
        <v>9.3271065675932103</v>
      </c>
      <c r="H398" s="336">
        <f>Gasto_o_ing_total!G398*1000/Gasto_o_ing_total!G$479</f>
        <v>8.8886311405573437</v>
      </c>
      <c r="I398" s="336">
        <f>Gasto_o_ing_total!H398*1000/Gasto_o_ing_total!H$479</f>
        <v>8.9963232492260961</v>
      </c>
      <c r="J398" s="336">
        <f>Gasto_o_ing_total!I398*1000/Gasto_o_ing_total!I$479</f>
        <v>9.2067427754377675</v>
      </c>
      <c r="K398" s="336">
        <f>Gasto_o_ing_total!J398*1000/Gasto_o_ing_total!J$479</f>
        <v>9.3645270735526083</v>
      </c>
      <c r="L398" s="336">
        <f>Gasto_o_ing_total!K398*1000/Gasto_o_ing_total!K$479</f>
        <v>9.1625787733585362</v>
      </c>
      <c r="M398" s="336">
        <f>Gasto_o_ing_total!L398*1000/Gasto_o_ing_total!L$479</f>
        <v>8.9352020598982964</v>
      </c>
      <c r="N398" s="336">
        <f>Gasto_o_ing_total!M398*1000/Gasto_o_ing_total!M$479</f>
        <v>8.9688321880380695</v>
      </c>
      <c r="O398" s="336">
        <f>Gasto_o_ing_total!N398*1000/Gasto_o_ing_total!N$479</f>
        <v>9.3797564361178249</v>
      </c>
      <c r="P398" s="336">
        <f>Gasto_o_ing_total!O398*1000/Gasto_o_ing_total!O$479</f>
        <v>9.3514340752287008</v>
      </c>
      <c r="Q398" s="336">
        <f>Gasto_o_ing_total!P398*1000/Gasto_o_ing_total!P$479</f>
        <v>8.8994747234548921</v>
      </c>
      <c r="R398" s="336">
        <f>Gasto_o_ing_total!Q398*1000/Gasto_o_ing_total!Q$479</f>
        <v>8.999688075621167</v>
      </c>
      <c r="S398" s="336">
        <f>Gasto_o_ing_total!R398*1000/Gasto_o_ing_total!R$479</f>
        <v>9.2038809749248198</v>
      </c>
      <c r="T398" s="336">
        <f>Gasto_o_ing_total!S398*1000/Gasto_o_ing_total!S$479</f>
        <v>9.2038809749248198</v>
      </c>
      <c r="U398" s="336">
        <f>Gasto_o_ing_total!T398*1000/Gasto_o_ing_total!T$479</f>
        <v>9.9492322362259884</v>
      </c>
      <c r="V398" s="336">
        <f>Gasto_o_ing_total!U398*1000/Gasto_o_ing_total!U$479</f>
        <v>43.188121345366802</v>
      </c>
      <c r="W398" s="105"/>
    </row>
    <row r="399" spans="1:23" s="102" customFormat="1">
      <c r="A399" s="355"/>
      <c r="B399" s="115" t="s">
        <v>386</v>
      </c>
      <c r="C399" s="333" t="str">
        <f>VLOOKUP(B399,Tot_res!C:D,2,FALSE)</f>
        <v>Atención a la infancia y a las familias</v>
      </c>
      <c r="D399" s="336">
        <f>Gasto_o_ing_total!V399*1000/Gasto_o_ing_total!V$479</f>
        <v>8.2508378067977117E-2</v>
      </c>
      <c r="E399" s="336">
        <f>Gasto_o_ing_total!D399*1000/Gasto_o_ing_total!D$479</f>
        <v>8.2508378067977131E-2</v>
      </c>
      <c r="F399" s="336">
        <f>Gasto_o_ing_total!E399*1000/Gasto_o_ing_total!E$479</f>
        <v>8.2508378067977131E-2</v>
      </c>
      <c r="G399" s="336">
        <f>Gasto_o_ing_total!F399*1000/Gasto_o_ing_total!F$479</f>
        <v>8.2508378067977131E-2</v>
      </c>
      <c r="H399" s="336">
        <f>Gasto_o_ing_total!G399*1000/Gasto_o_ing_total!G$479</f>
        <v>8.2508378067977131E-2</v>
      </c>
      <c r="I399" s="336">
        <f>Gasto_o_ing_total!H399*1000/Gasto_o_ing_total!H$479</f>
        <v>8.2508378067977131E-2</v>
      </c>
      <c r="J399" s="336">
        <f>Gasto_o_ing_total!I399*1000/Gasto_o_ing_total!I$479</f>
        <v>8.2508378067977117E-2</v>
      </c>
      <c r="K399" s="336">
        <f>Gasto_o_ing_total!J399*1000/Gasto_o_ing_total!J$479</f>
        <v>8.2508378067977131E-2</v>
      </c>
      <c r="L399" s="336">
        <f>Gasto_o_ing_total!K399*1000/Gasto_o_ing_total!K$479</f>
        <v>8.2508378067977117E-2</v>
      </c>
      <c r="M399" s="336">
        <f>Gasto_o_ing_total!L399*1000/Gasto_o_ing_total!L$479</f>
        <v>8.2508378067977131E-2</v>
      </c>
      <c r="N399" s="336">
        <f>Gasto_o_ing_total!M399*1000/Gasto_o_ing_total!M$479</f>
        <v>8.2508378067977117E-2</v>
      </c>
      <c r="O399" s="336">
        <f>Gasto_o_ing_total!N399*1000/Gasto_o_ing_total!N$479</f>
        <v>8.2508378067977131E-2</v>
      </c>
      <c r="P399" s="336">
        <f>Gasto_o_ing_total!O399*1000/Gasto_o_ing_total!O$479</f>
        <v>8.2508378067977117E-2</v>
      </c>
      <c r="Q399" s="336">
        <f>Gasto_o_ing_total!P399*1000/Gasto_o_ing_total!P$479</f>
        <v>8.2508378067977117E-2</v>
      </c>
      <c r="R399" s="336">
        <f>Gasto_o_ing_total!Q399*1000/Gasto_o_ing_total!Q$479</f>
        <v>8.2508378067977117E-2</v>
      </c>
      <c r="S399" s="336">
        <f>Gasto_o_ing_total!R399*1000/Gasto_o_ing_total!R$479</f>
        <v>8.2508378067977145E-2</v>
      </c>
      <c r="T399" s="336">
        <f>Gasto_o_ing_total!S399*1000/Gasto_o_ing_total!S$479</f>
        <v>8.2508378067977131E-2</v>
      </c>
      <c r="U399" s="336">
        <f>Gasto_o_ing_total!T399*1000/Gasto_o_ing_total!T$479</f>
        <v>8.2508378067977117E-2</v>
      </c>
      <c r="V399" s="336">
        <f>Gasto_o_ing_total!U399*1000/Gasto_o_ing_total!U$479</f>
        <v>8.2508378067977117E-2</v>
      </c>
      <c r="W399" s="105"/>
    </row>
    <row r="400" spans="1:23" s="102" customFormat="1">
      <c r="A400" s="355"/>
      <c r="B400" s="115" t="s">
        <v>387</v>
      </c>
      <c r="C400" s="333" t="str">
        <f>VLOOKUP(B400,Tot_res!C:D,2,FALSE)</f>
        <v>Acciones en favor de los inmigrantes</v>
      </c>
      <c r="D400" s="336">
        <f>Gasto_o_ing_total!V400*1000/Gasto_o_ing_total!V$479</f>
        <v>1.9064177800470208</v>
      </c>
      <c r="E400" s="336">
        <f>Gasto_o_ing_total!D400*1000/Gasto_o_ing_total!D$479</f>
        <v>2.8678118870060216</v>
      </c>
      <c r="F400" s="336">
        <f>Gasto_o_ing_total!E400*1000/Gasto_o_ing_total!E$479</f>
        <v>1.4264305831746149</v>
      </c>
      <c r="G400" s="336">
        <f>Gasto_o_ing_total!F400*1000/Gasto_o_ing_total!F$479</f>
        <v>1.4007172573554303</v>
      </c>
      <c r="H400" s="336">
        <f>Gasto_o_ing_total!G400*1000/Gasto_o_ing_total!G$479</f>
        <v>1.0363023039560513</v>
      </c>
      <c r="I400" s="336">
        <f>Gasto_o_ing_total!H400*1000/Gasto_o_ing_total!H$479</f>
        <v>2.9782396809441947</v>
      </c>
      <c r="J400" s="336">
        <f>Gasto_o_ing_total!I400*1000/Gasto_o_ing_total!I$479</f>
        <v>0.83518282403874511</v>
      </c>
      <c r="K400" s="336">
        <f>Gasto_o_ing_total!J400*1000/Gasto_o_ing_total!J$479</f>
        <v>1.2869364803189156</v>
      </c>
      <c r="L400" s="336">
        <f>Gasto_o_ing_total!K400*1000/Gasto_o_ing_total!K$479</f>
        <v>1.469702331053361</v>
      </c>
      <c r="M400" s="336">
        <f>Gasto_o_ing_total!L400*1000/Gasto_o_ing_total!L$479</f>
        <v>1.5095449273868489</v>
      </c>
      <c r="N400" s="336">
        <f>Gasto_o_ing_total!M400*1000/Gasto_o_ing_total!M$479</f>
        <v>1.3395431767062471</v>
      </c>
      <c r="O400" s="336">
        <f>Gasto_o_ing_total!N400*1000/Gasto_o_ing_total!N$479</f>
        <v>0.78969324012524966</v>
      </c>
      <c r="P400" s="336">
        <f>Gasto_o_ing_total!O400*1000/Gasto_o_ing_total!O$479</f>
        <v>0.93892135755596584</v>
      </c>
      <c r="Q400" s="336">
        <f>Gasto_o_ing_total!P400*1000/Gasto_o_ing_total!P$479</f>
        <v>1.8117551945826171</v>
      </c>
      <c r="R400" s="336">
        <f>Gasto_o_ing_total!Q400*1000/Gasto_o_ing_total!Q$479</f>
        <v>2.8258928450922132</v>
      </c>
      <c r="S400" s="336">
        <f>Gasto_o_ing_total!R400*1000/Gasto_o_ing_total!R$479</f>
        <v>1.2714002268581523</v>
      </c>
      <c r="T400" s="336">
        <f>Gasto_o_ing_total!S400*1000/Gasto_o_ing_total!S$479</f>
        <v>1.0639826357730453</v>
      </c>
      <c r="U400" s="336">
        <f>Gasto_o_ing_total!T400*1000/Gasto_o_ing_total!T$479</f>
        <v>0.94170647290301812</v>
      </c>
      <c r="V400" s="336">
        <f>Gasto_o_ing_total!U400*1000/Gasto_o_ing_total!U$479</f>
        <v>40.2287700889108</v>
      </c>
      <c r="W400" s="105"/>
    </row>
    <row r="401" spans="1:23" s="102" customFormat="1">
      <c r="A401" s="355"/>
      <c r="B401" s="115" t="s">
        <v>388</v>
      </c>
      <c r="C401" s="333" t="str">
        <f>VLOOKUP(B401,Tot_res!C:D,2,FALSE)</f>
        <v>Promoción y servicios a la juventud</v>
      </c>
      <c r="D401" s="336">
        <f>Gasto_o_ing_total!V401*1000/Gasto_o_ing_total!V$479</f>
        <v>0.48959050245234548</v>
      </c>
      <c r="E401" s="336">
        <f>Gasto_o_ing_total!D401*1000/Gasto_o_ing_total!D$479</f>
        <v>0.40491810505670089</v>
      </c>
      <c r="F401" s="336">
        <f>Gasto_o_ing_total!E401*1000/Gasto_o_ing_total!E$479</f>
        <v>0.5345227447433395</v>
      </c>
      <c r="G401" s="336">
        <f>Gasto_o_ing_total!F401*1000/Gasto_o_ing_total!F$479</f>
        <v>0.52640885746153854</v>
      </c>
      <c r="H401" s="336">
        <f>Gasto_o_ing_total!G401*1000/Gasto_o_ing_total!G$479</f>
        <v>0.32227002730791166</v>
      </c>
      <c r="I401" s="336">
        <f>Gasto_o_ing_total!H401*1000/Gasto_o_ing_total!H$479</f>
        <v>0.53066123328334014</v>
      </c>
      <c r="J401" s="336">
        <f>Gasto_o_ing_total!I401*1000/Gasto_o_ing_total!I$479</f>
        <v>0.57450185785240448</v>
      </c>
      <c r="K401" s="336">
        <f>Gasto_o_ing_total!J401*1000/Gasto_o_ing_total!J$479</f>
        <v>0.60149383920073141</v>
      </c>
      <c r="L401" s="336">
        <f>Gasto_o_ing_total!K401*1000/Gasto_o_ing_total!K$479</f>
        <v>0.42824881306943979</v>
      </c>
      <c r="M401" s="336">
        <f>Gasto_o_ing_total!L401*1000/Gasto_o_ing_total!L$479</f>
        <v>0.50850696631212966</v>
      </c>
      <c r="N401" s="336">
        <f>Gasto_o_ing_total!M401*1000/Gasto_o_ing_total!M$479</f>
        <v>0.46586615478215526</v>
      </c>
      <c r="O401" s="336">
        <f>Gasto_o_ing_total!N401*1000/Gasto_o_ing_total!N$479</f>
        <v>0.5602406716468572</v>
      </c>
      <c r="P401" s="336">
        <f>Gasto_o_ing_total!O401*1000/Gasto_o_ing_total!O$479</f>
        <v>0.60976191213555342</v>
      </c>
      <c r="Q401" s="336">
        <f>Gasto_o_ing_total!P401*1000/Gasto_o_ing_total!P$479</f>
        <v>0.48578754245860339</v>
      </c>
      <c r="R401" s="336">
        <f>Gasto_o_ing_total!Q401*1000/Gasto_o_ing_total!Q$479</f>
        <v>0.70248616149060605</v>
      </c>
      <c r="S401" s="336">
        <f>Gasto_o_ing_total!R401*1000/Gasto_o_ing_total!R$479</f>
        <v>0.51485309893497566</v>
      </c>
      <c r="T401" s="336">
        <f>Gasto_o_ing_total!S401*1000/Gasto_o_ing_total!S$479</f>
        <v>0.31395725848851697</v>
      </c>
      <c r="U401" s="336">
        <f>Gasto_o_ing_total!T401*1000/Gasto_o_ing_total!T$479</f>
        <v>0.69134616075562227</v>
      </c>
      <c r="V401" s="336">
        <f>Gasto_o_ing_total!U401*1000/Gasto_o_ing_total!U$479</f>
        <v>1.0453498645935762</v>
      </c>
      <c r="W401" s="105"/>
    </row>
    <row r="402" spans="1:23" s="102" customFormat="1">
      <c r="A402" s="355"/>
      <c r="B402" s="115" t="s">
        <v>389</v>
      </c>
      <c r="C402" s="333" t="str">
        <f>VLOOKUP(B402,Tot_res!C:D,2,FALSE)</f>
        <v>Igualdad oportunidades entre mujeres y hombres</v>
      </c>
      <c r="D402" s="336">
        <f>Gasto_o_ing_total!V402*1000/Gasto_o_ing_total!V$479</f>
        <v>0.30999880384818407</v>
      </c>
      <c r="E402" s="336">
        <f>Gasto_o_ing_total!D402*1000/Gasto_o_ing_total!D$479</f>
        <v>0.25779552689641116</v>
      </c>
      <c r="F402" s="336">
        <f>Gasto_o_ing_total!E402*1000/Gasto_o_ing_total!E$479</f>
        <v>0.36252152850907643</v>
      </c>
      <c r="G402" s="336">
        <f>Gasto_o_ing_total!F402*1000/Gasto_o_ing_total!F$479</f>
        <v>0.26018676866869339</v>
      </c>
      <c r="H402" s="336">
        <f>Gasto_o_ing_total!G402*1000/Gasto_o_ing_total!G$479</f>
        <v>0.21161649601024712</v>
      </c>
      <c r="I402" s="336">
        <f>Gasto_o_ing_total!H402*1000/Gasto_o_ing_total!H$479</f>
        <v>0.19593065301433649</v>
      </c>
      <c r="J402" s="336">
        <f>Gasto_o_ing_total!I402*1000/Gasto_o_ing_total!I$479</f>
        <v>0.80432184878599511</v>
      </c>
      <c r="K402" s="336">
        <f>Gasto_o_ing_total!J402*1000/Gasto_o_ing_total!J$479</f>
        <v>0.44540053809054714</v>
      </c>
      <c r="L402" s="336">
        <f>Gasto_o_ing_total!K402*1000/Gasto_o_ing_total!K$479</f>
        <v>0.4289924067090623</v>
      </c>
      <c r="M402" s="336">
        <f>Gasto_o_ing_total!L402*1000/Gasto_o_ing_total!L$479</f>
        <v>0.2844640917405199</v>
      </c>
      <c r="N402" s="336">
        <f>Gasto_o_ing_total!M402*1000/Gasto_o_ing_total!M$479</f>
        <v>0.19851642262727559</v>
      </c>
      <c r="O402" s="336">
        <f>Gasto_o_ing_total!N402*1000/Gasto_o_ing_total!N$479</f>
        <v>0.14290349708781652</v>
      </c>
      <c r="P402" s="336">
        <f>Gasto_o_ing_total!O402*1000/Gasto_o_ing_total!O$479</f>
        <v>0.33440744047553611</v>
      </c>
      <c r="Q402" s="336">
        <f>Gasto_o_ing_total!P402*1000/Gasto_o_ing_total!P$479</f>
        <v>0.33533033152793545</v>
      </c>
      <c r="R402" s="336">
        <f>Gasto_o_ing_total!Q402*1000/Gasto_o_ing_total!Q$479</f>
        <v>0.58846233305933426</v>
      </c>
      <c r="S402" s="336">
        <f>Gasto_o_ing_total!R402*1000/Gasto_o_ing_total!R$479</f>
        <v>0.35007227861343887</v>
      </c>
      <c r="T402" s="336">
        <f>Gasto_o_ing_total!S402*1000/Gasto_o_ing_total!S$479</f>
        <v>0.187011070979274</v>
      </c>
      <c r="U402" s="336">
        <f>Gasto_o_ing_total!T402*1000/Gasto_o_ing_total!T$479</f>
        <v>0.76705692898051481</v>
      </c>
      <c r="V402" s="336">
        <f>Gasto_o_ing_total!U402*1000/Gasto_o_ing_total!U$479</f>
        <v>2.0268662381041795</v>
      </c>
      <c r="W402" s="105"/>
    </row>
    <row r="403" spans="1:23" s="102" customFormat="1">
      <c r="A403" s="355"/>
      <c r="B403" s="115" t="s">
        <v>390</v>
      </c>
      <c r="C403" s="333" t="str">
        <f>VLOOKUP(B403,Tot_res!C:D,2,FALSE)</f>
        <v>Actuaciones para la prevención integral de la violencia de género + AF19/2</v>
      </c>
      <c r="D403" s="336">
        <f>Gasto_o_ing_total!V403*1000/Gasto_o_ing_total!V$479</f>
        <v>0.41893021154677762</v>
      </c>
      <c r="E403" s="336">
        <f>Gasto_o_ing_total!D403*1000/Gasto_o_ing_total!D$479</f>
        <v>0.36143038782226361</v>
      </c>
      <c r="F403" s="336">
        <f>Gasto_o_ing_total!E403*1000/Gasto_o_ing_total!E$479</f>
        <v>0.59076597983440204</v>
      </c>
      <c r="G403" s="336">
        <f>Gasto_o_ing_total!F403*1000/Gasto_o_ing_total!F$479</f>
        <v>0.43589249859647816</v>
      </c>
      <c r="H403" s="336">
        <f>Gasto_o_ing_total!G403*1000/Gasto_o_ing_total!G$479</f>
        <v>0.79502624347062367</v>
      </c>
      <c r="I403" s="336">
        <f>Gasto_o_ing_total!H403*1000/Gasto_o_ing_total!H$479</f>
        <v>0.75213273048207552</v>
      </c>
      <c r="J403" s="336">
        <f>Gasto_o_ing_total!I403*1000/Gasto_o_ing_total!I$479</f>
        <v>0.74420045829482817</v>
      </c>
      <c r="K403" s="336">
        <f>Gasto_o_ing_total!J403*1000/Gasto_o_ing_total!J$479</f>
        <v>0.35124037369376943</v>
      </c>
      <c r="L403" s="336">
        <f>Gasto_o_ing_total!K403*1000/Gasto_o_ing_total!K$479</f>
        <v>0.33734436712800858</v>
      </c>
      <c r="M403" s="336">
        <f>Gasto_o_ing_total!L403*1000/Gasto_o_ing_total!L$479</f>
        <v>0.28531650416365334</v>
      </c>
      <c r="N403" s="336">
        <f>Gasto_o_ing_total!M403*1000/Gasto_o_ing_total!M$479</f>
        <v>0.33329113732964161</v>
      </c>
      <c r="O403" s="336">
        <f>Gasto_o_ing_total!N403*1000/Gasto_o_ing_total!N$479</f>
        <v>1.1260566396615734</v>
      </c>
      <c r="P403" s="336">
        <f>Gasto_o_ing_total!O403*1000/Gasto_o_ing_total!O$479</f>
        <v>0.54457434337002164</v>
      </c>
      <c r="Q403" s="336">
        <f>Gasto_o_ing_total!P403*1000/Gasto_o_ing_total!P$479</f>
        <v>0.28675553477903004</v>
      </c>
      <c r="R403" s="336">
        <f>Gasto_o_ing_total!Q403*1000/Gasto_o_ing_total!Q$479</f>
        <v>0.45234605242595333</v>
      </c>
      <c r="S403" s="336">
        <f>Gasto_o_ing_total!R403*1000/Gasto_o_ing_total!R$479</f>
        <v>0.41893021154677762</v>
      </c>
      <c r="T403" s="336">
        <f>Gasto_o_ing_total!S403*1000/Gasto_o_ing_total!S$479</f>
        <v>0.41893021154677762</v>
      </c>
      <c r="U403" s="336">
        <f>Gasto_o_ing_total!T403*1000/Gasto_o_ing_total!T$479</f>
        <v>1.0909459855434693</v>
      </c>
      <c r="V403" s="336">
        <f>Gasto_o_ing_total!U403*1000/Gasto_o_ing_total!U$479</f>
        <v>1.4302372500678926</v>
      </c>
      <c r="W403" s="105"/>
    </row>
    <row r="404" spans="1:23" s="102" customFormat="1">
      <c r="A404" s="355"/>
      <c r="B404" s="115" t="s">
        <v>885</v>
      </c>
      <c r="C404" s="333" t="str">
        <f>VLOOKUP(B404,Tot_res!C:D,2,FALSE)</f>
        <v>Servicios Sociales Generales, neto de gasto directo del Estado en Ceuta y Melilla + AF19/3</v>
      </c>
      <c r="D404" s="336">
        <f>Gasto_o_ing_total!V404*1000/Gasto_o_ing_total!V$479</f>
        <v>30.554358741988281</v>
      </c>
      <c r="E404" s="336">
        <f>Gasto_o_ing_total!D404*1000/Gasto_o_ing_total!D$479</f>
        <v>36.754088438238426</v>
      </c>
      <c r="F404" s="336">
        <f>Gasto_o_ing_total!E404*1000/Gasto_o_ing_total!E$479</f>
        <v>23.491598192778056</v>
      </c>
      <c r="G404" s="336">
        <f>Gasto_o_ing_total!F404*1000/Gasto_o_ing_total!F$479</f>
        <v>27.330503427752571</v>
      </c>
      <c r="H404" s="336">
        <f>Gasto_o_ing_total!G404*1000/Gasto_o_ing_total!G$479</f>
        <v>21.475539000851963</v>
      </c>
      <c r="I404" s="336">
        <f>Gasto_o_ing_total!H404*1000/Gasto_o_ing_total!H$479</f>
        <v>13.619939269552827</v>
      </c>
      <c r="J404" s="336">
        <f>Gasto_o_ing_total!I404*1000/Gasto_o_ing_total!I$479</f>
        <v>45.394543882620198</v>
      </c>
      <c r="K404" s="336">
        <f>Gasto_o_ing_total!J404*1000/Gasto_o_ing_total!J$479</f>
        <v>43.699466464957418</v>
      </c>
      <c r="L404" s="336">
        <f>Gasto_o_ing_total!K404*1000/Gasto_o_ing_total!K$479</f>
        <v>35.141869990830614</v>
      </c>
      <c r="M404" s="336">
        <f>Gasto_o_ing_total!L404*1000/Gasto_o_ing_total!L$479</f>
        <v>31.618902587565962</v>
      </c>
      <c r="N404" s="336">
        <f>Gasto_o_ing_total!M404*1000/Gasto_o_ing_total!M$479</f>
        <v>15.584513505905408</v>
      </c>
      <c r="O404" s="336">
        <f>Gasto_o_ing_total!N404*1000/Gasto_o_ing_total!N$479</f>
        <v>42.32382842194253</v>
      </c>
      <c r="P404" s="336">
        <f>Gasto_o_ing_total!O404*1000/Gasto_o_ing_total!O$479</f>
        <v>30.923453396669377</v>
      </c>
      <c r="Q404" s="336">
        <f>Gasto_o_ing_total!P404*1000/Gasto_o_ing_total!P$479</f>
        <v>26.641656087238275</v>
      </c>
      <c r="R404" s="336">
        <f>Gasto_o_ing_total!Q404*1000/Gasto_o_ing_total!Q$479</f>
        <v>39.520722295598688</v>
      </c>
      <c r="S404" s="336">
        <f>Gasto_o_ing_total!R404*1000/Gasto_o_ing_total!R$479</f>
        <v>23.017499055553298</v>
      </c>
      <c r="T404" s="336">
        <f>Gasto_o_ing_total!S404*1000/Gasto_o_ing_total!S$479</f>
        <v>40.352356376113391</v>
      </c>
      <c r="U404" s="336">
        <f>Gasto_o_ing_total!T404*1000/Gasto_o_ing_total!T$479</f>
        <v>42.65043969682749</v>
      </c>
      <c r="V404" s="336">
        <f>Gasto_o_ing_total!U404*1000/Gasto_o_ing_total!U$479</f>
        <v>33.909191069717018</v>
      </c>
      <c r="W404" s="105"/>
    </row>
    <row r="405" spans="1:23" s="102" customFormat="1">
      <c r="A405" s="355"/>
      <c r="B405" s="115" t="s">
        <v>887</v>
      </c>
      <c r="C405" s="333" t="str">
        <f>VLOOKUP(B405,Tot_res!C:D,2,FALSE)</f>
        <v>Otros Servicios Sociales, ISM</v>
      </c>
      <c r="D405" s="336">
        <f>Gasto_o_ing_total!V405*1000/Gasto_o_ing_total!V$479</f>
        <v>1.3513055924655386E-2</v>
      </c>
      <c r="E405" s="336">
        <f>Gasto_o_ing_total!D405*1000/Gasto_o_ing_total!D$479</f>
        <v>3.5305321541277235E-4</v>
      </c>
      <c r="F405" s="336">
        <f>Gasto_o_ing_total!E405*1000/Gasto_o_ing_total!E$479</f>
        <v>0</v>
      </c>
      <c r="G405" s="336">
        <f>Gasto_o_ing_total!F405*1000/Gasto_o_ing_total!F$479</f>
        <v>3.9354437428155351E-3</v>
      </c>
      <c r="H405" s="336">
        <f>Gasto_o_ing_total!G405*1000/Gasto_o_ing_total!G$479</f>
        <v>0</v>
      </c>
      <c r="I405" s="336">
        <f>Gasto_o_ing_total!H405*1000/Gasto_o_ing_total!H$479</f>
        <v>0</v>
      </c>
      <c r="J405" s="336">
        <f>Gasto_o_ing_total!I405*1000/Gasto_o_ing_total!I$479</f>
        <v>0</v>
      </c>
      <c r="K405" s="336">
        <f>Gasto_o_ing_total!J405*1000/Gasto_o_ing_total!J$479</f>
        <v>0</v>
      </c>
      <c r="L405" s="336">
        <f>Gasto_o_ing_total!K405*1000/Gasto_o_ing_total!K$479</f>
        <v>0</v>
      </c>
      <c r="M405" s="336">
        <f>Gasto_o_ing_total!L405*1000/Gasto_o_ing_total!L$479</f>
        <v>0</v>
      </c>
      <c r="N405" s="336">
        <f>Gasto_o_ing_total!M405*1000/Gasto_o_ing_total!M$479</f>
        <v>9.487530395701141E-4</v>
      </c>
      <c r="O405" s="336">
        <f>Gasto_o_ing_total!N405*1000/Gasto_o_ing_total!N$479</f>
        <v>0</v>
      </c>
      <c r="P405" s="336">
        <f>Gasto_o_ing_total!O405*1000/Gasto_o_ing_total!O$479</f>
        <v>7.8436882613942931E-3</v>
      </c>
      <c r="Q405" s="336">
        <f>Gasto_o_ing_total!P405*1000/Gasto_o_ing_total!P$479</f>
        <v>1.1431500615791269E-2</v>
      </c>
      <c r="R405" s="336">
        <f>Gasto_o_ing_total!Q405*1000/Gasto_o_ing_total!Q$479</f>
        <v>0</v>
      </c>
      <c r="S405" s="336">
        <f>Gasto_o_ing_total!R405*1000/Gasto_o_ing_total!R$479</f>
        <v>0</v>
      </c>
      <c r="T405" s="336">
        <f>Gasto_o_ing_total!S405*1000/Gasto_o_ing_total!S$479</f>
        <v>6.1697419122252583E-3</v>
      </c>
      <c r="U405" s="336">
        <f>Gasto_o_ing_total!T405*1000/Gasto_o_ing_total!T$479</f>
        <v>0</v>
      </c>
      <c r="V405" s="336">
        <f>Gasto_o_ing_total!U405*1000/Gasto_o_ing_total!U$479</f>
        <v>3.0434262451250857</v>
      </c>
      <c r="W405" s="105"/>
    </row>
    <row r="406" spans="1:23" s="102" customFormat="1">
      <c r="A406" s="355"/>
      <c r="B406" s="115" t="s">
        <v>888</v>
      </c>
      <c r="C406" s="333" t="str">
        <f>VLOOKUP(B406,Tot_res!C:D,2,FALSE)</f>
        <v>Otros Servicios Sociales, Mutuas</v>
      </c>
      <c r="D406" s="336">
        <f>Gasto_o_ing_total!V406*1000/Gasto_o_ing_total!V$479</f>
        <v>0.52400505632118832</v>
      </c>
      <c r="E406" s="336">
        <f>Gasto_o_ing_total!D406*1000/Gasto_o_ing_total!D$479</f>
        <v>0.40062500111667138</v>
      </c>
      <c r="F406" s="336">
        <f>Gasto_o_ing_total!E406*1000/Gasto_o_ing_total!E$479</f>
        <v>0.95025287470734987</v>
      </c>
      <c r="G406" s="336">
        <f>Gasto_o_ing_total!F406*1000/Gasto_o_ing_total!F$479</f>
        <v>0.67265944930589816</v>
      </c>
      <c r="H406" s="336">
        <f>Gasto_o_ing_total!G406*1000/Gasto_o_ing_total!G$479</f>
        <v>0.52503058052234897</v>
      </c>
      <c r="I406" s="336">
        <f>Gasto_o_ing_total!H406*1000/Gasto_o_ing_total!H$479</f>
        <v>0.41734386397402723</v>
      </c>
      <c r="J406" s="336">
        <f>Gasto_o_ing_total!I406*1000/Gasto_o_ing_total!I$479</f>
        <v>0.30869971031145388</v>
      </c>
      <c r="K406" s="336">
        <f>Gasto_o_ing_total!J406*1000/Gasto_o_ing_total!J$479</f>
        <v>0.55030780605067942</v>
      </c>
      <c r="L406" s="336">
        <f>Gasto_o_ing_total!K406*1000/Gasto_o_ing_total!K$479</f>
        <v>0.32113871184467724</v>
      </c>
      <c r="M406" s="336">
        <f>Gasto_o_ing_total!L406*1000/Gasto_o_ing_total!L$479</f>
        <v>0.62486161813712471</v>
      </c>
      <c r="N406" s="336">
        <f>Gasto_o_ing_total!M406*1000/Gasto_o_ing_total!M$479</f>
        <v>0.45421635722370046</v>
      </c>
      <c r="O406" s="336">
        <f>Gasto_o_ing_total!N406*1000/Gasto_o_ing_total!N$479</f>
        <v>0.41454101032972418</v>
      </c>
      <c r="P406" s="336">
        <f>Gasto_o_ing_total!O406*1000/Gasto_o_ing_total!O$479</f>
        <v>0.45085441806453069</v>
      </c>
      <c r="Q406" s="336">
        <f>Gasto_o_ing_total!P406*1000/Gasto_o_ing_total!P$479</f>
        <v>0.67692650374397734</v>
      </c>
      <c r="R406" s="336">
        <f>Gasto_o_ing_total!Q406*1000/Gasto_o_ing_total!Q$479</f>
        <v>0.29897694244172612</v>
      </c>
      <c r="S406" s="336">
        <f>Gasto_o_ing_total!R406*1000/Gasto_o_ing_total!R$479</f>
        <v>0.67390433585113318</v>
      </c>
      <c r="T406" s="336">
        <f>Gasto_o_ing_total!S406*1000/Gasto_o_ing_total!S$479</f>
        <v>0.64686067343644782</v>
      </c>
      <c r="U406" s="336">
        <f>Gasto_o_ing_total!T406*1000/Gasto_o_ing_total!T$479</f>
        <v>0.51118907500552424</v>
      </c>
      <c r="V406" s="336">
        <f>Gasto_o_ing_total!U406*1000/Gasto_o_ing_total!U$479</f>
        <v>1.8952665968497828E-2</v>
      </c>
      <c r="W406" s="105"/>
    </row>
    <row r="407" spans="1:23" s="102" customFormat="1">
      <c r="A407" s="355"/>
      <c r="B407" s="115" t="s">
        <v>890</v>
      </c>
      <c r="C407" s="333" t="str">
        <f>VLOOKUP(B407,Tot_res!C:D,2,FALSE)</f>
        <v>Admón.y Serv.Generales de Servicios Sociales, IMSERSO + AF19/4</v>
      </c>
      <c r="D407" s="336">
        <f>Gasto_o_ing_total!V407*1000/Gasto_o_ing_total!V$479</f>
        <v>0.51973673979218427</v>
      </c>
      <c r="E407" s="336">
        <f>Gasto_o_ing_total!D407*1000/Gasto_o_ing_total!D$479</f>
        <v>0.66028364909649595</v>
      </c>
      <c r="F407" s="336">
        <f>Gasto_o_ing_total!E407*1000/Gasto_o_ing_total!E$479</f>
        <v>0.33866649274215654</v>
      </c>
      <c r="G407" s="336">
        <f>Gasto_o_ing_total!F407*1000/Gasto_o_ing_total!F$479</f>
        <v>0.45290046217307273</v>
      </c>
      <c r="H407" s="336">
        <f>Gasto_o_ing_total!G407*1000/Gasto_o_ing_total!G$479</f>
        <v>0.35662349859446268</v>
      </c>
      <c r="I407" s="336">
        <f>Gasto_o_ing_total!H407*1000/Gasto_o_ing_total!H$479</f>
        <v>0.67530717227006209</v>
      </c>
      <c r="J407" s="336">
        <f>Gasto_o_ing_total!I407*1000/Gasto_o_ing_total!I$479</f>
        <v>0.65724446848219209</v>
      </c>
      <c r="K407" s="336">
        <f>Gasto_o_ing_total!J407*1000/Gasto_o_ing_total!J$479</f>
        <v>0.59340127539866827</v>
      </c>
      <c r="L407" s="336">
        <f>Gasto_o_ing_total!K407*1000/Gasto_o_ing_total!K$479</f>
        <v>0.54271732613344714</v>
      </c>
      <c r="M407" s="336">
        <f>Gasto_o_ing_total!L407*1000/Gasto_o_ing_total!L$479</f>
        <v>0.46695833996986519</v>
      </c>
      <c r="N407" s="336">
        <f>Gasto_o_ing_total!M407*1000/Gasto_o_ing_total!M$479</f>
        <v>0.37239632505898151</v>
      </c>
      <c r="O407" s="336">
        <f>Gasto_o_ing_total!N407*1000/Gasto_o_ing_total!N$479</f>
        <v>0.69481855564828865</v>
      </c>
      <c r="P407" s="336">
        <f>Gasto_o_ing_total!O407*1000/Gasto_o_ing_total!O$479</f>
        <v>0.68669904786939062</v>
      </c>
      <c r="Q407" s="336">
        <f>Gasto_o_ing_total!P407*1000/Gasto_o_ing_total!P$479</f>
        <v>0.35932571861226931</v>
      </c>
      <c r="R407" s="336">
        <f>Gasto_o_ing_total!Q407*1000/Gasto_o_ing_total!Q$479</f>
        <v>0.58389512986609671</v>
      </c>
      <c r="S407" s="336">
        <f>Gasto_o_ing_total!R407*1000/Gasto_o_ing_total!R$479</f>
        <v>0.51973673979218427</v>
      </c>
      <c r="T407" s="336">
        <f>Gasto_o_ing_total!S407*1000/Gasto_o_ing_total!S$479</f>
        <v>0.51973673979218438</v>
      </c>
      <c r="U407" s="336">
        <f>Gasto_o_ing_total!T407*1000/Gasto_o_ing_total!T$479</f>
        <v>0.47110064017353498</v>
      </c>
      <c r="V407" s="336">
        <f>Gasto_o_ing_total!U407*1000/Gasto_o_ing_total!U$479</f>
        <v>1.2174461360560596</v>
      </c>
      <c r="W407" s="111"/>
    </row>
    <row r="408" spans="1:23" s="102" customFormat="1">
      <c r="A408" s="355"/>
      <c r="B408" s="115" t="s">
        <v>892</v>
      </c>
      <c r="C408" s="333" t="str">
        <f>VLOOKUP(B408,Tot_res!C:D,2,FALSE)</f>
        <v>ISM formación y servicios sociales + AF19/5</v>
      </c>
      <c r="D408" s="336">
        <f>Gasto_o_ing_total!V408*1000/Gasto_o_ing_total!V$479</f>
        <v>0.1224201291640002</v>
      </c>
      <c r="E408" s="336">
        <f>Gasto_o_ing_total!D408*1000/Gasto_o_ing_total!D$479</f>
        <v>0.19169667811402746</v>
      </c>
      <c r="F408" s="336">
        <f>Gasto_o_ing_total!E408*1000/Gasto_o_ing_total!E$479</f>
        <v>0</v>
      </c>
      <c r="G408" s="336">
        <f>Gasto_o_ing_total!F408*1000/Gasto_o_ing_total!F$479</f>
        <v>1.0784803958565143</v>
      </c>
      <c r="H408" s="336">
        <f>Gasto_o_ing_total!G408*1000/Gasto_o_ing_total!G$479</f>
        <v>0.55916174683548592</v>
      </c>
      <c r="I408" s="336">
        <f>Gasto_o_ing_total!H408*1000/Gasto_o_ing_total!H$479</f>
        <v>0</v>
      </c>
      <c r="J408" s="336">
        <f>Gasto_o_ing_total!I408*1000/Gasto_o_ing_total!I$479</f>
        <v>1.0882884608758365</v>
      </c>
      <c r="K408" s="336">
        <f>Gasto_o_ing_total!J408*1000/Gasto_o_ing_total!J$479</f>
        <v>0</v>
      </c>
      <c r="L408" s="336">
        <f>Gasto_o_ing_total!K408*1000/Gasto_o_ing_total!K$479</f>
        <v>0</v>
      </c>
      <c r="M408" s="336">
        <f>Gasto_o_ing_total!L408*1000/Gasto_o_ing_total!L$479</f>
        <v>0</v>
      </c>
      <c r="N408" s="336">
        <f>Gasto_o_ing_total!M408*1000/Gasto_o_ing_total!M$479</f>
        <v>0</v>
      </c>
      <c r="O408" s="336">
        <f>Gasto_o_ing_total!N408*1000/Gasto_o_ing_total!N$479</f>
        <v>0</v>
      </c>
      <c r="P408" s="336">
        <f>Gasto_o_ing_total!O408*1000/Gasto_o_ing_total!O$479</f>
        <v>0</v>
      </c>
      <c r="Q408" s="336">
        <f>Gasto_o_ing_total!P408*1000/Gasto_o_ing_total!P$479</f>
        <v>0</v>
      </c>
      <c r="R408" s="336">
        <f>Gasto_o_ing_total!Q408*1000/Gasto_o_ing_total!Q$479</f>
        <v>0.59547397214494546</v>
      </c>
      <c r="S408" s="336">
        <f>Gasto_o_ing_total!R408*1000/Gasto_o_ing_total!R$479</f>
        <v>0</v>
      </c>
      <c r="T408" s="336">
        <f>Gasto_o_ing_total!S408*1000/Gasto_o_ing_total!S$479</f>
        <v>0.38721019090468378</v>
      </c>
      <c r="U408" s="336">
        <f>Gasto_o_ing_total!T408*1000/Gasto_o_ing_total!T$479</f>
        <v>0</v>
      </c>
      <c r="V408" s="336">
        <f>Gasto_o_ing_total!U408*1000/Gasto_o_ing_total!U$479</f>
        <v>0</v>
      </c>
      <c r="W408" s="105"/>
    </row>
    <row r="409" spans="1:23">
      <c r="A409" s="364"/>
      <c r="C409" s="18"/>
      <c r="D409" s="20"/>
      <c r="E409" s="20"/>
      <c r="F409" s="20"/>
      <c r="G409" s="20"/>
      <c r="H409" s="20"/>
      <c r="I409" s="20"/>
      <c r="J409" s="20"/>
      <c r="K409" s="20"/>
      <c r="L409" s="20"/>
      <c r="M409" s="20"/>
      <c r="N409" s="20"/>
      <c r="O409" s="20"/>
      <c r="P409" s="20"/>
      <c r="Q409" s="20"/>
      <c r="R409" s="20"/>
      <c r="S409" s="20"/>
      <c r="T409" s="20"/>
      <c r="U409" s="20"/>
      <c r="V409" s="20"/>
      <c r="W409" s="4"/>
    </row>
    <row r="410" spans="1:23" s="102" customFormat="1">
      <c r="A410" s="364"/>
      <c r="B410" s="115"/>
      <c r="C410" s="117" t="s">
        <v>392</v>
      </c>
      <c r="D410" s="113">
        <f>Gasto_o_ing_total!V410*1000/Gasto_o_ing_total!V$479</f>
        <v>40.336790444809722</v>
      </c>
      <c r="E410" s="113">
        <f>Gasto_o_ing_total!D410*1000/Gasto_o_ing_total!D$479</f>
        <v>33.230662473168557</v>
      </c>
      <c r="F410" s="113">
        <f>Gasto_o_ing_total!E410*1000/Gasto_o_ing_total!E$479</f>
        <v>45.019866609909791</v>
      </c>
      <c r="G410" s="113">
        <f>Gasto_o_ing_total!F410*1000/Gasto_o_ing_total!F$479</f>
        <v>54.444831386396949</v>
      </c>
      <c r="H410" s="113">
        <f>Gasto_o_ing_total!G410*1000/Gasto_o_ing_total!G$479</f>
        <v>40.59206838308021</v>
      </c>
      <c r="I410" s="113">
        <f>Gasto_o_ing_total!H410*1000/Gasto_o_ing_total!H$479</f>
        <v>34.157150841775938</v>
      </c>
      <c r="J410" s="113">
        <f>Gasto_o_ing_total!I410*1000/Gasto_o_ing_total!I$479</f>
        <v>44.964740929031372</v>
      </c>
      <c r="K410" s="113">
        <f>Gasto_o_ing_total!J410*1000/Gasto_o_ing_total!J$479</f>
        <v>44.068703589740892</v>
      </c>
      <c r="L410" s="113">
        <f>Gasto_o_ing_total!K410*1000/Gasto_o_ing_total!K$479</f>
        <v>34.665320464713723</v>
      </c>
      <c r="M410" s="113">
        <f>Gasto_o_ing_total!L410*1000/Gasto_o_ing_total!L$479</f>
        <v>42.065489032873863</v>
      </c>
      <c r="N410" s="113">
        <f>Gasto_o_ing_total!M410*1000/Gasto_o_ing_total!M$479</f>
        <v>39.73242892670315</v>
      </c>
      <c r="O410" s="113">
        <f>Gasto_o_ing_total!N410*1000/Gasto_o_ing_total!N$479</f>
        <v>34.156052488842036</v>
      </c>
      <c r="P410" s="113">
        <f>Gasto_o_ing_total!O410*1000/Gasto_o_ing_total!O$479</f>
        <v>47.40650003842859</v>
      </c>
      <c r="Q410" s="113">
        <f>Gasto_o_ing_total!P410*1000/Gasto_o_ing_total!P$479</f>
        <v>42.397342137633913</v>
      </c>
      <c r="R410" s="113">
        <f>Gasto_o_ing_total!Q410*1000/Gasto_o_ing_total!Q$479</f>
        <v>34.054680501420933</v>
      </c>
      <c r="S410" s="113">
        <f>Gasto_o_ing_total!R410*1000/Gasto_o_ing_total!R$479</f>
        <v>43.057988253603355</v>
      </c>
      <c r="T410" s="113">
        <f>Gasto_o_ing_total!S410*1000/Gasto_o_ing_total!S$479</f>
        <v>50.025593264796775</v>
      </c>
      <c r="U410" s="113">
        <f>Gasto_o_ing_total!T410*1000/Gasto_o_ing_total!T$479</f>
        <v>40.576523741625479</v>
      </c>
      <c r="V410" s="113">
        <f>Gasto_o_ing_total!U410*1000/Gasto_o_ing_total!U$479</f>
        <v>47.920433545715966</v>
      </c>
      <c r="W410" s="105"/>
    </row>
    <row r="411" spans="1:23" s="102" customFormat="1">
      <c r="A411" s="355"/>
      <c r="B411" s="115" t="s">
        <v>393</v>
      </c>
      <c r="C411" s="333" t="str">
        <f>VLOOKUP(B411,Tot_res!C:D,2,FALSE)</f>
        <v>Inspección y control de seguridad y protección social</v>
      </c>
      <c r="D411" s="336">
        <f>Gasto_o_ing_total!V411*1000/Gasto_o_ing_total!V$479</f>
        <v>2.5533361813645588</v>
      </c>
      <c r="E411" s="336">
        <f>Gasto_o_ing_total!D411*1000/Gasto_o_ing_total!D$479</f>
        <v>2.6260953389349617</v>
      </c>
      <c r="F411" s="336">
        <f>Gasto_o_ing_total!E411*1000/Gasto_o_ing_total!E$479</f>
        <v>3.9138496448090145</v>
      </c>
      <c r="G411" s="336">
        <f>Gasto_o_ing_total!F411*1000/Gasto_o_ing_total!F$479</f>
        <v>3.2676961705756615</v>
      </c>
      <c r="H411" s="336">
        <f>Gasto_o_ing_total!G411*1000/Gasto_o_ing_total!G$479</f>
        <v>4.6440852844339613</v>
      </c>
      <c r="I411" s="336">
        <f>Gasto_o_ing_total!H411*1000/Gasto_o_ing_total!H$479</f>
        <v>3.4152679563652879</v>
      </c>
      <c r="J411" s="336">
        <f>Gasto_o_ing_total!I411*1000/Gasto_o_ing_total!I$479</f>
        <v>3.2258504167445761</v>
      </c>
      <c r="K411" s="336">
        <f>Gasto_o_ing_total!J411*1000/Gasto_o_ing_total!J$479</f>
        <v>4.3936733331396685</v>
      </c>
      <c r="L411" s="336">
        <f>Gasto_o_ing_total!K411*1000/Gasto_o_ing_total!K$479</f>
        <v>2.8709927539552544</v>
      </c>
      <c r="M411" s="336">
        <f>Gasto_o_ing_total!L411*1000/Gasto_o_ing_total!L$479</f>
        <v>3.4843967915763691E-2</v>
      </c>
      <c r="N411" s="336">
        <f>Gasto_o_ing_total!M411*1000/Gasto_o_ing_total!M$479</f>
        <v>2.8283106777120031</v>
      </c>
      <c r="O411" s="336">
        <f>Gasto_o_ing_total!N411*1000/Gasto_o_ing_total!N$479</f>
        <v>2.9653568983982708</v>
      </c>
      <c r="P411" s="336">
        <f>Gasto_o_ing_total!O411*1000/Gasto_o_ing_total!O$479</f>
        <v>3.1549367585502948</v>
      </c>
      <c r="Q411" s="336">
        <f>Gasto_o_ing_total!P411*1000/Gasto_o_ing_total!P$479</f>
        <v>3.1167224703865029</v>
      </c>
      <c r="R411" s="336">
        <f>Gasto_o_ing_total!Q411*1000/Gasto_o_ing_total!Q$479</f>
        <v>2.3062440320364277</v>
      </c>
      <c r="S411" s="336">
        <f>Gasto_o_ing_total!R411*1000/Gasto_o_ing_total!R$479</f>
        <v>2.8441117769829085</v>
      </c>
      <c r="T411" s="336">
        <f>Gasto_o_ing_total!S411*1000/Gasto_o_ing_total!S$479</f>
        <v>2.1953820633631387</v>
      </c>
      <c r="U411" s="336">
        <f>Gasto_o_ing_total!T411*1000/Gasto_o_ing_total!T$479</f>
        <v>2.7037728366209044</v>
      </c>
      <c r="V411" s="336">
        <f>Gasto_o_ing_total!U411*1000/Gasto_o_ing_total!U$479</f>
        <v>0.99854026053614542</v>
      </c>
      <c r="W411" s="105"/>
    </row>
    <row r="412" spans="1:23" s="102" customFormat="1">
      <c r="A412" s="355"/>
      <c r="B412" s="115" t="s">
        <v>394</v>
      </c>
      <c r="C412" s="333" t="str">
        <f>VLOOKUP(B412,Tot_res!C:D,2,FALSE)</f>
        <v>Dirección y servicios generales de seguridad social y protección social</v>
      </c>
      <c r="D412" s="336">
        <f>Gasto_o_ing_total!V412*1000/Gasto_o_ing_total!V$479</f>
        <v>2.86332319685545</v>
      </c>
      <c r="E412" s="336">
        <f>Gasto_o_ing_total!D412*1000/Gasto_o_ing_total!D$479</f>
        <v>2.7037609191889151</v>
      </c>
      <c r="F412" s="336">
        <f>Gasto_o_ing_total!E412*1000/Gasto_o_ing_total!E$479</f>
        <v>2.9906027718686627</v>
      </c>
      <c r="G412" s="336">
        <f>Gasto_o_ing_total!F412*1000/Gasto_o_ing_total!F$479</f>
        <v>3.4945706029895978</v>
      </c>
      <c r="H412" s="336">
        <f>Gasto_o_ing_total!G412*1000/Gasto_o_ing_total!G$479</f>
        <v>2.6246014883934361</v>
      </c>
      <c r="I412" s="336">
        <f>Gasto_o_ing_total!H412*1000/Gasto_o_ing_total!H$479</f>
        <v>2.5520332865112536</v>
      </c>
      <c r="J412" s="336">
        <f>Gasto_o_ing_total!I412*1000/Gasto_o_ing_total!I$479</f>
        <v>3.0686441268578837</v>
      </c>
      <c r="K412" s="336">
        <f>Gasto_o_ing_total!J412*1000/Gasto_o_ing_total!J$479</f>
        <v>2.9977325672875339</v>
      </c>
      <c r="L412" s="336">
        <f>Gasto_o_ing_total!K412*1000/Gasto_o_ing_total!K$479</f>
        <v>2.6870909370947711</v>
      </c>
      <c r="M412" s="336">
        <f>Gasto_o_ing_total!L412*1000/Gasto_o_ing_total!L$479</f>
        <v>3.0078914642407222</v>
      </c>
      <c r="N412" s="336">
        <f>Gasto_o_ing_total!M412*1000/Gasto_o_ing_total!M$479</f>
        <v>2.7229877584307585</v>
      </c>
      <c r="O412" s="336">
        <f>Gasto_o_ing_total!N412*1000/Gasto_o_ing_total!N$479</f>
        <v>2.7609041550855156</v>
      </c>
      <c r="P412" s="336">
        <f>Gasto_o_ing_total!O412*1000/Gasto_o_ing_total!O$479</f>
        <v>3.0106177412924313</v>
      </c>
      <c r="Q412" s="336">
        <f>Gasto_o_ing_total!P412*1000/Gasto_o_ing_total!P$479</f>
        <v>2.8593972735271862</v>
      </c>
      <c r="R412" s="336">
        <f>Gasto_o_ing_total!Q412*1000/Gasto_o_ing_total!Q$479</f>
        <v>2.6009602295363736</v>
      </c>
      <c r="S412" s="336">
        <f>Gasto_o_ing_total!R412*1000/Gasto_o_ing_total!R$479</f>
        <v>2.9908142971186971</v>
      </c>
      <c r="T412" s="336">
        <f>Gasto_o_ing_total!S412*1000/Gasto_o_ing_total!S$479</f>
        <v>3.3052828287669236</v>
      </c>
      <c r="U412" s="336">
        <f>Gasto_o_ing_total!T412*1000/Gasto_o_ing_total!T$479</f>
        <v>2.8524815635318235</v>
      </c>
      <c r="V412" s="336">
        <f>Gasto_o_ing_total!U412*1000/Gasto_o_ing_total!U$479</f>
        <v>3.010933672361876</v>
      </c>
      <c r="W412" s="105"/>
    </row>
    <row r="413" spans="1:23" s="102" customFormat="1">
      <c r="A413" s="355"/>
      <c r="B413" s="115" t="s">
        <v>635</v>
      </c>
      <c r="C413" s="333" t="str">
        <f>VLOOKUP(B413,Tot_res!C:D,2,FALSE)</f>
        <v>Gestión de Cotización y Recaudación</v>
      </c>
      <c r="D413" s="336">
        <f>Gasto_o_ing_total!V413*1000/Gasto_o_ing_total!V$479</f>
        <v>10.021092874884014</v>
      </c>
      <c r="E413" s="336">
        <f>Gasto_o_ing_total!D413*1000/Gasto_o_ing_total!D$479</f>
        <v>8.6418375157197396</v>
      </c>
      <c r="F413" s="336">
        <f>Gasto_o_ing_total!E413*1000/Gasto_o_ing_total!E$479</f>
        <v>11.061003842505601</v>
      </c>
      <c r="G413" s="336">
        <f>Gasto_o_ing_total!F413*1000/Gasto_o_ing_total!F$479</f>
        <v>14.133314711011797</v>
      </c>
      <c r="H413" s="336">
        <f>Gasto_o_ing_total!G413*1000/Gasto_o_ing_total!G$479</f>
        <v>8.6168554002533266</v>
      </c>
      <c r="I413" s="336">
        <f>Gasto_o_ing_total!H413*1000/Gasto_o_ing_total!H$479</f>
        <v>7.7433564315250045</v>
      </c>
      <c r="J413" s="336">
        <f>Gasto_o_ing_total!I413*1000/Gasto_o_ing_total!I$479</f>
        <v>11.385045406510862</v>
      </c>
      <c r="K413" s="336">
        <f>Gasto_o_ing_total!J413*1000/Gasto_o_ing_total!J$479</f>
        <v>10.995284640721955</v>
      </c>
      <c r="L413" s="336">
        <f>Gasto_o_ing_total!K413*1000/Gasto_o_ing_total!K$479</f>
        <v>8.9115082712411411</v>
      </c>
      <c r="M413" s="336">
        <f>Gasto_o_ing_total!L413*1000/Gasto_o_ing_total!L$479</f>
        <v>11.068705795496562</v>
      </c>
      <c r="N413" s="336">
        <f>Gasto_o_ing_total!M413*1000/Gasto_o_ing_total!M$479</f>
        <v>9.1603777921946836</v>
      </c>
      <c r="O413" s="336">
        <f>Gasto_o_ing_total!N413*1000/Gasto_o_ing_total!N$479</f>
        <v>8.9176821163134719</v>
      </c>
      <c r="P413" s="336">
        <f>Gasto_o_ing_total!O413*1000/Gasto_o_ing_total!O$479</f>
        <v>10.920872590726107</v>
      </c>
      <c r="Q413" s="336">
        <f>Gasto_o_ing_total!P413*1000/Gasto_o_ing_total!P$479</f>
        <v>10.280256395465644</v>
      </c>
      <c r="R413" s="336">
        <f>Gasto_o_ing_total!Q413*1000/Gasto_o_ing_total!Q$479</f>
        <v>8.363941368489261</v>
      </c>
      <c r="S413" s="336">
        <f>Gasto_o_ing_total!R413*1000/Gasto_o_ing_total!R$479</f>
        <v>11.177361653172722</v>
      </c>
      <c r="T413" s="336">
        <f>Gasto_o_ing_total!S413*1000/Gasto_o_ing_total!S$479</f>
        <v>13.178572286969116</v>
      </c>
      <c r="U413" s="336">
        <f>Gasto_o_ing_total!T413*1000/Gasto_o_ing_total!T$479</f>
        <v>10.163993322859625</v>
      </c>
      <c r="V413" s="336">
        <f>Gasto_o_ing_total!U413*1000/Gasto_o_ing_total!U$479</f>
        <v>7.2289394580911885</v>
      </c>
      <c r="W413" s="105"/>
    </row>
    <row r="414" spans="1:23" s="102" customFormat="1">
      <c r="A414" s="355"/>
      <c r="B414" s="115" t="s">
        <v>999</v>
      </c>
      <c r="C414" s="333" t="str">
        <f>VLOOKUP(B414,Tot_res!C:D,2,FALSE)</f>
        <v>Gestión Financiera, neta de aportación al Fondo de Reserva</v>
      </c>
      <c r="D414" s="336">
        <f>Gasto_o_ing_total!V414*1000/Gasto_o_ing_total!V$479</f>
        <v>0.90037469689926186</v>
      </c>
      <c r="E414" s="336">
        <f>Gasto_o_ing_total!D414*1000/Gasto_o_ing_total!D$479</f>
        <v>0.80131698163217668</v>
      </c>
      <c r="F414" s="336">
        <f>Gasto_o_ing_total!E414*1000/Gasto_o_ing_total!E$479</f>
        <v>0.98671595605327389</v>
      </c>
      <c r="G414" s="336">
        <f>Gasto_o_ing_total!F414*1000/Gasto_o_ing_total!F$479</f>
        <v>1.3576521093098139</v>
      </c>
      <c r="H414" s="336">
        <f>Gasto_o_ing_total!G414*1000/Gasto_o_ing_total!G$479</f>
        <v>0.73084020787087201</v>
      </c>
      <c r="I414" s="336">
        <f>Gasto_o_ing_total!H414*1000/Gasto_o_ing_total!H$479</f>
        <v>0.68508210720014562</v>
      </c>
      <c r="J414" s="336">
        <f>Gasto_o_ing_total!I414*1000/Gasto_o_ing_total!I$479</f>
        <v>1.0472895940269804</v>
      </c>
      <c r="K414" s="336">
        <f>Gasto_o_ing_total!J414*1000/Gasto_o_ing_total!J$479</f>
        <v>1.0048339338339149</v>
      </c>
      <c r="L414" s="336">
        <f>Gasto_o_ing_total!K414*1000/Gasto_o_ing_total!K$479</f>
        <v>0.78259121013442634</v>
      </c>
      <c r="M414" s="336">
        <f>Gasto_o_ing_total!L414*1000/Gasto_o_ing_total!L$479</f>
        <v>0.99713152636251312</v>
      </c>
      <c r="N414" s="336">
        <f>Gasto_o_ing_total!M414*1000/Gasto_o_ing_total!M$479</f>
        <v>0.80226321460795147</v>
      </c>
      <c r="O414" s="336">
        <f>Gasto_o_ing_total!N414*1000/Gasto_o_ing_total!N$479</f>
        <v>0.84531496418719854</v>
      </c>
      <c r="P414" s="336">
        <f>Gasto_o_ing_total!O414*1000/Gasto_o_ing_total!O$479</f>
        <v>1.0097175637830675</v>
      </c>
      <c r="Q414" s="336">
        <f>Gasto_o_ing_total!P414*1000/Gasto_o_ing_total!P$479</f>
        <v>0.87490590271011315</v>
      </c>
      <c r="R414" s="336">
        <f>Gasto_o_ing_total!Q414*1000/Gasto_o_ing_total!Q$479</f>
        <v>0.71532246786106912</v>
      </c>
      <c r="S414" s="336">
        <f>Gasto_o_ing_total!R414*1000/Gasto_o_ing_total!R$479</f>
        <v>0.9809054737568671</v>
      </c>
      <c r="T414" s="336">
        <f>Gasto_o_ing_total!S414*1000/Gasto_o_ing_total!S$479</f>
        <v>1.2043221021644261</v>
      </c>
      <c r="U414" s="336">
        <f>Gasto_o_ing_total!T414*1000/Gasto_o_ing_total!T$479</f>
        <v>0.89188247216751304</v>
      </c>
      <c r="V414" s="336">
        <f>Gasto_o_ing_total!U414*1000/Gasto_o_ing_total!U$479</f>
        <v>1.0200323097251061</v>
      </c>
      <c r="W414" s="105"/>
    </row>
    <row r="415" spans="1:23" s="102" customFormat="1">
      <c r="A415" s="355"/>
      <c r="B415" s="115" t="s">
        <v>1000</v>
      </c>
      <c r="C415" s="333" t="str">
        <f>VLOOKUP(B415,Tot_res!C:D,2,FALSE)</f>
        <v>Gestión del Patrimonio, TGSS</v>
      </c>
      <c r="D415" s="336">
        <f>Gasto_o_ing_total!V415*1000/Gasto_o_ing_total!V$479</f>
        <v>0.19495621053481751</v>
      </c>
      <c r="E415" s="336">
        <f>Gasto_o_ing_total!D415*1000/Gasto_o_ing_total!D$479</f>
        <v>0.16176433630667325</v>
      </c>
      <c r="F415" s="336">
        <f>Gasto_o_ing_total!E415*1000/Gasto_o_ing_total!E$479</f>
        <v>0.22223447000377389</v>
      </c>
      <c r="G415" s="336">
        <f>Gasto_o_ing_total!F415*1000/Gasto_o_ing_total!F$479</f>
        <v>0.32322707606717088</v>
      </c>
      <c r="H415" s="336">
        <f>Gasto_o_ing_total!G415*1000/Gasto_o_ing_total!G$479</f>
        <v>0.14634728515543763</v>
      </c>
      <c r="I415" s="336">
        <f>Gasto_o_ing_total!H415*1000/Gasto_o_ing_total!H$479</f>
        <v>0.13196164820133735</v>
      </c>
      <c r="J415" s="336">
        <f>Gasto_o_ing_total!I415*1000/Gasto_o_ing_total!I$479</f>
        <v>0.2381522315084165</v>
      </c>
      <c r="K415" s="336">
        <f>Gasto_o_ing_total!J415*1000/Gasto_o_ing_total!J$479</f>
        <v>0.23009175076323776</v>
      </c>
      <c r="L415" s="336">
        <f>Gasto_o_ing_total!K415*1000/Gasto_o_ing_total!K$479</f>
        <v>0.16003861679373196</v>
      </c>
      <c r="M415" s="336">
        <f>Gasto_o_ing_total!L415*1000/Gasto_o_ing_total!L$479</f>
        <v>0.22208203952886604</v>
      </c>
      <c r="N415" s="336">
        <f>Gasto_o_ing_total!M415*1000/Gasto_o_ing_total!M$479</f>
        <v>0.16882842358103048</v>
      </c>
      <c r="O415" s="336">
        <f>Gasto_o_ing_total!N415*1000/Gasto_o_ing_total!N$479</f>
        <v>0.16919510501885027</v>
      </c>
      <c r="P415" s="336">
        <f>Gasto_o_ing_total!O415*1000/Gasto_o_ing_total!O$479</f>
        <v>0.22896578868131987</v>
      </c>
      <c r="Q415" s="336">
        <f>Gasto_o_ing_total!P415*1000/Gasto_o_ing_total!P$479</f>
        <v>0.18990570402597867</v>
      </c>
      <c r="R415" s="336">
        <f>Gasto_o_ing_total!Q415*1000/Gasto_o_ing_total!Q$479</f>
        <v>0.14752327653981359</v>
      </c>
      <c r="S415" s="336">
        <f>Gasto_o_ing_total!R415*1000/Gasto_o_ing_total!R$479</f>
        <v>0.21704730878280076</v>
      </c>
      <c r="T415" s="336">
        <f>Gasto_o_ing_total!S415*1000/Gasto_o_ing_total!S$479</f>
        <v>0.28636316884670177</v>
      </c>
      <c r="U415" s="336">
        <f>Gasto_o_ing_total!T415*1000/Gasto_o_ing_total!T$479</f>
        <v>0.19480726566186116</v>
      </c>
      <c r="V415" s="336">
        <f>Gasto_o_ing_total!U415*1000/Gasto_o_ing_total!U$479</f>
        <v>0.21344526580514744</v>
      </c>
      <c r="W415" s="105"/>
    </row>
    <row r="416" spans="1:23" s="102" customFormat="1">
      <c r="A416" s="355"/>
      <c r="B416" s="115" t="s">
        <v>396</v>
      </c>
      <c r="C416" s="333" t="str">
        <f>VLOOKUP(B416,Tot_res!C:D,2,FALSE)</f>
        <v xml:space="preserve"> Sistema Integrado de Informática de la Seguridad Social</v>
      </c>
      <c r="D416" s="336">
        <f>Gasto_o_ing_total!V416*1000/Gasto_o_ing_total!V$479</f>
        <v>4.8487826818771644</v>
      </c>
      <c r="E416" s="336">
        <f>Gasto_o_ing_total!D416*1000/Gasto_o_ing_total!D$479</f>
        <v>4.0232630203338449</v>
      </c>
      <c r="F416" s="336">
        <f>Gasto_o_ing_total!E416*1000/Gasto_o_ing_total!E$479</f>
        <v>5.52722401873935</v>
      </c>
      <c r="G416" s="336">
        <f>Gasto_o_ing_total!F416*1000/Gasto_o_ing_total!F$479</f>
        <v>8.0390249915551788</v>
      </c>
      <c r="H416" s="336">
        <f>Gasto_o_ing_total!G416*1000/Gasto_o_ing_total!G$479</f>
        <v>3.6398234242181045</v>
      </c>
      <c r="I416" s="336">
        <f>Gasto_o_ing_total!H416*1000/Gasto_o_ing_total!H$479</f>
        <v>3.282036272224008</v>
      </c>
      <c r="J416" s="336">
        <f>Gasto_o_ing_total!I416*1000/Gasto_o_ing_total!I$479</f>
        <v>5.9231168508078023</v>
      </c>
      <c r="K416" s="336">
        <f>Gasto_o_ing_total!J416*1000/Gasto_o_ing_total!J$479</f>
        <v>5.7226435274004057</v>
      </c>
      <c r="L416" s="336">
        <f>Gasto_o_ing_total!K416*1000/Gasto_o_ing_total!K$479</f>
        <v>3.9803424133669125</v>
      </c>
      <c r="M416" s="336">
        <f>Gasto_o_ing_total!L416*1000/Gasto_o_ing_total!L$479</f>
        <v>5.5234328994675117</v>
      </c>
      <c r="N416" s="336">
        <f>Gasto_o_ing_total!M416*1000/Gasto_o_ing_total!M$479</f>
        <v>4.1989549049124841</v>
      </c>
      <c r="O416" s="336">
        <f>Gasto_o_ing_total!N416*1000/Gasto_o_ing_total!N$479</f>
        <v>4.2080746893019585</v>
      </c>
      <c r="P416" s="336">
        <f>Gasto_o_ing_total!O416*1000/Gasto_o_ing_total!O$479</f>
        <v>5.6946395698538534</v>
      </c>
      <c r="Q416" s="336">
        <f>Gasto_o_ing_total!P416*1000/Gasto_o_ing_total!P$479</f>
        <v>4.7231708410048663</v>
      </c>
      <c r="R416" s="336">
        <f>Gasto_o_ing_total!Q416*1000/Gasto_o_ing_total!Q$479</f>
        <v>3.6690716674156731</v>
      </c>
      <c r="S416" s="336">
        <f>Gasto_o_ing_total!R416*1000/Gasto_o_ing_total!R$479</f>
        <v>5.3982134197573437</v>
      </c>
      <c r="T416" s="336">
        <f>Gasto_o_ing_total!S416*1000/Gasto_o_ing_total!S$479</f>
        <v>7.1221776932485952</v>
      </c>
      <c r="U416" s="336">
        <f>Gasto_o_ing_total!T416*1000/Gasto_o_ing_total!T$479</f>
        <v>4.8450782534900725</v>
      </c>
      <c r="V416" s="336">
        <f>Gasto_o_ing_total!U416*1000/Gasto_o_ing_total!U$479</f>
        <v>5.3086265142593856</v>
      </c>
      <c r="W416" s="122"/>
    </row>
    <row r="417" spans="1:23" s="102" customFormat="1">
      <c r="A417" s="355"/>
      <c r="B417" s="115" t="s">
        <v>1001</v>
      </c>
      <c r="C417" s="333" t="str">
        <f>VLOOKUP(B417,Tot_res!C:D,2,FALSE)</f>
        <v xml:space="preserve"> Admón. y Servic. Generales, TGSS e ISM</v>
      </c>
      <c r="D417" s="336">
        <f>Gasto_o_ing_total!V417*1000/Gasto_o_ing_total!V$479</f>
        <v>5.1486136033898813</v>
      </c>
      <c r="E417" s="336">
        <f>Gasto_o_ing_total!D417*1000/Gasto_o_ing_total!D$479</f>
        <v>4.8223076609168771</v>
      </c>
      <c r="F417" s="336">
        <f>Gasto_o_ing_total!E417*1000/Gasto_o_ing_total!E$479</f>
        <v>6.0666526204913485</v>
      </c>
      <c r="G417" s="336">
        <f>Gasto_o_ing_total!F417*1000/Gasto_o_ing_total!F$479</f>
        <v>9.4869511841617946</v>
      </c>
      <c r="H417" s="336">
        <f>Gasto_o_ing_total!G417*1000/Gasto_o_ing_total!G$479</f>
        <v>5.1941737270646264</v>
      </c>
      <c r="I417" s="336">
        <f>Gasto_o_ing_total!H417*1000/Gasto_o_ing_total!H$479</f>
        <v>4.5547870306887912</v>
      </c>
      <c r="J417" s="336">
        <f>Gasto_o_ing_total!I417*1000/Gasto_o_ing_total!I$479</f>
        <v>7.2742165369933582</v>
      </c>
      <c r="K417" s="336">
        <f>Gasto_o_ing_total!J417*1000/Gasto_o_ing_total!J$479</f>
        <v>5.8250071728553214</v>
      </c>
      <c r="L417" s="336">
        <f>Gasto_o_ing_total!K417*1000/Gasto_o_ing_total!K$479</f>
        <v>4.0813727192928866</v>
      </c>
      <c r="M417" s="336">
        <f>Gasto_o_ing_total!L417*1000/Gasto_o_ing_total!L$479</f>
        <v>4.6128617373749519</v>
      </c>
      <c r="N417" s="336">
        <f>Gasto_o_ing_total!M417*1000/Gasto_o_ing_total!M$479</f>
        <v>4.6500565988726832</v>
      </c>
      <c r="O417" s="336">
        <f>Gasto_o_ing_total!N417*1000/Gasto_o_ing_total!N$479</f>
        <v>5.070419936701871</v>
      </c>
      <c r="P417" s="336">
        <f>Gasto_o_ing_total!O417*1000/Gasto_o_ing_total!O$479</f>
        <v>8.3417345489395398</v>
      </c>
      <c r="Q417" s="336">
        <f>Gasto_o_ing_total!P417*1000/Gasto_o_ing_total!P$479</f>
        <v>3.7058520785337286</v>
      </c>
      <c r="R417" s="336">
        <f>Gasto_o_ing_total!Q417*1000/Gasto_o_ing_total!Q$479</f>
        <v>4.0079056793147556</v>
      </c>
      <c r="S417" s="336">
        <f>Gasto_o_ing_total!R417*1000/Gasto_o_ing_total!R$479</f>
        <v>4.683438917522718</v>
      </c>
      <c r="T417" s="336">
        <f>Gasto_o_ing_total!S417*1000/Gasto_o_ing_total!S$479</f>
        <v>7.4040740808994858</v>
      </c>
      <c r="U417" s="336">
        <f>Gasto_o_ing_total!T417*1000/Gasto_o_ing_total!T$479</f>
        <v>4.5953548917399116</v>
      </c>
      <c r="V417" s="336">
        <f>Gasto_o_ing_total!U417*1000/Gasto_o_ing_total!U$479</f>
        <v>15.702243459791616</v>
      </c>
      <c r="W417" s="114"/>
    </row>
    <row r="418" spans="1:23" s="102" customFormat="1">
      <c r="A418" s="355"/>
      <c r="B418" s="115" t="s">
        <v>1002</v>
      </c>
      <c r="C418" s="333" t="str">
        <f>VLOOKUP(B418,Tot_res!C:D,2,FALSE)</f>
        <v>Admón. y Servic. Generales, Mutuas</v>
      </c>
      <c r="D418" s="336">
        <f>Gasto_o_ing_total!V418*1000/Gasto_o_ing_total!V$479</f>
        <v>11.758570317297952</v>
      </c>
      <c r="E418" s="336">
        <f>Gasto_o_ing_total!D418*1000/Gasto_o_ing_total!D$479</f>
        <v>8.0636399702430985</v>
      </c>
      <c r="F418" s="336">
        <f>Gasto_o_ing_total!E418*1000/Gasto_o_ing_total!E$479</f>
        <v>12.346544293717193</v>
      </c>
      <c r="G418" s="336">
        <f>Gasto_o_ing_total!F418*1000/Gasto_o_ing_total!F$479</f>
        <v>11.571626427761004</v>
      </c>
      <c r="H418" s="336">
        <f>Gasto_o_ing_total!G418*1000/Gasto_o_ing_total!G$479</f>
        <v>13.740822928014794</v>
      </c>
      <c r="I418" s="336">
        <f>Gasto_o_ing_total!H418*1000/Gasto_o_ing_total!H$479</f>
        <v>10.661424071720338</v>
      </c>
      <c r="J418" s="336">
        <f>Gasto_o_ing_total!I418*1000/Gasto_o_ing_total!I$479</f>
        <v>10.760936490846873</v>
      </c>
      <c r="K418" s="336">
        <f>Gasto_o_ing_total!J418*1000/Gasto_o_ing_total!J$479</f>
        <v>10.927043466274911</v>
      </c>
      <c r="L418" s="336">
        <f>Gasto_o_ing_total!K418*1000/Gasto_o_ing_total!K$479</f>
        <v>9.8195000309380429</v>
      </c>
      <c r="M418" s="336">
        <f>Gasto_o_ing_total!L418*1000/Gasto_o_ing_total!L$479</f>
        <v>12.349007094923262</v>
      </c>
      <c r="N418" s="336">
        <f>Gasto_o_ing_total!M418*1000/Gasto_o_ing_total!M$479</f>
        <v>13.753418036333985</v>
      </c>
      <c r="O418" s="336">
        <f>Gasto_o_ing_total!N418*1000/Gasto_o_ing_total!N$479</f>
        <v>7.7687298360539483</v>
      </c>
      <c r="P418" s="336">
        <f>Gasto_o_ing_total!O418*1000/Gasto_o_ing_total!O$479</f>
        <v>13.082274254680867</v>
      </c>
      <c r="Q418" s="336">
        <f>Gasto_o_ing_total!P418*1000/Gasto_o_ing_total!P$479</f>
        <v>15.019221225141591</v>
      </c>
      <c r="R418" s="336">
        <f>Gasto_o_ing_total!Q418*1000/Gasto_o_ing_total!Q$479</f>
        <v>10.979112305672171</v>
      </c>
      <c r="S418" s="336">
        <f>Gasto_o_ing_total!R418*1000/Gasto_o_ing_total!R$479</f>
        <v>12.905521813796856</v>
      </c>
      <c r="T418" s="336">
        <f>Gasto_o_ing_total!S418*1000/Gasto_o_ing_total!S$479</f>
        <v>12.874655823848153</v>
      </c>
      <c r="U418" s="336">
        <f>Gasto_o_ing_total!T418*1000/Gasto_o_ing_total!T$479</f>
        <v>12.659225707328051</v>
      </c>
      <c r="V418" s="336">
        <f>Gasto_o_ing_total!U418*1000/Gasto_o_ing_total!U$479</f>
        <v>12.607976456072517</v>
      </c>
      <c r="W418" s="105"/>
    </row>
    <row r="419" spans="1:23" s="102" customFormat="1">
      <c r="A419" s="355"/>
      <c r="B419" s="115" t="s">
        <v>397</v>
      </c>
      <c r="C419" s="333" t="str">
        <f>VLOOKUP(B419,Tot_res!C:D,2,FALSE)</f>
        <v xml:space="preserve"> Control Interno y Contabilidad</v>
      </c>
      <c r="D419" s="336">
        <f>Gasto_o_ing_total!V419*1000/Gasto_o_ing_total!V$479</f>
        <v>1.6288180984926233</v>
      </c>
      <c r="E419" s="336">
        <f>Gasto_o_ing_total!D419*1000/Gasto_o_ing_total!D$479</f>
        <v>1.351506976587959</v>
      </c>
      <c r="F419" s="336">
        <f>Gasto_o_ing_total!E419*1000/Gasto_o_ing_total!E$479</f>
        <v>1.8567222139682311</v>
      </c>
      <c r="G419" s="336">
        <f>Gasto_o_ing_total!F419*1000/Gasto_o_ing_total!F$479</f>
        <v>2.7004941775221645</v>
      </c>
      <c r="H419" s="336">
        <f>Gasto_o_ing_total!G419*1000/Gasto_o_ing_total!G$479</f>
        <v>1.2227007596860646</v>
      </c>
      <c r="I419" s="336">
        <f>Gasto_o_ing_total!H419*1000/Gasto_o_ing_total!H$479</f>
        <v>1.1025117912766782</v>
      </c>
      <c r="J419" s="336">
        <f>Gasto_o_ing_total!I419*1000/Gasto_o_ing_total!I$479</f>
        <v>1.9897117604675501</v>
      </c>
      <c r="K419" s="336">
        <f>Gasto_o_ing_total!J419*1000/Gasto_o_ing_total!J$479</f>
        <v>1.9223681406655349</v>
      </c>
      <c r="L419" s="336">
        <f>Gasto_o_ing_total!K419*1000/Gasto_o_ing_total!K$479</f>
        <v>1.3370889533411507</v>
      </c>
      <c r="M419" s="336">
        <f>Gasto_o_ing_total!L419*1000/Gasto_o_ing_total!L$479</f>
        <v>1.8554486894387454</v>
      </c>
      <c r="N419" s="336">
        <f>Gasto_o_ing_total!M419*1000/Gasto_o_ing_total!M$479</f>
        <v>1.4105259386935525</v>
      </c>
      <c r="O419" s="336">
        <f>Gasto_o_ing_total!N419*1000/Gasto_o_ing_total!N$479</f>
        <v>1.4135894849158748</v>
      </c>
      <c r="P419" s="336">
        <f>Gasto_o_ing_total!O419*1000/Gasto_o_ing_total!O$479</f>
        <v>1.9129609644990861</v>
      </c>
      <c r="Q419" s="336">
        <f>Gasto_o_ing_total!P419*1000/Gasto_o_ing_total!P$479</f>
        <v>1.5866221798010138</v>
      </c>
      <c r="R419" s="336">
        <f>Gasto_o_ing_total!Q419*1000/Gasto_o_ing_total!Q$479</f>
        <v>1.2325259201428067</v>
      </c>
      <c r="S419" s="336">
        <f>Gasto_o_ing_total!R419*1000/Gasto_o_ing_total!R$479</f>
        <v>1.8133845739241294</v>
      </c>
      <c r="T419" s="336">
        <f>Gasto_o_ing_total!S419*1000/Gasto_o_ing_total!S$479</f>
        <v>2.3925039929718266</v>
      </c>
      <c r="U419" s="336">
        <f>Gasto_o_ing_total!T419*1000/Gasto_o_ing_total!T$479</f>
        <v>1.6275736954336832</v>
      </c>
      <c r="V419" s="336">
        <f>Gasto_o_ing_total!U419*1000/Gasto_o_ing_total!U$479</f>
        <v>1.7832902631173331</v>
      </c>
      <c r="W419" s="105"/>
    </row>
    <row r="420" spans="1:23" s="102" customFormat="1">
      <c r="A420" s="355"/>
      <c r="B420" s="115" t="s">
        <v>398</v>
      </c>
      <c r="C420" s="333" t="str">
        <f>VLOOKUP(B420,Tot_res!C:D,2,FALSE)</f>
        <v xml:space="preserve"> Direcc. y Coord. Asist.Jurídica Admón. de la Seg.Soc.</v>
      </c>
      <c r="D420" s="336">
        <f>Gasto_o_ing_total!V420*1000/Gasto_o_ing_total!V$479</f>
        <v>4.2386115420727018E-2</v>
      </c>
      <c r="E420" s="336">
        <f>Gasto_o_ing_total!D420*1000/Gasto_o_ing_total!D$479</f>
        <v>3.5169753304306425E-2</v>
      </c>
      <c r="F420" s="336">
        <f>Gasto_o_ing_total!E420*1000/Gasto_o_ing_total!E$479</f>
        <v>4.8316777753339583E-2</v>
      </c>
      <c r="G420" s="336">
        <f>Gasto_o_ing_total!F420*1000/Gasto_o_ing_total!F$479</f>
        <v>7.0273935442751442E-2</v>
      </c>
      <c r="H420" s="336">
        <f>Gasto_o_ing_total!G420*1000/Gasto_o_ing_total!G$479</f>
        <v>3.1817877989583777E-2</v>
      </c>
      <c r="I420" s="336">
        <f>Gasto_o_ing_total!H420*1000/Gasto_o_ing_total!H$479</f>
        <v>2.8690246063088801E-2</v>
      </c>
      <c r="J420" s="336">
        <f>Gasto_o_ing_total!I420*1000/Gasto_o_ing_total!I$479</f>
        <v>5.1777514267065027E-2</v>
      </c>
      <c r="K420" s="336">
        <f>Gasto_o_ing_total!J420*1000/Gasto_o_ing_total!J$479</f>
        <v>5.0025056798413743E-2</v>
      </c>
      <c r="L420" s="336">
        <f>Gasto_o_ing_total!K420*1000/Gasto_o_ing_total!K$479</f>
        <v>3.4794558555400139E-2</v>
      </c>
      <c r="M420" s="336">
        <f>Gasto_o_ing_total!L420*1000/Gasto_o_ing_total!L$479</f>
        <v>4.8283637307670497E-2</v>
      </c>
      <c r="N420" s="336">
        <f>Gasto_o_ing_total!M420*1000/Gasto_o_ing_total!M$479</f>
        <v>3.6705581364010739E-2</v>
      </c>
      <c r="O420" s="336">
        <f>Gasto_o_ing_total!N420*1000/Gasto_o_ing_total!N$479</f>
        <v>3.6785302865077224E-2</v>
      </c>
      <c r="P420" s="336">
        <f>Gasto_o_ing_total!O420*1000/Gasto_o_ing_total!O$479</f>
        <v>4.9780257422017325E-2</v>
      </c>
      <c r="Q420" s="336">
        <f>Gasto_o_ing_total!P420*1000/Gasto_o_ing_total!P$479</f>
        <v>4.1288067037300202E-2</v>
      </c>
      <c r="R420" s="336">
        <f>Gasto_o_ing_total!Q420*1000/Gasto_o_ing_total!Q$479</f>
        <v>3.2073554412587697E-2</v>
      </c>
      <c r="S420" s="336">
        <f>Gasto_o_ing_total!R420*1000/Gasto_o_ing_total!R$479</f>
        <v>4.7189018788313851E-2</v>
      </c>
      <c r="T420" s="336">
        <f>Gasto_o_ing_total!S420*1000/Gasto_o_ing_total!S$479</f>
        <v>6.2259223718414122E-2</v>
      </c>
      <c r="U420" s="336">
        <f>Gasto_o_ing_total!T420*1000/Gasto_o_ing_total!T$479</f>
        <v>4.2353732792037573E-2</v>
      </c>
      <c r="V420" s="336">
        <f>Gasto_o_ing_total!U420*1000/Gasto_o_ing_total!U$479</f>
        <v>4.640588595565158E-2</v>
      </c>
      <c r="W420" s="105"/>
    </row>
    <row r="421" spans="1:23" s="102" customFormat="1">
      <c r="A421" s="355"/>
      <c r="B421" s="115" t="s">
        <v>399</v>
      </c>
      <c r="C421" s="333" t="str">
        <f>VLOOKUP(B421,Tot_res!C:D,2,FALSE)</f>
        <v>Autorizaciones iniciales trabajo</v>
      </c>
      <c r="D421" s="336">
        <f>Gasto_o_ing_total!V421*1000/Gasto_o_ing_total!V$479</f>
        <v>7.5989273793480888E-2</v>
      </c>
      <c r="E421" s="336">
        <f>Gasto_o_ing_total!D421*1000/Gasto_o_ing_total!D$479</f>
        <v>0</v>
      </c>
      <c r="F421" s="336">
        <f>Gasto_o_ing_total!E421*1000/Gasto_o_ing_total!E$479</f>
        <v>0</v>
      </c>
      <c r="G421" s="336">
        <f>Gasto_o_ing_total!F421*1000/Gasto_o_ing_total!F$479</f>
        <v>0</v>
      </c>
      <c r="H421" s="336">
        <f>Gasto_o_ing_total!G421*1000/Gasto_o_ing_total!G$479</f>
        <v>0</v>
      </c>
      <c r="I421" s="336">
        <f>Gasto_o_ing_total!H421*1000/Gasto_o_ing_total!H$479</f>
        <v>0</v>
      </c>
      <c r="J421" s="336">
        <f>Gasto_o_ing_total!I421*1000/Gasto_o_ing_total!I$479</f>
        <v>0</v>
      </c>
      <c r="K421" s="336">
        <f>Gasto_o_ing_total!J421*1000/Gasto_o_ing_total!J$479</f>
        <v>0</v>
      </c>
      <c r="L421" s="336">
        <f>Gasto_o_ing_total!K421*1000/Gasto_o_ing_total!K$479</f>
        <v>0</v>
      </c>
      <c r="M421" s="336">
        <f>Gasto_o_ing_total!L421*1000/Gasto_o_ing_total!L$479</f>
        <v>0.47340873315566379</v>
      </c>
      <c r="N421" s="336">
        <f>Gasto_o_ing_total!M421*1000/Gasto_o_ing_total!M$479</f>
        <v>0</v>
      </c>
      <c r="O421" s="336">
        <f>Gasto_o_ing_total!N421*1000/Gasto_o_ing_total!N$479</f>
        <v>0</v>
      </c>
      <c r="P421" s="336">
        <f>Gasto_o_ing_total!O421*1000/Gasto_o_ing_total!O$479</f>
        <v>0</v>
      </c>
      <c r="Q421" s="336">
        <f>Gasto_o_ing_total!P421*1000/Gasto_o_ing_total!P$479</f>
        <v>0</v>
      </c>
      <c r="R421" s="336">
        <f>Gasto_o_ing_total!Q421*1000/Gasto_o_ing_total!Q$479</f>
        <v>0</v>
      </c>
      <c r="S421" s="336">
        <f>Gasto_o_ing_total!R421*1000/Gasto_o_ing_total!R$479</f>
        <v>0</v>
      </c>
      <c r="T421" s="336">
        <f>Gasto_o_ing_total!S421*1000/Gasto_o_ing_total!S$479</f>
        <v>0</v>
      </c>
      <c r="U421" s="336">
        <f>Gasto_o_ing_total!T421*1000/Gasto_o_ing_total!T$479</f>
        <v>0</v>
      </c>
      <c r="V421" s="336">
        <f>Gasto_o_ing_total!U421*1000/Gasto_o_ing_total!U$479</f>
        <v>0</v>
      </c>
      <c r="W421" s="105"/>
    </row>
    <row r="422" spans="1:23" s="102" customFormat="1">
      <c r="A422" s="355"/>
      <c r="B422" s="115" t="s">
        <v>400</v>
      </c>
      <c r="C422" s="333" t="str">
        <f>VLOOKUP(B422,Tot_res!C:D,2,FALSE)</f>
        <v xml:space="preserve"> Inspección de trabajo</v>
      </c>
      <c r="D422" s="336">
        <f>Gasto_o_ing_total!V422*1000/Gasto_o_ing_total!V$479</f>
        <v>0.30054719399979285</v>
      </c>
      <c r="E422" s="336">
        <f>Gasto_o_ing_total!D422*1000/Gasto_o_ing_total!D$479</f>
        <v>0</v>
      </c>
      <c r="F422" s="336">
        <f>Gasto_o_ing_total!E422*1000/Gasto_o_ing_total!E$479</f>
        <v>0</v>
      </c>
      <c r="G422" s="336">
        <f>Gasto_o_ing_total!F422*1000/Gasto_o_ing_total!F$479</f>
        <v>0</v>
      </c>
      <c r="H422" s="336">
        <f>Gasto_o_ing_total!G422*1000/Gasto_o_ing_total!G$479</f>
        <v>0</v>
      </c>
      <c r="I422" s="336">
        <f>Gasto_o_ing_total!H422*1000/Gasto_o_ing_total!H$479</f>
        <v>0</v>
      </c>
      <c r="J422" s="336">
        <f>Gasto_o_ing_total!I422*1000/Gasto_o_ing_total!I$479</f>
        <v>0</v>
      </c>
      <c r="K422" s="336">
        <f>Gasto_o_ing_total!J422*1000/Gasto_o_ing_total!J$479</f>
        <v>0</v>
      </c>
      <c r="L422" s="336">
        <f>Gasto_o_ing_total!K422*1000/Gasto_o_ing_total!K$479</f>
        <v>0</v>
      </c>
      <c r="M422" s="336">
        <f>Gasto_o_ing_total!L422*1000/Gasto_o_ing_total!L$479</f>
        <v>1.8723914476616275</v>
      </c>
      <c r="N422" s="336">
        <f>Gasto_o_ing_total!M422*1000/Gasto_o_ing_total!M$479</f>
        <v>0</v>
      </c>
      <c r="O422" s="336">
        <f>Gasto_o_ing_total!N422*1000/Gasto_o_ing_total!N$479</f>
        <v>0</v>
      </c>
      <c r="P422" s="336">
        <f>Gasto_o_ing_total!O422*1000/Gasto_o_ing_total!O$479</f>
        <v>0</v>
      </c>
      <c r="Q422" s="336">
        <f>Gasto_o_ing_total!P422*1000/Gasto_o_ing_total!P$479</f>
        <v>0</v>
      </c>
      <c r="R422" s="336">
        <f>Gasto_o_ing_total!Q422*1000/Gasto_o_ing_total!Q$479</f>
        <v>0</v>
      </c>
      <c r="S422" s="336">
        <f>Gasto_o_ing_total!R422*1000/Gasto_o_ing_total!R$479</f>
        <v>0</v>
      </c>
      <c r="T422" s="336">
        <f>Gasto_o_ing_total!S422*1000/Gasto_o_ing_total!S$479</f>
        <v>0</v>
      </c>
      <c r="U422" s="336">
        <f>Gasto_o_ing_total!T422*1000/Gasto_o_ing_total!T$479</f>
        <v>0</v>
      </c>
      <c r="V422" s="336">
        <f>Gasto_o_ing_total!U422*1000/Gasto_o_ing_total!U$479</f>
        <v>0</v>
      </c>
      <c r="W422" s="105"/>
    </row>
    <row r="423" spans="1:23">
      <c r="A423" s="356"/>
      <c r="D423" s="19"/>
      <c r="E423" s="19"/>
      <c r="F423" s="19"/>
      <c r="G423" s="19"/>
      <c r="H423" s="19"/>
      <c r="I423" s="19"/>
      <c r="J423" s="19"/>
      <c r="K423" s="19"/>
      <c r="L423" s="19"/>
      <c r="M423" s="19"/>
      <c r="N423" s="19"/>
      <c r="O423" s="19"/>
      <c r="P423" s="19"/>
      <c r="Q423" s="19"/>
      <c r="R423" s="19"/>
      <c r="S423" s="19"/>
      <c r="T423" s="19"/>
      <c r="U423" s="19"/>
      <c r="V423" s="19"/>
      <c r="W423" s="2"/>
    </row>
    <row r="424" spans="1:23">
      <c r="A424" s="356"/>
      <c r="D424" s="19"/>
      <c r="E424" s="19"/>
      <c r="F424" s="19"/>
      <c r="G424" s="19"/>
      <c r="H424" s="19"/>
      <c r="I424" s="19"/>
      <c r="J424" s="19"/>
      <c r="K424" s="19"/>
      <c r="L424" s="19"/>
      <c r="M424" s="19"/>
      <c r="N424" s="19"/>
      <c r="O424" s="19"/>
      <c r="P424" s="19"/>
      <c r="Q424" s="19"/>
      <c r="R424" s="19"/>
      <c r="S424" s="19"/>
      <c r="T424" s="19"/>
      <c r="U424" s="19"/>
      <c r="V424" s="19"/>
      <c r="W424" s="2"/>
    </row>
    <row r="425" spans="1:23" s="102" customFormat="1">
      <c r="A425" s="356"/>
      <c r="B425" s="115"/>
      <c r="C425" s="134" t="s">
        <v>65</v>
      </c>
      <c r="D425" s="110">
        <f>Gasto_o_ing_total!V425*1000/Gasto_o_ing_total!V$479</f>
        <v>322.08057415870371</v>
      </c>
      <c r="E425" s="110">
        <f>Gasto_o_ing_total!D425*1000/Gasto_o_ing_total!D$479</f>
        <v>312.44325220629469</v>
      </c>
      <c r="F425" s="110">
        <f>Gasto_o_ing_total!E425*1000/Gasto_o_ing_total!E$479</f>
        <v>571.06808234182677</v>
      </c>
      <c r="G425" s="110">
        <f>Gasto_o_ing_total!F425*1000/Gasto_o_ing_total!F$479</f>
        <v>293.72189930203422</v>
      </c>
      <c r="H425" s="110">
        <f>Gasto_o_ing_total!G425*1000/Gasto_o_ing_total!G$479</f>
        <v>175.19640050159322</v>
      </c>
      <c r="I425" s="110">
        <f>Gasto_o_ing_total!H425*1000/Gasto_o_ing_total!H$479</f>
        <v>310.2449702198187</v>
      </c>
      <c r="J425" s="110">
        <f>Gasto_o_ing_total!I425*1000/Gasto_o_ing_total!I$479</f>
        <v>312.97860212332313</v>
      </c>
      <c r="K425" s="110">
        <f>Gasto_o_ing_total!J425*1000/Gasto_o_ing_total!J$479</f>
        <v>760.11370923659558</v>
      </c>
      <c r="L425" s="110">
        <f>Gasto_o_ing_total!K425*1000/Gasto_o_ing_total!K$479</f>
        <v>793.96782846473729</v>
      </c>
      <c r="M425" s="110">
        <f>Gasto_o_ing_total!L425*1000/Gasto_o_ing_total!L$479</f>
        <v>205.80313388797336</v>
      </c>
      <c r="N425" s="110">
        <f>Gasto_o_ing_total!M425*1000/Gasto_o_ing_total!M$479</f>
        <v>182.4390427089059</v>
      </c>
      <c r="O425" s="110">
        <f>Gasto_o_ing_total!N425*1000/Gasto_o_ing_total!N$479</f>
        <v>830.0025554656994</v>
      </c>
      <c r="P425" s="110">
        <f>Gasto_o_ing_total!O425*1000/Gasto_o_ing_total!O$479</f>
        <v>363.10212276282419</v>
      </c>
      <c r="Q425" s="110">
        <f>Gasto_o_ing_total!P425*1000/Gasto_o_ing_total!P$479</f>
        <v>158.91825026201812</v>
      </c>
      <c r="R425" s="110">
        <f>Gasto_o_ing_total!Q425*1000/Gasto_o_ing_total!Q$479</f>
        <v>280.08897738532244</v>
      </c>
      <c r="S425" s="110">
        <f>Gasto_o_ing_total!R425*1000/Gasto_o_ing_total!R$479</f>
        <v>377.12837867399753</v>
      </c>
      <c r="T425" s="110">
        <f>Gasto_o_ing_total!S425*1000/Gasto_o_ing_total!S$479</f>
        <v>246.85690799941543</v>
      </c>
      <c r="U425" s="110">
        <f>Gasto_o_ing_total!T425*1000/Gasto_o_ing_total!T$479</f>
        <v>348.15244635571185</v>
      </c>
      <c r="V425" s="110">
        <f>Gasto_o_ing_total!U425*1000/Gasto_o_ing_total!U$479</f>
        <v>538.51293255525741</v>
      </c>
      <c r="W425" s="105"/>
    </row>
    <row r="426" spans="1:23">
      <c r="A426" s="356"/>
      <c r="C426" s="7"/>
      <c r="D426" s="19"/>
      <c r="E426" s="19"/>
      <c r="F426" s="19"/>
      <c r="G426" s="19"/>
      <c r="H426" s="19"/>
      <c r="I426" s="19"/>
      <c r="J426" s="19"/>
      <c r="K426" s="19"/>
      <c r="L426" s="19"/>
      <c r="M426" s="19"/>
      <c r="N426" s="19"/>
      <c r="O426" s="19"/>
      <c r="P426" s="19"/>
      <c r="Q426" s="19"/>
      <c r="R426" s="19"/>
      <c r="S426" s="19"/>
      <c r="T426" s="19"/>
      <c r="U426" s="19"/>
      <c r="V426" s="19"/>
      <c r="W426" s="4"/>
    </row>
    <row r="427" spans="1:23" s="102" customFormat="1">
      <c r="A427" s="356"/>
      <c r="B427" s="115"/>
      <c r="C427" s="128" t="s">
        <v>82</v>
      </c>
      <c r="D427" s="113">
        <f>Gasto_o_ing_total!V427*1000/Gasto_o_ing_total!V$479</f>
        <v>99.094765287490603</v>
      </c>
      <c r="E427" s="113">
        <f>Gasto_o_ing_total!D427*1000/Gasto_o_ing_total!D$479</f>
        <v>112.6076867178856</v>
      </c>
      <c r="F427" s="113">
        <f>Gasto_o_ing_total!E427*1000/Gasto_o_ing_total!E$479</f>
        <v>87.84791203966968</v>
      </c>
      <c r="G427" s="113">
        <f>Gasto_o_ing_total!F427*1000/Gasto_o_ing_total!F$479</f>
        <v>106.24463974890114</v>
      </c>
      <c r="H427" s="113">
        <f>Gasto_o_ing_total!G427*1000/Gasto_o_ing_total!G$479</f>
        <v>77.52073630101242</v>
      </c>
      <c r="I427" s="113">
        <f>Gasto_o_ing_total!H427*1000/Gasto_o_ing_total!H$479</f>
        <v>110.1678421480843</v>
      </c>
      <c r="J427" s="113">
        <f>Gasto_o_ing_total!I427*1000/Gasto_o_ing_total!I$479</f>
        <v>93.634605806867995</v>
      </c>
      <c r="K427" s="113">
        <f>Gasto_o_ing_total!J427*1000/Gasto_o_ing_total!J$479</f>
        <v>88.535274831492885</v>
      </c>
      <c r="L427" s="113">
        <f>Gasto_o_ing_total!K427*1000/Gasto_o_ing_total!K$479</f>
        <v>86.279545845347371</v>
      </c>
      <c r="M427" s="113">
        <f>Gasto_o_ing_total!L427*1000/Gasto_o_ing_total!L$479</f>
        <v>85.484323613589154</v>
      </c>
      <c r="N427" s="113">
        <f>Gasto_o_ing_total!M427*1000/Gasto_o_ing_total!M$479</f>
        <v>83.750998191432259</v>
      </c>
      <c r="O427" s="113">
        <f>Gasto_o_ing_total!N427*1000/Gasto_o_ing_total!N$479</f>
        <v>139.2500596171264</v>
      </c>
      <c r="P427" s="113">
        <f>Gasto_o_ing_total!O427*1000/Gasto_o_ing_total!O$479</f>
        <v>101.04392832152749</v>
      </c>
      <c r="Q427" s="113">
        <f>Gasto_o_ing_total!P427*1000/Gasto_o_ing_total!P$479</f>
        <v>98.019365418338907</v>
      </c>
      <c r="R427" s="113">
        <f>Gasto_o_ing_total!Q427*1000/Gasto_o_ing_total!Q$479</f>
        <v>90.257645729446224</v>
      </c>
      <c r="S427" s="113">
        <f>Gasto_o_ing_total!R427*1000/Gasto_o_ing_total!R$479</f>
        <v>88.192275492585736</v>
      </c>
      <c r="T427" s="113">
        <f>Gasto_o_ing_total!S427*1000/Gasto_o_ing_total!S$479</f>
        <v>119.78419103122455</v>
      </c>
      <c r="U427" s="113">
        <f>Gasto_o_ing_total!T427*1000/Gasto_o_ing_total!T$479</f>
        <v>81.284935619236492</v>
      </c>
      <c r="V427" s="113">
        <f>Gasto_o_ing_total!U427*1000/Gasto_o_ing_total!U$479</f>
        <v>505.45550545976187</v>
      </c>
      <c r="W427" s="105"/>
    </row>
    <row r="428" spans="1:23" s="102" customFormat="1">
      <c r="A428" s="355"/>
      <c r="B428" s="115" t="s">
        <v>401</v>
      </c>
      <c r="C428" s="333" t="str">
        <f>VLOOKUP(B428,Tot_res!C:D,2,FALSE)</f>
        <v>Fomento de la inserción y estabilidad laboral+ AF20/1</v>
      </c>
      <c r="D428" s="336">
        <f>Gasto_o_ing_total!V428*1000/Gasto_o_ing_total!V$479</f>
        <v>94.357621910942711</v>
      </c>
      <c r="E428" s="336">
        <f>Gasto_o_ing_total!D428*1000/Gasto_o_ing_total!D$479</f>
        <v>107.93560162052981</v>
      </c>
      <c r="F428" s="336">
        <f>Gasto_o_ing_total!E428*1000/Gasto_o_ing_total!E$479</f>
        <v>83.789961154201151</v>
      </c>
      <c r="G428" s="336">
        <f>Gasto_o_ing_total!F428*1000/Gasto_o_ing_total!F$479</f>
        <v>99.471525897947359</v>
      </c>
      <c r="H428" s="336">
        <f>Gasto_o_ing_total!G428*1000/Gasto_o_ing_total!G$479</f>
        <v>71.822402357618046</v>
      </c>
      <c r="I428" s="336">
        <f>Gasto_o_ing_total!H428*1000/Gasto_o_ing_total!H$479</f>
        <v>105.13374603888423</v>
      </c>
      <c r="J428" s="336">
        <f>Gasto_o_ing_total!I428*1000/Gasto_o_ing_total!I$479</f>
        <v>89.568744915250491</v>
      </c>
      <c r="K428" s="336">
        <f>Gasto_o_ing_total!J428*1000/Gasto_o_ing_total!J$479</f>
        <v>85.159675418391359</v>
      </c>
      <c r="L428" s="336">
        <f>Gasto_o_ing_total!K428*1000/Gasto_o_ing_total!K$479</f>
        <v>83.654996664628825</v>
      </c>
      <c r="M428" s="336">
        <f>Gasto_o_ing_total!L428*1000/Gasto_o_ing_total!L$479</f>
        <v>81.013414758503004</v>
      </c>
      <c r="N428" s="336">
        <f>Gasto_o_ing_total!M428*1000/Gasto_o_ing_total!M$479</f>
        <v>80.065055199630123</v>
      </c>
      <c r="O428" s="336">
        <f>Gasto_o_ing_total!N428*1000/Gasto_o_ing_total!N$479</f>
        <v>136.27932728623293</v>
      </c>
      <c r="P428" s="336">
        <f>Gasto_o_ing_total!O428*1000/Gasto_o_ing_total!O$479</f>
        <v>90.717192399011481</v>
      </c>
      <c r="Q428" s="336">
        <f>Gasto_o_ing_total!P428*1000/Gasto_o_ing_total!P$479</f>
        <v>93.319840738666358</v>
      </c>
      <c r="R428" s="336">
        <f>Gasto_o_ing_total!Q428*1000/Gasto_o_ing_total!Q$479</f>
        <v>86.547094816110373</v>
      </c>
      <c r="S428" s="336">
        <f>Gasto_o_ing_total!R428*1000/Gasto_o_ing_total!R$479</f>
        <v>84.295816286932151</v>
      </c>
      <c r="T428" s="336">
        <f>Gasto_o_ing_total!S428*1000/Gasto_o_ing_total!S$479</f>
        <v>113.95678243083809</v>
      </c>
      <c r="U428" s="336">
        <f>Gasto_o_ing_total!T428*1000/Gasto_o_ing_total!T$479</f>
        <v>77.091561921255618</v>
      </c>
      <c r="V428" s="336">
        <f>Gasto_o_ing_total!U428*1000/Gasto_o_ing_total!U$479</f>
        <v>502.15368659788601</v>
      </c>
      <c r="W428" s="105"/>
    </row>
    <row r="429" spans="1:23" s="102" customFormat="1">
      <c r="A429" s="355"/>
      <c r="B429" s="115" t="s">
        <v>402</v>
      </c>
      <c r="C429" s="333" t="str">
        <f>VLOOKUP(B429,Tot_res!C:D,2,FALSE)</f>
        <v>Desarrollo de la economía social y del Fondo Social Europeo</v>
      </c>
      <c r="D429" s="336">
        <f>Gasto_o_ing_total!V429*1000/Gasto_o_ing_total!V$479</f>
        <v>0.11907282600791873</v>
      </c>
      <c r="E429" s="336">
        <f>Gasto_o_ing_total!D429*1000/Gasto_o_ing_total!D$479</f>
        <v>0.15474143368400614</v>
      </c>
      <c r="F429" s="336">
        <f>Gasto_o_ing_total!E429*1000/Gasto_o_ing_total!E$479</f>
        <v>9.4096685493344795E-2</v>
      </c>
      <c r="G429" s="336">
        <f>Gasto_o_ing_total!F429*1000/Gasto_o_ing_total!F$479</f>
        <v>9.0512548503087542E-2</v>
      </c>
      <c r="H429" s="336">
        <f>Gasto_o_ing_total!G429*1000/Gasto_o_ing_total!G$479</f>
        <v>3.7451664892750446E-2</v>
      </c>
      <c r="I429" s="336">
        <f>Gasto_o_ing_total!H429*1000/Gasto_o_ing_total!H$479</f>
        <v>5.2116751301016236E-2</v>
      </c>
      <c r="J429" s="336">
        <f>Gasto_o_ing_total!I429*1000/Gasto_o_ing_total!I$479</f>
        <v>6.16362096662579E-2</v>
      </c>
      <c r="K429" s="336">
        <f>Gasto_o_ing_total!J429*1000/Gasto_o_ing_total!J$479</f>
        <v>8.9472491076903013E-2</v>
      </c>
      <c r="L429" s="336">
        <f>Gasto_o_ing_total!K429*1000/Gasto_o_ing_total!K$479</f>
        <v>0.11124273193310716</v>
      </c>
      <c r="M429" s="336">
        <f>Gasto_o_ing_total!L429*1000/Gasto_o_ing_total!L$479</f>
        <v>8.3649940187339178E-2</v>
      </c>
      <c r="N429" s="336">
        <f>Gasto_o_ing_total!M429*1000/Gasto_o_ing_total!M$479</f>
        <v>0.19812235155870211</v>
      </c>
      <c r="O429" s="336">
        <f>Gasto_o_ing_total!N429*1000/Gasto_o_ing_total!N$479</f>
        <v>0.10796179437018706</v>
      </c>
      <c r="P429" s="336">
        <f>Gasto_o_ing_total!O429*1000/Gasto_o_ing_total!O$479</f>
        <v>6.804570042464396E-2</v>
      </c>
      <c r="Q429" s="336">
        <f>Gasto_o_ing_total!P429*1000/Gasto_o_ing_total!P$479</f>
        <v>6.26337648079653E-2</v>
      </c>
      <c r="R429" s="336">
        <f>Gasto_o_ing_total!Q429*1000/Gasto_o_ing_total!Q$479</f>
        <v>0.21797597030153065</v>
      </c>
      <c r="S429" s="336">
        <f>Gasto_o_ing_total!R429*1000/Gasto_o_ing_total!R$479</f>
        <v>0.22208297831020712</v>
      </c>
      <c r="T429" s="336">
        <f>Gasto_o_ing_total!S429*1000/Gasto_o_ing_total!S$479</f>
        <v>0.26606591477534669</v>
      </c>
      <c r="U429" s="336">
        <f>Gasto_o_ing_total!T429*1000/Gasto_o_ing_total!T$479</f>
        <v>6.5433991450105075E-2</v>
      </c>
      <c r="V429" s="336">
        <f>Gasto_o_ing_total!U429*1000/Gasto_o_ing_total!U$479</f>
        <v>5.2633597345263912E-2</v>
      </c>
      <c r="W429" s="105"/>
    </row>
    <row r="430" spans="1:23" s="102" customFormat="1">
      <c r="A430" s="355"/>
      <c r="B430" s="115" t="s">
        <v>403</v>
      </c>
      <c r="C430" s="333" t="str">
        <f>VLOOKUP(B430,Tot_res!C:D,2,FALSE)</f>
        <v>Regulación y protección de la propiedad industrial</v>
      </c>
      <c r="D430" s="336">
        <f>Gasto_o_ing_total!V430*1000/Gasto_o_ing_total!V$479</f>
        <v>0.84460342945415645</v>
      </c>
      <c r="E430" s="336">
        <f>Gasto_o_ing_total!D430*1000/Gasto_o_ing_total!D$479</f>
        <v>0.63324336597285003</v>
      </c>
      <c r="F430" s="336">
        <f>Gasto_o_ing_total!E430*1000/Gasto_o_ing_total!E$479</f>
        <v>0.94045210361740739</v>
      </c>
      <c r="G430" s="336">
        <f>Gasto_o_ing_total!F430*1000/Gasto_o_ing_total!F$479</f>
        <v>0.74864237313979165</v>
      </c>
      <c r="H430" s="336">
        <f>Gasto_o_ing_total!G430*1000/Gasto_o_ing_total!G$479</f>
        <v>0.89769025216833942</v>
      </c>
      <c r="I430" s="336">
        <f>Gasto_o_ing_total!H430*1000/Gasto_o_ing_total!H$479</f>
        <v>0.72862221306411512</v>
      </c>
      <c r="J430" s="336">
        <f>Gasto_o_ing_total!I430*1000/Gasto_o_ing_total!I$479</f>
        <v>0.76644158730493828</v>
      </c>
      <c r="K430" s="336">
        <f>Gasto_o_ing_total!J430*1000/Gasto_o_ing_total!J$479</f>
        <v>0.79972043545030802</v>
      </c>
      <c r="L430" s="336">
        <f>Gasto_o_ing_total!K430*1000/Gasto_o_ing_total!K$479</f>
        <v>0.6799002877355409</v>
      </c>
      <c r="M430" s="336">
        <f>Gasto_o_ing_total!L430*1000/Gasto_o_ing_total!L$479</f>
        <v>0.99192600856950919</v>
      </c>
      <c r="N430" s="336">
        <f>Gasto_o_ing_total!M430*1000/Gasto_o_ing_total!M$479</f>
        <v>0.72951877709089208</v>
      </c>
      <c r="O430" s="336">
        <f>Gasto_o_ing_total!N430*1000/Gasto_o_ing_total!N$479</f>
        <v>0.58815352244706087</v>
      </c>
      <c r="P430" s="336">
        <f>Gasto_o_ing_total!O430*1000/Gasto_o_ing_total!O$479</f>
        <v>0.75218754038874669</v>
      </c>
      <c r="Q430" s="336">
        <f>Gasto_o_ing_total!P430*1000/Gasto_o_ing_total!P$479</f>
        <v>1.1520433331535718</v>
      </c>
      <c r="R430" s="336">
        <f>Gasto_o_ing_total!Q430*1000/Gasto_o_ing_total!Q$479</f>
        <v>0.69797981411212418</v>
      </c>
      <c r="S430" s="336">
        <f>Gasto_o_ing_total!R430*1000/Gasto_o_ing_total!R$479</f>
        <v>1.0450959009163319</v>
      </c>
      <c r="T430" s="336">
        <f>Gasto_o_ing_total!S430*1000/Gasto_o_ing_total!S$479</f>
        <v>1.0983031856444512</v>
      </c>
      <c r="U430" s="336">
        <f>Gasto_o_ing_total!T430*1000/Gasto_o_ing_total!T$479</f>
        <v>0.90963452606354378</v>
      </c>
      <c r="V430" s="336">
        <f>Gasto_o_ing_total!U430*1000/Gasto_o_ing_total!U$479</f>
        <v>0.67750230321839366</v>
      </c>
      <c r="W430" s="105"/>
    </row>
    <row r="431" spans="1:23" s="102" customFormat="1">
      <c r="A431" s="355"/>
      <c r="B431" s="115" t="s">
        <v>404</v>
      </c>
      <c r="C431" s="333" t="str">
        <f>VLOOKUP(B431,Tot_res!C:D,2,FALSE)</f>
        <v>Apoyo a la pequeña y mediana empresa</v>
      </c>
      <c r="D431" s="336">
        <f>Gasto_o_ing_total!V431*1000/Gasto_o_ing_total!V$479</f>
        <v>0.99376071834880253</v>
      </c>
      <c r="E431" s="336">
        <f>Gasto_o_ing_total!D431*1000/Gasto_o_ing_total!D$479</f>
        <v>0.82653178973745478</v>
      </c>
      <c r="F431" s="336">
        <f>Gasto_o_ing_total!E431*1000/Gasto_o_ing_total!E$479</f>
        <v>1.0358016280306199</v>
      </c>
      <c r="G431" s="336">
        <f>Gasto_o_ing_total!F431*1000/Gasto_o_ing_total!F$479</f>
        <v>0.83866073963635202</v>
      </c>
      <c r="H431" s="336">
        <f>Gasto_o_ing_total!G431*1000/Gasto_o_ing_total!G$479</f>
        <v>1.1563840958104108</v>
      </c>
      <c r="I431" s="336">
        <f>Gasto_o_ing_total!H431*1000/Gasto_o_ing_total!H$479</f>
        <v>0.98314054940073181</v>
      </c>
      <c r="J431" s="336">
        <f>Gasto_o_ing_total!I431*1000/Gasto_o_ing_total!I$479</f>
        <v>0.92823645621447959</v>
      </c>
      <c r="K431" s="336">
        <f>Gasto_o_ing_total!J431*1000/Gasto_o_ing_total!J$479</f>
        <v>0.86745160527932086</v>
      </c>
      <c r="L431" s="336">
        <f>Gasto_o_ing_total!K431*1000/Gasto_o_ing_total!K$479</f>
        <v>0.80879284343967539</v>
      </c>
      <c r="M431" s="336">
        <f>Gasto_o_ing_total!L431*1000/Gasto_o_ing_total!L$479</f>
        <v>1.1872261928716632</v>
      </c>
      <c r="N431" s="336">
        <f>Gasto_o_ing_total!M431*1000/Gasto_o_ing_total!M$479</f>
        <v>0.92640353796989428</v>
      </c>
      <c r="O431" s="336">
        <f>Gasto_o_ing_total!N431*1000/Gasto_o_ing_total!N$479</f>
        <v>0.80292039229775336</v>
      </c>
      <c r="P431" s="336">
        <f>Gasto_o_ing_total!O431*1000/Gasto_o_ing_total!O$479</f>
        <v>0.93246546281704068</v>
      </c>
      <c r="Q431" s="336">
        <f>Gasto_o_ing_total!P431*1000/Gasto_o_ing_total!P$479</f>
        <v>1.1422058022246275</v>
      </c>
      <c r="R431" s="336">
        <f>Gasto_o_ing_total!Q431*1000/Gasto_o_ing_total!Q$479</f>
        <v>0.99286965540319105</v>
      </c>
      <c r="S431" s="336">
        <f>Gasto_o_ing_total!R431*1000/Gasto_o_ing_total!R$479</f>
        <v>1.1433054181953273</v>
      </c>
      <c r="T431" s="336">
        <f>Gasto_o_ing_total!S431*1000/Gasto_o_ing_total!S$479</f>
        <v>1.1482505929410249</v>
      </c>
      <c r="U431" s="336">
        <f>Gasto_o_ing_total!T431*1000/Gasto_o_ing_total!T$479</f>
        <v>1.0900385234879815</v>
      </c>
      <c r="V431" s="336">
        <f>Gasto_o_ing_total!U431*1000/Gasto_o_ing_total!U$479</f>
        <v>0.62827667663760145</v>
      </c>
      <c r="W431" s="105"/>
    </row>
    <row r="432" spans="1:23" s="102" customFormat="1">
      <c r="A432" s="355"/>
      <c r="B432" s="115" t="s">
        <v>405</v>
      </c>
      <c r="C432" s="333" t="str">
        <f>VLOOKUP(B432,Tot_res!C:D,2,FALSE)</f>
        <v>Administración de las relaciones laborales y condiciones de trabajo</v>
      </c>
      <c r="D432" s="336">
        <f>Gasto_o_ing_total!V432*1000/Gasto_o_ing_total!V$479</f>
        <v>0.7964713791924366</v>
      </c>
      <c r="E432" s="336">
        <f>Gasto_o_ing_total!D432*1000/Gasto_o_ing_total!D$479</f>
        <v>0.48168236222847738</v>
      </c>
      <c r="F432" s="336">
        <f>Gasto_o_ing_total!E432*1000/Gasto_o_ing_total!E$479</f>
        <v>0.63426267264646607</v>
      </c>
      <c r="G432" s="336">
        <f>Gasto_o_ing_total!F432*1000/Gasto_o_ing_total!F$479</f>
        <v>2.4428511170878586</v>
      </c>
      <c r="H432" s="336">
        <f>Gasto_o_ing_total!G432*1000/Gasto_o_ing_total!G$479</f>
        <v>1.0006908576445748</v>
      </c>
      <c r="I432" s="336">
        <f>Gasto_o_ing_total!H432*1000/Gasto_o_ing_total!H$479</f>
        <v>0.66118375695144205</v>
      </c>
      <c r="J432" s="336">
        <f>Gasto_o_ing_total!I432*1000/Gasto_o_ing_total!I$479</f>
        <v>0.55556999473486401</v>
      </c>
      <c r="K432" s="336">
        <f>Gasto_o_ing_total!J432*1000/Gasto_o_ing_total!J$479</f>
        <v>0.57331600247812409</v>
      </c>
      <c r="L432" s="336">
        <f>Gasto_o_ing_total!K432*1000/Gasto_o_ing_total!K$479</f>
        <v>0.4955577159236626</v>
      </c>
      <c r="M432" s="336">
        <f>Gasto_o_ing_total!L432*1000/Gasto_o_ing_total!L$479</f>
        <v>0.74212217213306542</v>
      </c>
      <c r="N432" s="336">
        <f>Gasto_o_ing_total!M432*1000/Gasto_o_ing_total!M$479</f>
        <v>0.6439074116031982</v>
      </c>
      <c r="O432" s="336">
        <f>Gasto_o_ing_total!N432*1000/Gasto_o_ing_total!N$479</f>
        <v>0.46878950446363449</v>
      </c>
      <c r="P432" s="336">
        <f>Gasto_o_ing_total!O432*1000/Gasto_o_ing_total!O$479</f>
        <v>1.1390522035520283</v>
      </c>
      <c r="Q432" s="336">
        <f>Gasto_o_ing_total!P432*1000/Gasto_o_ing_total!P$479</f>
        <v>1.3968897825409126</v>
      </c>
      <c r="R432" s="336">
        <f>Gasto_o_ing_total!Q432*1000/Gasto_o_ing_total!Q$479</f>
        <v>0.56386546713447028</v>
      </c>
      <c r="S432" s="336">
        <f>Gasto_o_ing_total!R432*1000/Gasto_o_ing_total!R$479</f>
        <v>0.67081040067692033</v>
      </c>
      <c r="T432" s="336">
        <f>Gasto_o_ing_total!S432*1000/Gasto_o_ing_total!S$479</f>
        <v>0.68103365752261669</v>
      </c>
      <c r="U432" s="336">
        <f>Gasto_o_ing_total!T432*1000/Gasto_o_ing_total!T$479</f>
        <v>0.60763629045081502</v>
      </c>
      <c r="V432" s="336">
        <f>Gasto_o_ing_total!U432*1000/Gasto_o_ing_total!U$479</f>
        <v>0.50335338846767885</v>
      </c>
      <c r="W432" s="105"/>
    </row>
    <row r="433" spans="1:23" s="102" customFormat="1">
      <c r="A433" s="355"/>
      <c r="B433" s="115" t="s">
        <v>900</v>
      </c>
      <c r="C433" s="333" t="str">
        <f>VLOOKUP(B433,Tot_res!C:D,2,FALSE)</f>
        <v xml:space="preserve"> Previsión y política económica, subvenciones a préstamos ICO </v>
      </c>
      <c r="D433" s="336">
        <f>Gasto_o_ing_total!V433*1000/Gasto_o_ing_total!V$479</f>
        <v>0.65869286080111256</v>
      </c>
      <c r="E433" s="336">
        <f>Gasto_o_ing_total!D433*1000/Gasto_o_ing_total!D$479</f>
        <v>0.49392358742677583</v>
      </c>
      <c r="F433" s="336">
        <f>Gasto_o_ing_total!E433*1000/Gasto_o_ing_total!E$479</f>
        <v>0.73354337649971291</v>
      </c>
      <c r="G433" s="336">
        <f>Gasto_o_ing_total!F433*1000/Gasto_o_ing_total!F$479</f>
        <v>0.583933676230182</v>
      </c>
      <c r="H433" s="336">
        <f>Gasto_o_ing_total!G433*1000/Gasto_o_ing_total!G$479</f>
        <v>0.70018955361317337</v>
      </c>
      <c r="I433" s="336">
        <f>Gasto_o_ing_total!H433*1000/Gasto_o_ing_total!H$479</f>
        <v>0.5683181485882226</v>
      </c>
      <c r="J433" s="336">
        <f>Gasto_o_ing_total!I433*1000/Gasto_o_ing_total!I$479</f>
        <v>0.59781688794029675</v>
      </c>
      <c r="K433" s="336">
        <f>Gasto_o_ing_total!J433*1000/Gasto_o_ing_total!J$479</f>
        <v>0.62377406166629301</v>
      </c>
      <c r="L433" s="336">
        <f>Gasto_o_ing_total!K433*1000/Gasto_o_ing_total!K$479</f>
        <v>0.52905560168656529</v>
      </c>
      <c r="M433" s="336">
        <f>Gasto_o_ing_total!L433*1000/Gasto_o_ing_total!L$479</f>
        <v>0.77369251529684491</v>
      </c>
      <c r="N433" s="336">
        <f>Gasto_o_ing_total!M433*1000/Gasto_o_ing_total!M$479</f>
        <v>0.56882372516749302</v>
      </c>
      <c r="O433" s="336">
        <f>Gasto_o_ing_total!N433*1000/Gasto_o_ing_total!N$479</f>
        <v>0.4587539536532661</v>
      </c>
      <c r="P433" s="336">
        <f>Gasto_o_ing_total!O433*1000/Gasto_o_ing_total!O$479</f>
        <v>0.58669887176119506</v>
      </c>
      <c r="Q433" s="336">
        <f>Gasto_o_ing_total!P433*1000/Gasto_o_ing_total!P$479</f>
        <v>0.89849154269798992</v>
      </c>
      <c r="R433" s="336">
        <f>Gasto_o_ing_total!Q433*1000/Gasto_o_ing_total!Q$479</f>
        <v>0.54441737926160205</v>
      </c>
      <c r="S433" s="336">
        <f>Gasto_o_ing_total!R433*1000/Gasto_o_ing_total!R$479</f>
        <v>0.81516450755481684</v>
      </c>
      <c r="T433" s="336">
        <f>Gasto_o_ing_total!S433*1000/Gasto_o_ing_total!S$479</f>
        <v>0.85666566550185075</v>
      </c>
      <c r="U433" s="336">
        <f>Gasto_o_ing_total!T433*1000/Gasto_o_ing_total!T$479</f>
        <v>0.70950596958930268</v>
      </c>
      <c r="V433" s="336">
        <f>Gasto_o_ing_total!U433*1000/Gasto_o_ing_total!U$479</f>
        <v>0.52844512248688846</v>
      </c>
      <c r="W433" s="105"/>
    </row>
    <row r="434" spans="1:23" s="102" customFormat="1">
      <c r="A434" s="355"/>
      <c r="B434" s="115" t="s">
        <v>902</v>
      </c>
      <c r="C434" s="333" t="str">
        <f>VLOOKUP(B434,Tot_res!C:D,2,FALSE)</f>
        <v>Otros Servicios Sociales, formación y gestión del empleo y del desempleo, ISM</v>
      </c>
      <c r="D434" s="336">
        <f>Gasto_o_ing_total!V434*1000/Gasto_o_ing_total!V$479</f>
        <v>0.24533339132340945</v>
      </c>
      <c r="E434" s="336">
        <f>Gasto_o_ing_total!D434*1000/Gasto_o_ing_total!D$479</f>
        <v>0.34135482270219963</v>
      </c>
      <c r="F434" s="336">
        <f>Gasto_o_ing_total!E434*1000/Gasto_o_ing_total!E$479</f>
        <v>0</v>
      </c>
      <c r="G434" s="336">
        <f>Gasto_o_ing_total!F434*1000/Gasto_o_ing_total!F$479</f>
        <v>0.20253831738298786</v>
      </c>
      <c r="H434" s="336">
        <f>Gasto_o_ing_total!G434*1000/Gasto_o_ing_total!G$479</f>
        <v>0.18874936558873079</v>
      </c>
      <c r="I434" s="336">
        <f>Gasto_o_ing_total!H434*1000/Gasto_o_ing_total!H$479</f>
        <v>0.90965706914356037</v>
      </c>
      <c r="J434" s="336">
        <f>Gasto_o_ing_total!I434*1000/Gasto_o_ing_total!I$479</f>
        <v>0.24937806192982837</v>
      </c>
      <c r="K434" s="336">
        <f>Gasto_o_ing_total!J434*1000/Gasto_o_ing_total!J$479</f>
        <v>0</v>
      </c>
      <c r="L434" s="336">
        <f>Gasto_o_ing_total!K434*1000/Gasto_o_ing_total!K$479</f>
        <v>0</v>
      </c>
      <c r="M434" s="336">
        <f>Gasto_o_ing_total!L434*1000/Gasto_o_ing_total!L$479</f>
        <v>3.3089506059621611E-2</v>
      </c>
      <c r="N434" s="336">
        <f>Gasto_o_ing_total!M434*1000/Gasto_o_ing_total!M$479</f>
        <v>0.14204465208632983</v>
      </c>
      <c r="O434" s="336">
        <f>Gasto_o_ing_total!N434*1000/Gasto_o_ing_total!N$479</f>
        <v>0</v>
      </c>
      <c r="P434" s="336">
        <f>Gasto_o_ing_total!O434*1000/Gasto_o_ing_total!O$479</f>
        <v>1.4807664101102707</v>
      </c>
      <c r="Q434" s="336">
        <f>Gasto_o_ing_total!P434*1000/Gasto_o_ing_total!P$479</f>
        <v>4.7260454247476963E-2</v>
      </c>
      <c r="R434" s="336">
        <f>Gasto_o_ing_total!Q434*1000/Gasto_o_ing_total!Q$479</f>
        <v>0.13732946014212463</v>
      </c>
      <c r="S434" s="336">
        <f>Gasto_o_ing_total!R434*1000/Gasto_o_ing_total!R$479</f>
        <v>0</v>
      </c>
      <c r="T434" s="336">
        <f>Gasto_o_ing_total!S434*1000/Gasto_o_ing_total!S$479</f>
        <v>0.20017303578456314</v>
      </c>
      <c r="U434" s="336">
        <f>Gasto_o_ing_total!T434*1000/Gasto_o_ing_total!T$479</f>
        <v>0</v>
      </c>
      <c r="V434" s="336">
        <f>Gasto_o_ing_total!U434*1000/Gasto_o_ing_total!U$479</f>
        <v>0.91160777372003243</v>
      </c>
      <c r="W434" s="105"/>
    </row>
    <row r="435" spans="1:23" s="102" customFormat="1">
      <c r="A435" s="355"/>
      <c r="B435" s="115" t="s">
        <v>903</v>
      </c>
      <c r="C435" s="333" t="str">
        <f>VLOOKUP(B435,Tot_res!C:D,2,FALSE)</f>
        <v>ISM, formación  + AF20/2</v>
      </c>
      <c r="D435" s="336">
        <f>Gasto_o_ing_total!V435*1000/Gasto_o_ing_total!V$479</f>
        <v>0.80736703596878978</v>
      </c>
      <c r="E435" s="336">
        <f>Gasto_o_ing_total!D435*1000/Gasto_o_ing_total!D$479</f>
        <v>1.4377186142802787</v>
      </c>
      <c r="F435" s="336">
        <f>Gasto_o_ing_total!E435*1000/Gasto_o_ing_total!E$479</f>
        <v>0</v>
      </c>
      <c r="G435" s="336">
        <f>Gasto_o_ing_total!F435*1000/Gasto_o_ing_total!F$479</f>
        <v>1.8659750789735181</v>
      </c>
      <c r="H435" s="336">
        <f>Gasto_o_ing_total!G435*1000/Gasto_o_ing_total!G$479</f>
        <v>1.1496884659306026</v>
      </c>
      <c r="I435" s="336">
        <f>Gasto_o_ing_total!H435*1000/Gasto_o_ing_total!H$479</f>
        <v>0.66170070893412603</v>
      </c>
      <c r="J435" s="336">
        <f>Gasto_o_ing_total!I435*1000/Gasto_o_ing_total!I$479</f>
        <v>0.2813309760774596</v>
      </c>
      <c r="K435" s="336">
        <f>Gasto_o_ing_total!J435*1000/Gasto_o_ing_total!J$479</f>
        <v>0</v>
      </c>
      <c r="L435" s="336">
        <f>Gasto_o_ing_total!K435*1000/Gasto_o_ing_total!K$479</f>
        <v>0</v>
      </c>
      <c r="M435" s="336">
        <f>Gasto_o_ing_total!L435*1000/Gasto_o_ing_total!L$479</f>
        <v>0.30302595020329492</v>
      </c>
      <c r="N435" s="336">
        <f>Gasto_o_ing_total!M435*1000/Gasto_o_ing_total!M$479</f>
        <v>0.47712253632562701</v>
      </c>
      <c r="O435" s="336">
        <f>Gasto_o_ing_total!N435*1000/Gasto_o_ing_total!N$479</f>
        <v>0</v>
      </c>
      <c r="P435" s="336">
        <f>Gasto_o_ing_total!O435*1000/Gasto_o_ing_total!O$479</f>
        <v>4.9327607404781011</v>
      </c>
      <c r="Q435" s="336">
        <f>Gasto_o_ing_total!P435*1000/Gasto_o_ing_total!P$479</f>
        <v>0</v>
      </c>
      <c r="R435" s="336">
        <f>Gasto_o_ing_total!Q435*1000/Gasto_o_ing_total!Q$479</f>
        <v>7.234240329356148E-2</v>
      </c>
      <c r="S435" s="336">
        <f>Gasto_o_ing_total!R435*1000/Gasto_o_ing_total!R$479</f>
        <v>0</v>
      </c>
      <c r="T435" s="336">
        <f>Gasto_o_ing_total!S435*1000/Gasto_o_ing_total!S$479</f>
        <v>1.1732609156893996</v>
      </c>
      <c r="U435" s="336">
        <f>Gasto_o_ing_total!T435*1000/Gasto_o_ing_total!T$479</f>
        <v>0</v>
      </c>
      <c r="V435" s="336">
        <f>Gasto_o_ing_total!U435*1000/Gasto_o_ing_total!U$479</f>
        <v>0</v>
      </c>
      <c r="W435" s="105"/>
    </row>
    <row r="436" spans="1:23" s="102" customFormat="1">
      <c r="A436" s="355"/>
      <c r="B436" s="115" t="s">
        <v>406</v>
      </c>
      <c r="C436" s="333" t="str">
        <f>VLOOKUP(B436,Tot_res!C:D,2,FALSE)</f>
        <v>Gestión de la formación continua + AF20/3</v>
      </c>
      <c r="D436" s="336">
        <f>Gasto_o_ing_total!V436*1000/Gasto_o_ing_total!V$479</f>
        <v>0.2718417354512736</v>
      </c>
      <c r="E436" s="336">
        <f>Gasto_o_ing_total!D436*1000/Gasto_o_ing_total!D$479</f>
        <v>0.30288912132373608</v>
      </c>
      <c r="F436" s="336">
        <f>Gasto_o_ing_total!E436*1000/Gasto_o_ing_total!E$479</f>
        <v>0.61979441918096112</v>
      </c>
      <c r="G436" s="336">
        <f>Gasto_o_ing_total!F436*1000/Gasto_o_ing_total!F$479</f>
        <v>0</v>
      </c>
      <c r="H436" s="336">
        <f>Gasto_o_ing_total!G436*1000/Gasto_o_ing_total!G$479</f>
        <v>0.56748968774580177</v>
      </c>
      <c r="I436" s="336">
        <f>Gasto_o_ing_total!H436*1000/Gasto_o_ing_total!H$479</f>
        <v>0.46935691181684863</v>
      </c>
      <c r="J436" s="336">
        <f>Gasto_o_ing_total!I436*1000/Gasto_o_ing_total!I$479</f>
        <v>0.62545071774936456</v>
      </c>
      <c r="K436" s="336">
        <f>Gasto_o_ing_total!J436*1000/Gasto_o_ing_total!J$479</f>
        <v>0.42186481715058088</v>
      </c>
      <c r="L436" s="336">
        <f>Gasto_o_ing_total!K436*1000/Gasto_o_ing_total!K$479</f>
        <v>0</v>
      </c>
      <c r="M436" s="336">
        <f>Gasto_o_ing_total!L436*1000/Gasto_o_ing_total!L$479</f>
        <v>0.35617656976480233</v>
      </c>
      <c r="N436" s="336">
        <f>Gasto_o_ing_total!M436*1000/Gasto_o_ing_total!M$479</f>
        <v>0</v>
      </c>
      <c r="O436" s="336">
        <f>Gasto_o_ing_total!N436*1000/Gasto_o_ing_total!N$479</f>
        <v>0.54415316366160404</v>
      </c>
      <c r="P436" s="336">
        <f>Gasto_o_ing_total!O436*1000/Gasto_o_ing_total!O$479</f>
        <v>0.43475899298398307</v>
      </c>
      <c r="Q436" s="336">
        <f>Gasto_o_ing_total!P436*1000/Gasto_o_ing_total!P$479</f>
        <v>0</v>
      </c>
      <c r="R436" s="336">
        <f>Gasto_o_ing_total!Q436*1000/Gasto_o_ing_total!Q$479</f>
        <v>0.48377076368727634</v>
      </c>
      <c r="S436" s="336">
        <f>Gasto_o_ing_total!R436*1000/Gasto_o_ing_total!R$479</f>
        <v>0</v>
      </c>
      <c r="T436" s="336">
        <f>Gasto_o_ing_total!S436*1000/Gasto_o_ing_total!S$479</f>
        <v>0.40365563252719161</v>
      </c>
      <c r="U436" s="336">
        <f>Gasto_o_ing_total!T436*1000/Gasto_o_ing_total!T$479</f>
        <v>0.81112439693913807</v>
      </c>
      <c r="V436" s="336">
        <f>Gasto_o_ing_total!U436*1000/Gasto_o_ing_total!U$479</f>
        <v>0</v>
      </c>
      <c r="W436" s="105"/>
    </row>
    <row r="437" spans="1:23">
      <c r="A437" s="356"/>
      <c r="C437" s="17"/>
      <c r="D437" s="19"/>
      <c r="E437" s="19"/>
      <c r="F437" s="19"/>
      <c r="G437" s="19"/>
      <c r="H437" s="19"/>
      <c r="I437" s="19"/>
      <c r="J437" s="19"/>
      <c r="K437" s="19"/>
      <c r="L437" s="19"/>
      <c r="M437" s="19"/>
      <c r="N437" s="19"/>
      <c r="O437" s="19"/>
      <c r="P437" s="19"/>
      <c r="Q437" s="19"/>
      <c r="R437" s="19"/>
      <c r="S437" s="19"/>
      <c r="T437" s="19"/>
      <c r="U437" s="19"/>
      <c r="V437" s="19"/>
      <c r="W437" s="2"/>
    </row>
    <row r="438" spans="1:23" s="102" customFormat="1">
      <c r="A438" s="356"/>
      <c r="B438" s="115"/>
      <c r="C438" s="128" t="s">
        <v>75</v>
      </c>
      <c r="D438" s="113">
        <f>Gasto_o_ing_total!V438*1000/Gasto_o_ing_total!V$479</f>
        <v>164.68910980976196</v>
      </c>
      <c r="E438" s="113">
        <f>Gasto_o_ing_total!D438*1000/Gasto_o_ing_total!D$479</f>
        <v>155.10492893681948</v>
      </c>
      <c r="F438" s="113">
        <f>Gasto_o_ing_total!E438*1000/Gasto_o_ing_total!E$479</f>
        <v>408.54397038860515</v>
      </c>
      <c r="G438" s="113">
        <f>Gasto_o_ing_total!F438*1000/Gasto_o_ing_total!F$479</f>
        <v>98.903460998453241</v>
      </c>
      <c r="H438" s="113">
        <f>Gasto_o_ing_total!G438*1000/Gasto_o_ing_total!G$479</f>
        <v>37.307674481634137</v>
      </c>
      <c r="I438" s="113">
        <f>Gasto_o_ing_total!H438*1000/Gasto_o_ing_total!H$479</f>
        <v>154.00154969972627</v>
      </c>
      <c r="J438" s="113">
        <f>Gasto_o_ing_total!I438*1000/Gasto_o_ing_total!I$479</f>
        <v>143.91055305236247</v>
      </c>
      <c r="K438" s="113">
        <f>Gasto_o_ing_total!J438*1000/Gasto_o_ing_total!J$479</f>
        <v>618.23305638174475</v>
      </c>
      <c r="L438" s="113">
        <f>Gasto_o_ing_total!K438*1000/Gasto_o_ing_total!K$479</f>
        <v>656.60366692066054</v>
      </c>
      <c r="M438" s="113">
        <f>Gasto_o_ing_total!L438*1000/Gasto_o_ing_total!L$479</f>
        <v>54.023816516175387</v>
      </c>
      <c r="N438" s="113">
        <f>Gasto_o_ing_total!M438*1000/Gasto_o_ing_total!M$479</f>
        <v>48.022684985262622</v>
      </c>
      <c r="O438" s="113">
        <f>Gasto_o_ing_total!N438*1000/Gasto_o_ing_total!N$479</f>
        <v>651.91082857579022</v>
      </c>
      <c r="P438" s="113">
        <f>Gasto_o_ing_total!O438*1000/Gasto_o_ing_total!O$479</f>
        <v>176.26720995356396</v>
      </c>
      <c r="Q438" s="113">
        <f>Gasto_o_ing_total!P438*1000/Gasto_o_ing_total!P$479</f>
        <v>9.8067126139461376</v>
      </c>
      <c r="R438" s="113">
        <f>Gasto_o_ing_total!Q438*1000/Gasto_o_ing_total!Q$479</f>
        <v>130.74636805067112</v>
      </c>
      <c r="S438" s="113">
        <f>Gasto_o_ing_total!R438*1000/Gasto_o_ing_total!R$479</f>
        <v>209.79649354840589</v>
      </c>
      <c r="T438" s="113">
        <f>Gasto_o_ing_total!S438*1000/Gasto_o_ing_total!S$479</f>
        <v>39.738084205285844</v>
      </c>
      <c r="U438" s="113">
        <f>Gasto_o_ing_total!T438*1000/Gasto_o_ing_total!T$479</f>
        <v>211.17515436319604</v>
      </c>
      <c r="V438" s="113">
        <f>Gasto_o_ing_total!U438*1000/Gasto_o_ing_total!U$479</f>
        <v>8.652162393678104</v>
      </c>
      <c r="W438" s="105"/>
    </row>
    <row r="439" spans="1:23" s="102" customFormat="1">
      <c r="A439" s="355"/>
      <c r="B439" s="115" t="s">
        <v>482</v>
      </c>
      <c r="C439" s="333" t="str">
        <f>VLOOKUP(B439,Tot_res!C:D,2,FALSE)</f>
        <v>Competitividad y calidad de la producción y los mercados agrarios + AF22/1</v>
      </c>
      <c r="D439" s="336">
        <f>Gasto_o_ing_total!V439*1000/Gasto_o_ing_total!V$479</f>
        <v>0.74729789673711122</v>
      </c>
      <c r="E439" s="336">
        <f>Gasto_o_ing_total!D439*1000/Gasto_o_ing_total!D$479</f>
        <v>0.85064709110571723</v>
      </c>
      <c r="F439" s="336">
        <f>Gasto_o_ing_total!E439*1000/Gasto_o_ing_total!E$479</f>
        <v>2.7237699893045151</v>
      </c>
      <c r="G439" s="336">
        <f>Gasto_o_ing_total!F439*1000/Gasto_o_ing_total!F$479</f>
        <v>0.5744941083629409</v>
      </c>
      <c r="H439" s="336">
        <f>Gasto_o_ing_total!G439*1000/Gasto_o_ing_total!G$479</f>
        <v>0.7072547276262855</v>
      </c>
      <c r="I439" s="336">
        <f>Gasto_o_ing_total!H439*1000/Gasto_o_ing_total!H$479</f>
        <v>0.23684696777221961</v>
      </c>
      <c r="J439" s="336">
        <f>Gasto_o_ing_total!I439*1000/Gasto_o_ing_total!I$479</f>
        <v>1.1672050334852</v>
      </c>
      <c r="K439" s="336">
        <f>Gasto_o_ing_total!J439*1000/Gasto_o_ing_total!J$479</f>
        <v>1.35857874250003</v>
      </c>
      <c r="L439" s="336">
        <f>Gasto_o_ing_total!K439*1000/Gasto_o_ing_total!K$479</f>
        <v>1.6936659225965001</v>
      </c>
      <c r="M439" s="336">
        <f>Gasto_o_ing_total!L439*1000/Gasto_o_ing_total!L$479</f>
        <v>0.37584181907385039</v>
      </c>
      <c r="N439" s="336">
        <f>Gasto_o_ing_total!M439*1000/Gasto_o_ing_total!M$479</f>
        <v>0.55217673958173763</v>
      </c>
      <c r="O439" s="336">
        <f>Gasto_o_ing_total!N439*1000/Gasto_o_ing_total!N$479</f>
        <v>1.7264739359984358</v>
      </c>
      <c r="P439" s="336">
        <f>Gasto_o_ing_total!O439*1000/Gasto_o_ing_total!O$479</f>
        <v>0.65371382260547806</v>
      </c>
      <c r="Q439" s="336">
        <f>Gasto_o_ing_total!P439*1000/Gasto_o_ing_total!P$479</f>
        <v>6.7183901209798058E-2</v>
      </c>
      <c r="R439" s="336">
        <f>Gasto_o_ing_total!Q439*1000/Gasto_o_ing_total!Q$479</f>
        <v>1.6038391736984872</v>
      </c>
      <c r="S439" s="336">
        <f>Gasto_o_ing_total!R439*1000/Gasto_o_ing_total!R$479</f>
        <v>0.74729789673711133</v>
      </c>
      <c r="T439" s="336">
        <f>Gasto_o_ing_total!S439*1000/Gasto_o_ing_total!S$479</f>
        <v>0.74729789673711122</v>
      </c>
      <c r="U439" s="336">
        <f>Gasto_o_ing_total!T439*1000/Gasto_o_ing_total!T$479</f>
        <v>1.6006681353113643</v>
      </c>
      <c r="V439" s="336">
        <f>Gasto_o_ing_total!U439*1000/Gasto_o_ing_total!U$479</f>
        <v>0</v>
      </c>
      <c r="W439" s="105"/>
    </row>
    <row r="440" spans="1:23" s="102" customFormat="1">
      <c r="A440" s="355"/>
      <c r="B440" s="115" t="s">
        <v>484</v>
      </c>
      <c r="C440" s="333" t="str">
        <f>VLOOKUP(B440,Tot_res!C:D,2,FALSE)</f>
        <v>Competitividad y calidad de la sanidad agraria + AF22/2</v>
      </c>
      <c r="D440" s="336">
        <f>Gasto_o_ing_total!V440*1000/Gasto_o_ing_total!V$479</f>
        <v>0.95179403899206128</v>
      </c>
      <c r="E440" s="336">
        <f>Gasto_o_ing_total!D440*1000/Gasto_o_ing_total!D$479</f>
        <v>0.57370668280847192</v>
      </c>
      <c r="F440" s="336">
        <f>Gasto_o_ing_total!E440*1000/Gasto_o_ing_total!E$479</f>
        <v>3.3972724917466337</v>
      </c>
      <c r="G440" s="336">
        <f>Gasto_o_ing_total!F440*1000/Gasto_o_ing_total!F$479</f>
        <v>1.0625610067800266</v>
      </c>
      <c r="H440" s="336">
        <f>Gasto_o_ing_total!G440*1000/Gasto_o_ing_total!G$479</f>
        <v>0.31466419315957433</v>
      </c>
      <c r="I440" s="336">
        <f>Gasto_o_ing_total!H440*1000/Gasto_o_ing_total!H$479</f>
        <v>0.20518118763133703</v>
      </c>
      <c r="J440" s="336">
        <f>Gasto_o_ing_total!I440*1000/Gasto_o_ing_total!I$479</f>
        <v>1.4830688273787089</v>
      </c>
      <c r="K440" s="336">
        <f>Gasto_o_ing_total!J440*1000/Gasto_o_ing_total!J$479</f>
        <v>2.5492219484875354</v>
      </c>
      <c r="L440" s="336">
        <f>Gasto_o_ing_total!K440*1000/Gasto_o_ing_total!K$479</f>
        <v>1.436483877013311</v>
      </c>
      <c r="M440" s="336">
        <f>Gasto_o_ing_total!L440*1000/Gasto_o_ing_total!L$479</f>
        <v>0.80195867386777142</v>
      </c>
      <c r="N440" s="336">
        <f>Gasto_o_ing_total!M440*1000/Gasto_o_ing_total!M$479</f>
        <v>0.54144841723844661</v>
      </c>
      <c r="O440" s="336">
        <f>Gasto_o_ing_total!N440*1000/Gasto_o_ing_total!N$479</f>
        <v>2.6092849398235827</v>
      </c>
      <c r="P440" s="336">
        <f>Gasto_o_ing_total!O440*1000/Gasto_o_ing_total!O$479</f>
        <v>2.1735622202966307</v>
      </c>
      <c r="Q440" s="336">
        <f>Gasto_o_ing_total!P440*1000/Gasto_o_ing_total!P$479</f>
        <v>0.1428521126377531</v>
      </c>
      <c r="R440" s="336">
        <f>Gasto_o_ing_total!Q440*1000/Gasto_o_ing_total!Q$479</f>
        <v>0.80185681991909841</v>
      </c>
      <c r="S440" s="336">
        <f>Gasto_o_ing_total!R440*1000/Gasto_o_ing_total!R$479</f>
        <v>0.95179403899206116</v>
      </c>
      <c r="T440" s="336">
        <f>Gasto_o_ing_total!S440*1000/Gasto_o_ing_total!S$479</f>
        <v>0.95179403899206128</v>
      </c>
      <c r="U440" s="336">
        <f>Gasto_o_ing_total!T440*1000/Gasto_o_ing_total!T$479</f>
        <v>0.71052163874951713</v>
      </c>
      <c r="V440" s="336">
        <f>Gasto_o_ing_total!U440*1000/Gasto_o_ing_total!U$479</f>
        <v>2.6979074558816118</v>
      </c>
      <c r="W440" s="105"/>
    </row>
    <row r="441" spans="1:23" s="102" customFormat="1">
      <c r="A441" s="355"/>
      <c r="B441" s="115" t="s">
        <v>407</v>
      </c>
      <c r="C441" s="333" t="str">
        <f>VLOOKUP(B441,Tot_res!C:D,2,FALSE)</f>
        <v>Regulación de los mercados agrarios</v>
      </c>
      <c r="D441" s="336">
        <f>Gasto_o_ing_total!V441*1000/Gasto_o_ing_total!V$479</f>
        <v>131.99350408393406</v>
      </c>
      <c r="E441" s="336">
        <f>Gasto_o_ing_total!D441*1000/Gasto_o_ing_total!D$479</f>
        <v>129.54442904520548</v>
      </c>
      <c r="F441" s="336">
        <f>Gasto_o_ing_total!E441*1000/Gasto_o_ing_total!E$479</f>
        <v>345.96429709477616</v>
      </c>
      <c r="G441" s="336">
        <f>Gasto_o_ing_total!F441*1000/Gasto_o_ing_total!F$479</f>
        <v>55.436653984303831</v>
      </c>
      <c r="H441" s="336">
        <f>Gasto_o_ing_total!G441*1000/Gasto_o_ing_total!G$479</f>
        <v>24.653942365209897</v>
      </c>
      <c r="I441" s="336">
        <f>Gasto_o_ing_total!H441*1000/Gasto_o_ing_total!H$479</f>
        <v>144.18778055816713</v>
      </c>
      <c r="J441" s="336">
        <f>Gasto_o_ing_total!I441*1000/Gasto_o_ing_total!I$479</f>
        <v>99.550962461871464</v>
      </c>
      <c r="K441" s="336">
        <f>Gasto_o_ing_total!J441*1000/Gasto_o_ing_total!J$479</f>
        <v>544.63015490662053</v>
      </c>
      <c r="L441" s="336">
        <f>Gasto_o_ing_total!K441*1000/Gasto_o_ing_total!K$479</f>
        <v>538.60003362939779</v>
      </c>
      <c r="M441" s="336">
        <f>Gasto_o_ing_total!L441*1000/Gasto_o_ing_total!L$479</f>
        <v>40.921340881144687</v>
      </c>
      <c r="N441" s="336">
        <f>Gasto_o_ing_total!M441*1000/Gasto_o_ing_total!M$479</f>
        <v>33.560619051644252</v>
      </c>
      <c r="O441" s="336">
        <f>Gasto_o_ing_total!N441*1000/Gasto_o_ing_total!N$479</f>
        <v>494.80740788571904</v>
      </c>
      <c r="P441" s="336">
        <f>Gasto_o_ing_total!O441*1000/Gasto_o_ing_total!O$479</f>
        <v>104.98195938881916</v>
      </c>
      <c r="Q441" s="336">
        <f>Gasto_o_ing_total!P441*1000/Gasto_o_ing_total!P$479</f>
        <v>6.5674967888138633</v>
      </c>
      <c r="R441" s="336">
        <f>Gasto_o_ing_total!Q441*1000/Gasto_o_ing_total!Q$479</f>
        <v>92.046777752086882</v>
      </c>
      <c r="S441" s="336">
        <f>Gasto_o_ing_total!R441*1000/Gasto_o_ing_total!R$479</f>
        <v>173.87811717352969</v>
      </c>
      <c r="T441" s="336">
        <f>Gasto_o_ing_total!S441*1000/Gasto_o_ing_total!S$479</f>
        <v>25.045057372659276</v>
      </c>
      <c r="U441" s="336">
        <f>Gasto_o_ing_total!T441*1000/Gasto_o_ing_total!T$479</f>
        <v>143.45982467726327</v>
      </c>
      <c r="V441" s="336">
        <f>Gasto_o_ing_total!U441*1000/Gasto_o_ing_total!U$479</f>
        <v>0</v>
      </c>
      <c r="W441" s="105"/>
    </row>
    <row r="442" spans="1:23" s="102" customFormat="1">
      <c r="A442" s="355"/>
      <c r="B442" s="115" t="s">
        <v>408</v>
      </c>
      <c r="C442" s="333" t="str">
        <f>VLOOKUP(B442,Tot_res!C:D,2,FALSE)</f>
        <v>Competitividad industria agroalimentaria y calidad alimentaria + AF22/3</v>
      </c>
      <c r="D442" s="336">
        <f>Gasto_o_ing_total!V442*1000/Gasto_o_ing_total!V$479</f>
        <v>0.56003627628999109</v>
      </c>
      <c r="E442" s="336">
        <f>Gasto_o_ing_total!D442*1000/Gasto_o_ing_total!D$479</f>
        <v>0.29940265313591258</v>
      </c>
      <c r="F442" s="336">
        <f>Gasto_o_ing_total!E442*1000/Gasto_o_ing_total!E$479</f>
        <v>0.54150231626134016</v>
      </c>
      <c r="G442" s="336">
        <f>Gasto_o_ing_total!F442*1000/Gasto_o_ing_total!F$479</f>
        <v>0.28198371691396651</v>
      </c>
      <c r="H442" s="336">
        <f>Gasto_o_ing_total!G442*1000/Gasto_o_ing_total!G$479</f>
        <v>5.486508930160966E-2</v>
      </c>
      <c r="I442" s="336">
        <f>Gasto_o_ing_total!H442*1000/Gasto_o_ing_total!H$479</f>
        <v>0.16790781032865235</v>
      </c>
      <c r="J442" s="336">
        <f>Gasto_o_ing_total!I442*1000/Gasto_o_ing_total!I$479</f>
        <v>0.75819638779690501</v>
      </c>
      <c r="K442" s="336">
        <f>Gasto_o_ing_total!J442*1000/Gasto_o_ing_total!J$479</f>
        <v>0.85496646573983826</v>
      </c>
      <c r="L442" s="336">
        <f>Gasto_o_ing_total!K442*1000/Gasto_o_ing_total!K$479</f>
        <v>0.81382913507420374</v>
      </c>
      <c r="M442" s="336">
        <f>Gasto_o_ing_total!L442*1000/Gasto_o_ing_total!L$479</f>
        <v>0.74772395197258501</v>
      </c>
      <c r="N442" s="336">
        <f>Gasto_o_ing_total!M442*1000/Gasto_o_ing_total!M$479</f>
        <v>0.34662218108172599</v>
      </c>
      <c r="O442" s="336">
        <f>Gasto_o_ing_total!N442*1000/Gasto_o_ing_total!N$479</f>
        <v>0.65015999344056585</v>
      </c>
      <c r="P442" s="336">
        <f>Gasto_o_ing_total!O442*1000/Gasto_o_ing_total!O$479</f>
        <v>0.83907862776427322</v>
      </c>
      <c r="Q442" s="336">
        <f>Gasto_o_ing_total!P442*1000/Gasto_o_ing_total!P$479</f>
        <v>0.73257784685718119</v>
      </c>
      <c r="R442" s="336">
        <f>Gasto_o_ing_total!Q442*1000/Gasto_o_ing_total!Q$479</f>
        <v>0.60651977057244544</v>
      </c>
      <c r="S442" s="336">
        <f>Gasto_o_ing_total!R442*1000/Gasto_o_ing_total!R$479</f>
        <v>0.56003627628999109</v>
      </c>
      <c r="T442" s="336">
        <f>Gasto_o_ing_total!S442*1000/Gasto_o_ing_total!S$479</f>
        <v>0.56003627628999109</v>
      </c>
      <c r="U442" s="336">
        <f>Gasto_o_ing_total!T442*1000/Gasto_o_ing_total!T$479</f>
        <v>1.252706182601699</v>
      </c>
      <c r="V442" s="336">
        <f>Gasto_o_ing_total!U442*1000/Gasto_o_ing_total!U$479</f>
        <v>0</v>
      </c>
      <c r="W442" s="105"/>
    </row>
    <row r="443" spans="1:23" s="102" customFormat="1">
      <c r="A443" s="355"/>
      <c r="B443" s="115" t="s">
        <v>409</v>
      </c>
      <c r="C443" s="333" t="str">
        <f>VLOOKUP(B443,Tot_res!C:D,2,FALSE)</f>
        <v>Desarrollo del medio rural  + AF22/4</v>
      </c>
      <c r="D443" s="336">
        <f>Gasto_o_ing_total!V443*1000/Gasto_o_ing_total!V$479</f>
        <v>22.217579968807115</v>
      </c>
      <c r="E443" s="336">
        <f>Gasto_o_ing_total!D443*1000/Gasto_o_ing_total!D$479</f>
        <v>13.408636769653784</v>
      </c>
      <c r="F443" s="336">
        <f>Gasto_o_ing_total!E443*1000/Gasto_o_ing_total!E$479</f>
        <v>40.537569188103021</v>
      </c>
      <c r="G443" s="336">
        <f>Gasto_o_ing_total!F443*1000/Gasto_o_ing_total!F$479</f>
        <v>36.988328526323485</v>
      </c>
      <c r="H443" s="336">
        <f>Gasto_o_ing_total!G443*1000/Gasto_o_ing_total!G$479</f>
        <v>8.3801586157303625</v>
      </c>
      <c r="I443" s="336">
        <f>Gasto_o_ing_total!H443*1000/Gasto_o_ing_total!H$479</f>
        <v>2.9777023145745902</v>
      </c>
      <c r="J443" s="336">
        <f>Gasto_o_ing_total!I443*1000/Gasto_o_ing_total!I$479</f>
        <v>33.519845940406235</v>
      </c>
      <c r="K443" s="336">
        <f>Gasto_o_ing_total!J443*1000/Gasto_o_ing_total!J$479</f>
        <v>56.275984985250702</v>
      </c>
      <c r="L443" s="336">
        <f>Gasto_o_ing_total!K443*1000/Gasto_o_ing_total!K$479</f>
        <v>97.838184595821232</v>
      </c>
      <c r="M443" s="336">
        <f>Gasto_o_ing_total!L443*1000/Gasto_o_ing_total!L$479</f>
        <v>7.2615000715786939</v>
      </c>
      <c r="N443" s="336">
        <f>Gasto_o_ing_total!M443*1000/Gasto_o_ing_total!M$479</f>
        <v>7.9807569062139567</v>
      </c>
      <c r="O443" s="336">
        <f>Gasto_o_ing_total!N443*1000/Gasto_o_ing_total!N$479</f>
        <v>139.88084003762609</v>
      </c>
      <c r="P443" s="336">
        <f>Gasto_o_ing_total!O443*1000/Gasto_o_ing_total!O$479</f>
        <v>42.106674179935581</v>
      </c>
      <c r="Q443" s="336">
        <f>Gasto_o_ing_total!P443*1000/Gasto_o_ing_total!P$479</f>
        <v>1.1748340070911363</v>
      </c>
      <c r="R443" s="336">
        <f>Gasto_o_ing_total!Q443*1000/Gasto_o_ing_total!Q$479</f>
        <v>25.026477523526491</v>
      </c>
      <c r="S443" s="336">
        <f>Gasto_o_ing_total!R443*1000/Gasto_o_ing_total!R$479</f>
        <v>23.758090412335633</v>
      </c>
      <c r="T443" s="336">
        <f>Gasto_o_ing_total!S443*1000/Gasto_o_ing_total!S$479</f>
        <v>8.7120387556042473</v>
      </c>
      <c r="U443" s="336">
        <f>Gasto_o_ing_total!T443*1000/Gasto_o_ing_total!T$479</f>
        <v>36.411160771877618</v>
      </c>
      <c r="V443" s="336">
        <f>Gasto_o_ing_total!U443*1000/Gasto_o_ing_total!U$479</f>
        <v>0</v>
      </c>
      <c r="W443" s="105"/>
    </row>
    <row r="444" spans="1:23" s="102" customFormat="1">
      <c r="A444" s="355"/>
      <c r="B444" s="115" t="s">
        <v>411</v>
      </c>
      <c r="C444" s="333" t="str">
        <f>VLOOKUP(B444,Tot_res!C:D,2,FALSE)</f>
        <v>Programa de desarrollo rural sostenible</v>
      </c>
      <c r="D444" s="336">
        <f>Gasto_o_ing_total!V444*1000/Gasto_o_ing_total!V$479</f>
        <v>0.42894055240488921</v>
      </c>
      <c r="E444" s="336">
        <f>Gasto_o_ing_total!D444*1000/Gasto_o_ing_total!D$479</f>
        <v>0</v>
      </c>
      <c r="F444" s="336">
        <f>Gasto_o_ing_total!E444*1000/Gasto_o_ing_total!E$479</f>
        <v>0</v>
      </c>
      <c r="G444" s="336">
        <f>Gasto_o_ing_total!F444*1000/Gasto_o_ing_total!F$479</f>
        <v>0</v>
      </c>
      <c r="H444" s="336">
        <f>Gasto_o_ing_total!G444*1000/Gasto_o_ing_total!G$479</f>
        <v>0</v>
      </c>
      <c r="I444" s="336">
        <f>Gasto_o_ing_total!H444*1000/Gasto_o_ing_total!H$479</f>
        <v>0</v>
      </c>
      <c r="J444" s="336">
        <f>Gasto_o_ing_total!I444*1000/Gasto_o_ing_total!I$479</f>
        <v>0</v>
      </c>
      <c r="K444" s="336">
        <f>Gasto_o_ing_total!J444*1000/Gasto_o_ing_total!J$479</f>
        <v>0.19941511546633722</v>
      </c>
      <c r="L444" s="336">
        <f>Gasto_o_ing_total!K444*1000/Gasto_o_ing_total!K$479</f>
        <v>0</v>
      </c>
      <c r="M444" s="336">
        <f>Gasto_o_ing_total!L444*1000/Gasto_o_ing_total!L$479</f>
        <v>0</v>
      </c>
      <c r="N444" s="336">
        <f>Gasto_o_ing_total!M444*1000/Gasto_o_ing_total!M$479</f>
        <v>0</v>
      </c>
      <c r="O444" s="336">
        <f>Gasto_o_ing_total!N444*1000/Gasto_o_ing_total!N$479</f>
        <v>0</v>
      </c>
      <c r="P444" s="336">
        <f>Gasto_o_ing_total!O444*1000/Gasto_o_ing_total!O$479</f>
        <v>6.1704899780311839</v>
      </c>
      <c r="Q444" s="336">
        <f>Gasto_o_ing_total!P444*1000/Gasto_o_ing_total!P$479</f>
        <v>0</v>
      </c>
      <c r="R444" s="336">
        <f>Gasto_o_ing_total!Q444*1000/Gasto_o_ing_total!Q$479</f>
        <v>0</v>
      </c>
      <c r="S444" s="336">
        <f>Gasto_o_ing_total!R444*1000/Gasto_o_ing_total!R$479</f>
        <v>0</v>
      </c>
      <c r="T444" s="336">
        <f>Gasto_o_ing_total!S444*1000/Gasto_o_ing_total!S$479</f>
        <v>0</v>
      </c>
      <c r="U444" s="336">
        <f>Gasto_o_ing_total!T444*1000/Gasto_o_ing_total!T$479</f>
        <v>8.1899570846248757</v>
      </c>
      <c r="V444" s="336">
        <f>Gasto_o_ing_total!U444*1000/Gasto_o_ing_total!U$479</f>
        <v>0</v>
      </c>
      <c r="W444" s="105"/>
    </row>
    <row r="445" spans="1:23" s="102" customFormat="1">
      <c r="A445" s="355"/>
      <c r="B445" s="115" t="s">
        <v>412</v>
      </c>
      <c r="C445" s="333" t="str">
        <f>VLOOKUP(B445,Tot_res!C:D,2,FALSE)</f>
        <v>Protección de los recursos pesqueros y desarrollo sostenible</v>
      </c>
      <c r="D445" s="336">
        <f>Gasto_o_ing_total!V445*1000/Gasto_o_ing_total!V$479</f>
        <v>0.28406677432316996</v>
      </c>
      <c r="E445" s="336">
        <f>Gasto_o_ing_total!D445*1000/Gasto_o_ing_total!D$479</f>
        <v>0.23172637236599103</v>
      </c>
      <c r="F445" s="336">
        <f>Gasto_o_ing_total!E445*1000/Gasto_o_ing_total!E$479</f>
        <v>4.9217876066217779E-4</v>
      </c>
      <c r="G445" s="336">
        <f>Gasto_o_ing_total!F445*1000/Gasto_o_ing_total!F$479</f>
        <v>0.38753683033440245</v>
      </c>
      <c r="H445" s="336">
        <f>Gasto_o_ing_total!G445*1000/Gasto_o_ing_total!G$479</f>
        <v>0.52719073519208004</v>
      </c>
      <c r="I445" s="336">
        <f>Gasto_o_ing_total!H445*1000/Gasto_o_ing_total!H$479</f>
        <v>0.31516573811578341</v>
      </c>
      <c r="J445" s="336">
        <f>Gasto_o_ing_total!I445*1000/Gasto_o_ing_total!I$479</f>
        <v>0.58410734655929264</v>
      </c>
      <c r="K445" s="336">
        <f>Gasto_o_ing_total!J445*1000/Gasto_o_ing_total!J$479</f>
        <v>1.2490650295315206E-3</v>
      </c>
      <c r="L445" s="336">
        <f>Gasto_o_ing_total!K445*1000/Gasto_o_ing_total!K$479</f>
        <v>5.3950294562808297E-4</v>
      </c>
      <c r="M445" s="336">
        <f>Gasto_o_ing_total!L445*1000/Gasto_o_ing_total!L$479</f>
        <v>0.13185486927677925</v>
      </c>
      <c r="N445" s="336">
        <f>Gasto_o_ing_total!M445*1000/Gasto_o_ing_total!M$479</f>
        <v>0.13742134285300045</v>
      </c>
      <c r="O445" s="336">
        <f>Gasto_o_ing_total!N445*1000/Gasto_o_ing_total!N$479</f>
        <v>6.8217901900121606E-4</v>
      </c>
      <c r="P445" s="336">
        <f>Gasto_o_ing_total!O445*1000/Gasto_o_ing_total!O$479</f>
        <v>2.0060285771744577</v>
      </c>
      <c r="Q445" s="336">
        <f>Gasto_o_ing_total!P445*1000/Gasto_o_ing_total!P$479</f>
        <v>1.7573763241142411E-2</v>
      </c>
      <c r="R445" s="336">
        <f>Gasto_o_ing_total!Q445*1000/Gasto_o_ing_total!Q$479</f>
        <v>0.13885498085264381</v>
      </c>
      <c r="S445" s="336">
        <f>Gasto_o_ing_total!R445*1000/Gasto_o_ing_total!R$479</f>
        <v>5.8481009965857833E-4</v>
      </c>
      <c r="T445" s="336">
        <f>Gasto_o_ing_total!S445*1000/Gasto_o_ing_total!S$479</f>
        <v>0.44773087175974102</v>
      </c>
      <c r="U445" s="336">
        <f>Gasto_o_ing_total!T445*1000/Gasto_o_ing_total!T$479</f>
        <v>2.5854678256352357</v>
      </c>
      <c r="V445" s="336">
        <f>Gasto_o_ing_total!U445*1000/Gasto_o_ing_total!U$479</f>
        <v>0.14984569007463755</v>
      </c>
      <c r="W445" s="105"/>
    </row>
    <row r="446" spans="1:23" s="102" customFormat="1">
      <c r="A446" s="355"/>
      <c r="B446" s="115" t="s">
        <v>413</v>
      </c>
      <c r="C446" s="333" t="str">
        <f>VLOOKUP(B446,Tot_res!C:D,2,FALSE)</f>
        <v>Mejora de estructuras y mercados pesqueros</v>
      </c>
      <c r="D446" s="336">
        <f>Gasto_o_ing_total!V446*1000/Gasto_o_ing_total!V$479</f>
        <v>0.92661747414226892</v>
      </c>
      <c r="E446" s="336">
        <f>Gasto_o_ing_total!D446*1000/Gasto_o_ing_total!D$479</f>
        <v>1.0909916117748992</v>
      </c>
      <c r="F446" s="336">
        <f>Gasto_o_ing_total!E446*1000/Gasto_o_ing_total!E$479</f>
        <v>6.7251884285306776E-2</v>
      </c>
      <c r="G446" s="336">
        <f>Gasto_o_ing_total!F446*1000/Gasto_o_ing_total!F$479</f>
        <v>0.66278327878543863</v>
      </c>
      <c r="H446" s="336">
        <f>Gasto_o_ing_total!G446*1000/Gasto_o_ing_total!G$479</f>
        <v>0.34222874338300585</v>
      </c>
      <c r="I446" s="336">
        <f>Gasto_o_ing_total!H446*1000/Gasto_o_ing_total!H$479</f>
        <v>1.9607062805713262</v>
      </c>
      <c r="J446" s="336">
        <f>Gasto_o_ing_total!I446*1000/Gasto_o_ing_total!I$479</f>
        <v>2.4681749658496979</v>
      </c>
      <c r="K446" s="336">
        <f>Gasto_o_ing_total!J446*1000/Gasto_o_ing_total!J$479</f>
        <v>6.5764351325874465E-2</v>
      </c>
      <c r="L446" s="336">
        <f>Gasto_o_ing_total!K446*1000/Gasto_o_ing_total!K$479</f>
        <v>2.836044641799694E-2</v>
      </c>
      <c r="M446" s="336">
        <f>Gasto_o_ing_total!L446*1000/Gasto_o_ing_total!L$479</f>
        <v>0.24217683082112104</v>
      </c>
      <c r="N446" s="336">
        <f>Gasto_o_ing_total!M446*1000/Gasto_o_ing_total!M$479</f>
        <v>0.23975787152198774</v>
      </c>
      <c r="O446" s="336">
        <f>Gasto_o_ing_total!N446*1000/Gasto_o_ing_total!N$479</f>
        <v>2.585299361595637E-2</v>
      </c>
      <c r="P446" s="336">
        <f>Gasto_o_ing_total!O446*1000/Gasto_o_ing_total!O$479</f>
        <v>6.8682501879162761</v>
      </c>
      <c r="Q446" s="336">
        <f>Gasto_o_ing_total!P446*1000/Gasto_o_ing_total!P$479</f>
        <v>2.6634963230928382E-2</v>
      </c>
      <c r="R446" s="336">
        <f>Gasto_o_ing_total!Q446*1000/Gasto_o_ing_total!Q$479</f>
        <v>1.2337123695307384</v>
      </c>
      <c r="S446" s="336">
        <f>Gasto_o_ing_total!R446*1000/Gasto_o_ing_total!R$479</f>
        <v>6.2413695082140716E-2</v>
      </c>
      <c r="T446" s="336">
        <f>Gasto_o_ing_total!S446*1000/Gasto_o_ing_total!S$479</f>
        <v>0.56137563719723571</v>
      </c>
      <c r="U446" s="336">
        <f>Gasto_o_ing_total!T446*1000/Gasto_o_ing_total!T$479</f>
        <v>3.8384816430111135</v>
      </c>
      <c r="V446" s="336">
        <f>Gasto_o_ing_total!U446*1000/Gasto_o_ing_total!U$479</f>
        <v>4.9295918986938831</v>
      </c>
      <c r="W446" s="105"/>
    </row>
    <row r="447" spans="1:23" s="102" customFormat="1">
      <c r="A447" s="355"/>
      <c r="B447" s="115" t="s">
        <v>415</v>
      </c>
      <c r="C447" s="333" t="str">
        <f>VLOOKUP(B447,Tot_res!C:D,2,FALSE)</f>
        <v>Previsión de riesgos en las producciones agrarias y pesqueras</v>
      </c>
      <c r="D447" s="336">
        <f>Gasto_o_ing_total!V447*1000/Gasto_o_ing_total!V$479</f>
        <v>5.1059066511280529</v>
      </c>
      <c r="E447" s="336">
        <f>Gasto_o_ing_total!D447*1000/Gasto_o_ing_total!D$479</f>
        <v>7.6529970274052106</v>
      </c>
      <c r="F447" s="336">
        <f>Gasto_o_ing_total!E447*1000/Gasto_o_ing_total!E$479</f>
        <v>12.804779620905718</v>
      </c>
      <c r="G447" s="336">
        <f>Gasto_o_ing_total!F447*1000/Gasto_o_ing_total!F$479</f>
        <v>2.3766611934777937</v>
      </c>
      <c r="H447" s="336">
        <f>Gasto_o_ing_total!G447*1000/Gasto_o_ing_total!G$479</f>
        <v>0.84165739941528694</v>
      </c>
      <c r="I447" s="336">
        <f>Gasto_o_ing_total!H447*1000/Gasto_o_ing_total!H$479</f>
        <v>2.6252617577089143</v>
      </c>
      <c r="J447" s="336">
        <f>Gasto_o_ing_total!I447*1000/Gasto_o_ing_total!I$479</f>
        <v>2.5735982467679208</v>
      </c>
      <c r="K447" s="336">
        <f>Gasto_o_ing_total!J447*1000/Gasto_o_ing_total!J$479</f>
        <v>8.8080355546107487</v>
      </c>
      <c r="L447" s="336">
        <f>Gasto_o_ing_total!K447*1000/Gasto_o_ing_total!K$479</f>
        <v>12.790976376191052</v>
      </c>
      <c r="M447" s="336">
        <f>Gasto_o_ing_total!L447*1000/Gasto_o_ing_total!L$479</f>
        <v>2.6192380580097145</v>
      </c>
      <c r="N447" s="336">
        <f>Gasto_o_ing_total!M447*1000/Gasto_o_ing_total!M$479</f>
        <v>3.7448234274849712</v>
      </c>
      <c r="O447" s="336">
        <f>Gasto_o_ing_total!N447*1000/Gasto_o_ing_total!N$479</f>
        <v>8.3890297970268186</v>
      </c>
      <c r="P447" s="336">
        <f>Gasto_o_ing_total!O447*1000/Gasto_o_ing_total!O$479</f>
        <v>8.8627186418386898</v>
      </c>
      <c r="Q447" s="336">
        <f>Gasto_o_ing_total!P447*1000/Gasto_o_ing_total!P$479</f>
        <v>0.25164638436526593</v>
      </c>
      <c r="R447" s="336">
        <f>Gasto_o_ing_total!Q447*1000/Gasto_o_ing_total!Q$479</f>
        <v>7.9771945485014522</v>
      </c>
      <c r="S447" s="336">
        <f>Gasto_o_ing_total!R447*1000/Gasto_o_ing_total!R$479</f>
        <v>8.3037644979086576</v>
      </c>
      <c r="T447" s="336">
        <f>Gasto_o_ing_total!S447*1000/Gasto_o_ing_total!S$479</f>
        <v>1.843096319632425</v>
      </c>
      <c r="U447" s="336">
        <f>Gasto_o_ing_total!T447*1000/Gasto_o_ing_total!T$479</f>
        <v>11.549062832554455</v>
      </c>
      <c r="V447" s="336">
        <f>Gasto_o_ing_total!U447*1000/Gasto_o_ing_total!U$479</f>
        <v>0.19221871290750392</v>
      </c>
      <c r="W447" s="111"/>
    </row>
    <row r="448" spans="1:23" s="102" customFormat="1">
      <c r="A448" s="355"/>
      <c r="B448" s="115" t="s">
        <v>909</v>
      </c>
      <c r="C448" s="333" t="str">
        <f>VLOOKUP(B448,Tot_res!C:D,2,FALSE)</f>
        <v>Direc. y serv. grales. de agric., aliment. y medio amb., Medio Rural y Marino</v>
      </c>
      <c r="D448" s="336">
        <f>Gasto_o_ing_total!V448*1000/Gasto_o_ing_total!V$479</f>
        <v>1.4733660930032717</v>
      </c>
      <c r="E448" s="336">
        <f>Gasto_o_ing_total!D448*1000/Gasto_o_ing_total!D$479</f>
        <v>1.4523916833640378</v>
      </c>
      <c r="F448" s="336">
        <f>Gasto_o_ing_total!E448*1000/Gasto_o_ing_total!E$479</f>
        <v>2.507035624461849</v>
      </c>
      <c r="G448" s="336">
        <f>Gasto_o_ing_total!F448*1000/Gasto_o_ing_total!F$479</f>
        <v>1.1324583531713648</v>
      </c>
      <c r="H448" s="336">
        <f>Gasto_o_ing_total!G448*1000/Gasto_o_ing_total!G$479</f>
        <v>1.4857126126160238</v>
      </c>
      <c r="I448" s="336">
        <f>Gasto_o_ing_total!H448*1000/Gasto_o_ing_total!H$479</f>
        <v>1.3249970848563095</v>
      </c>
      <c r="J448" s="336">
        <f>Gasto_o_ing_total!I448*1000/Gasto_o_ing_total!I$479</f>
        <v>1.8053938422470623</v>
      </c>
      <c r="K448" s="336">
        <f>Gasto_o_ing_total!J448*1000/Gasto_o_ing_total!J$479</f>
        <v>3.4896852467134942</v>
      </c>
      <c r="L448" s="336">
        <f>Gasto_o_ing_total!K448*1000/Gasto_o_ing_total!K$479</f>
        <v>3.4015934352028649</v>
      </c>
      <c r="M448" s="336">
        <f>Gasto_o_ing_total!L448*1000/Gasto_o_ing_total!L$479</f>
        <v>0.92218136043019372</v>
      </c>
      <c r="N448" s="336">
        <f>Gasto_o_ing_total!M448*1000/Gasto_o_ing_total!M$479</f>
        <v>0.91905904764254165</v>
      </c>
      <c r="O448" s="336">
        <f>Gasto_o_ing_total!N448*1000/Gasto_o_ing_total!N$479</f>
        <v>3.8210968135206711</v>
      </c>
      <c r="P448" s="336">
        <f>Gasto_o_ing_total!O448*1000/Gasto_o_ing_total!O$479</f>
        <v>1.6047343291822354</v>
      </c>
      <c r="Q448" s="336">
        <f>Gasto_o_ing_total!P448*1000/Gasto_o_ing_total!P$479</f>
        <v>0.82591284649906815</v>
      </c>
      <c r="R448" s="336">
        <f>Gasto_o_ing_total!Q448*1000/Gasto_o_ing_total!Q$479</f>
        <v>1.3111351119828742</v>
      </c>
      <c r="S448" s="336">
        <f>Gasto_o_ing_total!R448*1000/Gasto_o_ing_total!R$479</f>
        <v>1.5343947474309316</v>
      </c>
      <c r="T448" s="336">
        <f>Gasto_o_ing_total!S448*1000/Gasto_o_ing_total!S$479</f>
        <v>0.86965703641374881</v>
      </c>
      <c r="U448" s="336">
        <f>Gasto_o_ing_total!T448*1000/Gasto_o_ing_total!T$479</f>
        <v>1.5773035715669632</v>
      </c>
      <c r="V448" s="336">
        <f>Gasto_o_ing_total!U448*1000/Gasto_o_ing_total!U$479</f>
        <v>0.68259863612046656</v>
      </c>
      <c r="W448" s="105"/>
    </row>
    <row r="449" spans="1:23">
      <c r="A449" s="356"/>
      <c r="C449" s="6"/>
      <c r="D449" s="19"/>
      <c r="E449" s="19"/>
      <c r="F449" s="19"/>
      <c r="G449" s="19"/>
      <c r="H449" s="19"/>
      <c r="I449" s="19"/>
      <c r="J449" s="19"/>
      <c r="K449" s="19"/>
      <c r="L449" s="19"/>
      <c r="M449" s="19"/>
      <c r="N449" s="19"/>
      <c r="O449" s="19"/>
      <c r="P449" s="19"/>
      <c r="Q449" s="19"/>
      <c r="R449" s="19"/>
      <c r="S449" s="19"/>
      <c r="T449" s="19"/>
      <c r="U449" s="19"/>
      <c r="V449" s="19"/>
      <c r="W449" s="2"/>
    </row>
    <row r="450" spans="1:23" s="102" customFormat="1">
      <c r="A450" s="356"/>
      <c r="B450" s="115"/>
      <c r="C450" s="128" t="s">
        <v>113</v>
      </c>
      <c r="D450" s="113">
        <f>Gasto_o_ing_total!V450*1000/Gasto_o_ing_total!V$479</f>
        <v>58.296699061451143</v>
      </c>
      <c r="E450" s="113">
        <f>Gasto_o_ing_total!D450*1000/Gasto_o_ing_total!D$479</f>
        <v>44.73063655158964</v>
      </c>
      <c r="F450" s="113">
        <f>Gasto_o_ing_total!E450*1000/Gasto_o_ing_total!E$479</f>
        <v>74.676199913552011</v>
      </c>
      <c r="G450" s="113">
        <f>Gasto_o_ing_total!F450*1000/Gasto_o_ing_total!F$479</f>
        <v>88.57379855467984</v>
      </c>
      <c r="H450" s="113">
        <f>Gasto_o_ing_total!G450*1000/Gasto_o_ing_total!G$479</f>
        <v>60.367989718946667</v>
      </c>
      <c r="I450" s="113">
        <f>Gasto_o_ing_total!H450*1000/Gasto_o_ing_total!H$479</f>
        <v>46.075578372008124</v>
      </c>
      <c r="J450" s="113">
        <f>Gasto_o_ing_total!I450*1000/Gasto_o_ing_total!I$479</f>
        <v>75.433443264092674</v>
      </c>
      <c r="K450" s="113">
        <f>Gasto_o_ing_total!J450*1000/Gasto_o_ing_total!J$479</f>
        <v>53.345378023358109</v>
      </c>
      <c r="L450" s="113">
        <f>Gasto_o_ing_total!K450*1000/Gasto_o_ing_total!K$479</f>
        <v>51.08461569872933</v>
      </c>
      <c r="M450" s="113">
        <f>Gasto_o_ing_total!L450*1000/Gasto_o_ing_total!L$479</f>
        <v>66.294993758208818</v>
      </c>
      <c r="N450" s="113">
        <f>Gasto_o_ing_total!M450*1000/Gasto_o_ing_total!M$479</f>
        <v>50.665359532211014</v>
      </c>
      <c r="O450" s="113">
        <f>Gasto_o_ing_total!N450*1000/Gasto_o_ing_total!N$479</f>
        <v>38.841667272782772</v>
      </c>
      <c r="P450" s="113">
        <f>Gasto_o_ing_total!O450*1000/Gasto_o_ing_total!O$479</f>
        <v>85.7909844877327</v>
      </c>
      <c r="Q450" s="113">
        <f>Gasto_o_ing_total!P450*1000/Gasto_o_ing_total!P$479</f>
        <v>51.09217222973308</v>
      </c>
      <c r="R450" s="113">
        <f>Gasto_o_ing_total!Q450*1000/Gasto_o_ing_total!Q$479</f>
        <v>59.084963605205104</v>
      </c>
      <c r="S450" s="113">
        <f>Gasto_o_ing_total!R450*1000/Gasto_o_ing_total!R$479</f>
        <v>79.139609633005861</v>
      </c>
      <c r="T450" s="113">
        <f>Gasto_o_ing_total!S450*1000/Gasto_o_ing_total!S$479</f>
        <v>87.334632762905031</v>
      </c>
      <c r="U450" s="113">
        <f>Gasto_o_ing_total!T450*1000/Gasto_o_ing_total!T$479</f>
        <v>55.692356373279367</v>
      </c>
      <c r="V450" s="113">
        <f>Gasto_o_ing_total!U450*1000/Gasto_o_ing_total!U$479</f>
        <v>24.40526470181743</v>
      </c>
      <c r="W450" s="111"/>
    </row>
    <row r="451" spans="1:23" s="102" customFormat="1">
      <c r="A451" s="355"/>
      <c r="B451" s="115" t="s">
        <v>417</v>
      </c>
      <c r="C451" s="333" t="str">
        <f>VLOOKUP(B451,Tot_res!C:D,2,FALSE)</f>
        <v>Dirección y servicios generales de industria y energía</v>
      </c>
      <c r="D451" s="336">
        <f>Gasto_o_ing_total!V451*1000/Gasto_o_ing_total!V$479</f>
        <v>1.3529473257423412</v>
      </c>
      <c r="E451" s="336">
        <f>Gasto_o_ing_total!D451*1000/Gasto_o_ing_total!D$479</f>
        <v>0.68440157346445907</v>
      </c>
      <c r="F451" s="336">
        <f>Gasto_o_ing_total!E451*1000/Gasto_o_ing_total!E$479</f>
        <v>1.4186815146403227</v>
      </c>
      <c r="G451" s="336">
        <f>Gasto_o_ing_total!F451*1000/Gasto_o_ing_total!F$479</f>
        <v>1.3832894333367538</v>
      </c>
      <c r="H451" s="336">
        <f>Gasto_o_ing_total!G451*1000/Gasto_o_ing_total!G$479</f>
        <v>0.6999848584160937</v>
      </c>
      <c r="I451" s="336">
        <f>Gasto_o_ing_total!H451*1000/Gasto_o_ing_total!H$479</f>
        <v>2.4853670927272691</v>
      </c>
      <c r="J451" s="336">
        <f>Gasto_o_ing_total!I451*1000/Gasto_o_ing_total!I$479</f>
        <v>1.2610854441032937</v>
      </c>
      <c r="K451" s="336">
        <f>Gasto_o_ing_total!J451*1000/Gasto_o_ing_total!J$479</f>
        <v>1.0655426503250587</v>
      </c>
      <c r="L451" s="336">
        <f>Gasto_o_ing_total!K451*1000/Gasto_o_ing_total!K$479</f>
        <v>1.0719000820936078</v>
      </c>
      <c r="M451" s="336">
        <f>Gasto_o_ing_total!L451*1000/Gasto_o_ing_total!L$479</f>
        <v>1.2503221724632743</v>
      </c>
      <c r="N451" s="336">
        <f>Gasto_o_ing_total!M451*1000/Gasto_o_ing_total!M$479</f>
        <v>0.89421806390327352</v>
      </c>
      <c r="O451" s="336">
        <f>Gasto_o_ing_total!N451*1000/Gasto_o_ing_total!N$479</f>
        <v>0.65693793801614941</v>
      </c>
      <c r="P451" s="336">
        <f>Gasto_o_ing_total!O451*1000/Gasto_o_ing_total!O$479</f>
        <v>1.3028355976810853</v>
      </c>
      <c r="Q451" s="336">
        <f>Gasto_o_ing_total!P451*1000/Gasto_o_ing_total!P$479</f>
        <v>2.690676167537986</v>
      </c>
      <c r="R451" s="336">
        <f>Gasto_o_ing_total!Q451*1000/Gasto_o_ing_total!Q$479</f>
        <v>0.97155037916668685</v>
      </c>
      <c r="S451" s="336">
        <f>Gasto_o_ing_total!R451*1000/Gasto_o_ing_total!R$479</f>
        <v>1.8229534381790846</v>
      </c>
      <c r="T451" s="336">
        <f>Gasto_o_ing_total!S451*1000/Gasto_o_ing_total!S$479</f>
        <v>1.7699529512342596</v>
      </c>
      <c r="U451" s="336">
        <f>Gasto_o_ing_total!T451*1000/Gasto_o_ing_total!T$479</f>
        <v>1.4604329135837519</v>
      </c>
      <c r="V451" s="336">
        <f>Gasto_o_ing_total!U451*1000/Gasto_o_ing_total!U$479</f>
        <v>0.47523161959436921</v>
      </c>
      <c r="W451" s="105"/>
    </row>
    <row r="452" spans="1:23" s="102" customFormat="1">
      <c r="A452" s="355"/>
      <c r="B452" s="115" t="s">
        <v>418</v>
      </c>
      <c r="C452" s="333" t="str">
        <f>VLOOKUP(B452,Tot_res!C:D,2,FALSE)</f>
        <v>Calidad y seguridad industrial</v>
      </c>
      <c r="D452" s="336">
        <f>Gasto_o_ing_total!V452*1000/Gasto_o_ing_total!V$479</f>
        <v>7.6554151151587937E-2</v>
      </c>
      <c r="E452" s="336">
        <f>Gasto_o_ing_total!D452*1000/Gasto_o_ing_total!D$479</f>
        <v>5.9008514753260639E-2</v>
      </c>
      <c r="F452" s="336">
        <f>Gasto_o_ing_total!E452*1000/Gasto_o_ing_total!E$479</f>
        <v>9.5491882470539094E-2</v>
      </c>
      <c r="G452" s="336">
        <f>Gasto_o_ing_total!F452*1000/Gasto_o_ing_total!F$479</f>
        <v>8.0983014897210839E-2</v>
      </c>
      <c r="H452" s="336">
        <f>Gasto_o_ing_total!G452*1000/Gasto_o_ing_total!G$479</f>
        <v>5.4484192665328827E-2</v>
      </c>
      <c r="I452" s="336">
        <f>Gasto_o_ing_total!H452*1000/Gasto_o_ing_total!H$479</f>
        <v>5.3740473600432839E-2</v>
      </c>
      <c r="J452" s="336">
        <f>Gasto_o_ing_total!I452*1000/Gasto_o_ing_total!I$479</f>
        <v>8.0597812476803324E-2</v>
      </c>
      <c r="K452" s="336">
        <f>Gasto_o_ing_total!J452*1000/Gasto_o_ing_total!J$479</f>
        <v>8.3540136126740147E-2</v>
      </c>
      <c r="L452" s="336">
        <f>Gasto_o_ing_total!K452*1000/Gasto_o_ing_total!K$479</f>
        <v>7.7880003475708254E-2</v>
      </c>
      <c r="M452" s="336">
        <f>Gasto_o_ing_total!L452*1000/Gasto_o_ing_total!L$479</f>
        <v>9.1610709209299188E-2</v>
      </c>
      <c r="N452" s="336">
        <f>Gasto_o_ing_total!M452*1000/Gasto_o_ing_total!M$479</f>
        <v>7.3206488841959988E-2</v>
      </c>
      <c r="O452" s="336">
        <f>Gasto_o_ing_total!N452*1000/Gasto_o_ing_total!N$479</f>
        <v>6.0608384576285319E-2</v>
      </c>
      <c r="P452" s="336">
        <f>Gasto_o_ing_total!O452*1000/Gasto_o_ing_total!O$479</f>
        <v>7.8027286329515347E-2</v>
      </c>
      <c r="Q452" s="336">
        <f>Gasto_o_ing_total!P452*1000/Gasto_o_ing_total!P$479</f>
        <v>7.1336580812648764E-2</v>
      </c>
      <c r="R452" s="336">
        <f>Gasto_o_ing_total!Q452*1000/Gasto_o_ing_total!Q$479</f>
        <v>7.2101351422988499E-2</v>
      </c>
      <c r="S452" s="336">
        <f>Gasto_o_ing_total!R452*1000/Gasto_o_ing_total!R$479</f>
        <v>0.12455480605578895</v>
      </c>
      <c r="T452" s="336">
        <f>Gasto_o_ing_total!S452*1000/Gasto_o_ing_total!S$479</f>
        <v>0.11685314786159527</v>
      </c>
      <c r="U452" s="336">
        <f>Gasto_o_ing_total!T452*1000/Gasto_o_ing_total!T$479</f>
        <v>0.10947198432416512</v>
      </c>
      <c r="V452" s="336">
        <f>Gasto_o_ing_total!U452*1000/Gasto_o_ing_total!U$479</f>
        <v>4.8785717452907773E-2</v>
      </c>
      <c r="W452" s="105"/>
    </row>
    <row r="453" spans="1:23" s="102" customFormat="1">
      <c r="A453" s="355"/>
      <c r="B453" s="115" t="s">
        <v>419</v>
      </c>
      <c r="C453" s="333" t="str">
        <f>VLOOKUP(B453,Tot_res!C:D,2,FALSE)</f>
        <v>Desarrollo industrial</v>
      </c>
      <c r="D453" s="336">
        <f>Gasto_o_ing_total!V453*1000/Gasto_o_ing_total!V$479</f>
        <v>0.21746713937098347</v>
      </c>
      <c r="E453" s="336">
        <f>Gasto_o_ing_total!D453*1000/Gasto_o_ing_total!D$479</f>
        <v>0.1177834697439186</v>
      </c>
      <c r="F453" s="336">
        <f>Gasto_o_ing_total!E453*1000/Gasto_o_ing_total!E$479</f>
        <v>0.32505984843136393</v>
      </c>
      <c r="G453" s="336">
        <f>Gasto_o_ing_total!F453*1000/Gasto_o_ing_total!F$479</f>
        <v>0.24262925834000809</v>
      </c>
      <c r="H453" s="336">
        <f>Gasto_o_ing_total!G453*1000/Gasto_o_ing_total!G$479</f>
        <v>9.207901434195763E-2</v>
      </c>
      <c r="I453" s="336">
        <f>Gasto_o_ing_total!H453*1000/Gasto_o_ing_total!H$479</f>
        <v>8.7853653467187029E-2</v>
      </c>
      <c r="J453" s="336">
        <f>Gasto_o_ing_total!I453*1000/Gasto_o_ing_total!I$479</f>
        <v>0.24044077170186545</v>
      </c>
      <c r="K453" s="336">
        <f>Gasto_o_ing_total!J453*1000/Gasto_o_ing_total!J$479</f>
        <v>0.25715727100673896</v>
      </c>
      <c r="L453" s="336">
        <f>Gasto_o_ing_total!K453*1000/Gasto_o_ing_total!K$479</f>
        <v>0.22499982852807132</v>
      </c>
      <c r="M453" s="336">
        <f>Gasto_o_ing_total!L453*1000/Gasto_o_ing_total!L$479</f>
        <v>0.30300937477765699</v>
      </c>
      <c r="N453" s="336">
        <f>Gasto_o_ing_total!M453*1000/Gasto_o_ing_total!M$479</f>
        <v>0.19844775152320257</v>
      </c>
      <c r="O453" s="336">
        <f>Gasto_o_ing_total!N453*1000/Gasto_o_ing_total!N$479</f>
        <v>0.12687296021688363</v>
      </c>
      <c r="P453" s="336">
        <f>Gasto_o_ing_total!O453*1000/Gasto_o_ing_total!O$479</f>
        <v>0.22583660041866166</v>
      </c>
      <c r="Q453" s="336">
        <f>Gasto_o_ing_total!P453*1000/Gasto_o_ing_total!P$479</f>
        <v>0.18782406766271709</v>
      </c>
      <c r="R453" s="336">
        <f>Gasto_o_ing_total!Q453*1000/Gasto_o_ing_total!Q$479</f>
        <v>0.19216903065698404</v>
      </c>
      <c r="S453" s="336">
        <f>Gasto_o_ing_total!R453*1000/Gasto_o_ing_total!R$479</f>
        <v>0.49017776192835583</v>
      </c>
      <c r="T453" s="336">
        <f>Gasto_o_ing_total!S453*1000/Gasto_o_ing_total!S$479</f>
        <v>0.44642160891222632</v>
      </c>
      <c r="U453" s="336">
        <f>Gasto_o_ing_total!T453*1000/Gasto_o_ing_total!T$479</f>
        <v>0.40448631224788473</v>
      </c>
      <c r="V453" s="336">
        <f>Gasto_o_ing_total!U453*1000/Gasto_o_ing_total!U$479</f>
        <v>5.9703732673225852E-2</v>
      </c>
      <c r="W453" s="111"/>
    </row>
    <row r="454" spans="1:23" s="102" customFormat="1">
      <c r="A454" s="355"/>
      <c r="B454" s="115" t="s">
        <v>420</v>
      </c>
      <c r="C454" s="333" t="str">
        <f>VLOOKUP(B454,Tot_res!C:D,2,FALSE)</f>
        <v>Reconversión y reindustrialización</v>
      </c>
      <c r="D454" s="336">
        <f>Gasto_o_ing_total!V454*1000/Gasto_o_ing_total!V$479</f>
        <v>2.9284919077219991</v>
      </c>
      <c r="E454" s="336">
        <f>Gasto_o_ing_total!D454*1000/Gasto_o_ing_total!D$479</f>
        <v>2.5325799980521579</v>
      </c>
      <c r="F454" s="336">
        <f>Gasto_o_ing_total!E454*1000/Gasto_o_ing_total!E$479</f>
        <v>4.5537218011421479E-2</v>
      </c>
      <c r="G454" s="336">
        <f>Gasto_o_ing_total!F454*1000/Gasto_o_ing_total!F$479</f>
        <v>2.4128629835253625</v>
      </c>
      <c r="H454" s="336">
        <f>Gasto_o_ing_total!G454*1000/Gasto_o_ing_total!G$479</f>
        <v>6.440691761386053</v>
      </c>
      <c r="I454" s="336">
        <f>Gasto_o_ing_total!H454*1000/Gasto_o_ing_total!H$479</f>
        <v>2.9815030419982618</v>
      </c>
      <c r="J454" s="336">
        <f>Gasto_o_ing_total!I454*1000/Gasto_o_ing_total!I$479</f>
        <v>6.0843669993942715</v>
      </c>
      <c r="K454" s="336">
        <f>Gasto_o_ing_total!J454*1000/Gasto_o_ing_total!J$479</f>
        <v>7.6886935926413214E-2</v>
      </c>
      <c r="L454" s="336">
        <f>Gasto_o_ing_total!K454*1000/Gasto_o_ing_total!K$479</f>
        <v>0.22134461520728343</v>
      </c>
      <c r="M454" s="336">
        <f>Gasto_o_ing_total!L454*1000/Gasto_o_ing_total!L$479</f>
        <v>2.0175797608805883</v>
      </c>
      <c r="N454" s="336">
        <f>Gasto_o_ing_total!M454*1000/Gasto_o_ing_total!M$479</f>
        <v>0.75678616765129725</v>
      </c>
      <c r="O454" s="336">
        <f>Gasto_o_ing_total!N454*1000/Gasto_o_ing_total!N$479</f>
        <v>0.13489028626224697</v>
      </c>
      <c r="P454" s="336">
        <f>Gasto_o_ing_total!O454*1000/Gasto_o_ing_total!O$479</f>
        <v>18.471074983899996</v>
      </c>
      <c r="Q454" s="336">
        <f>Gasto_o_ing_total!P454*1000/Gasto_o_ing_total!P$479</f>
        <v>0.36659249709499003</v>
      </c>
      <c r="R454" s="336">
        <f>Gasto_o_ing_total!Q454*1000/Gasto_o_ing_total!Q$479</f>
        <v>6.9005203450264876</v>
      </c>
      <c r="S454" s="336">
        <f>Gasto_o_ing_total!R454*1000/Gasto_o_ing_total!R$479</f>
        <v>1.0055399785068947E-2</v>
      </c>
      <c r="T454" s="336">
        <f>Gasto_o_ing_total!S454*1000/Gasto_o_ing_total!S$479</f>
        <v>5.971329569070428</v>
      </c>
      <c r="U454" s="336">
        <f>Gasto_o_ing_total!T454*1000/Gasto_o_ing_total!T$479</f>
        <v>0.15960900156595101</v>
      </c>
      <c r="V454" s="336">
        <f>Gasto_o_ing_total!U454*1000/Gasto_o_ing_total!U$479</f>
        <v>0.57148946664763534</v>
      </c>
      <c r="W454" s="105"/>
    </row>
    <row r="455" spans="1:23" s="102" customFormat="1">
      <c r="A455" s="355"/>
      <c r="B455" s="115" t="s">
        <v>915</v>
      </c>
      <c r="C455" s="333" t="str">
        <f>VLOOKUP(B455,Tot_res!C:D,2,FALSE)</f>
        <v xml:space="preserve"> Explotación minera. Parte ejecutada por la Dirección Gral. De Política Energética y Minas.  </v>
      </c>
      <c r="D455" s="336">
        <f>Gasto_o_ing_total!V455*1000/Gasto_o_ing_total!V$479</f>
        <v>8.3530821207209394E-2</v>
      </c>
      <c r="E455" s="336">
        <f>Gasto_o_ing_total!D455*1000/Gasto_o_ing_total!D$479</f>
        <v>6.4440303344542649E-2</v>
      </c>
      <c r="F455" s="336">
        <f>Gasto_o_ing_total!E455*1000/Gasto_o_ing_total!E$479</f>
        <v>0.17794813565318085</v>
      </c>
      <c r="G455" s="336">
        <f>Gasto_o_ing_total!F455*1000/Gasto_o_ing_total!F$479</f>
        <v>0.52706066133897711</v>
      </c>
      <c r="H455" s="336">
        <f>Gasto_o_ing_total!G455*1000/Gasto_o_ing_total!G$479</f>
        <v>8.204284783570822E-3</v>
      </c>
      <c r="I455" s="336">
        <f>Gasto_o_ing_total!H455*1000/Gasto_o_ing_total!H$479</f>
        <v>0</v>
      </c>
      <c r="J455" s="336">
        <f>Gasto_o_ing_total!I455*1000/Gasto_o_ing_total!I$479</f>
        <v>5.8730013585764603E-3</v>
      </c>
      <c r="K455" s="336">
        <f>Gasto_o_ing_total!J455*1000/Gasto_o_ing_total!J$479</f>
        <v>0.36942690689418073</v>
      </c>
      <c r="L455" s="336">
        <f>Gasto_o_ing_total!K455*1000/Gasto_o_ing_total!K$479</f>
        <v>6.6686428276481288E-2</v>
      </c>
      <c r="M455" s="336">
        <f>Gasto_o_ing_total!L455*1000/Gasto_o_ing_total!L$479</f>
        <v>2.318401541667273E-2</v>
      </c>
      <c r="N455" s="336">
        <f>Gasto_o_ing_total!M455*1000/Gasto_o_ing_total!M$479</f>
        <v>8.9665207701750377E-2</v>
      </c>
      <c r="O455" s="336">
        <f>Gasto_o_ing_total!N455*1000/Gasto_o_ing_total!N$479</f>
        <v>0.16932127069519948</v>
      </c>
      <c r="P455" s="336">
        <f>Gasto_o_ing_total!O455*1000/Gasto_o_ing_total!O$479</f>
        <v>0.16911468587682238</v>
      </c>
      <c r="Q455" s="336">
        <f>Gasto_o_ing_total!P455*1000/Gasto_o_ing_total!P$479</f>
        <v>1.3281095857143242E-2</v>
      </c>
      <c r="R455" s="336">
        <f>Gasto_o_ing_total!Q455*1000/Gasto_o_ing_total!Q$479</f>
        <v>6.1172734007511283E-2</v>
      </c>
      <c r="S455" s="336">
        <f>Gasto_o_ing_total!R455*1000/Gasto_o_ing_total!R$479</f>
        <v>0</v>
      </c>
      <c r="T455" s="336">
        <f>Gasto_o_ing_total!S455*1000/Gasto_o_ing_total!S$479</f>
        <v>2.0433486888041922E-2</v>
      </c>
      <c r="U455" s="336">
        <f>Gasto_o_ing_total!T455*1000/Gasto_o_ing_total!T$479</f>
        <v>0</v>
      </c>
      <c r="V455" s="336">
        <f>Gasto_o_ing_total!U455*1000/Gasto_o_ing_total!U$479</f>
        <v>0</v>
      </c>
      <c r="W455" s="105"/>
    </row>
    <row r="456" spans="1:23" s="102" customFormat="1">
      <c r="A456" s="355"/>
      <c r="B456" s="115" t="s">
        <v>421</v>
      </c>
      <c r="C456" s="333" t="str">
        <f>VLOOKUP(B456,Tot_res!C:D,2,FALSE)</f>
        <v>Seguridad nuclear y protección radiológica</v>
      </c>
      <c r="D456" s="336">
        <f>Gasto_o_ing_total!V456*1000/Gasto_o_ing_total!V$479</f>
        <v>0.84754084967076615</v>
      </c>
      <c r="E456" s="336">
        <f>Gasto_o_ing_total!D456*1000/Gasto_o_ing_total!D$479</f>
        <v>0.84754084967076637</v>
      </c>
      <c r="F456" s="336">
        <f>Gasto_o_ing_total!E456*1000/Gasto_o_ing_total!E$479</f>
        <v>0.84754084967076637</v>
      </c>
      <c r="G456" s="336">
        <f>Gasto_o_ing_total!F456*1000/Gasto_o_ing_total!F$479</f>
        <v>0.84754084967076648</v>
      </c>
      <c r="H456" s="336">
        <f>Gasto_o_ing_total!G456*1000/Gasto_o_ing_total!G$479</f>
        <v>0.84754084967076648</v>
      </c>
      <c r="I456" s="336">
        <f>Gasto_o_ing_total!H456*1000/Gasto_o_ing_total!H$479</f>
        <v>0.84754084967076637</v>
      </c>
      <c r="J456" s="336">
        <f>Gasto_o_ing_total!I456*1000/Gasto_o_ing_total!I$479</f>
        <v>0.84754084967076648</v>
      </c>
      <c r="K456" s="336">
        <f>Gasto_o_ing_total!J456*1000/Gasto_o_ing_total!J$479</f>
        <v>0.84754084967076659</v>
      </c>
      <c r="L456" s="336">
        <f>Gasto_o_ing_total!K456*1000/Gasto_o_ing_total!K$479</f>
        <v>0.84754084967076648</v>
      </c>
      <c r="M456" s="336">
        <f>Gasto_o_ing_total!L456*1000/Gasto_o_ing_total!L$479</f>
        <v>0.84754084967076648</v>
      </c>
      <c r="N456" s="336">
        <f>Gasto_o_ing_total!M456*1000/Gasto_o_ing_total!M$479</f>
        <v>0.84754084967076648</v>
      </c>
      <c r="O456" s="336">
        <f>Gasto_o_ing_total!N456*1000/Gasto_o_ing_total!N$479</f>
        <v>0.84754084967076637</v>
      </c>
      <c r="P456" s="336">
        <f>Gasto_o_ing_total!O456*1000/Gasto_o_ing_total!O$479</f>
        <v>0.84754084967076637</v>
      </c>
      <c r="Q456" s="336">
        <f>Gasto_o_ing_total!P456*1000/Gasto_o_ing_total!P$479</f>
        <v>0.84754084967076637</v>
      </c>
      <c r="R456" s="336">
        <f>Gasto_o_ing_total!Q456*1000/Gasto_o_ing_total!Q$479</f>
        <v>0.84754084967076648</v>
      </c>
      <c r="S456" s="336">
        <f>Gasto_o_ing_total!R456*1000/Gasto_o_ing_total!R$479</f>
        <v>0.84754084967076626</v>
      </c>
      <c r="T456" s="336">
        <f>Gasto_o_ing_total!S456*1000/Gasto_o_ing_total!S$479</f>
        <v>0.84754084967076648</v>
      </c>
      <c r="U456" s="336">
        <f>Gasto_o_ing_total!T456*1000/Gasto_o_ing_total!T$479</f>
        <v>0.84754084967076648</v>
      </c>
      <c r="V456" s="336">
        <f>Gasto_o_ing_total!U456*1000/Gasto_o_ing_total!U$479</f>
        <v>0.84754084967076648</v>
      </c>
    </row>
    <row r="457" spans="1:23" s="102" customFormat="1">
      <c r="A457" s="355"/>
      <c r="B457" s="115" t="s">
        <v>1190</v>
      </c>
      <c r="C457" s="333" t="str">
        <f>VLOOKUP(B457,Tot_res!C:D,2,FALSE)</f>
        <v>Normativa y desarrollo energético, neto de subvenciones a sistemas eléctricos insulares y extrapeninsulares</v>
      </c>
      <c r="D457" s="336">
        <f>Gasto_o_ing_total!V457*1000/Gasto_o_ing_total!V$479</f>
        <v>41.009982007506622</v>
      </c>
      <c r="E457" s="336">
        <f>Gasto_o_ing_total!D457*1000/Gasto_o_ing_total!D$479</f>
        <v>32.883649221193501</v>
      </c>
      <c r="F457" s="336">
        <f>Gasto_o_ing_total!E457*1000/Gasto_o_ing_total!E$479</f>
        <v>55.377249524594163</v>
      </c>
      <c r="G457" s="336">
        <f>Gasto_o_ing_total!F457*1000/Gasto_o_ing_total!F$479</f>
        <v>71.17525689994676</v>
      </c>
      <c r="H457" s="336">
        <f>Gasto_o_ing_total!G457*1000/Gasto_o_ing_total!G$479</f>
        <v>38.848550331012788</v>
      </c>
      <c r="I457" s="336">
        <f>Gasto_o_ing_total!H457*1000/Gasto_o_ing_total!H$479</f>
        <v>30.463223489036025</v>
      </c>
      <c r="J457" s="336">
        <f>Gasto_o_ing_total!I457*1000/Gasto_o_ing_total!I$479</f>
        <v>55.376771917880113</v>
      </c>
      <c r="K457" s="336">
        <f>Gasto_o_ing_total!J457*1000/Gasto_o_ing_total!J$479</f>
        <v>40.090929200093214</v>
      </c>
      <c r="L457" s="336">
        <f>Gasto_o_ing_total!K457*1000/Gasto_o_ing_total!K$479</f>
        <v>40.685674857933314</v>
      </c>
      <c r="M457" s="336">
        <f>Gasto_o_ing_total!L457*1000/Gasto_o_ing_total!L$479</f>
        <v>45.589161137666999</v>
      </c>
      <c r="N457" s="336">
        <f>Gasto_o_ing_total!M457*1000/Gasto_o_ing_total!M$479</f>
        <v>37.693219028072882</v>
      </c>
      <c r="O457" s="336">
        <f>Gasto_o_ing_total!N457*1000/Gasto_o_ing_total!N$479</f>
        <v>31.280363339576123</v>
      </c>
      <c r="P457" s="336">
        <f>Gasto_o_ing_total!O457*1000/Gasto_o_ing_total!O$479</f>
        <v>51.952138144464016</v>
      </c>
      <c r="Q457" s="336">
        <f>Gasto_o_ing_total!P457*1000/Gasto_o_ing_total!P$479</f>
        <v>35.031461466154461</v>
      </c>
      <c r="R457" s="336">
        <f>Gasto_o_ing_total!Q457*1000/Gasto_o_ing_total!Q$479</f>
        <v>39.543544666096643</v>
      </c>
      <c r="S457" s="336">
        <f>Gasto_o_ing_total!R457*1000/Gasto_o_ing_total!R$479</f>
        <v>54.900159047296967</v>
      </c>
      <c r="T457" s="336">
        <f>Gasto_o_ing_total!S457*1000/Gasto_o_ing_total!S$479</f>
        <v>57.2079935385052</v>
      </c>
      <c r="U457" s="336">
        <f>Gasto_o_ing_total!T457*1000/Gasto_o_ing_total!T$479</f>
        <v>39.057817543165044</v>
      </c>
      <c r="V457" s="336">
        <f>Gasto_o_ing_total!U457*1000/Gasto_o_ing_total!U$479</f>
        <v>18.389763465238612</v>
      </c>
    </row>
    <row r="458" spans="1:23" s="102" customFormat="1">
      <c r="A458" s="355"/>
      <c r="B458" s="115" t="s">
        <v>422</v>
      </c>
      <c r="C458" s="333" t="str">
        <f>VLOOKUP(B458,Tot_res!C:D,2,FALSE)</f>
        <v>Promoción comercial e internacionalización de la empresa</v>
      </c>
      <c r="D458" s="336">
        <f>Gasto_o_ing_total!V458*1000/Gasto_o_ing_total!V$479</f>
        <v>3.5802409956242909</v>
      </c>
      <c r="E458" s="336">
        <f>Gasto_o_ing_total!D458*1000/Gasto_o_ing_total!D$479</f>
        <v>2.2225309847357591</v>
      </c>
      <c r="F458" s="336">
        <f>Gasto_o_ing_total!E458*1000/Gasto_o_ing_total!E$479</f>
        <v>4.7539718118792456</v>
      </c>
      <c r="G458" s="336">
        <f>Gasto_o_ing_total!F458*1000/Gasto_o_ing_total!F$479</f>
        <v>2.5856902586304993</v>
      </c>
      <c r="H458" s="336">
        <f>Gasto_o_ing_total!G458*1000/Gasto_o_ing_total!G$479</f>
        <v>0.53951286688375522</v>
      </c>
      <c r="I458" s="336">
        <f>Gasto_o_ing_total!H458*1000/Gasto_o_ing_total!H$479</f>
        <v>0.8886193614980944</v>
      </c>
      <c r="J458" s="336">
        <f>Gasto_o_ing_total!I458*1000/Gasto_o_ing_total!I$479</f>
        <v>2.9827775251907829</v>
      </c>
      <c r="K458" s="336">
        <f>Gasto_o_ing_total!J458*1000/Gasto_o_ing_total!J$479</f>
        <v>3.5062597569546461</v>
      </c>
      <c r="L458" s="336">
        <f>Gasto_o_ing_total!K458*1000/Gasto_o_ing_total!K$479</f>
        <v>1.6683022270304853</v>
      </c>
      <c r="M458" s="336">
        <f>Gasto_o_ing_total!L458*1000/Gasto_o_ing_total!L$479</f>
        <v>5.6047629081362986</v>
      </c>
      <c r="N458" s="336">
        <f>Gasto_o_ing_total!M458*1000/Gasto_o_ing_total!M$479</f>
        <v>3.3431666599175762</v>
      </c>
      <c r="O458" s="336">
        <f>Gasto_o_ing_total!N458*1000/Gasto_o_ing_total!N$479</f>
        <v>1.0842929638631564</v>
      </c>
      <c r="P458" s="336">
        <f>Gasto_o_ing_total!O458*1000/Gasto_o_ing_total!O$479</f>
        <v>4.8739455582280957</v>
      </c>
      <c r="Q458" s="336">
        <f>Gasto_o_ing_total!P458*1000/Gasto_o_ing_total!P$479</f>
        <v>3.4047432815534355</v>
      </c>
      <c r="R458" s="336">
        <f>Gasto_o_ing_total!Q458*1000/Gasto_o_ing_total!Q$479</f>
        <v>4.5601422875151227</v>
      </c>
      <c r="S458" s="336">
        <f>Gasto_o_ing_total!R458*1000/Gasto_o_ing_total!R$479</f>
        <v>8.302433660725546</v>
      </c>
      <c r="T458" s="336">
        <f>Gasto_o_ing_total!S458*1000/Gasto_o_ing_total!S$479</f>
        <v>6.7482896990703365</v>
      </c>
      <c r="U458" s="336">
        <f>Gasto_o_ing_total!T458*1000/Gasto_o_ing_total!T$479</f>
        <v>3.3769365559432378</v>
      </c>
      <c r="V458" s="336">
        <f>Gasto_o_ing_total!U458*1000/Gasto_o_ing_total!U$479</f>
        <v>0.15847009901428655</v>
      </c>
    </row>
    <row r="459" spans="1:23" s="102" customFormat="1">
      <c r="A459" s="355"/>
      <c r="B459" s="115" t="s">
        <v>424</v>
      </c>
      <c r="C459" s="333" t="str">
        <f>VLOOKUP(B459,Tot_res!C:D,2,FALSE)</f>
        <v>Ordenación del comercio exterior</v>
      </c>
      <c r="D459" s="336">
        <f>Gasto_o_ing_total!V459*1000/Gasto_o_ing_total!V$479</f>
        <v>0.1605111095368783</v>
      </c>
      <c r="E459" s="336">
        <f>Gasto_o_ing_total!D459*1000/Gasto_o_ing_total!D$479</f>
        <v>0.10461968935302596</v>
      </c>
      <c r="F459" s="336">
        <f>Gasto_o_ing_total!E459*1000/Gasto_o_ing_total!E$479</f>
        <v>0.18511411682055942</v>
      </c>
      <c r="G459" s="336">
        <f>Gasto_o_ing_total!F459*1000/Gasto_o_ing_total!F$479</f>
        <v>0.1066437133313312</v>
      </c>
      <c r="H459" s="336">
        <f>Gasto_o_ing_total!G459*1000/Gasto_o_ing_total!G$479</f>
        <v>3.0916575895199826E-2</v>
      </c>
      <c r="I459" s="336">
        <f>Gasto_o_ing_total!H459*1000/Gasto_o_ing_total!H$479</f>
        <v>5.1050879979656044E-2</v>
      </c>
      <c r="J459" s="336">
        <f>Gasto_o_ing_total!I459*1000/Gasto_o_ing_total!I$479</f>
        <v>0.11135162187807389</v>
      </c>
      <c r="K459" s="336">
        <f>Gasto_o_ing_total!J459*1000/Gasto_o_ing_total!J$479</f>
        <v>0.14332244108770789</v>
      </c>
      <c r="L459" s="336">
        <f>Gasto_o_ing_total!K459*1000/Gasto_o_ing_total!K$479</f>
        <v>7.8620768578744324E-2</v>
      </c>
      <c r="M459" s="336">
        <f>Gasto_o_ing_total!L459*1000/Gasto_o_ing_total!L$479</f>
        <v>0.26036120655349676</v>
      </c>
      <c r="N459" s="336">
        <f>Gasto_o_ing_total!M459*1000/Gasto_o_ing_total!M$479</f>
        <v>0.13700211531894471</v>
      </c>
      <c r="O459" s="336">
        <f>Gasto_o_ing_total!N459*1000/Gasto_o_ing_total!N$479</f>
        <v>3.9667057446007618E-2</v>
      </c>
      <c r="P459" s="336">
        <f>Gasto_o_ing_total!O459*1000/Gasto_o_ing_total!O$479</f>
        <v>0.18925793039408478</v>
      </c>
      <c r="Q459" s="336">
        <f>Gasto_o_ing_total!P459*1000/Gasto_o_ing_total!P$479</f>
        <v>0.18704571672166762</v>
      </c>
      <c r="R459" s="336">
        <f>Gasto_o_ing_total!Q459*1000/Gasto_o_ing_total!Q$479</f>
        <v>0.22437711046280809</v>
      </c>
      <c r="S459" s="336">
        <f>Gasto_o_ing_total!R459*1000/Gasto_o_ing_total!R$479</f>
        <v>0.27794360098785575</v>
      </c>
      <c r="T459" s="336">
        <f>Gasto_o_ing_total!S459*1000/Gasto_o_ing_total!S$479</f>
        <v>0.26101058254133896</v>
      </c>
      <c r="U459" s="336">
        <f>Gasto_o_ing_total!T459*1000/Gasto_o_ing_total!T$479</f>
        <v>0.12586491316356846</v>
      </c>
      <c r="V459" s="336">
        <f>Gasto_o_ing_total!U459*1000/Gasto_o_ing_total!U$479</f>
        <v>6.1400722816170039E-2</v>
      </c>
    </row>
    <row r="460" spans="1:23" s="102" customFormat="1">
      <c r="A460" s="355"/>
      <c r="B460" s="115" t="s">
        <v>426</v>
      </c>
      <c r="C460" s="333" t="str">
        <f>VLOOKUP(B460,Tot_res!C:D,2,FALSE)</f>
        <v>Ordenación y modernización de las estructuras comerciales + AF23</v>
      </c>
      <c r="D460" s="336">
        <f>Gasto_o_ing_total!V460*1000/Gasto_o_ing_total!V$479</f>
        <v>0.11375831347876093</v>
      </c>
      <c r="E460" s="336">
        <f>Gasto_o_ing_total!D460*1000/Gasto_o_ing_total!D$479</f>
        <v>8.2494188520307474E-2</v>
      </c>
      <c r="F460" s="336">
        <f>Gasto_o_ing_total!E460*1000/Gasto_o_ing_total!E$479</f>
        <v>0.10881118904120993</v>
      </c>
      <c r="G460" s="336">
        <f>Gasto_o_ing_total!F460*1000/Gasto_o_ing_total!F$479</f>
        <v>9.331230989480041E-2</v>
      </c>
      <c r="H460" s="336">
        <f>Gasto_o_ing_total!G460*1000/Gasto_o_ing_total!G$479</f>
        <v>0.18334798096521396</v>
      </c>
      <c r="I460" s="336">
        <f>Gasto_o_ing_total!H460*1000/Gasto_o_ing_total!H$479</f>
        <v>0.13957851623006051</v>
      </c>
      <c r="J460" s="336">
        <f>Gasto_o_ing_total!I460*1000/Gasto_o_ing_total!I$479</f>
        <v>9.646373790981988E-2</v>
      </c>
      <c r="K460" s="336">
        <f>Gasto_o_ing_total!J460*1000/Gasto_o_ing_total!J$479</f>
        <v>9.1607863247085766E-2</v>
      </c>
      <c r="L460" s="336">
        <f>Gasto_o_ing_total!K460*1000/Gasto_o_ing_total!K$479</f>
        <v>7.0716554852299607E-2</v>
      </c>
      <c r="M460" s="336">
        <f>Gasto_o_ing_total!L460*1000/Gasto_o_ing_total!L$479</f>
        <v>0.14332219362488449</v>
      </c>
      <c r="N460" s="336">
        <f>Gasto_o_ing_total!M460*1000/Gasto_o_ing_total!M$479</f>
        <v>0.10134366603668678</v>
      </c>
      <c r="O460" s="336">
        <f>Gasto_o_ing_total!N460*1000/Gasto_o_ing_total!N$479</f>
        <v>6.4656478702059067E-2</v>
      </c>
      <c r="P460" s="336">
        <f>Gasto_o_ing_total!O460*1000/Gasto_o_ing_total!O$479</f>
        <v>9.7268746825253105E-2</v>
      </c>
      <c r="Q460" s="336">
        <f>Gasto_o_ing_total!P460*1000/Gasto_o_ing_total!P$479</f>
        <v>0.15531422807535461</v>
      </c>
      <c r="R460" s="336">
        <f>Gasto_o_ing_total!Q460*1000/Gasto_o_ing_total!Q$479</f>
        <v>9.4155938252878532E-2</v>
      </c>
      <c r="S460" s="336">
        <f>Gasto_o_ing_total!R460*1000/Gasto_o_ing_total!R$479</f>
        <v>0.1115354721566158</v>
      </c>
      <c r="T460" s="336">
        <f>Gasto_o_ing_total!S460*1000/Gasto_o_ing_total!S$479</f>
        <v>0.12647407087053117</v>
      </c>
      <c r="U460" s="336">
        <f>Gasto_o_ing_total!T460*1000/Gasto_o_ing_total!T$479</f>
        <v>9.8739496921973521E-2</v>
      </c>
      <c r="V460" s="336">
        <f>Gasto_o_ing_total!U460*1000/Gasto_o_ing_total!U$479</f>
        <v>7.499562822262773E-2</v>
      </c>
    </row>
    <row r="461" spans="1:23" s="102" customFormat="1">
      <c r="A461" s="355"/>
      <c r="B461" s="115" t="s">
        <v>427</v>
      </c>
      <c r="C461" s="333" t="str">
        <f>VLOOKUP(B461,Tot_res!C:D,2,FALSE)</f>
        <v>Coordinación y promoción del turismo + AF24</v>
      </c>
      <c r="D461" s="336">
        <f>Gasto_o_ing_total!V461*1000/Gasto_o_ing_total!V$479</f>
        <v>2.0470288874855211</v>
      </c>
      <c r="E461" s="336">
        <f>Gasto_o_ing_total!D461*1000/Gasto_o_ing_total!D$479</f>
        <v>1.5134380051879046</v>
      </c>
      <c r="F461" s="336">
        <f>Gasto_o_ing_total!E461*1000/Gasto_o_ing_total!E$479</f>
        <v>2.9756210848536355</v>
      </c>
      <c r="G461" s="336">
        <f>Gasto_o_ing_total!F461*1000/Gasto_o_ing_total!F$479</f>
        <v>3.2574418447296138</v>
      </c>
      <c r="H461" s="336">
        <f>Gasto_o_ing_total!G461*1000/Gasto_o_ing_total!G$479</f>
        <v>9.674525922334805</v>
      </c>
      <c r="I461" s="336">
        <f>Gasto_o_ing_total!H461*1000/Gasto_o_ing_total!H$479</f>
        <v>5.4327478320281974</v>
      </c>
      <c r="J461" s="336">
        <f>Gasto_o_ing_total!I461*1000/Gasto_o_ing_total!I$479</f>
        <v>1.0715738757685884</v>
      </c>
      <c r="K461" s="336">
        <f>Gasto_o_ing_total!J461*1000/Gasto_o_ing_total!J$479</f>
        <v>0.98448316586927032</v>
      </c>
      <c r="L461" s="336">
        <f>Gasto_o_ing_total!K461*1000/Gasto_o_ing_total!K$479</f>
        <v>0.60328043429643097</v>
      </c>
      <c r="M461" s="336">
        <f>Gasto_o_ing_total!L461*1000/Gasto_o_ing_total!L$479</f>
        <v>2.4625461220819211</v>
      </c>
      <c r="N461" s="336">
        <f>Gasto_o_ing_total!M461*1000/Gasto_o_ing_total!M$479</f>
        <v>1.4477896612776302</v>
      </c>
      <c r="O461" s="336">
        <f>Gasto_o_ing_total!N461*1000/Gasto_o_ing_total!N$479</f>
        <v>0.98344106597538106</v>
      </c>
      <c r="P461" s="336">
        <f>Gasto_o_ing_total!O461*1000/Gasto_o_ing_total!O$479</f>
        <v>1.9614128913135993</v>
      </c>
      <c r="Q461" s="336">
        <f>Gasto_o_ing_total!P461*1000/Gasto_o_ing_total!P$479</f>
        <v>1.6589369136873542</v>
      </c>
      <c r="R461" s="336">
        <f>Gasto_o_ing_total!Q461*1000/Gasto_o_ing_total!Q$479</f>
        <v>0.95153295415903594</v>
      </c>
      <c r="S461" s="336">
        <f>Gasto_o_ing_total!R461*1000/Gasto_o_ing_total!R$479</f>
        <v>1.4148727101095275</v>
      </c>
      <c r="T461" s="336">
        <f>Gasto_o_ing_total!S461*1000/Gasto_o_ing_total!S$479</f>
        <v>1.4058122878571704</v>
      </c>
      <c r="U461" s="336">
        <f>Gasto_o_ing_total!T461*1000/Gasto_o_ing_total!T$479</f>
        <v>1.863701411226401</v>
      </c>
      <c r="V461" s="336">
        <f>Gasto_o_ing_total!U461*1000/Gasto_o_ing_total!U$479</f>
        <v>1.5930864523066666</v>
      </c>
    </row>
    <row r="462" spans="1:23" s="102" customFormat="1">
      <c r="A462" s="355"/>
      <c r="B462" s="115" t="s">
        <v>919</v>
      </c>
      <c r="C462" s="333" t="str">
        <f>VLOOKUP(B462,Tot_res!C:D,2,FALSE)</f>
        <v>Investig. y desarrollo tecnolog-industrial.Secretaría general de ciencia, tecnología e innovación</v>
      </c>
      <c r="D462" s="336">
        <f>Gasto_o_ing_total!V462*1000/Gasto_o_ing_total!V$479</f>
        <v>3.6948674011612477</v>
      </c>
      <c r="E462" s="336">
        <f>Gasto_o_ing_total!D462*1000/Gasto_o_ing_total!D$479</f>
        <v>2.001195693341312</v>
      </c>
      <c r="F462" s="336">
        <f>Gasto_o_ing_total!E462*1000/Gasto_o_ing_total!E$479</f>
        <v>5.5229173514190188</v>
      </c>
      <c r="G462" s="336">
        <f>Gasto_o_ing_total!F462*1000/Gasto_o_ing_total!F$479</f>
        <v>4.1223834543530291</v>
      </c>
      <c r="H462" s="336">
        <f>Gasto_o_ing_total!G462*1000/Gasto_o_ing_total!G$479</f>
        <v>1.5644650930123634</v>
      </c>
      <c r="I462" s="336">
        <f>Gasto_o_ing_total!H462*1000/Gasto_o_ing_total!H$479</f>
        <v>1.4926742550977723</v>
      </c>
      <c r="J462" s="336">
        <f>Gasto_o_ing_total!I462*1000/Gasto_o_ing_total!I$479</f>
        <v>4.0852000529410315</v>
      </c>
      <c r="K462" s="336">
        <f>Gasto_o_ing_total!J462*1000/Gasto_o_ing_total!J$479</f>
        <v>4.369221117097049</v>
      </c>
      <c r="L462" s="336">
        <f>Gasto_o_ing_total!K462*1000/Gasto_o_ing_total!K$479</f>
        <v>3.8228512781281712</v>
      </c>
      <c r="M462" s="336">
        <f>Gasto_o_ing_total!L462*1000/Gasto_o_ing_total!L$479</f>
        <v>5.1482695930546685</v>
      </c>
      <c r="N462" s="336">
        <f>Gasto_o_ing_total!M462*1000/Gasto_o_ing_total!M$479</f>
        <v>3.371719194254799</v>
      </c>
      <c r="O462" s="336">
        <f>Gasto_o_ing_total!N462*1000/Gasto_o_ing_total!N$479</f>
        <v>2.1556303455782713</v>
      </c>
      <c r="P462" s="336">
        <f>Gasto_o_ing_total!O462*1000/Gasto_o_ing_total!O$479</f>
        <v>3.8370684200361076</v>
      </c>
      <c r="Q462" s="336">
        <f>Gasto_o_ing_total!P462*1000/Gasto_o_ing_total!P$479</f>
        <v>3.1912178859197144</v>
      </c>
      <c r="R462" s="336">
        <f>Gasto_o_ing_total!Q462*1000/Gasto_o_ing_total!Q$479</f>
        <v>3.2650408192291085</v>
      </c>
      <c r="S462" s="336">
        <f>Gasto_o_ing_total!R462*1000/Gasto_o_ing_total!R$479</f>
        <v>8.3283471634469866</v>
      </c>
      <c r="T462" s="336">
        <f>Gasto_o_ing_total!S462*1000/Gasto_o_ing_total!S$479</f>
        <v>7.5849098613922736</v>
      </c>
      <c r="U462" s="336">
        <f>Gasto_o_ing_total!T462*1000/Gasto_o_ing_total!T$479</f>
        <v>6.8724097519445841</v>
      </c>
      <c r="V462" s="336">
        <f>Gasto_o_ing_total!U462*1000/Gasto_o_ing_total!U$479</f>
        <v>1.0143940653287593</v>
      </c>
    </row>
    <row r="463" spans="1:23" s="102" customFormat="1">
      <c r="A463" s="355"/>
      <c r="B463" s="115" t="s">
        <v>429</v>
      </c>
      <c r="C463" s="333" t="str">
        <f>VLOOKUP(B463,Tot_res!C:D,2,FALSE)</f>
        <v>Investigación y desarrollo de la sociedad de la información</v>
      </c>
      <c r="D463" s="336">
        <f>Gasto_o_ing_total!V463*1000/Gasto_o_ing_total!V$479</f>
        <v>0.75556793675866962</v>
      </c>
      <c r="E463" s="336">
        <f>Gasto_o_ing_total!D463*1000/Gasto_o_ing_total!D$479</f>
        <v>0.21442065875699406</v>
      </c>
      <c r="F463" s="336">
        <f>Gasto_o_ing_total!E463*1000/Gasto_o_ing_total!E$479</f>
        <v>1.5031300379092165</v>
      </c>
      <c r="G463" s="336">
        <f>Gasto_o_ing_total!F463*1000/Gasto_o_ing_total!F$479</f>
        <v>0.41284255729337377</v>
      </c>
      <c r="H463" s="336">
        <f>Gasto_o_ing_total!G463*1000/Gasto_o_ing_total!G$479</f>
        <v>4.2739337657615284E-2</v>
      </c>
      <c r="I463" s="336">
        <f>Gasto_o_ing_total!H463*1000/Gasto_o_ing_total!H$479</f>
        <v>4.5121444984967583E-2</v>
      </c>
      <c r="J463" s="336">
        <f>Gasto_o_ing_total!I463*1000/Gasto_o_ing_total!I$479</f>
        <v>1.9831805799795494</v>
      </c>
      <c r="K463" s="336">
        <f>Gasto_o_ing_total!J463*1000/Gasto_o_ing_total!J$479</f>
        <v>0.19599894799577783</v>
      </c>
      <c r="L463" s="336">
        <f>Gasto_o_ing_total!K463*1000/Gasto_o_ing_total!K$479</f>
        <v>0.36172239731837802</v>
      </c>
      <c r="M463" s="336">
        <f>Gasto_o_ing_total!L463*1000/Gasto_o_ing_total!L$479</f>
        <v>0.99118370557271596</v>
      </c>
      <c r="N463" s="336">
        <f>Gasto_o_ing_total!M463*1000/Gasto_o_ing_total!M$479</f>
        <v>0.39979427371675363</v>
      </c>
      <c r="O463" s="336">
        <f>Gasto_o_ing_total!N463*1000/Gasto_o_ing_total!N$479</f>
        <v>2.880154150412851E-2</v>
      </c>
      <c r="P463" s="336">
        <f>Gasto_o_ing_total!O463*1000/Gasto_o_ing_total!O$479</f>
        <v>0.30862383796947063</v>
      </c>
      <c r="Q463" s="336">
        <f>Gasto_o_ing_total!P463*1000/Gasto_o_ing_total!P$479</f>
        <v>1.5783805192097262</v>
      </c>
      <c r="R463" s="336">
        <f>Gasto_o_ing_total!Q463*1000/Gasto_o_ing_total!Q$479</f>
        <v>0.1505041576497648</v>
      </c>
      <c r="S463" s="336">
        <f>Gasto_o_ing_total!R463*1000/Gasto_o_ing_total!R$479</f>
        <v>0.95168288967586456</v>
      </c>
      <c r="T463" s="336">
        <f>Gasto_o_ing_total!S463*1000/Gasto_o_ing_total!S$479</f>
        <v>3.2839426200753268</v>
      </c>
      <c r="U463" s="336">
        <f>Gasto_o_ing_total!T463*1000/Gasto_o_ing_total!T$479</f>
        <v>0.11718482538297659</v>
      </c>
      <c r="V463" s="336">
        <f>Gasto_o_ing_total!U463*1000/Gasto_o_ing_total!U$479</f>
        <v>7.8495586857044199E-3</v>
      </c>
    </row>
    <row r="464" spans="1:23" s="102" customFormat="1">
      <c r="A464" s="355"/>
      <c r="B464" s="115" t="s">
        <v>430</v>
      </c>
      <c r="C464" s="333" t="str">
        <f>VLOOKUP(B464,Tot_res!C:D,2,FALSE)</f>
        <v>Innovación tecnológica de las telecomunicaciones</v>
      </c>
      <c r="D464" s="336">
        <f>Gasto_o_ing_total!V464*1000/Gasto_o_ing_total!V$479</f>
        <v>0.79026244435583104</v>
      </c>
      <c r="E464" s="336">
        <f>Gasto_o_ing_total!D464*1000/Gasto_o_ing_total!D$479</f>
        <v>0.79191259283643833</v>
      </c>
      <c r="F464" s="336">
        <f>Gasto_o_ing_total!E464*1000/Gasto_o_ing_total!E$479</f>
        <v>0.6795861875306185</v>
      </c>
      <c r="G464" s="336">
        <f>Gasto_o_ing_total!F464*1000/Gasto_o_ing_total!F$479</f>
        <v>0.66602049713327316</v>
      </c>
      <c r="H464" s="336">
        <f>Gasto_o_ing_total!G464*1000/Gasto_o_ing_total!G$479</f>
        <v>0.62676176025661856</v>
      </c>
      <c r="I464" s="336">
        <f>Gasto_o_ing_total!H464*1000/Gasto_o_ing_total!H$479</f>
        <v>0.5623359117318496</v>
      </c>
      <c r="J464" s="336">
        <f>Gasto_o_ing_total!I464*1000/Gasto_o_ing_total!I$479</f>
        <v>0.54699618590295052</v>
      </c>
      <c r="K464" s="336">
        <f>Gasto_o_ing_total!J464*1000/Gasto_o_ing_total!J$479</f>
        <v>0.61609185630167107</v>
      </c>
      <c r="L464" s="336">
        <f>Gasto_o_ing_total!K464*1000/Gasto_o_ing_total!K$479</f>
        <v>0.63351639389369807</v>
      </c>
      <c r="M464" s="336">
        <f>Gasto_o_ing_total!L464*1000/Gasto_o_ing_total!L$479</f>
        <v>0.8968791765283608</v>
      </c>
      <c r="N464" s="336">
        <f>Gasto_o_ing_total!M464*1000/Gasto_o_ing_total!M$479</f>
        <v>0.66812430179261539</v>
      </c>
      <c r="O464" s="336">
        <f>Gasto_o_ing_total!N464*1000/Gasto_o_ing_total!N$479</f>
        <v>0.55224216119106517</v>
      </c>
      <c r="P464" s="336">
        <f>Gasto_o_ing_total!O464*1000/Gasto_o_ing_total!O$479</f>
        <v>0.88928386949397675</v>
      </c>
      <c r="Q464" s="336">
        <f>Gasto_o_ing_total!P464*1000/Gasto_o_ing_total!P$479</f>
        <v>1.0735837503267402</v>
      </c>
      <c r="R464" s="336">
        <f>Gasto_o_ing_total!Q464*1000/Gasto_o_ing_total!Q$479</f>
        <v>0.59182763285172357</v>
      </c>
      <c r="S464" s="336">
        <f>Gasto_o_ing_total!R464*1000/Gasto_o_ing_total!R$479</f>
        <v>0.83772492942472454</v>
      </c>
      <c r="T464" s="336">
        <f>Gasto_o_ing_total!S464*1000/Gasto_o_ing_total!S$479</f>
        <v>0.87510459039934341</v>
      </c>
      <c r="U464" s="336">
        <f>Gasto_o_ing_total!T464*1000/Gasto_o_ing_total!T$479</f>
        <v>0.5469961859029504</v>
      </c>
      <c r="V464" s="336">
        <f>Gasto_o_ing_total!U464*1000/Gasto_o_ing_total!U$479</f>
        <v>0.5469961859029504</v>
      </c>
    </row>
    <row r="465" spans="1:22" s="102" customFormat="1">
      <c r="A465" s="355"/>
      <c r="B465" s="115" t="s">
        <v>432</v>
      </c>
      <c r="C465" s="333" t="str">
        <f>VLOOKUP(B465,Tot_res!C:D,2,FALSE)</f>
        <v>Ordenación y promoción de las telecomunicaciones y de la sociedad de la información</v>
      </c>
      <c r="D465" s="336">
        <f>Gasto_o_ing_total!V465*1000/Gasto_o_ing_total!V$479</f>
        <v>0.51138664772532438</v>
      </c>
      <c r="E465" s="336">
        <f>Gasto_o_ing_total!D465*1000/Gasto_o_ing_total!D$479</f>
        <v>0.51138664772532427</v>
      </c>
      <c r="F465" s="336">
        <f>Gasto_o_ing_total!E465*1000/Gasto_o_ing_total!E$479</f>
        <v>0.51138664772532438</v>
      </c>
      <c r="G465" s="336">
        <f>Gasto_o_ing_total!F465*1000/Gasto_o_ing_total!F$479</f>
        <v>0.51138664772532427</v>
      </c>
      <c r="H465" s="336">
        <f>Gasto_o_ing_total!G465*1000/Gasto_o_ing_total!G$479</f>
        <v>0.51138664772532438</v>
      </c>
      <c r="I465" s="336">
        <f>Gasto_o_ing_total!H465*1000/Gasto_o_ing_total!H$479</f>
        <v>0.51138664772532427</v>
      </c>
      <c r="J465" s="336">
        <f>Gasto_o_ing_total!I465*1000/Gasto_o_ing_total!I$479</f>
        <v>0.51138664772532438</v>
      </c>
      <c r="K465" s="336">
        <f>Gasto_o_ing_total!J465*1000/Gasto_o_ing_total!J$479</f>
        <v>0.51138664772532438</v>
      </c>
      <c r="L465" s="336">
        <f>Gasto_o_ing_total!K465*1000/Gasto_o_ing_total!K$479</f>
        <v>0.51138664772532438</v>
      </c>
      <c r="M465" s="336">
        <f>Gasto_o_ing_total!L465*1000/Gasto_o_ing_total!L$479</f>
        <v>0.51138664772532438</v>
      </c>
      <c r="N465" s="336">
        <f>Gasto_o_ing_total!M465*1000/Gasto_o_ing_total!M$479</f>
        <v>0.51138664772532438</v>
      </c>
      <c r="O465" s="336">
        <f>Gasto_o_ing_total!N465*1000/Gasto_o_ing_total!N$479</f>
        <v>0.51138664772532438</v>
      </c>
      <c r="P465" s="336">
        <f>Gasto_o_ing_total!O465*1000/Gasto_o_ing_total!O$479</f>
        <v>0.51138664772532438</v>
      </c>
      <c r="Q465" s="336">
        <f>Gasto_o_ing_total!P465*1000/Gasto_o_ing_total!P$479</f>
        <v>0.51138664772532438</v>
      </c>
      <c r="R465" s="336">
        <f>Gasto_o_ing_total!Q465*1000/Gasto_o_ing_total!Q$479</f>
        <v>0.51138664772532438</v>
      </c>
      <c r="S465" s="336">
        <f>Gasto_o_ing_total!R465*1000/Gasto_o_ing_total!R$479</f>
        <v>0.51138664772532438</v>
      </c>
      <c r="T465" s="336">
        <f>Gasto_o_ing_total!S465*1000/Gasto_o_ing_total!S$479</f>
        <v>0.51138664772532438</v>
      </c>
      <c r="U465" s="336">
        <f>Gasto_o_ing_total!T465*1000/Gasto_o_ing_total!T$479</f>
        <v>0.51138664772532438</v>
      </c>
      <c r="V465" s="336">
        <f>Gasto_o_ing_total!U465*1000/Gasto_o_ing_total!U$479</f>
        <v>0.51138664772532438</v>
      </c>
    </row>
    <row r="466" spans="1:22" s="102" customFormat="1">
      <c r="A466" s="355"/>
      <c r="B466" s="115" t="s">
        <v>433</v>
      </c>
      <c r="C466" s="333" t="str">
        <f>VLOOKUP(B466,Tot_res!C:D,2,FALSE)</f>
        <v>Regulación y vigilancia de la competencia en el mercado de tabacos</v>
      </c>
      <c r="D466" s="336">
        <f>Gasto_o_ing_total!V466*1000/Gasto_o_ing_total!V$479</f>
        <v>0.12034241166271881</v>
      </c>
      <c r="E466" s="336">
        <f>Gasto_o_ing_total!D466*1000/Gasto_o_ing_total!D$479</f>
        <v>9.5105876175550205E-2</v>
      </c>
      <c r="F466" s="336">
        <f>Gasto_o_ing_total!E466*1000/Gasto_o_ing_total!E$479</f>
        <v>0.13953007955941474</v>
      </c>
      <c r="G466" s="336">
        <f>Gasto_o_ing_total!F466*1000/Gasto_o_ing_total!F$479</f>
        <v>0.14003853930308038</v>
      </c>
      <c r="H466" s="336">
        <f>Gasto_o_ing_total!G466*1000/Gasto_o_ing_total!G$479</f>
        <v>0.19848706891796716</v>
      </c>
      <c r="I466" s="336">
        <f>Gasto_o_ing_total!H466*1000/Gasto_o_ing_total!H$479</f>
        <v>2.9316471084989325E-2</v>
      </c>
      <c r="J466" s="336">
        <f>Gasto_o_ing_total!I466*1000/Gasto_o_ing_total!I$479</f>
        <v>0.1401381060205405</v>
      </c>
      <c r="K466" s="336">
        <f>Gasto_o_ing_total!J466*1000/Gasto_o_ing_total!J$479</f>
        <v>0.12940966057081493</v>
      </c>
      <c r="L466" s="336">
        <f>Gasto_o_ing_total!K466*1000/Gasto_o_ing_total!K$479</f>
        <v>0.13207734065314528</v>
      </c>
      <c r="M466" s="336">
        <f>Gasto_o_ing_total!L466*1000/Gasto_o_ing_total!L$479</f>
        <v>0.14609625471444418</v>
      </c>
      <c r="N466" s="336">
        <f>Gasto_o_ing_total!M466*1000/Gasto_o_ing_total!M$479</f>
        <v>0.12638776866348045</v>
      </c>
      <c r="O466" s="336">
        <f>Gasto_o_ing_total!N466*1000/Gasto_o_ing_total!N$479</f>
        <v>0.14100955272692731</v>
      </c>
      <c r="P466" s="336">
        <f>Gasto_o_ing_total!O466*1000/Gasto_o_ing_total!O$479</f>
        <v>6.8219404589075633E-2</v>
      </c>
      <c r="Q466" s="336">
        <f>Gasto_o_ing_total!P466*1000/Gasto_o_ing_total!P$479</f>
        <v>0.11754686733686487</v>
      </c>
      <c r="R466" s="336">
        <f>Gasto_o_ing_total!Q466*1000/Gasto_o_ing_total!Q$479</f>
        <v>0.14146519012964923</v>
      </c>
      <c r="S466" s="336">
        <f>Gasto_o_ing_total!R466*1000/Gasto_o_ing_total!R$479</f>
        <v>0.1971409641880644</v>
      </c>
      <c r="T466" s="336">
        <f>Gasto_o_ing_total!S466*1000/Gasto_o_ing_total!S$479</f>
        <v>0.14610018703571243</v>
      </c>
      <c r="U466" s="336">
        <f>Gasto_o_ing_total!T466*1000/Gasto_o_ing_total!T$479</f>
        <v>0.13102503108115207</v>
      </c>
      <c r="V466" s="336">
        <f>Gasto_o_ing_total!U466*1000/Gasto_o_ing_total!U$479</f>
        <v>4.1973458640675497E-2</v>
      </c>
    </row>
    <row r="467" spans="1:22" s="102" customFormat="1">
      <c r="A467" s="355"/>
      <c r="B467" s="115" t="s">
        <v>434</v>
      </c>
      <c r="C467" s="333" t="str">
        <f>VLOOKUP(B467,Tot_res!C:D,2,FALSE)</f>
        <v>Publicaciones</v>
      </c>
      <c r="D467" s="336">
        <f>Gasto_o_ing_total!V467*1000/Gasto_o_ing_total!V$479</f>
        <v>6.2187112903994632E-3</v>
      </c>
      <c r="E467" s="336">
        <f>Gasto_o_ing_total!D467*1000/Gasto_o_ing_total!D$479</f>
        <v>4.1282847344138954E-3</v>
      </c>
      <c r="F467" s="336">
        <f>Gasto_o_ing_total!E467*1000/Gasto_o_ing_total!E$479</f>
        <v>8.6224333420177237E-3</v>
      </c>
      <c r="G467" s="336">
        <f>Gasto_o_ing_total!F467*1000/Gasto_o_ing_total!F$479</f>
        <v>8.4156312297041687E-3</v>
      </c>
      <c r="H467" s="336">
        <f>Gasto_o_ing_total!G467*1000/Gasto_o_ing_total!G$479</f>
        <v>4.3111730212521196E-3</v>
      </c>
      <c r="I467" s="336">
        <f>Gasto_o_ing_total!H467*1000/Gasto_o_ing_total!H$479</f>
        <v>3.5184511472652383E-3</v>
      </c>
      <c r="J467" s="336">
        <f>Gasto_o_ing_total!I467*1000/Gasto_o_ing_total!I$479</f>
        <v>7.6981341903251963E-3</v>
      </c>
      <c r="K467" s="336">
        <f>Gasto_o_ing_total!J467*1000/Gasto_o_ing_total!J$479</f>
        <v>6.5726164656519214E-3</v>
      </c>
      <c r="L467" s="336">
        <f>Gasto_o_ing_total!K467*1000/Gasto_o_ing_total!K$479</f>
        <v>6.1149910674238315E-3</v>
      </c>
      <c r="M467" s="336">
        <f>Gasto_o_ing_total!L467*1000/Gasto_o_ing_total!L$479</f>
        <v>7.7779301314436569E-3</v>
      </c>
      <c r="N467" s="336">
        <f>Gasto_o_ing_total!M467*1000/Gasto_o_ing_total!M$479</f>
        <v>5.5616861420633981E-3</v>
      </c>
      <c r="O467" s="336">
        <f>Gasto_o_ing_total!N467*1000/Gasto_o_ing_total!N$479</f>
        <v>4.0044290567917053E-3</v>
      </c>
      <c r="P467" s="336">
        <f>Gasto_o_ing_total!O467*1000/Gasto_o_ing_total!O$479</f>
        <v>7.9490328168390703E-3</v>
      </c>
      <c r="Q467" s="336">
        <f>Gasto_o_ing_total!P467*1000/Gasto_o_ing_total!P$479</f>
        <v>5.3036943861995535E-3</v>
      </c>
      <c r="R467" s="336">
        <f>Gasto_o_ing_total!Q467*1000/Gasto_o_ing_total!Q$479</f>
        <v>5.9315111816172572E-3</v>
      </c>
      <c r="S467" s="336">
        <f>Gasto_o_ing_total!R467*1000/Gasto_o_ing_total!R$479</f>
        <v>1.110029164932453E-2</v>
      </c>
      <c r="T467" s="336">
        <f>Gasto_o_ing_total!S467*1000/Gasto_o_ing_total!S$479</f>
        <v>1.1077063795168055E-2</v>
      </c>
      <c r="U467" s="336">
        <f>Gasto_o_ing_total!T467*1000/Gasto_o_ing_total!T$479</f>
        <v>8.7529494296322875E-3</v>
      </c>
      <c r="V467" s="336">
        <f>Gasto_o_ing_total!U467*1000/Gasto_o_ing_total!U$479</f>
        <v>2.1970318967444629E-3</v>
      </c>
    </row>
    <row r="468" spans="1:22" s="102" customFormat="1">
      <c r="A468" s="356"/>
      <c r="B468" s="115"/>
      <c r="C468" s="133"/>
      <c r="D468" s="116"/>
      <c r="E468" s="116"/>
      <c r="F468" s="116"/>
      <c r="G468" s="116"/>
      <c r="H468" s="116"/>
      <c r="I468" s="116"/>
      <c r="J468" s="116"/>
      <c r="K468" s="116"/>
      <c r="L468" s="116"/>
      <c r="M468" s="116"/>
      <c r="N468" s="116"/>
      <c r="O468" s="116"/>
      <c r="P468" s="116"/>
      <c r="Q468" s="116"/>
      <c r="R468" s="116"/>
      <c r="S468" s="116"/>
      <c r="T468" s="116"/>
      <c r="U468" s="116"/>
      <c r="V468" s="116"/>
    </row>
    <row r="469" spans="1:22" s="102" customFormat="1">
      <c r="A469" s="356"/>
      <c r="B469" s="115"/>
      <c r="C469" s="151" t="s">
        <v>8</v>
      </c>
      <c r="D469" s="110">
        <f>Gasto_o_ing_total!V469*1000/Gasto_o_ing_total!V$479</f>
        <v>8081.2850978488941</v>
      </c>
      <c r="E469" s="110">
        <f>Gasto_o_ing_total!D469*1000/Gasto_o_ing_total!D$479</f>
        <v>7308.0041838680827</v>
      </c>
      <c r="F469" s="110">
        <f>Gasto_o_ing_total!E469*1000/Gasto_o_ing_total!E$479</f>
        <v>9124.4679613001808</v>
      </c>
      <c r="G469" s="110">
        <f>Gasto_o_ing_total!F469*1000/Gasto_o_ing_total!F$479</f>
        <v>10096.07397371863</v>
      </c>
      <c r="H469" s="110">
        <f>Gasto_o_ing_total!G469*1000/Gasto_o_ing_total!G$479</f>
        <v>7302.2468965339149</v>
      </c>
      <c r="I469" s="110">
        <f>Gasto_o_ing_total!H469*1000/Gasto_o_ing_total!H$479</f>
        <v>7633.1634041947455</v>
      </c>
      <c r="J469" s="110">
        <f>Gasto_o_ing_total!I469*1000/Gasto_o_ing_total!I$479</f>
        <v>9111.5034125585025</v>
      </c>
      <c r="K469" s="110">
        <f>Gasto_o_ing_total!J469*1000/Gasto_o_ing_total!J$479</f>
        <v>9578.8268427158855</v>
      </c>
      <c r="L469" s="110">
        <f>Gasto_o_ing_total!K469*1000/Gasto_o_ing_total!K$479</f>
        <v>7958.5715373491175</v>
      </c>
      <c r="M469" s="110">
        <f>Gasto_o_ing_total!L469*1000/Gasto_o_ing_total!L$479</f>
        <v>8224.8950992798891</v>
      </c>
      <c r="N469" s="110">
        <f>Gasto_o_ing_total!M469*1000/Gasto_o_ing_total!M$479</f>
        <v>6989.1147787491827</v>
      </c>
      <c r="O469" s="110">
        <f>Gasto_o_ing_total!N469*1000/Gasto_o_ing_total!N$479</f>
        <v>8827.5801177109861</v>
      </c>
      <c r="P469" s="110">
        <f>Gasto_o_ing_total!O469*1000/Gasto_o_ing_total!O$479</f>
        <v>8668.6947804066585</v>
      </c>
      <c r="Q469" s="110">
        <f>Gasto_o_ing_total!P469*1000/Gasto_o_ing_total!P$479</f>
        <v>7715.1056611669228</v>
      </c>
      <c r="R469" s="110">
        <f>Gasto_o_ing_total!Q469*1000/Gasto_o_ing_total!Q$479</f>
        <v>6887.8137711556365</v>
      </c>
      <c r="S469" s="110">
        <f>Gasto_o_ing_total!R469*1000/Gasto_o_ing_total!R$479</f>
        <v>8842.9915048652383</v>
      </c>
      <c r="T469" s="110">
        <f>Gasto_o_ing_total!S469*1000/Gasto_o_ing_total!S$479</f>
        <v>10799.365254680344</v>
      </c>
      <c r="U469" s="110">
        <f>Gasto_o_ing_total!T469*1000/Gasto_o_ing_total!T$479</f>
        <v>8473.5096381676703</v>
      </c>
      <c r="V469" s="110">
        <f>Gasto_o_ing_total!U469*1000/Gasto_o_ing_total!U$479</f>
        <v>9459.6061958565242</v>
      </c>
    </row>
    <row r="470" spans="1:22" s="102" customFormat="1">
      <c r="A470" s="356"/>
      <c r="B470" s="115"/>
      <c r="C470" s="133"/>
      <c r="D470" s="110"/>
      <c r="E470" s="110"/>
      <c r="F470" s="110"/>
      <c r="G470" s="110"/>
      <c r="H470" s="110"/>
      <c r="I470" s="110"/>
      <c r="J470" s="110"/>
      <c r="K470" s="110"/>
      <c r="L470" s="110"/>
      <c r="M470" s="110"/>
      <c r="N470" s="110"/>
      <c r="O470" s="110"/>
      <c r="P470" s="110"/>
      <c r="Q470" s="110"/>
      <c r="R470" s="110"/>
      <c r="S470" s="110"/>
      <c r="T470" s="110"/>
      <c r="U470" s="110"/>
      <c r="V470" s="110"/>
    </row>
    <row r="471" spans="1:22" s="102" customFormat="1">
      <c r="A471" s="356"/>
      <c r="B471" s="115"/>
      <c r="C471" s="151" t="s">
        <v>69</v>
      </c>
      <c r="D471" s="110">
        <f>Gasto_o_ing_total!V471*1000/Gasto_o_ing_total!V$479</f>
        <v>602.43893605064841</v>
      </c>
      <c r="E471" s="110">
        <f>Gasto_o_ing_total!D471*1000/Gasto_o_ing_total!D$479</f>
        <v>585.82383150327939</v>
      </c>
      <c r="F471" s="110">
        <f>Gasto_o_ing_total!E471*1000/Gasto_o_ing_total!E$479</f>
        <v>694.99308622383455</v>
      </c>
      <c r="G471" s="110">
        <f>Gasto_o_ing_total!F471*1000/Gasto_o_ing_total!F$479</f>
        <v>840.79911237960391</v>
      </c>
      <c r="H471" s="110">
        <f>Gasto_o_ing_total!G471*1000/Gasto_o_ing_total!G$479</f>
        <v>472.50303805291179</v>
      </c>
      <c r="I471" s="110">
        <f>Gasto_o_ing_total!H471*1000/Gasto_o_ing_total!H$479</f>
        <v>641.38676777201749</v>
      </c>
      <c r="J471" s="110">
        <f>Gasto_o_ing_total!I471*1000/Gasto_o_ing_total!I$479</f>
        <v>719.82970343571697</v>
      </c>
      <c r="K471" s="110">
        <f>Gasto_o_ing_total!J471*1000/Gasto_o_ing_total!J$479</f>
        <v>743.66522235697448</v>
      </c>
      <c r="L471" s="110">
        <f>Gasto_o_ing_total!K471*1000/Gasto_o_ing_total!K$479</f>
        <v>608.36391844270793</v>
      </c>
      <c r="M471" s="110">
        <f>Gasto_o_ing_total!L471*1000/Gasto_o_ing_total!L$479</f>
        <v>593.87031925089514</v>
      </c>
      <c r="N471" s="110">
        <f>Gasto_o_ing_total!M471*1000/Gasto_o_ing_total!M$479</f>
        <v>535.98604824836025</v>
      </c>
      <c r="O471" s="110">
        <f>Gasto_o_ing_total!N471*1000/Gasto_o_ing_total!N$479</f>
        <v>706.08888701353874</v>
      </c>
      <c r="P471" s="110">
        <f>Gasto_o_ing_total!O471*1000/Gasto_o_ing_total!O$479</f>
        <v>716.55591225227022</v>
      </c>
      <c r="Q471" s="110">
        <f>Gasto_o_ing_total!P471*1000/Gasto_o_ing_total!P$479</f>
        <v>532.5307705844682</v>
      </c>
      <c r="R471" s="110">
        <f>Gasto_o_ing_total!Q471*1000/Gasto_o_ing_total!Q$479</f>
        <v>535.05910493248916</v>
      </c>
      <c r="S471" s="110">
        <f>Gasto_o_ing_total!R471*1000/Gasto_o_ing_total!R$479</f>
        <v>433.10133095947953</v>
      </c>
      <c r="T471" s="110">
        <f>Gasto_o_ing_total!S471*1000/Gasto_o_ing_total!S$479</f>
        <v>565.87406134927858</v>
      </c>
      <c r="U471" s="110">
        <f>Gasto_o_ing_total!T471*1000/Gasto_o_ing_total!T$479</f>
        <v>680.33983191570485</v>
      </c>
      <c r="V471" s="110">
        <f>Gasto_o_ing_total!U471*1000/Gasto_o_ing_total!U$479</f>
        <v>1051.9552271063919</v>
      </c>
    </row>
    <row r="472" spans="1:22" s="102" customFormat="1">
      <c r="A472" s="355"/>
      <c r="B472" s="115" t="s">
        <v>636</v>
      </c>
      <c r="C472" s="333" t="str">
        <f>VLOOKUP(B472,Tot_res!C:D,2,FALSE)</f>
        <v>Amortización y gastos financieros de la deuda pública en moneda nacional</v>
      </c>
      <c r="D472" s="336">
        <f>Gasto_o_ing_total!V472*1000/Gasto_o_ing_total!V$479</f>
        <v>596.07558438427236</v>
      </c>
      <c r="E472" s="336">
        <f>Gasto_o_ing_total!D472*1000/Gasto_o_ing_total!D$479</f>
        <v>579.63597937201223</v>
      </c>
      <c r="F472" s="336">
        <f>Gasto_o_ing_total!E472*1000/Gasto_o_ing_total!E$479</f>
        <v>687.65211745721672</v>
      </c>
      <c r="G472" s="336">
        <f>Gasto_o_ing_total!F472*1000/Gasto_o_ing_total!F$479</f>
        <v>831.91804558149352</v>
      </c>
      <c r="H472" s="336">
        <f>Gasto_o_ing_total!G472*1000/Gasto_o_ing_total!G$479</f>
        <v>467.51215380782531</v>
      </c>
      <c r="I472" s="336">
        <f>Gasto_o_ing_total!H472*1000/Gasto_o_ing_total!H$479</f>
        <v>634.61202378842052</v>
      </c>
      <c r="J472" s="336">
        <f>Gasto_o_ing_total!I472*1000/Gasto_o_ing_total!I$479</f>
        <v>712.22639417271864</v>
      </c>
      <c r="K472" s="336">
        <f>Gasto_o_ing_total!J472*1000/Gasto_o_ing_total!J$479</f>
        <v>735.81014684851925</v>
      </c>
      <c r="L472" s="336">
        <f>Gasto_o_ing_total!K472*1000/Gasto_o_ing_total!K$479</f>
        <v>601.93798326068952</v>
      </c>
      <c r="M472" s="336">
        <f>Gasto_o_ing_total!L472*1000/Gasto_o_ing_total!L$479</f>
        <v>587.59747488530661</v>
      </c>
      <c r="N472" s="336">
        <f>Gasto_o_ing_total!M472*1000/Gasto_o_ing_total!M$479</f>
        <v>530.32461518157584</v>
      </c>
      <c r="O472" s="336">
        <f>Gasto_o_ing_total!N472*1000/Gasto_o_ing_total!N$479</f>
        <v>698.6307171860002</v>
      </c>
      <c r="P472" s="336">
        <f>Gasto_o_ing_total!O472*1000/Gasto_o_ing_total!O$479</f>
        <v>708.98718289992496</v>
      </c>
      <c r="Q472" s="336">
        <f>Gasto_o_ing_total!P472*1000/Gasto_o_ing_total!P$479</f>
        <v>526.90583440652108</v>
      </c>
      <c r="R472" s="336">
        <f>Gasto_o_ing_total!Q472*1000/Gasto_o_ing_total!Q$479</f>
        <v>529.40746284357931</v>
      </c>
      <c r="S472" s="336">
        <f>Gasto_o_ing_total!R472*1000/Gasto_o_ing_total!R$479</f>
        <v>428.5266331583415</v>
      </c>
      <c r="T472" s="336">
        <f>Gasto_o_ing_total!S472*1000/Gasto_o_ing_total!S$479</f>
        <v>559.8969316590036</v>
      </c>
      <c r="U472" s="336">
        <f>Gasto_o_ing_total!T472*1000/Gasto_o_ing_total!T$479</f>
        <v>673.15364034664094</v>
      </c>
      <c r="V472" s="336">
        <f>Gasto_o_ing_total!U472*1000/Gasto_o_ing_total!U$479</f>
        <v>1040.8437921595678</v>
      </c>
    </row>
    <row r="473" spans="1:22" s="102" customFormat="1">
      <c r="A473" s="355"/>
      <c r="B473" s="115" t="s">
        <v>637</v>
      </c>
      <c r="C473" s="333" t="str">
        <f>VLOOKUP(B473,Tot_res!C:D,2,FALSE)</f>
        <v>Amortización y gastos financieros de la deuda pública en moneda extranjera</v>
      </c>
      <c r="D473" s="336">
        <f>Gasto_o_ing_total!V473*1000/Gasto_o_ing_total!V$479</f>
        <v>6.3633516663762215</v>
      </c>
      <c r="E473" s="336">
        <f>Gasto_o_ing_total!D473*1000/Gasto_o_ing_total!D$479</f>
        <v>6.1878521312671086</v>
      </c>
      <c r="F473" s="336">
        <f>Gasto_o_ing_total!E473*1000/Gasto_o_ing_total!E$479</f>
        <v>7.3409687666180021</v>
      </c>
      <c r="G473" s="336">
        <f>Gasto_o_ing_total!F473*1000/Gasto_o_ing_total!F$479</f>
        <v>8.881066798110453</v>
      </c>
      <c r="H473" s="336">
        <f>Gasto_o_ing_total!G473*1000/Gasto_o_ing_total!G$479</f>
        <v>4.9908842450864466</v>
      </c>
      <c r="I473" s="336">
        <f>Gasto_o_ing_total!H473*1000/Gasto_o_ing_total!H$479</f>
        <v>6.7747439835970278</v>
      </c>
      <c r="J473" s="336">
        <f>Gasto_o_ing_total!I473*1000/Gasto_o_ing_total!I$479</f>
        <v>7.6033092629983585</v>
      </c>
      <c r="K473" s="336">
        <f>Gasto_o_ing_total!J473*1000/Gasto_o_ing_total!J$479</f>
        <v>7.8550755084552657</v>
      </c>
      <c r="L473" s="336">
        <f>Gasto_o_ing_total!K473*1000/Gasto_o_ing_total!K$479</f>
        <v>6.425935182018363</v>
      </c>
      <c r="M473" s="336">
        <f>Gasto_o_ing_total!L473*1000/Gasto_o_ing_total!L$479</f>
        <v>6.2728443655887007</v>
      </c>
      <c r="N473" s="336">
        <f>Gasto_o_ing_total!M473*1000/Gasto_o_ing_total!M$479</f>
        <v>5.6614330667844905</v>
      </c>
      <c r="O473" s="336">
        <f>Gasto_o_ing_total!N473*1000/Gasto_o_ing_total!N$479</f>
        <v>7.4581698275384838</v>
      </c>
      <c r="P473" s="336">
        <f>Gasto_o_ing_total!O473*1000/Gasto_o_ing_total!O$479</f>
        <v>7.5687293523452999</v>
      </c>
      <c r="Q473" s="336">
        <f>Gasto_o_ing_total!P473*1000/Gasto_o_ing_total!P$479</f>
        <v>5.6249361779471609</v>
      </c>
      <c r="R473" s="336">
        <f>Gasto_o_ing_total!Q473*1000/Gasto_o_ing_total!Q$479</f>
        <v>5.651642088909866</v>
      </c>
      <c r="S473" s="336">
        <f>Gasto_o_ing_total!R473*1000/Gasto_o_ing_total!R$479</f>
        <v>4.5746978011379076</v>
      </c>
      <c r="T473" s="336">
        <f>Gasto_o_ing_total!S473*1000/Gasto_o_ing_total!S$479</f>
        <v>5.9771296902749969</v>
      </c>
      <c r="U473" s="336">
        <f>Gasto_o_ing_total!T473*1000/Gasto_o_ing_total!T$479</f>
        <v>7.1861915690637694</v>
      </c>
      <c r="V473" s="336">
        <f>Gasto_o_ing_total!U473*1000/Gasto_o_ing_total!U$479</f>
        <v>11.111434946823982</v>
      </c>
    </row>
    <row r="474" spans="1:22" s="102" customFormat="1">
      <c r="A474" s="356"/>
      <c r="B474" s="115"/>
      <c r="D474" s="110"/>
      <c r="E474" s="110"/>
      <c r="F474" s="110"/>
      <c r="G474" s="110"/>
      <c r="H474" s="110"/>
      <c r="I474" s="110"/>
      <c r="J474" s="110"/>
      <c r="K474" s="110"/>
      <c r="L474" s="110"/>
      <c r="M474" s="110"/>
      <c r="N474" s="110"/>
      <c r="O474" s="110"/>
      <c r="P474" s="110"/>
      <c r="Q474" s="110"/>
      <c r="R474" s="110"/>
      <c r="S474" s="110"/>
      <c r="T474" s="110"/>
      <c r="U474" s="110"/>
      <c r="V474" s="110"/>
    </row>
    <row r="475" spans="1:22" s="102" customFormat="1">
      <c r="A475" s="356"/>
      <c r="B475" s="115"/>
      <c r="C475" s="103" t="s">
        <v>7</v>
      </c>
      <c r="D475" s="110">
        <f>Gasto_o_ing_total!V475*1000/Gasto_o_ing_total!V$479</f>
        <v>8683.7240338995434</v>
      </c>
      <c r="E475" s="110">
        <f>Gasto_o_ing_total!D475*1000/Gasto_o_ing_total!D$479</f>
        <v>7893.8280153713622</v>
      </c>
      <c r="F475" s="110">
        <f>Gasto_o_ing_total!E475*1000/Gasto_o_ing_total!E$479</f>
        <v>9819.4610475240152</v>
      </c>
      <c r="G475" s="110">
        <f>Gasto_o_ing_total!F475*1000/Gasto_o_ing_total!F$479</f>
        <v>10936.873086098234</v>
      </c>
      <c r="H475" s="110">
        <f>Gasto_o_ing_total!G475*1000/Gasto_o_ing_total!G$479</f>
        <v>7774.7499345868273</v>
      </c>
      <c r="I475" s="110">
        <f>Gasto_o_ing_total!H475*1000/Gasto_o_ing_total!H$479</f>
        <v>8274.5501719667627</v>
      </c>
      <c r="J475" s="110">
        <f>Gasto_o_ing_total!I475*1000/Gasto_o_ing_total!I$479</f>
        <v>9831.333115994219</v>
      </c>
      <c r="K475" s="110">
        <f>Gasto_o_ing_total!J475*1000/Gasto_o_ing_total!J$479</f>
        <v>10322.492065072858</v>
      </c>
      <c r="L475" s="110">
        <f>Gasto_o_ing_total!K475*1000/Gasto_o_ing_total!K$479</f>
        <v>8566.935455791825</v>
      </c>
      <c r="M475" s="110">
        <f>Gasto_o_ing_total!L475*1000/Gasto_o_ing_total!L$479</f>
        <v>8818.7654185307856</v>
      </c>
      <c r="N475" s="110">
        <f>Gasto_o_ing_total!M475*1000/Gasto_o_ing_total!M$479</f>
        <v>7525.1008269975418</v>
      </c>
      <c r="O475" s="110">
        <f>Gasto_o_ing_total!N475*1000/Gasto_o_ing_total!N$479</f>
        <v>9533.6690047245229</v>
      </c>
      <c r="P475" s="110">
        <f>Gasto_o_ing_total!O475*1000/Gasto_o_ing_total!O$479</f>
        <v>9385.2506926589285</v>
      </c>
      <c r="Q475" s="110">
        <f>Gasto_o_ing_total!P475*1000/Gasto_o_ing_total!P$479</f>
        <v>8247.6364317513926</v>
      </c>
      <c r="R475" s="110">
        <f>Gasto_o_ing_total!Q475*1000/Gasto_o_ing_total!Q$479</f>
        <v>7422.8728760881249</v>
      </c>
      <c r="S475" s="110">
        <f>Gasto_o_ing_total!R475*1000/Gasto_o_ing_total!R$479</f>
        <v>9276.0928358247183</v>
      </c>
      <c r="T475" s="110">
        <f>Gasto_o_ing_total!S475*1000/Gasto_o_ing_total!S$479</f>
        <v>11365.239316029623</v>
      </c>
      <c r="U475" s="110">
        <f>Gasto_o_ing_total!T475*1000/Gasto_o_ing_total!T$479</f>
        <v>9153.8494700833762</v>
      </c>
      <c r="V475" s="110">
        <f>Gasto_o_ing_total!U475*1000/Gasto_o_ing_total!U$479</f>
        <v>10511.561422962915</v>
      </c>
    </row>
    <row r="476" spans="1:22" s="102" customFormat="1">
      <c r="A476" s="356"/>
      <c r="B476" s="115"/>
      <c r="C476" s="103" t="s">
        <v>80</v>
      </c>
      <c r="D476" s="110">
        <f>Gasto_o_ing_total!V476*1000/Gasto_o_ing_total!V$479</f>
        <v>8631.3908909242764</v>
      </c>
      <c r="E476" s="110">
        <f>Gasto_o_ing_total!D476*1000/Gasto_o_ing_total!D$479</f>
        <v>7801.8505820517221</v>
      </c>
      <c r="F476" s="110">
        <f>Gasto_o_ing_total!E476*1000/Gasto_o_ing_total!E$479</f>
        <v>9734.9782924375486</v>
      </c>
      <c r="G476" s="110">
        <f>Gasto_o_ing_total!F476*1000/Gasto_o_ing_total!F$479</f>
        <v>10759.87148803636</v>
      </c>
      <c r="H476" s="110">
        <f>Gasto_o_ing_total!G476*1000/Gasto_o_ing_total!G$479</f>
        <v>7613.0471739911245</v>
      </c>
      <c r="I476" s="110">
        <f>Gasto_o_ing_total!H476*1000/Gasto_o_ing_total!H$479</f>
        <v>8245.7175516519583</v>
      </c>
      <c r="J476" s="110">
        <f>Gasto_o_ing_total!I476*1000/Gasto_o_ing_total!I$479</f>
        <v>9694.1951687819528</v>
      </c>
      <c r="K476" s="110">
        <f>Gasto_o_ing_total!J476*1000/Gasto_o_ing_total!J$479</f>
        <v>10257.397197411336</v>
      </c>
      <c r="L476" s="110">
        <f>Gasto_o_ing_total!K476*1000/Gasto_o_ing_total!K$479</f>
        <v>8609.9869828008268</v>
      </c>
      <c r="M476" s="110">
        <f>Gasto_o_ing_total!L476*1000/Gasto_o_ing_total!L$479</f>
        <v>8635.3753932438212</v>
      </c>
      <c r="N476" s="110">
        <f>Gasto_o_ing_total!M476*1000/Gasto_o_ing_total!M$479</f>
        <v>7438.3996446598048</v>
      </c>
      <c r="O476" s="110">
        <f>Gasto_o_ing_total!N476*1000/Gasto_o_ing_total!N$479</f>
        <v>9319.5272861099875</v>
      </c>
      <c r="P476" s="110">
        <f>Gasto_o_ing_total!O476*1000/Gasto_o_ing_total!O$479</f>
        <v>9331.8654862801905</v>
      </c>
      <c r="Q476" s="110">
        <f>Gasto_o_ing_total!P476*1000/Gasto_o_ing_total!P$479</f>
        <v>8278.4908969968164</v>
      </c>
      <c r="R476" s="110">
        <f>Gasto_o_ing_total!Q476*1000/Gasto_o_ing_total!Q$479</f>
        <v>7329.8369535366492</v>
      </c>
      <c r="S476" s="110">
        <f>Gasto_o_ing_total!R476*1000/Gasto_o_ing_total!R$479</f>
        <v>9817.8917887059106</v>
      </c>
      <c r="T476" s="110">
        <f>Gasto_o_ing_total!S476*1000/Gasto_o_ing_total!S$479</f>
        <v>11741.817439679453</v>
      </c>
      <c r="U476" s="110">
        <f>Gasto_o_ing_total!T476*1000/Gasto_o_ing_total!T$479</f>
        <v>9094.1253574173152</v>
      </c>
      <c r="V476" s="110">
        <f>Gasto_o_ing_total!U476*1000/Gasto_o_ing_total!U$479</f>
        <v>10511.561422962915</v>
      </c>
    </row>
    <row r="477" spans="1:22">
      <c r="A477" s="356"/>
      <c r="C477" s="1"/>
      <c r="D477" s="19"/>
      <c r="E477" s="19"/>
      <c r="F477" s="19"/>
      <c r="G477" s="19"/>
      <c r="H477" s="19"/>
      <c r="I477" s="19"/>
      <c r="J477" s="19"/>
      <c r="K477" s="19"/>
      <c r="L477" s="19"/>
      <c r="M477" s="19"/>
      <c r="N477" s="19"/>
      <c r="O477" s="19"/>
      <c r="P477" s="19"/>
      <c r="Q477" s="19"/>
      <c r="R477" s="19"/>
      <c r="S477" s="19"/>
      <c r="T477" s="19"/>
      <c r="U477" s="19"/>
      <c r="V477" s="19"/>
    </row>
    <row r="478" spans="1:22">
      <c r="A478" s="356"/>
      <c r="C478" s="1"/>
      <c r="D478" s="19"/>
      <c r="E478" s="19"/>
      <c r="F478" s="19"/>
      <c r="G478" s="19"/>
      <c r="H478" s="19"/>
      <c r="I478" s="19"/>
      <c r="J478" s="19"/>
      <c r="K478" s="19"/>
      <c r="L478" s="19"/>
      <c r="M478" s="19"/>
      <c r="N478" s="19"/>
      <c r="O478" s="19"/>
      <c r="P478" s="19"/>
      <c r="Q478" s="19"/>
      <c r="R478" s="19"/>
      <c r="S478" s="19"/>
      <c r="T478" s="19"/>
      <c r="U478" s="19"/>
      <c r="V478" s="19"/>
    </row>
    <row r="479" spans="1:22">
      <c r="A479" s="356"/>
      <c r="C479" s="1"/>
      <c r="D479" s="19"/>
      <c r="E479" s="19"/>
      <c r="F479" s="19"/>
      <c r="G479" s="19"/>
      <c r="H479" s="19"/>
      <c r="I479" s="19"/>
      <c r="J479" s="19"/>
      <c r="K479" s="19"/>
      <c r="L479" s="19"/>
      <c r="M479" s="19"/>
      <c r="N479" s="19"/>
      <c r="O479" s="19"/>
      <c r="P479" s="19"/>
      <c r="Q479" s="19"/>
      <c r="R479" s="19"/>
      <c r="S479" s="19"/>
      <c r="T479" s="19"/>
      <c r="U479" s="19"/>
      <c r="V479" s="19"/>
    </row>
    <row r="480" spans="1:22">
      <c r="A480" s="356"/>
      <c r="C480" s="1"/>
      <c r="D480" s="19"/>
      <c r="E480" s="19"/>
      <c r="F480" s="19"/>
      <c r="G480" s="19"/>
      <c r="H480" s="19"/>
      <c r="I480" s="19"/>
      <c r="J480" s="19"/>
      <c r="K480" s="19"/>
      <c r="L480" s="19"/>
      <c r="M480" s="19"/>
      <c r="N480" s="19"/>
      <c r="O480" s="19"/>
      <c r="P480" s="19"/>
      <c r="Q480" s="19"/>
      <c r="R480" s="19"/>
      <c r="S480" s="19"/>
      <c r="T480" s="19"/>
      <c r="U480" s="19"/>
      <c r="V480" s="19"/>
    </row>
    <row r="481" spans="1:22">
      <c r="A481" s="356"/>
      <c r="C481" s="1"/>
      <c r="D481" s="19"/>
      <c r="E481" s="19"/>
      <c r="F481" s="19"/>
      <c r="G481" s="19"/>
      <c r="H481" s="19"/>
      <c r="I481" s="19"/>
      <c r="J481" s="19"/>
      <c r="K481" s="19"/>
      <c r="L481" s="19"/>
      <c r="M481" s="19"/>
      <c r="N481" s="19"/>
      <c r="O481" s="19"/>
      <c r="P481" s="19"/>
      <c r="Q481" s="19"/>
      <c r="R481" s="19"/>
      <c r="S481" s="19"/>
      <c r="T481" s="19"/>
      <c r="U481" s="19"/>
      <c r="V481" s="19"/>
    </row>
    <row r="482" spans="1:22">
      <c r="A482" s="356"/>
      <c r="C482" s="16"/>
      <c r="D482" s="27"/>
      <c r="E482" s="27"/>
      <c r="F482" s="27"/>
      <c r="G482" s="27"/>
      <c r="H482" s="27"/>
      <c r="I482" s="27"/>
      <c r="J482" s="27"/>
      <c r="K482" s="27"/>
      <c r="L482" s="27"/>
      <c r="M482" s="27"/>
      <c r="N482" s="27"/>
      <c r="O482" s="27"/>
      <c r="P482" s="27"/>
      <c r="Q482" s="27"/>
      <c r="R482" s="27"/>
      <c r="S482" s="27"/>
      <c r="T482" s="27"/>
      <c r="U482" s="27"/>
      <c r="V482" s="27"/>
    </row>
    <row r="483" spans="1:22" s="102" customFormat="1">
      <c r="A483" s="356"/>
      <c r="B483" s="115"/>
      <c r="C483" s="121" t="s">
        <v>85</v>
      </c>
      <c r="D483" s="116"/>
      <c r="E483" s="116"/>
      <c r="F483" s="116"/>
      <c r="G483" s="116"/>
      <c r="H483" s="116"/>
      <c r="I483" s="116"/>
      <c r="J483" s="116"/>
      <c r="K483" s="116"/>
      <c r="L483" s="116"/>
      <c r="M483" s="116"/>
      <c r="N483" s="116"/>
      <c r="O483" s="116"/>
      <c r="P483" s="116"/>
      <c r="Q483" s="116"/>
      <c r="R483" s="116"/>
      <c r="S483" s="116"/>
      <c r="T483" s="116"/>
      <c r="U483" s="116"/>
      <c r="V483" s="116"/>
    </row>
    <row r="484" spans="1:22" s="102" customFormat="1">
      <c r="A484" s="356"/>
      <c r="B484" s="115"/>
      <c r="C484" s="120"/>
      <c r="D484" s="116"/>
      <c r="E484" s="116"/>
      <c r="F484" s="116"/>
      <c r="G484" s="116"/>
      <c r="H484" s="116"/>
      <c r="I484" s="116"/>
      <c r="J484" s="116"/>
      <c r="K484" s="116"/>
      <c r="L484" s="116"/>
      <c r="M484" s="116"/>
      <c r="N484" s="116"/>
      <c r="O484" s="116"/>
      <c r="P484" s="116"/>
      <c r="Q484" s="116"/>
      <c r="R484" s="116"/>
      <c r="S484" s="116"/>
      <c r="T484" s="116"/>
      <c r="U484" s="116"/>
      <c r="V484" s="116"/>
    </row>
    <row r="485" spans="1:22" s="102" customFormat="1">
      <c r="A485" s="356"/>
      <c r="B485" s="115"/>
      <c r="C485" s="153"/>
      <c r="D485" s="107" t="s">
        <v>104</v>
      </c>
      <c r="E485" s="108" t="s">
        <v>66</v>
      </c>
      <c r="F485" s="108" t="s">
        <v>67</v>
      </c>
      <c r="G485" s="108" t="s">
        <v>56</v>
      </c>
      <c r="H485" s="108" t="s">
        <v>48</v>
      </c>
      <c r="I485" s="108" t="s">
        <v>49</v>
      </c>
      <c r="J485" s="108" t="s">
        <v>50</v>
      </c>
      <c r="K485" s="108" t="s">
        <v>51</v>
      </c>
      <c r="L485" s="108" t="s">
        <v>24</v>
      </c>
      <c r="M485" s="108" t="s">
        <v>46</v>
      </c>
      <c r="N485" s="108" t="s">
        <v>72</v>
      </c>
      <c r="O485" s="108" t="s">
        <v>73</v>
      </c>
      <c r="P485" s="108" t="s">
        <v>74</v>
      </c>
      <c r="Q485" s="108" t="s">
        <v>37</v>
      </c>
      <c r="R485" s="108" t="s">
        <v>38</v>
      </c>
      <c r="S485" s="108" t="s">
        <v>33</v>
      </c>
      <c r="T485" s="108" t="s">
        <v>34</v>
      </c>
      <c r="U485" s="108" t="s">
        <v>88</v>
      </c>
      <c r="V485" s="108" t="s">
        <v>89</v>
      </c>
    </row>
    <row r="486" spans="1:22" s="102" customFormat="1">
      <c r="A486" s="356"/>
      <c r="B486" s="115"/>
      <c r="C486" s="109" t="s">
        <v>86</v>
      </c>
      <c r="D486" s="110">
        <f>Gasto_o_ing_total!V486*1000/Gasto_o_ing_total!V$479</f>
        <v>4124.3832396074167</v>
      </c>
      <c r="E486" s="110">
        <f>Gasto_o_ing_total!D486*1000/Gasto_o_ing_total!D$479</f>
        <v>3230.3217542192874</v>
      </c>
      <c r="F486" s="110">
        <f>Gasto_o_ing_total!E486*1000/Gasto_o_ing_total!E$479</f>
        <v>4374.2931061193785</v>
      </c>
      <c r="G486" s="110">
        <f>Gasto_o_ing_total!F486*1000/Gasto_o_ing_total!F$479</f>
        <v>4243.9594910926426</v>
      </c>
      <c r="H486" s="110">
        <f>Gasto_o_ing_total!G486*1000/Gasto_o_ing_total!G$479</f>
        <v>4150.7827249253069</v>
      </c>
      <c r="I486" s="110">
        <f>Gasto_o_ing_total!H486*1000/Gasto_o_ing_total!H$479</f>
        <v>3299.4929006508096</v>
      </c>
      <c r="J486" s="110">
        <f>Gasto_o_ing_total!I486*1000/Gasto_o_ing_total!I$479</f>
        <v>4249.2138344539617</v>
      </c>
      <c r="K486" s="110">
        <f>Gasto_o_ing_total!J486*1000/Gasto_o_ing_total!J$479</f>
        <v>3974.3170166280315</v>
      </c>
      <c r="L486" s="110">
        <f>Gasto_o_ing_total!K486*1000/Gasto_o_ing_total!K$479</f>
        <v>3341.5130872354366</v>
      </c>
      <c r="M486" s="110">
        <f>Gasto_o_ing_total!L486*1000/Gasto_o_ing_total!L$479</f>
        <v>4677.3458245663678</v>
      </c>
      <c r="N486" s="110">
        <f>Gasto_o_ing_total!M486*1000/Gasto_o_ing_total!M$479</f>
        <v>3580.5202867976273</v>
      </c>
      <c r="O486" s="110">
        <f>Gasto_o_ing_total!N486*1000/Gasto_o_ing_total!N$479</f>
        <v>3118.4491067177937</v>
      </c>
      <c r="P486" s="110">
        <f>Gasto_o_ing_total!O486*1000/Gasto_o_ing_total!O$479</f>
        <v>3778.6814056226108</v>
      </c>
      <c r="Q486" s="110">
        <f>Gasto_o_ing_total!P486*1000/Gasto_o_ing_total!P$479</f>
        <v>5643.7621710546709</v>
      </c>
      <c r="R486" s="110">
        <f>Gasto_o_ing_total!Q486*1000/Gasto_o_ing_total!Q$479</f>
        <v>3231.6579685618467</v>
      </c>
      <c r="S486" s="110">
        <f>Gasto_o_ing_total!R486*1000/Gasto_o_ing_total!R$479</f>
        <v>4789.1625764009777</v>
      </c>
      <c r="T486" s="110">
        <f>Gasto_o_ing_total!S486*1000/Gasto_o_ing_total!S$479</f>
        <v>5280.0542647079574</v>
      </c>
      <c r="U486" s="110">
        <f>Gasto_o_ing_total!T486*1000/Gasto_o_ing_total!T$479</f>
        <v>4148.3344149656423</v>
      </c>
      <c r="V486" s="110">
        <f>Gasto_o_ing_total!U486*1000/Gasto_o_ing_total!U$479</f>
        <v>3369.7924318825462</v>
      </c>
    </row>
    <row r="487" spans="1:22" s="102" customFormat="1">
      <c r="A487" s="356"/>
      <c r="B487" s="115"/>
      <c r="C487" s="115"/>
      <c r="D487" s="116"/>
      <c r="E487" s="116"/>
      <c r="F487" s="116"/>
      <c r="G487" s="116"/>
      <c r="H487" s="116"/>
      <c r="I487" s="116"/>
      <c r="J487" s="116"/>
      <c r="K487" s="116"/>
      <c r="L487" s="116"/>
      <c r="M487" s="116"/>
      <c r="N487" s="116"/>
      <c r="O487" s="116"/>
      <c r="P487" s="116"/>
      <c r="Q487" s="116"/>
      <c r="R487" s="116"/>
      <c r="S487" s="116"/>
      <c r="T487" s="116"/>
      <c r="U487" s="116"/>
      <c r="V487" s="116"/>
    </row>
    <row r="488" spans="1:22" s="102" customFormat="1">
      <c r="A488" s="356"/>
      <c r="B488" s="115"/>
      <c r="C488" s="112" t="s">
        <v>87</v>
      </c>
      <c r="D488" s="113">
        <f>Gasto_o_ing_total!V488*1000/Gasto_o_ing_total!V$479</f>
        <v>2177.1518970553279</v>
      </c>
      <c r="E488" s="113">
        <f>Gasto_o_ing_total!D488*1000/Gasto_o_ing_total!D$479</f>
        <v>1464.6822343022518</v>
      </c>
      <c r="F488" s="113">
        <f>Gasto_o_ing_total!E488*1000/Gasto_o_ing_total!E$479</f>
        <v>2363.5206538215652</v>
      </c>
      <c r="G488" s="113">
        <f>Gasto_o_ing_total!F488*1000/Gasto_o_ing_total!F$479</f>
        <v>2292.3023761163481</v>
      </c>
      <c r="H488" s="113">
        <f>Gasto_o_ing_total!G488*1000/Gasto_o_ing_total!G$479</f>
        <v>2093.772841444862</v>
      </c>
      <c r="I488" s="113">
        <f>Gasto_o_ing_total!H488*1000/Gasto_o_ing_total!H$479</f>
        <v>1578.7497405735289</v>
      </c>
      <c r="J488" s="113">
        <f>Gasto_o_ing_total!I488*1000/Gasto_o_ing_total!I$479</f>
        <v>2207.8042110091988</v>
      </c>
      <c r="K488" s="113">
        <f>Gasto_o_ing_total!J488*1000/Gasto_o_ing_total!J$479</f>
        <v>2077.9434092043994</v>
      </c>
      <c r="L488" s="113">
        <f>Gasto_o_ing_total!K488*1000/Gasto_o_ing_total!K$479</f>
        <v>1550.7837417309961</v>
      </c>
      <c r="M488" s="113">
        <f>Gasto_o_ing_total!L488*1000/Gasto_o_ing_total!L$479</f>
        <v>2606.4518563245183</v>
      </c>
      <c r="N488" s="113">
        <f>Gasto_o_ing_total!M488*1000/Gasto_o_ing_total!M$479</f>
        <v>1754.8773856755158</v>
      </c>
      <c r="O488" s="113">
        <f>Gasto_o_ing_total!N488*1000/Gasto_o_ing_total!N$479</f>
        <v>1402.9766143473837</v>
      </c>
      <c r="P488" s="113">
        <f>Gasto_o_ing_total!O488*1000/Gasto_o_ing_total!O$479</f>
        <v>1895.0524268320712</v>
      </c>
      <c r="Q488" s="113">
        <f>Gasto_o_ing_total!P488*1000/Gasto_o_ing_total!P$479</f>
        <v>3424.6907960267499</v>
      </c>
      <c r="R488" s="113">
        <f>Gasto_o_ing_total!Q488*1000/Gasto_o_ing_total!Q$479</f>
        <v>1531.8151996472536</v>
      </c>
      <c r="S488" s="113">
        <f>Gasto_o_ing_total!R488*1000/Gasto_o_ing_total!R$479</f>
        <v>2649.6540842715403</v>
      </c>
      <c r="T488" s="113">
        <f>Gasto_o_ing_total!S488*1000/Gasto_o_ing_total!S$479</f>
        <v>2955.7121282808262</v>
      </c>
      <c r="U488" s="113">
        <f>Gasto_o_ing_total!T488*1000/Gasto_o_ing_total!T$479</f>
        <v>2191.1964658523661</v>
      </c>
      <c r="V488" s="113">
        <f>Gasto_o_ing_total!U488*1000/Gasto_o_ing_total!U$479</f>
        <v>1660.5938075437034</v>
      </c>
    </row>
    <row r="489" spans="1:22" s="102" customFormat="1">
      <c r="A489" s="355"/>
      <c r="B489" s="115" t="s">
        <v>438</v>
      </c>
      <c r="C489" s="333" t="str">
        <f>VLOOKUP(B489,Tot_res!C:D,2,FALSE)</f>
        <v>IRPF, ingresos homogeneizados</v>
      </c>
      <c r="D489" s="336">
        <f>Gasto_o_ing_total!V489*1000/Gasto_o_ing_total!V$479</f>
        <v>1635.0058445576774</v>
      </c>
      <c r="E489" s="336">
        <f>Gasto_o_ing_total!D489*1000/Gasto_o_ing_total!D$479</f>
        <v>1018.4173572403954</v>
      </c>
      <c r="F489" s="336">
        <f>Gasto_o_ing_total!E489*1000/Gasto_o_ing_total!E$479</f>
        <v>1751.0533942703817</v>
      </c>
      <c r="G489" s="336">
        <f>Gasto_o_ing_total!F489*1000/Gasto_o_ing_total!F$479</f>
        <v>1736.3640012804979</v>
      </c>
      <c r="H489" s="336">
        <f>Gasto_o_ing_total!G489*1000/Gasto_o_ing_total!G$479</f>
        <v>1562.9192417306729</v>
      </c>
      <c r="I489" s="336">
        <f>Gasto_o_ing_total!H489*1000/Gasto_o_ing_total!H$479</f>
        <v>1119.7738513169168</v>
      </c>
      <c r="J489" s="336">
        <f>Gasto_o_ing_total!I489*1000/Gasto_o_ing_total!I$479</f>
        <v>1604.4318508082354</v>
      </c>
      <c r="K489" s="336">
        <f>Gasto_o_ing_total!J489*1000/Gasto_o_ing_total!J$479</f>
        <v>1512.8070524304208</v>
      </c>
      <c r="L489" s="336">
        <f>Gasto_o_ing_total!K489*1000/Gasto_o_ing_total!K$479</f>
        <v>1099.8616887955557</v>
      </c>
      <c r="M489" s="336">
        <f>Gasto_o_ing_total!L489*1000/Gasto_o_ing_total!L$479</f>
        <v>2027.1389898830157</v>
      </c>
      <c r="N489" s="336">
        <f>Gasto_o_ing_total!M489*1000/Gasto_o_ing_total!M$479</f>
        <v>1264.5187314988923</v>
      </c>
      <c r="O489" s="336">
        <f>Gasto_o_ing_total!N489*1000/Gasto_o_ing_total!N$479</f>
        <v>940.42655843074556</v>
      </c>
      <c r="P489" s="336">
        <f>Gasto_o_ing_total!O489*1000/Gasto_o_ing_total!O$479</f>
        <v>1355.7907108576887</v>
      </c>
      <c r="Q489" s="336">
        <f>Gasto_o_ing_total!P489*1000/Gasto_o_ing_total!P$479</f>
        <v>2737.3359321123439</v>
      </c>
      <c r="R489" s="336">
        <f>Gasto_o_ing_total!Q489*1000/Gasto_o_ing_total!Q$479</f>
        <v>1076.4013328474966</v>
      </c>
      <c r="S489" s="336">
        <f>Gasto_o_ing_total!R489*1000/Gasto_o_ing_total!R$479</f>
        <v>2094.8299286543402</v>
      </c>
      <c r="T489" s="336">
        <f>Gasto_o_ing_total!S489*1000/Gasto_o_ing_total!S$479</f>
        <v>2321.3421445012018</v>
      </c>
      <c r="U489" s="336">
        <f>Gasto_o_ing_total!T489*1000/Gasto_o_ing_total!T$479</f>
        <v>1616.0010407729462</v>
      </c>
      <c r="V489" s="336">
        <f>Gasto_o_ing_total!U489*1000/Gasto_o_ing_total!U$479</f>
        <v>953.45695027620513</v>
      </c>
    </row>
    <row r="490" spans="1:22" s="102" customFormat="1">
      <c r="A490" s="355"/>
      <c r="B490" s="115" t="s">
        <v>439</v>
      </c>
      <c r="C490" s="333" t="str">
        <f>VLOOKUP(B490,Tot_res!C:D,2,FALSE)</f>
        <v>Impuesto sobre sociedades, ingresos homogéneos</v>
      </c>
      <c r="D490" s="336">
        <f>Gasto_o_ing_total!V490*1000/Gasto_o_ing_total!V$479</f>
        <v>458.71342234101871</v>
      </c>
      <c r="E490" s="336">
        <f>Gasto_o_ing_total!D490*1000/Gasto_o_ing_total!D$479</f>
        <v>382.80145481632326</v>
      </c>
      <c r="F490" s="336">
        <f>Gasto_o_ing_total!E490*1000/Gasto_o_ing_total!E$479</f>
        <v>507.28654100615802</v>
      </c>
      <c r="G490" s="336">
        <f>Gasto_o_ing_total!F490*1000/Gasto_o_ing_total!F$479</f>
        <v>451.62526754186018</v>
      </c>
      <c r="H490" s="336">
        <f>Gasto_o_ing_total!G490*1000/Gasto_o_ing_total!G$479</f>
        <v>456.95491692622409</v>
      </c>
      <c r="I490" s="336">
        <f>Gasto_o_ing_total!H490*1000/Gasto_o_ing_total!H$479</f>
        <v>398.23909300288761</v>
      </c>
      <c r="J490" s="336">
        <f>Gasto_o_ing_total!I490*1000/Gasto_o_ing_total!I$479</f>
        <v>495.05386721519142</v>
      </c>
      <c r="K490" s="336">
        <f>Gasto_o_ing_total!J490*1000/Gasto_o_ing_total!J$479</f>
        <v>467.23555456840006</v>
      </c>
      <c r="L490" s="336">
        <f>Gasto_o_ing_total!K490*1000/Gasto_o_ing_total!K$479</f>
        <v>382.69567024543738</v>
      </c>
      <c r="M490" s="336">
        <f>Gasto_o_ing_total!L490*1000/Gasto_o_ing_total!L$479</f>
        <v>487.61308546995167</v>
      </c>
      <c r="N490" s="336">
        <f>Gasto_o_ing_total!M490*1000/Gasto_o_ing_total!M$479</f>
        <v>411.34941359211035</v>
      </c>
      <c r="O490" s="336">
        <f>Gasto_o_ing_total!N490*1000/Gasto_o_ing_total!N$479</f>
        <v>393.879897555654</v>
      </c>
      <c r="P490" s="336">
        <f>Gasto_o_ing_total!O490*1000/Gasto_o_ing_total!O$479</f>
        <v>440.47474319549337</v>
      </c>
      <c r="Q490" s="336">
        <f>Gasto_o_ing_total!P490*1000/Gasto_o_ing_total!P$479</f>
        <v>589.35400288008418</v>
      </c>
      <c r="R490" s="336">
        <f>Gasto_o_ing_total!Q490*1000/Gasto_o_ing_total!Q$479</f>
        <v>392.26262370415833</v>
      </c>
      <c r="S490" s="336">
        <f>Gasto_o_ing_total!R490*1000/Gasto_o_ing_total!R$479</f>
        <v>478.06931855425864</v>
      </c>
      <c r="T490" s="336">
        <f>Gasto_o_ing_total!S490*1000/Gasto_o_ing_total!S$479</f>
        <v>538.88590934804199</v>
      </c>
      <c r="U490" s="336">
        <f>Gasto_o_ing_total!T490*1000/Gasto_o_ing_total!T$479</f>
        <v>476.23052855033194</v>
      </c>
      <c r="V490" s="336">
        <f>Gasto_o_ing_total!U490*1000/Gasto_o_ing_total!U$479</f>
        <v>632.23059349328241</v>
      </c>
    </row>
    <row r="491" spans="1:22" s="102" customFormat="1">
      <c r="A491" s="355"/>
      <c r="B491" s="115" t="s">
        <v>440</v>
      </c>
      <c r="C491" s="333" t="str">
        <f>VLOOKUP(B491,Tot_res!C:D,2,FALSE)</f>
        <v>Impuesto sobre la renta de no residentes</v>
      </c>
      <c r="D491" s="336">
        <f>Gasto_o_ing_total!V491*1000/Gasto_o_ing_total!V$479</f>
        <v>31.230467486203892</v>
      </c>
      <c r="E491" s="336">
        <f>Gasto_o_ing_total!D491*1000/Gasto_o_ing_total!D$479</f>
        <v>31.230467486203892</v>
      </c>
      <c r="F491" s="336">
        <f>Gasto_o_ing_total!E491*1000/Gasto_o_ing_total!E$479</f>
        <v>31.230467486203889</v>
      </c>
      <c r="G491" s="336">
        <f>Gasto_o_ing_total!F491*1000/Gasto_o_ing_total!F$479</f>
        <v>31.230467486203896</v>
      </c>
      <c r="H491" s="336">
        <f>Gasto_o_ing_total!G491*1000/Gasto_o_ing_total!G$479</f>
        <v>31.230467486203889</v>
      </c>
      <c r="I491" s="336">
        <f>Gasto_o_ing_total!H491*1000/Gasto_o_ing_total!H$479</f>
        <v>31.230467486203892</v>
      </c>
      <c r="J491" s="336">
        <f>Gasto_o_ing_total!I491*1000/Gasto_o_ing_total!I$479</f>
        <v>31.230467486203889</v>
      </c>
      <c r="K491" s="336">
        <f>Gasto_o_ing_total!J491*1000/Gasto_o_ing_total!J$479</f>
        <v>31.230467486203892</v>
      </c>
      <c r="L491" s="336">
        <f>Gasto_o_ing_total!K491*1000/Gasto_o_ing_total!K$479</f>
        <v>31.230467486203896</v>
      </c>
      <c r="M491" s="336">
        <f>Gasto_o_ing_total!L491*1000/Gasto_o_ing_total!L$479</f>
        <v>31.230467486203892</v>
      </c>
      <c r="N491" s="336">
        <f>Gasto_o_ing_total!M491*1000/Gasto_o_ing_total!M$479</f>
        <v>31.230467486203892</v>
      </c>
      <c r="O491" s="336">
        <f>Gasto_o_ing_total!N491*1000/Gasto_o_ing_total!N$479</f>
        <v>31.230467486203896</v>
      </c>
      <c r="P491" s="336">
        <f>Gasto_o_ing_total!O491*1000/Gasto_o_ing_total!O$479</f>
        <v>31.230467486203892</v>
      </c>
      <c r="Q491" s="336">
        <f>Gasto_o_ing_total!P491*1000/Gasto_o_ing_total!P$479</f>
        <v>31.230467486203892</v>
      </c>
      <c r="R491" s="336">
        <f>Gasto_o_ing_total!Q491*1000/Gasto_o_ing_total!Q$479</f>
        <v>31.230467486203892</v>
      </c>
      <c r="S491" s="336">
        <f>Gasto_o_ing_total!R491*1000/Gasto_o_ing_total!R$479</f>
        <v>31.230467486203896</v>
      </c>
      <c r="T491" s="336">
        <f>Gasto_o_ing_total!S491*1000/Gasto_o_ing_total!S$479</f>
        <v>31.230467486203892</v>
      </c>
      <c r="U491" s="336">
        <f>Gasto_o_ing_total!T491*1000/Gasto_o_ing_total!T$479</f>
        <v>31.230467486203892</v>
      </c>
      <c r="V491" s="336">
        <f>Gasto_o_ing_total!U491*1000/Gasto_o_ing_total!U$479</f>
        <v>31.230467486203892</v>
      </c>
    </row>
    <row r="492" spans="1:22" s="102" customFormat="1">
      <c r="A492" s="355"/>
      <c r="B492" s="115" t="s">
        <v>442</v>
      </c>
      <c r="C492" s="333" t="str">
        <f>VLOOKUP(B492,Tot_res!C:D,2,FALSE)</f>
        <v>Impuesto sobre sucesiones y donaciones, ing. homog.</v>
      </c>
      <c r="D492" s="336">
        <f>Gasto_o_ing_total!V492*1000/Gasto_o_ing_total!V$479</f>
        <v>51.766236046163371</v>
      </c>
      <c r="E492" s="336">
        <f>Gasto_o_ing_total!D492*1000/Gasto_o_ing_total!D$479</f>
        <v>31.797028135064387</v>
      </c>
      <c r="F492" s="336">
        <f>Gasto_o_ing_total!E492*1000/Gasto_o_ing_total!E$479</f>
        <v>73.514324434556912</v>
      </c>
      <c r="G492" s="336">
        <f>Gasto_o_ing_total!F492*1000/Gasto_o_ing_total!F$479</f>
        <v>72.646713183521229</v>
      </c>
      <c r="H492" s="336">
        <f>Gasto_o_ing_total!G492*1000/Gasto_o_ing_total!G$479</f>
        <v>42.232288677495738</v>
      </c>
      <c r="I492" s="336">
        <f>Gasto_o_ing_total!H492*1000/Gasto_o_ing_total!H$479</f>
        <v>29.07040214325551</v>
      </c>
      <c r="J492" s="336">
        <f>Gasto_o_ing_total!I492*1000/Gasto_o_ing_total!I$479</f>
        <v>76.652098875303423</v>
      </c>
      <c r="K492" s="336">
        <f>Gasto_o_ing_total!J492*1000/Gasto_o_ing_total!J$479</f>
        <v>66.234408095109615</v>
      </c>
      <c r="L492" s="336">
        <f>Gasto_o_ing_total!K492*1000/Gasto_o_ing_total!K$479</f>
        <v>36.559988579534206</v>
      </c>
      <c r="M492" s="336">
        <f>Gasto_o_ing_total!L492*1000/Gasto_o_ing_total!L$479</f>
        <v>60.033386861082477</v>
      </c>
      <c r="N492" s="336">
        <f>Gasto_o_ing_total!M492*1000/Gasto_o_ing_total!M$479</f>
        <v>47.342846474044876</v>
      </c>
      <c r="O492" s="336">
        <f>Gasto_o_ing_total!N492*1000/Gasto_o_ing_total!N$479</f>
        <v>37.00376425051536</v>
      </c>
      <c r="P492" s="336">
        <f>Gasto_o_ing_total!O492*1000/Gasto_o_ing_total!O$479</f>
        <v>67.120578668420094</v>
      </c>
      <c r="Q492" s="336">
        <f>Gasto_o_ing_total!P492*1000/Gasto_o_ing_total!P$479</f>
        <v>66.334466923852744</v>
      </c>
      <c r="R492" s="336">
        <f>Gasto_o_ing_total!Q492*1000/Gasto_o_ing_total!Q$479</f>
        <v>31.48484898512968</v>
      </c>
      <c r="S492" s="336">
        <f>Gasto_o_ing_total!R492*1000/Gasto_o_ing_total!R$479</f>
        <v>45.088442952473088</v>
      </c>
      <c r="T492" s="336">
        <f>Gasto_o_ing_total!S492*1000/Gasto_o_ing_total!S$479</f>
        <v>63.817680321113784</v>
      </c>
      <c r="U492" s="336">
        <f>Gasto_o_ing_total!T492*1000/Gasto_o_ing_total!T$479</f>
        <v>67.298502418618725</v>
      </c>
      <c r="V492" s="336">
        <f>Gasto_o_ing_total!U492*1000/Gasto_o_ing_total!U$479</f>
        <v>43.239869663746632</v>
      </c>
    </row>
    <row r="493" spans="1:22" s="102" customFormat="1">
      <c r="A493" s="355"/>
      <c r="B493" s="115" t="s">
        <v>662</v>
      </c>
      <c r="C493" s="333" t="str">
        <f>VLOOKUP(B493,Tot_res!C:D,2,FALSE)</f>
        <v>Impuesto sobre el patrimonio, recaudación real</v>
      </c>
      <c r="D493" s="336">
        <f>Gasto_o_ing_total!V493*1000/Gasto_o_ing_total!V$479</f>
        <v>0.4359266242649022</v>
      </c>
      <c r="E493" s="336">
        <f>Gasto_o_ing_total!D493*1000/Gasto_o_ing_total!D$479</f>
        <v>0.43592662426490225</v>
      </c>
      <c r="F493" s="336">
        <f>Gasto_o_ing_total!E493*1000/Gasto_o_ing_total!E$479</f>
        <v>0.43592662426490225</v>
      </c>
      <c r="G493" s="336">
        <f>Gasto_o_ing_total!F493*1000/Gasto_o_ing_total!F$479</f>
        <v>0.43592662426490231</v>
      </c>
      <c r="H493" s="336">
        <f>Gasto_o_ing_total!G493*1000/Gasto_o_ing_total!G$479</f>
        <v>0.43592662426490225</v>
      </c>
      <c r="I493" s="336">
        <f>Gasto_o_ing_total!H493*1000/Gasto_o_ing_total!H$479</f>
        <v>0.43592662426490231</v>
      </c>
      <c r="J493" s="336">
        <f>Gasto_o_ing_total!I493*1000/Gasto_o_ing_total!I$479</f>
        <v>0.43592662426490231</v>
      </c>
      <c r="K493" s="336">
        <f>Gasto_o_ing_total!J493*1000/Gasto_o_ing_total!J$479</f>
        <v>0.43592662426490236</v>
      </c>
      <c r="L493" s="336">
        <f>Gasto_o_ing_total!K493*1000/Gasto_o_ing_total!K$479</f>
        <v>0.43592662426490231</v>
      </c>
      <c r="M493" s="336">
        <f>Gasto_o_ing_total!L493*1000/Gasto_o_ing_total!L$479</f>
        <v>0.43592662426490236</v>
      </c>
      <c r="N493" s="336">
        <f>Gasto_o_ing_total!M493*1000/Gasto_o_ing_total!M$479</f>
        <v>0.43592662426490236</v>
      </c>
      <c r="O493" s="336">
        <f>Gasto_o_ing_total!N493*1000/Gasto_o_ing_total!N$479</f>
        <v>0.43592662426490231</v>
      </c>
      <c r="P493" s="336">
        <f>Gasto_o_ing_total!O493*1000/Gasto_o_ing_total!O$479</f>
        <v>0.43592662426490225</v>
      </c>
      <c r="Q493" s="336">
        <f>Gasto_o_ing_total!P493*1000/Gasto_o_ing_total!P$479</f>
        <v>0.43592662426490231</v>
      </c>
      <c r="R493" s="336">
        <f>Gasto_o_ing_total!Q493*1000/Gasto_o_ing_total!Q$479</f>
        <v>0.43592662426490231</v>
      </c>
      <c r="S493" s="336">
        <f>Gasto_o_ing_total!R493*1000/Gasto_o_ing_total!R$479</f>
        <v>0.43592662426490231</v>
      </c>
      <c r="T493" s="336">
        <f>Gasto_o_ing_total!S493*1000/Gasto_o_ing_total!S$479</f>
        <v>0.43592662426490231</v>
      </c>
      <c r="U493" s="336">
        <f>Gasto_o_ing_total!T493*1000/Gasto_o_ing_total!T$479</f>
        <v>0.43592662426490236</v>
      </c>
      <c r="V493" s="336">
        <f>Gasto_o_ing_total!U493*1000/Gasto_o_ing_total!U$479</f>
        <v>0.43592662426490231</v>
      </c>
    </row>
    <row r="494" spans="1:22" s="102" customFormat="1">
      <c r="A494" s="356"/>
      <c r="B494" s="115"/>
      <c r="C494" s="119"/>
      <c r="D494" s="116"/>
      <c r="E494" s="116"/>
      <c r="F494" s="116"/>
      <c r="G494" s="116"/>
      <c r="H494" s="116"/>
      <c r="I494" s="116"/>
      <c r="J494" s="116"/>
      <c r="K494" s="116"/>
      <c r="L494" s="116"/>
      <c r="M494" s="116"/>
      <c r="N494" s="116"/>
      <c r="O494" s="116"/>
      <c r="P494" s="116"/>
      <c r="Q494" s="116"/>
      <c r="R494" s="116"/>
      <c r="S494" s="116"/>
      <c r="T494" s="116"/>
      <c r="U494" s="116"/>
      <c r="V494" s="116"/>
    </row>
    <row r="495" spans="1:22" s="102" customFormat="1">
      <c r="A495" s="356"/>
      <c r="B495" s="115"/>
      <c r="C495" s="112" t="s">
        <v>109</v>
      </c>
      <c r="D495" s="113">
        <f>Gasto_o_ing_total!V495*1000/Gasto_o_ing_total!V$479</f>
        <v>1947.2313425520888</v>
      </c>
      <c r="E495" s="113">
        <f>Gasto_o_ing_total!D495*1000/Gasto_o_ing_total!D$479</f>
        <v>1765.6395199170356</v>
      </c>
      <c r="F495" s="113">
        <f>Gasto_o_ing_total!E495*1000/Gasto_o_ing_total!E$479</f>
        <v>2010.7724522978131</v>
      </c>
      <c r="G495" s="113">
        <f>Gasto_o_ing_total!F495*1000/Gasto_o_ing_total!F$479</f>
        <v>1951.6571149762938</v>
      </c>
      <c r="H495" s="113">
        <f>Gasto_o_ing_total!G495*1000/Gasto_o_ing_total!G$479</f>
        <v>2057.0098834804453</v>
      </c>
      <c r="I495" s="113">
        <f>Gasto_o_ing_total!H495*1000/Gasto_o_ing_total!H$479</f>
        <v>1720.7431600772807</v>
      </c>
      <c r="J495" s="113">
        <f>Gasto_o_ing_total!I495*1000/Gasto_o_ing_total!I$479</f>
        <v>2041.4096234447634</v>
      </c>
      <c r="K495" s="113">
        <f>Gasto_o_ing_total!J495*1000/Gasto_o_ing_total!J$479</f>
        <v>1896.3736074236324</v>
      </c>
      <c r="L495" s="113">
        <f>Gasto_o_ing_total!K495*1000/Gasto_o_ing_total!K$479</f>
        <v>1790.7293455044407</v>
      </c>
      <c r="M495" s="113">
        <f>Gasto_o_ing_total!L495*1000/Gasto_o_ing_total!L$479</f>
        <v>2070.8939682418491</v>
      </c>
      <c r="N495" s="113">
        <f>Gasto_o_ing_total!M495*1000/Gasto_o_ing_total!M$479</f>
        <v>1825.6429011221119</v>
      </c>
      <c r="O495" s="113">
        <f>Gasto_o_ing_total!N495*1000/Gasto_o_ing_total!N$479</f>
        <v>1715.47249237041</v>
      </c>
      <c r="P495" s="113">
        <f>Gasto_o_ing_total!O495*1000/Gasto_o_ing_total!O$479</f>
        <v>1883.6289787905393</v>
      </c>
      <c r="Q495" s="113">
        <f>Gasto_o_ing_total!P495*1000/Gasto_o_ing_total!P$479</f>
        <v>2219.071375027921</v>
      </c>
      <c r="R495" s="113">
        <f>Gasto_o_ing_total!Q495*1000/Gasto_o_ing_total!Q$479</f>
        <v>1699.8427689145924</v>
      </c>
      <c r="S495" s="113">
        <f>Gasto_o_ing_total!R495*1000/Gasto_o_ing_total!R$479</f>
        <v>2139.5084921294369</v>
      </c>
      <c r="T495" s="113">
        <f>Gasto_o_ing_total!S495*1000/Gasto_o_ing_total!S$479</f>
        <v>2324.3421364271308</v>
      </c>
      <c r="U495" s="113">
        <f>Gasto_o_ing_total!T495*1000/Gasto_o_ing_total!T$479</f>
        <v>1957.1379491132768</v>
      </c>
      <c r="V495" s="113">
        <f>Gasto_o_ing_total!U495*1000/Gasto_o_ing_total!U$479</f>
        <v>1709.1986243388428</v>
      </c>
    </row>
    <row r="496" spans="1:22" s="102" customFormat="1">
      <c r="A496" s="355"/>
      <c r="B496" s="115" t="s">
        <v>443</v>
      </c>
      <c r="C496" s="333" t="str">
        <f>VLOOKUP(B496,Tot_res!C:D,2,FALSE)</f>
        <v>IVA</v>
      </c>
      <c r="D496" s="336">
        <f>Gasto_o_ing_total!V496*1000/Gasto_o_ing_total!V$479</f>
        <v>1216.7890139227727</v>
      </c>
      <c r="E496" s="336">
        <f>Gasto_o_ing_total!D496*1000/Gasto_o_ing_total!D$479</f>
        <v>1114.752545758452</v>
      </c>
      <c r="F496" s="336">
        <f>Gasto_o_ing_total!E496*1000/Gasto_o_ing_total!E$479</f>
        <v>1327.8495722708353</v>
      </c>
      <c r="G496" s="336">
        <f>Gasto_o_ing_total!F496*1000/Gasto_o_ing_total!F$479</f>
        <v>1269.2988707856873</v>
      </c>
      <c r="H496" s="336">
        <f>Gasto_o_ing_total!G496*1000/Gasto_o_ing_total!G$479</f>
        <v>1319.8951453176505</v>
      </c>
      <c r="I496" s="336">
        <f>Gasto_o_ing_total!H496*1000/Gasto_o_ing_total!H$479</f>
        <v>97.284352717328574</v>
      </c>
      <c r="J496" s="336">
        <f>Gasto_o_ing_total!I496*1000/Gasto_o_ing_total!I$479</f>
        <v>1318.2104150791554</v>
      </c>
      <c r="K496" s="336">
        <f>Gasto_o_ing_total!J496*1000/Gasto_o_ing_total!J$479</f>
        <v>1233.510123382126</v>
      </c>
      <c r="L496" s="336">
        <f>Gasto_o_ing_total!K496*1000/Gasto_o_ing_total!K$479</f>
        <v>1125.824256636939</v>
      </c>
      <c r="M496" s="336">
        <f>Gasto_o_ing_total!L496*1000/Gasto_o_ing_total!L$479</f>
        <v>1376.1557430106502</v>
      </c>
      <c r="N496" s="336">
        <f>Gasto_o_ing_total!M496*1000/Gasto_o_ing_total!M$479</f>
        <v>1167.339953427271</v>
      </c>
      <c r="O496" s="336">
        <f>Gasto_o_ing_total!N496*1000/Gasto_o_ing_total!N$479</f>
        <v>1082.4422398569611</v>
      </c>
      <c r="P496" s="336">
        <f>Gasto_o_ing_total!O496*1000/Gasto_o_ing_total!O$479</f>
        <v>1239.4912790908465</v>
      </c>
      <c r="Q496" s="336">
        <f>Gasto_o_ing_total!P496*1000/Gasto_o_ing_total!P$479</f>
        <v>1443.6336865206097</v>
      </c>
      <c r="R496" s="336">
        <f>Gasto_o_ing_total!Q496*1000/Gasto_o_ing_total!Q$479</f>
        <v>1073.0502305870375</v>
      </c>
      <c r="S496" s="336">
        <f>Gasto_o_ing_total!R496*1000/Gasto_o_ing_total!R$479</f>
        <v>1472.5330451916727</v>
      </c>
      <c r="T496" s="336">
        <f>Gasto_o_ing_total!S496*1000/Gasto_o_ing_total!S$479</f>
        <v>1609.267572688264</v>
      </c>
      <c r="U496" s="336">
        <f>Gasto_o_ing_total!T496*1000/Gasto_o_ing_total!T$479</f>
        <v>1320.8358667841026</v>
      </c>
      <c r="V496" s="336">
        <f>Gasto_o_ing_total!U496*1000/Gasto_o_ing_total!U$479</f>
        <v>106.83400335772279</v>
      </c>
    </row>
    <row r="497" spans="1:22" s="102" customFormat="1">
      <c r="A497" s="355"/>
      <c r="B497" s="115" t="s">
        <v>444</v>
      </c>
      <c r="C497" s="333" t="str">
        <f>VLOOKUP(B497,Tot_res!C:D,2,FALSE)</f>
        <v>Impuestos especiales* (sin electricidad ni matriculación)</v>
      </c>
      <c r="D497" s="336">
        <f>Gasto_o_ing_total!V497*1000/Gasto_o_ing_total!V$479</f>
        <v>407.96491722505897</v>
      </c>
      <c r="E497" s="336">
        <f>Gasto_o_ing_total!D497*1000/Gasto_o_ing_total!D$479</f>
        <v>419.80274183630678</v>
      </c>
      <c r="F497" s="336">
        <f>Gasto_o_ing_total!E497*1000/Gasto_o_ing_total!E$479</f>
        <v>426.37602136761291</v>
      </c>
      <c r="G497" s="336">
        <f>Gasto_o_ing_total!F497*1000/Gasto_o_ing_total!F$479</f>
        <v>434.65227552396806</v>
      </c>
      <c r="H497" s="336">
        <f>Gasto_o_ing_total!G497*1000/Gasto_o_ing_total!G$479</f>
        <v>448.14076849261988</v>
      </c>
      <c r="I497" s="336">
        <f>Gasto_o_ing_total!H497*1000/Gasto_o_ing_total!H$479</f>
        <v>73.544085143605969</v>
      </c>
      <c r="J497" s="336">
        <f>Gasto_o_ing_total!I497*1000/Gasto_o_ing_total!I$479</f>
        <v>465.05907647166327</v>
      </c>
      <c r="K497" s="336">
        <f>Gasto_o_ing_total!J497*1000/Gasto_o_ing_total!J$479</f>
        <v>415.17937454968541</v>
      </c>
      <c r="L497" s="336">
        <f>Gasto_o_ing_total!K497*1000/Gasto_o_ing_total!K$479</f>
        <v>437.54781568470275</v>
      </c>
      <c r="M497" s="336">
        <f>Gasto_o_ing_total!L497*1000/Gasto_o_ing_total!L$479</f>
        <v>422.75781024659216</v>
      </c>
      <c r="N497" s="336">
        <f>Gasto_o_ing_total!M497*1000/Gasto_o_ing_total!M$479</f>
        <v>408.46978160255463</v>
      </c>
      <c r="O497" s="336">
        <f>Gasto_o_ing_total!N497*1000/Gasto_o_ing_total!N$479</f>
        <v>419.77930069715597</v>
      </c>
      <c r="P497" s="336">
        <f>Gasto_o_ing_total!O497*1000/Gasto_o_ing_total!O$479</f>
        <v>411.48089867448948</v>
      </c>
      <c r="Q497" s="336">
        <f>Gasto_o_ing_total!P497*1000/Gasto_o_ing_total!P$479</f>
        <v>452.42102424882393</v>
      </c>
      <c r="R497" s="336">
        <f>Gasto_o_ing_total!Q497*1000/Gasto_o_ing_total!Q$479</f>
        <v>406.62316416676674</v>
      </c>
      <c r="S497" s="336">
        <f>Gasto_o_ing_total!R497*1000/Gasto_o_ing_total!R$479</f>
        <v>402.55691454484185</v>
      </c>
      <c r="T497" s="336">
        <f>Gasto_o_ing_total!S497*1000/Gasto_o_ing_total!S$479</f>
        <v>418.1375811506706</v>
      </c>
      <c r="U497" s="336">
        <f>Gasto_o_ing_total!T497*1000/Gasto_o_ing_total!T$479</f>
        <v>393.77383786668798</v>
      </c>
      <c r="V497" s="336">
        <f>Gasto_o_ing_total!U497*1000/Gasto_o_ing_total!U$479</f>
        <v>161.91981973633773</v>
      </c>
    </row>
    <row r="498" spans="1:22" s="102" customFormat="1">
      <c r="A498" s="355"/>
      <c r="B498" s="115" t="s">
        <v>445</v>
      </c>
      <c r="C498" s="333" t="str">
        <f>VLOOKUP(B498,Tot_res!C:D,2,FALSE)</f>
        <v>Electricidad</v>
      </c>
      <c r="D498" s="336">
        <f>Gasto_o_ing_total!V498*1000/Gasto_o_ing_total!V$479</f>
        <v>33.181967023099737</v>
      </c>
      <c r="E498" s="336">
        <f>Gasto_o_ing_total!D498*1000/Gasto_o_ing_total!D$479</f>
        <v>31.80116234091901</v>
      </c>
      <c r="F498" s="336">
        <f>Gasto_o_ing_total!E498*1000/Gasto_o_ing_total!E$479</f>
        <v>33.040435489501149</v>
      </c>
      <c r="G498" s="336">
        <f>Gasto_o_ing_total!F498*1000/Gasto_o_ing_total!F$479</f>
        <v>32.787490897483913</v>
      </c>
      <c r="H498" s="336">
        <f>Gasto_o_ing_total!G498*1000/Gasto_o_ing_total!G$479</f>
        <v>39.54804081996371</v>
      </c>
      <c r="I498" s="336">
        <f>Gasto_o_ing_total!H498*1000/Gasto_o_ing_total!H$479</f>
        <v>29.441748389684093</v>
      </c>
      <c r="J498" s="336">
        <f>Gasto_o_ing_total!I498*1000/Gasto_o_ing_total!I$479</f>
        <v>32.985006107524242</v>
      </c>
      <c r="K498" s="336">
        <f>Gasto_o_ing_total!J498*1000/Gasto_o_ing_total!J$479</f>
        <v>31.541006477681787</v>
      </c>
      <c r="L498" s="336">
        <f>Gasto_o_ing_total!K498*1000/Gasto_o_ing_total!K$479</f>
        <v>31.621481444101637</v>
      </c>
      <c r="M498" s="336">
        <f>Gasto_o_ing_total!L498*1000/Gasto_o_ing_total!L$479</f>
        <v>35.474451123464263</v>
      </c>
      <c r="N498" s="336">
        <f>Gasto_o_ing_total!M498*1000/Gasto_o_ing_total!M$479</f>
        <v>33.035814303635377</v>
      </c>
      <c r="O498" s="336">
        <f>Gasto_o_ing_total!N498*1000/Gasto_o_ing_total!N$479</f>
        <v>30.421032621975442</v>
      </c>
      <c r="P498" s="336">
        <f>Gasto_o_ing_total!O498*1000/Gasto_o_ing_total!O$479</f>
        <v>31.746223001294439</v>
      </c>
      <c r="Q498" s="336">
        <f>Gasto_o_ing_total!P498*1000/Gasto_o_ing_total!P$479</f>
        <v>35.037567516498171</v>
      </c>
      <c r="R498" s="336">
        <f>Gasto_o_ing_total!Q498*1000/Gasto_o_ing_total!Q$479</f>
        <v>30.619801004017305</v>
      </c>
      <c r="S498" s="336">
        <f>Gasto_o_ing_total!R498*1000/Gasto_o_ing_total!R$479</f>
        <v>32.251347088912226</v>
      </c>
      <c r="T498" s="336">
        <f>Gasto_o_ing_total!S498*1000/Gasto_o_ing_total!S$479</f>
        <v>35.446106451832904</v>
      </c>
      <c r="U498" s="336">
        <f>Gasto_o_ing_total!T498*1000/Gasto_o_ing_total!T$479</f>
        <v>31.261565991797156</v>
      </c>
      <c r="V498" s="336">
        <f>Gasto_o_ing_total!U498*1000/Gasto_o_ing_total!U$479</f>
        <v>27.517288667408508</v>
      </c>
    </row>
    <row r="499" spans="1:22" s="102" customFormat="1">
      <c r="A499" s="355"/>
      <c r="B499" s="115" t="s">
        <v>446</v>
      </c>
      <c r="C499" s="333" t="str">
        <f>VLOOKUP(B499,Tot_res!C:D,2,FALSE)</f>
        <v>Determinados medios de transporte, homogeneizado</v>
      </c>
      <c r="D499" s="336">
        <f>Gasto_o_ing_total!V499*1000/Gasto_o_ing_total!V$479</f>
        <v>6.6634725266973378</v>
      </c>
      <c r="E499" s="336">
        <f>Gasto_o_ing_total!D499*1000/Gasto_o_ing_total!D$479</f>
        <v>6.0070229067715841</v>
      </c>
      <c r="F499" s="336">
        <f>Gasto_o_ing_total!E499*1000/Gasto_o_ing_total!E$479</f>
        <v>5.5961455795973727</v>
      </c>
      <c r="G499" s="336">
        <f>Gasto_o_ing_total!F499*1000/Gasto_o_ing_total!F$479</f>
        <v>4.6501020848645318</v>
      </c>
      <c r="H499" s="336">
        <f>Gasto_o_ing_total!G499*1000/Gasto_o_ing_total!G$479</f>
        <v>7.3461410208897107</v>
      </c>
      <c r="I499" s="336">
        <f>Gasto_o_ing_total!H499*1000/Gasto_o_ing_total!H$479</f>
        <v>0.9779550016469154</v>
      </c>
      <c r="J499" s="336">
        <f>Gasto_o_ing_total!I499*1000/Gasto_o_ing_total!I$479</f>
        <v>7.7683595017560414</v>
      </c>
      <c r="K499" s="336">
        <f>Gasto_o_ing_total!J499*1000/Gasto_o_ing_total!J$479</f>
        <v>4.909183032087852</v>
      </c>
      <c r="L499" s="336">
        <f>Gasto_o_ing_total!K499*1000/Gasto_o_ing_total!K$479</f>
        <v>5.3980786457404646</v>
      </c>
      <c r="M499" s="336">
        <f>Gasto_o_ing_total!L499*1000/Gasto_o_ing_total!L$479</f>
        <v>8.7652658862345429</v>
      </c>
      <c r="N499" s="336">
        <f>Gasto_o_ing_total!M499*1000/Gasto_o_ing_total!M$479</f>
        <v>6.8147611548340041</v>
      </c>
      <c r="O499" s="336">
        <f>Gasto_o_ing_total!N499*1000/Gasto_o_ing_total!N$479</f>
        <v>4.8240469562742101</v>
      </c>
      <c r="P499" s="336">
        <f>Gasto_o_ing_total!O499*1000/Gasto_o_ing_total!O$479</f>
        <v>5.5646143581829772</v>
      </c>
      <c r="Q499" s="336">
        <f>Gasto_o_ing_total!P499*1000/Gasto_o_ing_total!P$479</f>
        <v>8.6497512805587853</v>
      </c>
      <c r="R499" s="336">
        <f>Gasto_o_ing_total!Q499*1000/Gasto_o_ing_total!Q$479</f>
        <v>6.8152234737992501</v>
      </c>
      <c r="S499" s="336">
        <f>Gasto_o_ing_total!R499*1000/Gasto_o_ing_total!R$479</f>
        <v>7.7375920940273026</v>
      </c>
      <c r="T499" s="336">
        <f>Gasto_o_ing_total!S499*1000/Gasto_o_ing_total!S$479</f>
        <v>7.9613838584929937</v>
      </c>
      <c r="U499" s="336">
        <f>Gasto_o_ing_total!T499*1000/Gasto_o_ing_total!T$479</f>
        <v>4.7747147052921823</v>
      </c>
      <c r="V499" s="336">
        <f>Gasto_o_ing_total!U499*1000/Gasto_o_ing_total!U$479</f>
        <v>1.7975005425538015</v>
      </c>
    </row>
    <row r="500" spans="1:22" s="102" customFormat="1">
      <c r="A500" s="355"/>
      <c r="B500" s="115" t="s">
        <v>448</v>
      </c>
      <c r="C500" s="333" t="str">
        <f>VLOOKUP(B500,Tot_res!C:D,2,FALSE)</f>
        <v xml:space="preserve">Tráfico exterior </v>
      </c>
      <c r="D500" s="336">
        <f>Gasto_o_ing_total!V500*1000/Gasto_o_ing_total!V$479</f>
        <v>27.914554036648163</v>
      </c>
      <c r="E500" s="336">
        <f>Gasto_o_ing_total!D500*1000/Gasto_o_ing_total!D$479</f>
        <v>25.853019748287899</v>
      </c>
      <c r="F500" s="336">
        <f>Gasto_o_ing_total!E500*1000/Gasto_o_ing_total!E$479</f>
        <v>29.320117259657298</v>
      </c>
      <c r="G500" s="336">
        <f>Gasto_o_ing_total!F500*1000/Gasto_o_ing_total!F$479</f>
        <v>29.595716045697564</v>
      </c>
      <c r="H500" s="336">
        <f>Gasto_o_ing_total!G500*1000/Gasto_o_ing_total!G$479</f>
        <v>32.138109438585104</v>
      </c>
      <c r="I500" s="336">
        <f>Gasto_o_ing_total!H500*1000/Gasto_o_ing_total!H$479</f>
        <v>2.2561904423676777</v>
      </c>
      <c r="J500" s="336">
        <f>Gasto_o_ing_total!I500*1000/Gasto_o_ing_total!I$479</f>
        <v>30.248255543384882</v>
      </c>
      <c r="K500" s="336">
        <f>Gasto_o_ing_total!J500*1000/Gasto_o_ing_total!J$479</f>
        <v>28.18345244031207</v>
      </c>
      <c r="L500" s="336">
        <f>Gasto_o_ing_total!K500*1000/Gasto_o_ing_total!K$479</f>
        <v>25.436034683044916</v>
      </c>
      <c r="M500" s="336">
        <f>Gasto_o_ing_total!L500*1000/Gasto_o_ing_total!L$479</f>
        <v>32.095210100510549</v>
      </c>
      <c r="N500" s="336">
        <f>Gasto_o_ing_total!M500*1000/Gasto_o_ing_total!M$479</f>
        <v>27.290714937883028</v>
      </c>
      <c r="O500" s="336">
        <f>Gasto_o_ing_total!N500*1000/Gasto_o_ing_total!N$479</f>
        <v>24.407544641594747</v>
      </c>
      <c r="P500" s="336">
        <f>Gasto_o_ing_total!O500*1000/Gasto_o_ing_total!O$479</f>
        <v>27.763732494523435</v>
      </c>
      <c r="Q500" s="336">
        <f>Gasto_o_ing_total!P500*1000/Gasto_o_ing_total!P$479</f>
        <v>33.308022435546583</v>
      </c>
      <c r="R500" s="336">
        <f>Gasto_o_ing_total!Q500*1000/Gasto_o_ing_total!Q$479</f>
        <v>24.704759147474711</v>
      </c>
      <c r="S500" s="336">
        <f>Gasto_o_ing_total!R500*1000/Gasto_o_ing_total!R$479</f>
        <v>30.653798158110039</v>
      </c>
      <c r="T500" s="336">
        <f>Gasto_o_ing_total!S500*1000/Gasto_o_ing_total!S$479</f>
        <v>34.483301071212253</v>
      </c>
      <c r="U500" s="336">
        <f>Gasto_o_ing_total!T500*1000/Gasto_o_ing_total!T$479</f>
        <v>28.740975313119424</v>
      </c>
      <c r="V500" s="336">
        <f>Gasto_o_ing_total!U500*1000/Gasto_o_ing_total!U$479</f>
        <v>2.0453919481936063</v>
      </c>
    </row>
    <row r="501" spans="1:22" s="102" customFormat="1">
      <c r="A501" s="355"/>
      <c r="B501" s="115" t="s">
        <v>449</v>
      </c>
      <c r="C501" s="333" t="str">
        <f>VLOOKUP(B501,Tot_res!C:D,2,FALSE)</f>
        <v>Impuesto sobre las primas de seguros</v>
      </c>
      <c r="D501" s="336">
        <f>Gasto_o_ing_total!V501*1000/Gasto_o_ing_total!V$479</f>
        <v>30.193717382978285</v>
      </c>
      <c r="E501" s="336">
        <f>Gasto_o_ing_total!D501*1000/Gasto_o_ing_total!D$479</f>
        <v>27.367435131811195</v>
      </c>
      <c r="F501" s="336">
        <f>Gasto_o_ing_total!E501*1000/Gasto_o_ing_total!E$479</f>
        <v>30.333442419870686</v>
      </c>
      <c r="G501" s="336">
        <f>Gasto_o_ing_total!F501*1000/Gasto_o_ing_total!F$479</f>
        <v>31.490902891487263</v>
      </c>
      <c r="H501" s="336">
        <f>Gasto_o_ing_total!G501*1000/Gasto_o_ing_total!G$479</f>
        <v>32.688145949938992</v>
      </c>
      <c r="I501" s="336">
        <f>Gasto_o_ing_total!H501*1000/Gasto_o_ing_total!H$479</f>
        <v>26.197143693280292</v>
      </c>
      <c r="J501" s="336">
        <f>Gasto_o_ing_total!I501*1000/Gasto_o_ing_total!I$479</f>
        <v>33.337687175374946</v>
      </c>
      <c r="K501" s="336">
        <f>Gasto_o_ing_total!J501*1000/Gasto_o_ing_total!J$479</f>
        <v>29.083144833206564</v>
      </c>
      <c r="L501" s="336">
        <f>Gasto_o_ing_total!K501*1000/Gasto_o_ing_total!K$479</f>
        <v>27.2185703006502</v>
      </c>
      <c r="M501" s="336">
        <f>Gasto_o_ing_total!L501*1000/Gasto_o_ing_total!L$479</f>
        <v>30.92093702248749</v>
      </c>
      <c r="N501" s="336">
        <f>Gasto_o_ing_total!M501*1000/Gasto_o_ing_total!M$479</f>
        <v>29.491898752349215</v>
      </c>
      <c r="O501" s="336">
        <f>Gasto_o_ing_total!N501*1000/Gasto_o_ing_total!N$479</f>
        <v>27.320112115436761</v>
      </c>
      <c r="P501" s="336">
        <f>Gasto_o_ing_total!O501*1000/Gasto_o_ing_total!O$479</f>
        <v>30.637812547558163</v>
      </c>
      <c r="Q501" s="336">
        <f>Gasto_o_ing_total!P501*1000/Gasto_o_ing_total!P$479</f>
        <v>34.718239648391275</v>
      </c>
      <c r="R501" s="336">
        <f>Gasto_o_ing_total!Q501*1000/Gasto_o_ing_total!Q$479</f>
        <v>28.907348393395317</v>
      </c>
      <c r="S501" s="336">
        <f>Gasto_o_ing_total!R501*1000/Gasto_o_ing_total!R$479</f>
        <v>31.054800615040726</v>
      </c>
      <c r="T501" s="336">
        <f>Gasto_o_ing_total!S501*1000/Gasto_o_ing_total!S$479</f>
        <v>33.957223920801482</v>
      </c>
      <c r="U501" s="336">
        <f>Gasto_o_ing_total!T501*1000/Gasto_o_ing_total!T$479</f>
        <v>29.54528202822285</v>
      </c>
      <c r="V501" s="336">
        <f>Gasto_o_ing_total!U501*1000/Gasto_o_ing_total!U$479</f>
        <v>24.698163669317267</v>
      </c>
    </row>
    <row r="502" spans="1:22" s="102" customFormat="1">
      <c r="A502" s="355"/>
      <c r="B502" s="115" t="s">
        <v>451</v>
      </c>
      <c r="C502" s="333" t="str">
        <f>VLOOKUP(B502,Tot_res!C:D,2,FALSE)</f>
        <v>Transmisiones patrim. y actos jurídicos documentados, ing. homog.</v>
      </c>
      <c r="D502" s="336">
        <f>Gasto_o_ing_total!V502*1000/Gasto_o_ing_total!V$479</f>
        <v>109.51222665141282</v>
      </c>
      <c r="E502" s="336">
        <f>Gasto_o_ing_total!D502*1000/Gasto_o_ing_total!D$479</f>
        <v>96.220239532829879</v>
      </c>
      <c r="F502" s="336">
        <f>Gasto_o_ing_total!E502*1000/Gasto_o_ing_total!E$479</f>
        <v>109.81447701927635</v>
      </c>
      <c r="G502" s="336">
        <f>Gasto_o_ing_total!F502*1000/Gasto_o_ing_total!F$479</f>
        <v>98.225036467993093</v>
      </c>
      <c r="H502" s="336">
        <f>Gasto_o_ing_total!G502*1000/Gasto_o_ing_total!G$479</f>
        <v>122.23083135894554</v>
      </c>
      <c r="I502" s="336">
        <f>Gasto_o_ing_total!H502*1000/Gasto_o_ing_total!H$479</f>
        <v>95.144080532708116</v>
      </c>
      <c r="J502" s="336">
        <f>Gasto_o_ing_total!I502*1000/Gasto_o_ing_total!I$479</f>
        <v>101.17507954514562</v>
      </c>
      <c r="K502" s="336">
        <f>Gasto_o_ing_total!J502*1000/Gasto_o_ing_total!J$479</f>
        <v>102.77127855396911</v>
      </c>
      <c r="L502" s="336">
        <f>Gasto_o_ing_total!K502*1000/Gasto_o_ing_total!K$479</f>
        <v>90.998100408790094</v>
      </c>
      <c r="M502" s="336">
        <f>Gasto_o_ing_total!L502*1000/Gasto_o_ing_total!L$479</f>
        <v>118.91733665329375</v>
      </c>
      <c r="N502" s="336">
        <f>Gasto_o_ing_total!M502*1000/Gasto_o_ing_total!M$479</f>
        <v>100.08917082318743</v>
      </c>
      <c r="O502" s="336">
        <f>Gasto_o_ing_total!N502*1000/Gasto_o_ing_total!N$479</f>
        <v>83.851856259218778</v>
      </c>
      <c r="P502" s="336">
        <f>Gasto_o_ing_total!O502*1000/Gasto_o_ing_total!O$479</f>
        <v>90.250896112006146</v>
      </c>
      <c r="Q502" s="336">
        <f>Gasto_o_ing_total!P502*1000/Gasto_o_ing_total!P$479</f>
        <v>143.92865361110452</v>
      </c>
      <c r="R502" s="336">
        <f>Gasto_o_ing_total!Q502*1000/Gasto_o_ing_total!Q$479</f>
        <v>87.847904234019168</v>
      </c>
      <c r="S502" s="336">
        <f>Gasto_o_ing_total!R502*1000/Gasto_o_ing_total!R$479</f>
        <v>117.1874635567823</v>
      </c>
      <c r="T502" s="336">
        <f>Gasto_o_ing_total!S502*1000/Gasto_o_ing_total!S$479</f>
        <v>139.82375375295589</v>
      </c>
      <c r="U502" s="336">
        <f>Gasto_o_ing_total!T502*1000/Gasto_o_ing_total!T$479</f>
        <v>106.33910889603818</v>
      </c>
      <c r="V502" s="336">
        <f>Gasto_o_ing_total!U502*1000/Gasto_o_ing_total!U$479</f>
        <v>92.789384864682248</v>
      </c>
    </row>
    <row r="503" spans="1:22" s="102" customFormat="1">
      <c r="A503" s="355"/>
      <c r="B503" s="115" t="s">
        <v>452</v>
      </c>
      <c r="C503" s="333" t="str">
        <f>VLOOKUP(B503,Tot_res!C:D,2,FALSE)</f>
        <v>Venta Minorista de Hidrocarburos, ingr. Homog.</v>
      </c>
      <c r="D503" s="336">
        <f>Gasto_o_ing_total!V503*1000/Gasto_o_ing_total!V$479</f>
        <v>4.2091312578963391</v>
      </c>
      <c r="E503" s="336">
        <f>Gasto_o_ing_total!D503*1000/Gasto_o_ing_total!D$479</f>
        <v>4.2295193330160261</v>
      </c>
      <c r="F503" s="336">
        <f>Gasto_o_ing_total!E503*1000/Gasto_o_ing_total!E$479</f>
        <v>4.1330726387327443</v>
      </c>
      <c r="G503" s="336">
        <f>Gasto_o_ing_total!F503*1000/Gasto_o_ing_total!F$479</f>
        <v>4.305266919494656</v>
      </c>
      <c r="H503" s="336">
        <f>Gasto_o_ing_total!G503*1000/Gasto_o_ing_total!G$479</f>
        <v>4.7666064053851125</v>
      </c>
      <c r="I503" s="336">
        <f>Gasto_o_ing_total!H503*1000/Gasto_o_ing_total!H$479</f>
        <v>0.96030361882821424</v>
      </c>
      <c r="J503" s="336">
        <f>Gasto_o_ing_total!I503*1000/Gasto_o_ing_total!I$479</f>
        <v>5.0155471471982915</v>
      </c>
      <c r="K503" s="336">
        <f>Gasto_o_ing_total!J503*1000/Gasto_o_ing_total!J$479</f>
        <v>4.3001701343630563</v>
      </c>
      <c r="L503" s="336">
        <f>Gasto_o_ing_total!K503*1000/Gasto_o_ing_total!K$479</f>
        <v>4.3376312927082923</v>
      </c>
      <c r="M503" s="336">
        <f>Gasto_o_ing_total!L503*1000/Gasto_o_ing_total!L$479</f>
        <v>4.4674000984548146</v>
      </c>
      <c r="N503" s="336">
        <f>Gasto_o_ing_total!M503*1000/Gasto_o_ing_total!M$479</f>
        <v>4.0987183496195367</v>
      </c>
      <c r="O503" s="336">
        <f>Gasto_o_ing_total!N503*1000/Gasto_o_ing_total!N$479</f>
        <v>4.1466130380676915</v>
      </c>
      <c r="P503" s="336">
        <f>Gasto_o_ing_total!O503*1000/Gasto_o_ing_total!O$479</f>
        <v>4.4048619037364656</v>
      </c>
      <c r="Q503" s="336">
        <f>Gasto_o_ing_total!P503*1000/Gasto_o_ing_total!P$479</f>
        <v>4.7101665280254625</v>
      </c>
      <c r="R503" s="336">
        <f>Gasto_o_ing_total!Q503*1000/Gasto_o_ing_total!Q$479</f>
        <v>4.3585781230461711</v>
      </c>
      <c r="S503" s="336">
        <f>Gasto_o_ing_total!R503*1000/Gasto_o_ing_total!R$479</f>
        <v>4.4657178869460132</v>
      </c>
      <c r="T503" s="336">
        <f>Gasto_o_ing_total!S503*1000/Gasto_o_ing_total!S$479</f>
        <v>4.1743042086558688</v>
      </c>
      <c r="U503" s="336">
        <f>Gasto_o_ing_total!T503*1000/Gasto_o_ing_total!T$479</f>
        <v>3.9812280673806884</v>
      </c>
      <c r="V503" s="336">
        <f>Gasto_o_ing_total!U503*1000/Gasto_o_ing_total!U$479</f>
        <v>2.7866296730715074</v>
      </c>
    </row>
    <row r="504" spans="1:22" s="102" customFormat="1">
      <c r="A504" s="355"/>
      <c r="B504" s="115" t="s">
        <v>453</v>
      </c>
      <c r="C504" s="333" t="str">
        <f>VLOOKUP(B504,Tot_res!C:D,2,FALSE)</f>
        <v>Tasas sobre el juego, ingresos homogeneizados</v>
      </c>
      <c r="D504" s="336">
        <f>Gasto_o_ing_total!V504*1000/Gasto_o_ing_total!V$479</f>
        <v>23.042934589929118</v>
      </c>
      <c r="E504" s="336">
        <f>Gasto_o_ing_total!D504*1000/Gasto_o_ing_total!D$479</f>
        <v>18.435062393154531</v>
      </c>
      <c r="F504" s="336">
        <f>Gasto_o_ing_total!E504*1000/Gasto_o_ing_total!E$479</f>
        <v>22.609302563368356</v>
      </c>
      <c r="G504" s="336">
        <f>Gasto_o_ing_total!F504*1000/Gasto_o_ing_total!F$479</f>
        <v>20.677312208802554</v>
      </c>
      <c r="H504" s="336">
        <f>Gasto_o_ing_total!G504*1000/Gasto_o_ing_total!G$479</f>
        <v>28.656833699191932</v>
      </c>
      <c r="I504" s="336">
        <f>Gasto_o_ing_total!H504*1000/Gasto_o_ing_total!H$479</f>
        <v>17.015176724789391</v>
      </c>
      <c r="J504" s="336">
        <f>Gasto_o_ing_total!I504*1000/Gasto_o_ing_total!I$479</f>
        <v>23.371510669218427</v>
      </c>
      <c r="K504" s="336">
        <f>Gasto_o_ing_total!J504*1000/Gasto_o_ing_total!J$479</f>
        <v>24.501545497565566</v>
      </c>
      <c r="L504" s="336">
        <f>Gasto_o_ing_total!K504*1000/Gasto_o_ing_total!K$479</f>
        <v>21.093973033734855</v>
      </c>
      <c r="M504" s="336">
        <f>Gasto_o_ing_total!L504*1000/Gasto_o_ing_total!L$479</f>
        <v>19.610823689755314</v>
      </c>
      <c r="N504" s="336">
        <f>Gasto_o_ing_total!M504*1000/Gasto_o_ing_total!M$479</f>
        <v>27.632176528741784</v>
      </c>
      <c r="O504" s="336">
        <f>Gasto_o_ing_total!N504*1000/Gasto_o_ing_total!N$479</f>
        <v>17.350249914463436</v>
      </c>
      <c r="P504" s="336">
        <f>Gasto_o_ing_total!O504*1000/Gasto_o_ing_total!O$479</f>
        <v>18.583945373577215</v>
      </c>
      <c r="Q504" s="336">
        <f>Gasto_o_ing_total!P504*1000/Gasto_o_ing_total!P$479</f>
        <v>39.248751624697015</v>
      </c>
      <c r="R504" s="336">
        <f>Gasto_o_ing_total!Q504*1000/Gasto_o_ing_total!Q$479</f>
        <v>15.881313023636924</v>
      </c>
      <c r="S504" s="336">
        <f>Gasto_o_ing_total!R504*1000/Gasto_o_ing_total!R$479</f>
        <v>17.660609624298424</v>
      </c>
      <c r="T504" s="336">
        <f>Gasto_o_ing_total!S504*1000/Gasto_o_ing_total!S$479</f>
        <v>15.197478149447345</v>
      </c>
      <c r="U504" s="336">
        <f>Gasto_o_ing_total!T504*1000/Gasto_o_ing_total!T$479</f>
        <v>16.389902889394051</v>
      </c>
      <c r="V504" s="336">
        <f>Gasto_o_ing_total!U504*1000/Gasto_o_ing_total!U$479</f>
        <v>12.469004648711268</v>
      </c>
    </row>
    <row r="505" spans="1:22" s="102" customFormat="1">
      <c r="A505" s="355"/>
      <c r="B505" s="115" t="s">
        <v>454</v>
      </c>
      <c r="C505" s="333" t="str">
        <f>VLOOKUP(B505,Tot_res!C:D,2,FALSE)</f>
        <v>REF Canarias (bruto de comp IGTE e incl. Parte ccll), rec. Homog.</v>
      </c>
      <c r="D505" s="336">
        <f>Gasto_o_ing_total!V505*1000/Gasto_o_ing_total!V$479</f>
        <v>83.251355365257965</v>
      </c>
      <c r="E505" s="336">
        <f>Gasto_o_ing_total!D505*1000/Gasto_o_ing_total!D$479</f>
        <v>21.170770935486811</v>
      </c>
      <c r="F505" s="336">
        <f>Gasto_o_ing_total!E505*1000/Gasto_o_ing_total!E$479</f>
        <v>21.699865689360895</v>
      </c>
      <c r="G505" s="336">
        <f>Gasto_o_ing_total!F505*1000/Gasto_o_ing_total!F$479</f>
        <v>25.974141150814866</v>
      </c>
      <c r="H505" s="336">
        <f>Gasto_o_ing_total!G505*1000/Gasto_o_ing_total!G$479</f>
        <v>21.599260977275236</v>
      </c>
      <c r="I505" s="336">
        <f>Gasto_o_ing_total!H505*1000/Gasto_o_ing_total!H$479</f>
        <v>1377.9221238130415</v>
      </c>
      <c r="J505" s="336">
        <f>Gasto_o_ing_total!I505*1000/Gasto_o_ing_total!I$479</f>
        <v>24.238686204341807</v>
      </c>
      <c r="K505" s="336">
        <f>Gasto_o_ing_total!J505*1000/Gasto_o_ing_total!J$479</f>
        <v>22.394328522635249</v>
      </c>
      <c r="L505" s="336">
        <f>Gasto_o_ing_total!K505*1000/Gasto_o_ing_total!K$479</f>
        <v>21.253403374028405</v>
      </c>
      <c r="M505" s="336">
        <f>Gasto_o_ing_total!L505*1000/Gasto_o_ing_total!L$479</f>
        <v>21.72899041040634</v>
      </c>
      <c r="N505" s="336">
        <f>Gasto_o_ing_total!M505*1000/Gasto_o_ing_total!M$479</f>
        <v>21.379911242035742</v>
      </c>
      <c r="O505" s="336">
        <f>Gasto_o_ing_total!N505*1000/Gasto_o_ing_total!N$479</f>
        <v>20.929496269261627</v>
      </c>
      <c r="P505" s="336">
        <f>Gasto_o_ing_total!O505*1000/Gasto_o_ing_total!O$479</f>
        <v>23.70471523432478</v>
      </c>
      <c r="Q505" s="336">
        <f>Gasto_o_ing_total!P505*1000/Gasto_o_ing_total!P$479</f>
        <v>23.415511613666315</v>
      </c>
      <c r="R505" s="336">
        <f>Gasto_o_ing_total!Q505*1000/Gasto_o_ing_total!Q$479</f>
        <v>21.034446761399217</v>
      </c>
      <c r="S505" s="336">
        <f>Gasto_o_ing_total!R505*1000/Gasto_o_ing_total!R$479</f>
        <v>23.407203368805469</v>
      </c>
      <c r="T505" s="336">
        <f>Gasto_o_ing_total!S505*1000/Gasto_o_ing_total!S$479</f>
        <v>25.893431174797847</v>
      </c>
      <c r="U505" s="336">
        <f>Gasto_o_ing_total!T505*1000/Gasto_o_ing_total!T$479</f>
        <v>21.495466571241959</v>
      </c>
      <c r="V505" s="336">
        <f>Gasto_o_ing_total!U505*1000/Gasto_o_ing_total!U$479</f>
        <v>21.457648294253065</v>
      </c>
    </row>
    <row r="506" spans="1:22" s="102" customFormat="1">
      <c r="A506" s="355"/>
      <c r="B506" s="115" t="s">
        <v>456</v>
      </c>
      <c r="C506" s="333" t="str">
        <f>VLOOKUP(B506,Tot_res!C:D,2,FALSE)</f>
        <v>IPSI, Ceuta y Melilla</v>
      </c>
      <c r="D506" s="336">
        <f>Gasto_o_ing_total!V506*1000/Gasto_o_ing_total!V$479</f>
        <v>4.5080525703373802</v>
      </c>
      <c r="E506" s="336">
        <f>Gasto_o_ing_total!D506*1000/Gasto_o_ing_total!D$479</f>
        <v>0</v>
      </c>
      <c r="F506" s="336">
        <f>Gasto_o_ing_total!E506*1000/Gasto_o_ing_total!E$479</f>
        <v>0</v>
      </c>
      <c r="G506" s="336">
        <f>Gasto_o_ing_total!F506*1000/Gasto_o_ing_total!F$479</f>
        <v>0</v>
      </c>
      <c r="H506" s="336">
        <f>Gasto_o_ing_total!G506*1000/Gasto_o_ing_total!G$479</f>
        <v>0</v>
      </c>
      <c r="I506" s="336">
        <f>Gasto_o_ing_total!H506*1000/Gasto_o_ing_total!H$479</f>
        <v>0</v>
      </c>
      <c r="J506" s="336">
        <f>Gasto_o_ing_total!I506*1000/Gasto_o_ing_total!I$479</f>
        <v>0</v>
      </c>
      <c r="K506" s="336">
        <f>Gasto_o_ing_total!J506*1000/Gasto_o_ing_total!J$479</f>
        <v>0</v>
      </c>
      <c r="L506" s="336">
        <f>Gasto_o_ing_total!K506*1000/Gasto_o_ing_total!K$479</f>
        <v>0</v>
      </c>
      <c r="M506" s="336">
        <f>Gasto_o_ing_total!L506*1000/Gasto_o_ing_total!L$479</f>
        <v>0</v>
      </c>
      <c r="N506" s="336">
        <f>Gasto_o_ing_total!M506*1000/Gasto_o_ing_total!M$479</f>
        <v>0</v>
      </c>
      <c r="O506" s="336">
        <f>Gasto_o_ing_total!N506*1000/Gasto_o_ing_total!N$479</f>
        <v>0</v>
      </c>
      <c r="P506" s="336">
        <f>Gasto_o_ing_total!O506*1000/Gasto_o_ing_total!O$479</f>
        <v>0</v>
      </c>
      <c r="Q506" s="336">
        <f>Gasto_o_ing_total!P506*1000/Gasto_o_ing_total!P$479</f>
        <v>0</v>
      </c>
      <c r="R506" s="336">
        <f>Gasto_o_ing_total!Q506*1000/Gasto_o_ing_total!Q$479</f>
        <v>0</v>
      </c>
      <c r="S506" s="336">
        <f>Gasto_o_ing_total!R506*1000/Gasto_o_ing_total!R$479</f>
        <v>0</v>
      </c>
      <c r="T506" s="336">
        <f>Gasto_o_ing_total!S506*1000/Gasto_o_ing_total!S$479</f>
        <v>0</v>
      </c>
      <c r="U506" s="336">
        <f>Gasto_o_ing_total!T506*1000/Gasto_o_ing_total!T$479</f>
        <v>0</v>
      </c>
      <c r="V506" s="336">
        <f>Gasto_o_ing_total!U506*1000/Gasto_o_ing_total!U$479</f>
        <v>1254.8837889365907</v>
      </c>
    </row>
    <row r="507" spans="1:22">
      <c r="A507" s="356"/>
      <c r="C507" s="9"/>
      <c r="D507" s="27"/>
      <c r="E507" s="27"/>
      <c r="F507" s="27"/>
      <c r="G507" s="27"/>
      <c r="H507" s="27"/>
      <c r="I507" s="27"/>
      <c r="J507" s="27"/>
      <c r="K507" s="27"/>
      <c r="L507" s="27"/>
      <c r="M507" s="27"/>
      <c r="N507" s="27"/>
      <c r="O507" s="27"/>
      <c r="P507" s="27"/>
      <c r="Q507" s="27"/>
      <c r="R507" s="27"/>
      <c r="S507" s="27"/>
      <c r="T507" s="27"/>
      <c r="U507" s="27"/>
      <c r="V507" s="27"/>
    </row>
    <row r="508" spans="1:22" s="102" customFormat="1">
      <c r="A508" s="356"/>
      <c r="B508" s="115"/>
      <c r="C508" s="112" t="s">
        <v>435</v>
      </c>
      <c r="D508" s="113">
        <f>Gasto_o_ing_total!V508*1000/Gasto_o_ing_total!V$479</f>
        <v>1.9564046115943889</v>
      </c>
      <c r="E508" s="113">
        <f>Gasto_o_ing_total!D508*1000/Gasto_o_ing_total!D$479</f>
        <v>75.428585976625413</v>
      </c>
      <c r="F508" s="113">
        <f>Gasto_o_ing_total!E508*1000/Gasto_o_ing_total!E$479</f>
        <v>74.90211234102901</v>
      </c>
      <c r="G508" s="113">
        <f>Gasto_o_ing_total!F508*1000/Gasto_o_ing_total!F$479</f>
        <v>160.97742624352037</v>
      </c>
      <c r="H508" s="113">
        <f>Gasto_o_ing_total!G508*1000/Gasto_o_ing_total!G$479</f>
        <v>145.25897936963821</v>
      </c>
      <c r="I508" s="113">
        <f>Gasto_o_ing_total!H508*1000/Gasto_o_ing_total!H$479</f>
        <v>-783.04434543873811</v>
      </c>
      <c r="J508" s="113">
        <f>Gasto_o_ing_total!I508*1000/Gasto_o_ing_total!I$479</f>
        <v>122.72314820113652</v>
      </c>
      <c r="K508" s="113">
        <f>Gasto_o_ing_total!J508*1000/Gasto_o_ing_total!J$479</f>
        <v>48.340140937220568</v>
      </c>
      <c r="L508" s="113">
        <f>Gasto_o_ing_total!K508*1000/Gasto_o_ing_total!K$479</f>
        <v>-60.351121666682673</v>
      </c>
      <c r="M508" s="113">
        <f>Gasto_o_ing_total!L508*1000/Gasto_o_ing_total!L$479</f>
        <v>165.4503745820185</v>
      </c>
      <c r="N508" s="113">
        <f>Gasto_o_ing_total!M508*1000/Gasto_o_ing_total!M$479</f>
        <v>68.850632904756523</v>
      </c>
      <c r="O508" s="113">
        <f>Gasto_o_ing_total!N508*1000/Gasto_o_ing_total!N$479</f>
        <v>198.5631091277636</v>
      </c>
      <c r="P508" s="113">
        <f>Gasto_o_ing_total!O508*1000/Gasto_o_ing_total!O$479</f>
        <v>40.119598672676211</v>
      </c>
      <c r="Q508" s="113">
        <f>Gasto_o_ing_total!P508*1000/Gasto_o_ing_total!P$479</f>
        <v>-41.908844031230501</v>
      </c>
      <c r="R508" s="113">
        <f>Gasto_o_ing_total!Q508*1000/Gasto_o_ing_total!Q$479</f>
        <v>76.754755029945045</v>
      </c>
      <c r="S508" s="113">
        <f>Gasto_o_ing_total!R508*1000/Gasto_o_ing_total!R$479</f>
        <v>-426.71280716574364</v>
      </c>
      <c r="T508" s="113">
        <f>Gasto_o_ing_total!S508*1000/Gasto_o_ing_total!S$479</f>
        <v>-377.05919677794208</v>
      </c>
      <c r="U508" s="113">
        <f>Gasto_o_ing_total!T508*1000/Gasto_o_ing_total!T$479</f>
        <v>50.434103113690334</v>
      </c>
      <c r="V508" s="113">
        <f>Gasto_o_ing_total!U508*1000/Gasto_o_ing_total!U$479</f>
        <v>-425.67771211881893</v>
      </c>
    </row>
    <row r="509" spans="1:22" s="102" customFormat="1">
      <c r="A509" s="355"/>
      <c r="B509" s="115" t="s">
        <v>458</v>
      </c>
      <c r="C509" s="333" t="str">
        <f>VLOOKUP(B509,Tot_res!C:D,2,FALSE)</f>
        <v>IRPF, sobreesfuerzo fiscal</v>
      </c>
      <c r="D509" s="336">
        <f>Gasto_o_ing_total!V509*1000/Gasto_o_ing_total!V$479</f>
        <v>-31.801350434689663</v>
      </c>
      <c r="E509" s="336">
        <f>Gasto_o_ing_total!D509*1000/Gasto_o_ing_total!D$479</f>
        <v>1.5345846313289448</v>
      </c>
      <c r="F509" s="336">
        <f>Gasto_o_ing_total!E509*1000/Gasto_o_ing_total!E$479</f>
        <v>-0.53801811700193702</v>
      </c>
      <c r="G509" s="336">
        <f>Gasto_o_ing_total!F509*1000/Gasto_o_ing_total!F$479</f>
        <v>-0.59317353278630358</v>
      </c>
      <c r="H509" s="336">
        <f>Gasto_o_ing_total!G509*1000/Gasto_o_ing_total!G$479</f>
        <v>-4.345838522854498</v>
      </c>
      <c r="I509" s="336">
        <f>Gasto_o_ing_total!H509*1000/Gasto_o_ing_total!H$479</f>
        <v>-14.402757434010189</v>
      </c>
      <c r="J509" s="336">
        <f>Gasto_o_ing_total!I509*1000/Gasto_o_ing_total!I$479</f>
        <v>-1.2145105764826429</v>
      </c>
      <c r="K509" s="336">
        <f>Gasto_o_ing_total!J509*1000/Gasto_o_ing_total!J$479</f>
        <v>-13.417814996048119</v>
      </c>
      <c r="L509" s="336">
        <f>Gasto_o_ing_total!K509*1000/Gasto_o_ing_total!K$479</f>
        <v>-3.9125132483761491</v>
      </c>
      <c r="M509" s="336">
        <f>Gasto_o_ing_total!L509*1000/Gasto_o_ing_total!L$479</f>
        <v>-1.3793250519918332</v>
      </c>
      <c r="N509" s="336">
        <f>Gasto_o_ing_total!M509*1000/Gasto_o_ing_total!M$479</f>
        <v>-5.909010118769098</v>
      </c>
      <c r="O509" s="336">
        <f>Gasto_o_ing_total!N509*1000/Gasto_o_ing_total!N$479</f>
        <v>-2.4014918604909807</v>
      </c>
      <c r="P509" s="336">
        <f>Gasto_o_ing_total!O509*1000/Gasto_o_ing_total!O$479</f>
        <v>-5.2321290184264635</v>
      </c>
      <c r="Q509" s="336">
        <f>Gasto_o_ing_total!P509*1000/Gasto_o_ing_total!P$479</f>
        <v>-36.560590216679941</v>
      </c>
      <c r="R509" s="336">
        <f>Gasto_o_ing_total!Q509*1000/Gasto_o_ing_total!Q$479</f>
        <v>-0.71022198847802265</v>
      </c>
      <c r="S509" s="336">
        <f>Gasto_o_ing_total!R509*1000/Gasto_o_ing_total!R$479</f>
        <v>-453.3250895819919</v>
      </c>
      <c r="T509" s="336">
        <f>Gasto_o_ing_total!S509*1000/Gasto_o_ing_total!S$479</f>
        <v>-374.15419344260744</v>
      </c>
      <c r="U509" s="336">
        <f>Gasto_o_ing_total!T509*1000/Gasto_o_ing_total!T$479</f>
        <v>-18.391089215341335</v>
      </c>
      <c r="V509" s="336">
        <f>Gasto_o_ing_total!U509*1000/Gasto_o_ing_total!U$479</f>
        <v>-89.075040156841069</v>
      </c>
    </row>
    <row r="510" spans="1:22" s="102" customFormat="1">
      <c r="A510" s="355"/>
      <c r="B510" s="115" t="s">
        <v>460</v>
      </c>
      <c r="C510" s="333" t="str">
        <f>VLOOKUP(B510,Tot_res!C:D,2,FALSE)</f>
        <v>Sociedades, sobreesfuerzo fiscal</v>
      </c>
      <c r="D510" s="336">
        <f>Gasto_o_ing_total!V510*1000/Gasto_o_ing_total!V$479</f>
        <v>-3.8431270717095929</v>
      </c>
      <c r="E510" s="336">
        <f>Gasto_o_ing_total!D510*1000/Gasto_o_ing_total!D$479</f>
        <v>-1.6320888286928292</v>
      </c>
      <c r="F510" s="336">
        <f>Gasto_o_ing_total!E510*1000/Gasto_o_ing_total!E$479</f>
        <v>-2.1525562662846589</v>
      </c>
      <c r="G510" s="336">
        <f>Gasto_o_ing_total!F510*1000/Gasto_o_ing_total!F$479</f>
        <v>-1.9188323320328715</v>
      </c>
      <c r="H510" s="336">
        <f>Gasto_o_ing_total!G510*1000/Gasto_o_ing_total!G$479</f>
        <v>-1.9423515283273245</v>
      </c>
      <c r="I510" s="336">
        <f>Gasto_o_ing_total!H510*1000/Gasto_o_ing_total!H$479</f>
        <v>-1.696838015411011</v>
      </c>
      <c r="J510" s="336">
        <f>Gasto_o_ing_total!I510*1000/Gasto_o_ing_total!I$479</f>
        <v>-2.0977336583254251</v>
      </c>
      <c r="K510" s="336">
        <f>Gasto_o_ing_total!J510*1000/Gasto_o_ing_total!J$479</f>
        <v>-1.9858351368795062</v>
      </c>
      <c r="L510" s="336">
        <f>Gasto_o_ing_total!K510*1000/Gasto_o_ing_total!K$479</f>
        <v>-1.6310868916851415</v>
      </c>
      <c r="M510" s="336">
        <f>Gasto_o_ing_total!L510*1000/Gasto_o_ing_total!L$479</f>
        <v>-2.0685679585335834</v>
      </c>
      <c r="N510" s="336">
        <f>Gasto_o_ing_total!M510*1000/Gasto_o_ing_total!M$479</f>
        <v>-1.7477559325521406</v>
      </c>
      <c r="O510" s="336">
        <f>Gasto_o_ing_total!N510*1000/Gasto_o_ing_total!N$479</f>
        <v>-1.6805452131048229</v>
      </c>
      <c r="P510" s="336">
        <f>Gasto_o_ing_total!O510*1000/Gasto_o_ing_total!O$479</f>
        <v>-1.8709477062236439</v>
      </c>
      <c r="Q510" s="336">
        <f>Gasto_o_ing_total!P510*1000/Gasto_o_ing_total!P$479</f>
        <v>-2.4942591334630499</v>
      </c>
      <c r="R510" s="336">
        <f>Gasto_o_ing_total!Q510*1000/Gasto_o_ing_total!Q$479</f>
        <v>-1.6710837842610902</v>
      </c>
      <c r="S510" s="336">
        <f>Gasto_o_ing_total!R510*1000/Gasto_o_ing_total!R$479</f>
        <v>-124.04200441451488</v>
      </c>
      <c r="T510" s="336">
        <f>Gasto_o_ing_total!S510*1000/Gasto_o_ing_total!S$479</f>
        <v>-7.0993435723221774</v>
      </c>
      <c r="U510" s="336">
        <f>Gasto_o_ing_total!T510*1000/Gasto_o_ing_total!T$479</f>
        <v>-2.0196329504572352</v>
      </c>
      <c r="V510" s="336">
        <f>Gasto_o_ing_total!U510*1000/Gasto_o_ing_total!U$479</f>
        <v>-2.6876179689446724</v>
      </c>
    </row>
    <row r="511" spans="1:22" s="102" customFormat="1">
      <c r="A511" s="355"/>
      <c r="B511" s="115" t="s">
        <v>461</v>
      </c>
      <c r="C511" s="333" t="str">
        <f>VLOOKUP(B511,Tot_res!C:D,2,FALSE)</f>
        <v>Sucesiones y donaciones, sobreesfuerzo fiscal</v>
      </c>
      <c r="D511" s="336">
        <f>Gasto_o_ing_total!V511*1000/Gasto_o_ing_total!V$479</f>
        <v>-0.73370649545056832</v>
      </c>
      <c r="E511" s="336">
        <f>Gasto_o_ing_total!D511*1000/Gasto_o_ing_total!D$479</f>
        <v>12.139716344693801</v>
      </c>
      <c r="F511" s="336">
        <f>Gasto_o_ing_total!E511*1000/Gasto_o_ing_total!E$479</f>
        <v>22.137322937730541</v>
      </c>
      <c r="G511" s="336">
        <f>Gasto_o_ing_total!F511*1000/Gasto_o_ing_total!F$479</f>
        <v>44.108805726883482</v>
      </c>
      <c r="H511" s="336">
        <f>Gasto_o_ing_total!G511*1000/Gasto_o_ing_total!G$479</f>
        <v>19.683686534979454</v>
      </c>
      <c r="I511" s="336">
        <f>Gasto_o_ing_total!H511*1000/Gasto_o_ing_total!H$479</f>
        <v>-0.19732844678901834</v>
      </c>
      <c r="J511" s="336">
        <f>Gasto_o_ing_total!I511*1000/Gasto_o_ing_total!I$479</f>
        <v>55.822439253118262</v>
      </c>
      <c r="K511" s="336">
        <f>Gasto_o_ing_total!J511*1000/Gasto_o_ing_total!J$479</f>
        <v>-9.8047830032728296</v>
      </c>
      <c r="L511" s="336">
        <f>Gasto_o_ing_total!K511*1000/Gasto_o_ing_total!K$479</f>
        <v>-2.3065736210572627</v>
      </c>
      <c r="M511" s="336">
        <f>Gasto_o_ing_total!L511*1000/Gasto_o_ing_total!L$479</f>
        <v>-17.451716216259392</v>
      </c>
      <c r="N511" s="336">
        <f>Gasto_o_ing_total!M511*1000/Gasto_o_ing_total!M$479</f>
        <v>-16.097921338572018</v>
      </c>
      <c r="O511" s="336">
        <f>Gasto_o_ing_total!N511*1000/Gasto_o_ing_total!N$479</f>
        <v>14.961579099871143</v>
      </c>
      <c r="P511" s="336">
        <f>Gasto_o_ing_total!O511*1000/Gasto_o_ing_total!O$479</f>
        <v>-7.3617092872061756</v>
      </c>
      <c r="Q511" s="336">
        <f>Gasto_o_ing_total!P511*1000/Gasto_o_ing_total!P$479</f>
        <v>2.2676259723252397</v>
      </c>
      <c r="R511" s="336">
        <f>Gasto_o_ing_total!Q511*1000/Gasto_o_ing_total!Q$479</f>
        <v>0.74378007223579579</v>
      </c>
      <c r="S511" s="336">
        <f>Gasto_o_ing_total!R511*1000/Gasto_o_ing_total!R$479</f>
        <v>75.077234883749</v>
      </c>
      <c r="T511" s="336">
        <f>Gasto_o_ing_total!S511*1000/Gasto_o_ing_total!S$479</f>
        <v>-35.556189694501839</v>
      </c>
      <c r="U511" s="336">
        <f>Gasto_o_ing_total!T511*1000/Gasto_o_ing_total!T$479</f>
        <v>-8.4697219041952714</v>
      </c>
      <c r="V511" s="336">
        <f>Gasto_o_ing_total!U511*1000/Gasto_o_ing_total!U$479</f>
        <v>-28.548607201223945</v>
      </c>
    </row>
    <row r="512" spans="1:22" s="102" customFormat="1">
      <c r="A512" s="355"/>
      <c r="B512" s="115" t="s">
        <v>664</v>
      </c>
      <c r="C512" s="333" t="str">
        <f>VLOOKUP(B512,Tot_res!C:D,2,FALSE)</f>
        <v>Patrimonio, sobreesfuerzo fiscal</v>
      </c>
      <c r="D512" s="336">
        <f>Gasto_o_ing_total!V512*1000/Gasto_o_ing_total!V$479</f>
        <v>6.0489158787918239E-2</v>
      </c>
      <c r="E512" s="336">
        <f>Gasto_o_ing_total!D512*1000/Gasto_o_ing_total!D$479</f>
        <v>0</v>
      </c>
      <c r="F512" s="336">
        <f>Gasto_o_ing_total!E512*1000/Gasto_o_ing_total!E$479</f>
        <v>0</v>
      </c>
      <c r="G512" s="336">
        <f>Gasto_o_ing_total!F512*1000/Gasto_o_ing_total!F$479</f>
        <v>0</v>
      </c>
      <c r="H512" s="336">
        <f>Gasto_o_ing_total!G512*1000/Gasto_o_ing_total!G$479</f>
        <v>0</v>
      </c>
      <c r="I512" s="336">
        <f>Gasto_o_ing_total!H512*1000/Gasto_o_ing_total!H$479</f>
        <v>0</v>
      </c>
      <c r="J512" s="336">
        <f>Gasto_o_ing_total!I512*1000/Gasto_o_ing_total!I$479</f>
        <v>0</v>
      </c>
      <c r="K512" s="336">
        <f>Gasto_o_ing_total!J512*1000/Gasto_o_ing_total!J$479</f>
        <v>0</v>
      </c>
      <c r="L512" s="336">
        <f>Gasto_o_ing_total!K512*1000/Gasto_o_ing_total!K$479</f>
        <v>0</v>
      </c>
      <c r="M512" s="336">
        <f>Gasto_o_ing_total!L512*1000/Gasto_o_ing_total!L$479</f>
        <v>0</v>
      </c>
      <c r="N512" s="336">
        <f>Gasto_o_ing_total!M512*1000/Gasto_o_ing_total!M$479</f>
        <v>0</v>
      </c>
      <c r="O512" s="336">
        <f>Gasto_o_ing_total!N512*1000/Gasto_o_ing_total!N$479</f>
        <v>0</v>
      </c>
      <c r="P512" s="336">
        <f>Gasto_o_ing_total!O512*1000/Gasto_o_ing_total!O$479</f>
        <v>0</v>
      </c>
      <c r="Q512" s="336">
        <f>Gasto_o_ing_total!P512*1000/Gasto_o_ing_total!P$479</f>
        <v>0</v>
      </c>
      <c r="R512" s="336">
        <f>Gasto_o_ing_total!Q512*1000/Gasto_o_ing_total!Q$479</f>
        <v>0</v>
      </c>
      <c r="S512" s="336">
        <f>Gasto_o_ing_total!R512*1000/Gasto_o_ing_total!R$479</f>
        <v>0</v>
      </c>
      <c r="T512" s="336">
        <f>Gasto_o_ing_total!S512*1000/Gasto_o_ing_total!S$479</f>
        <v>0</v>
      </c>
      <c r="U512" s="336">
        <f>Gasto_o_ing_total!T512*1000/Gasto_o_ing_total!T$479</f>
        <v>0</v>
      </c>
      <c r="V512" s="336">
        <f>Gasto_o_ing_total!U512*1000/Gasto_o_ing_total!U$479</f>
        <v>16.838061132833921</v>
      </c>
    </row>
    <row r="513" spans="1:22" s="102" customFormat="1">
      <c r="A513" s="355"/>
      <c r="B513" s="115" t="s">
        <v>1125</v>
      </c>
      <c r="C513" s="333" t="str">
        <f>VLOOKUP(B513,Tot_res!C:D,2,FALSE)</f>
        <v>IH, sobreesfuerzo fiscal</v>
      </c>
      <c r="D513" s="336">
        <f>Gasto_o_ing_total!V513*1000/Gasto_o_ing_total!V$479</f>
        <v>20.048816541535757</v>
      </c>
      <c r="E513" s="336">
        <f>Gasto_o_ing_total!D513*1000/Gasto_o_ing_total!D$479</f>
        <v>23.600372365272538</v>
      </c>
      <c r="F513" s="336">
        <f>Gasto_o_ing_total!E513*1000/Gasto_o_ing_total!E$479</f>
        <v>3.1379551393243363</v>
      </c>
      <c r="G513" s="336">
        <f>Gasto_o_ing_total!F513*1000/Gasto_o_ing_total!F$479</f>
        <v>22.886777334360186</v>
      </c>
      <c r="H513" s="336">
        <f>Gasto_o_ing_total!G513*1000/Gasto_o_ing_total!G$479</f>
        <v>29.527495555933623</v>
      </c>
      <c r="I513" s="336">
        <f>Gasto_o_ing_total!H513*1000/Gasto_o_ing_total!H$479</f>
        <v>1.4441753869779637</v>
      </c>
      <c r="J513" s="336">
        <f>Gasto_o_ing_total!I513*1000/Gasto_o_ing_total!I$479</f>
        <v>3.6068484134119765</v>
      </c>
      <c r="K513" s="336">
        <f>Gasto_o_ing_total!J513*1000/Gasto_o_ing_total!J$479</f>
        <v>29.349898074243043</v>
      </c>
      <c r="L513" s="336">
        <f>Gasto_o_ing_total!K513*1000/Gasto_o_ing_total!K$479</f>
        <v>32.918032641537636</v>
      </c>
      <c r="M513" s="336">
        <f>Gasto_o_ing_total!L513*1000/Gasto_o_ing_total!L$479</f>
        <v>27.189086311614336</v>
      </c>
      <c r="N513" s="336">
        <f>Gasto_o_ing_total!M513*1000/Gasto_o_ing_total!M$479</f>
        <v>24.906708985174358</v>
      </c>
      <c r="O513" s="336">
        <f>Gasto_o_ing_total!N513*1000/Gasto_o_ing_total!N$479</f>
        <v>35.124419898877882</v>
      </c>
      <c r="P513" s="336">
        <f>Gasto_o_ing_total!O513*1000/Gasto_o_ing_total!O$479</f>
        <v>10.911961338284138</v>
      </c>
      <c r="Q513" s="336">
        <f>Gasto_o_ing_total!P513*1000/Gasto_o_ing_total!P$479</f>
        <v>10.409520830366265</v>
      </c>
      <c r="R513" s="336">
        <f>Gasto_o_ing_total!Q513*1000/Gasto_o_ing_total!Q$479</f>
        <v>31.195131247335429</v>
      </c>
      <c r="S513" s="336">
        <f>Gasto_o_ing_total!R513*1000/Gasto_o_ing_total!R$479</f>
        <v>18.07239124470723</v>
      </c>
      <c r="T513" s="336">
        <f>Gasto_o_ing_total!S513*1000/Gasto_o_ing_total!S$479</f>
        <v>3.5492146617699833</v>
      </c>
      <c r="U513" s="336">
        <f>Gasto_o_ing_total!T513*1000/Gasto_o_ing_total!T$479</f>
        <v>3.0918251449149992</v>
      </c>
      <c r="V513" s="336">
        <f>Gasto_o_ing_total!U513*1000/Gasto_o_ing_total!U$479</f>
        <v>2.3862585745405824</v>
      </c>
    </row>
    <row r="514" spans="1:22" s="102" customFormat="1">
      <c r="A514" s="355"/>
      <c r="B514" s="115" t="s">
        <v>463</v>
      </c>
      <c r="C514" s="333" t="str">
        <f>VLOOKUP(B514,Tot_res!C:D,2,FALSE)</f>
        <v>ITP y AJD, sobreesfuerzo fiscal</v>
      </c>
      <c r="D514" s="336">
        <f>Gasto_o_ing_total!V514*1000/Gasto_o_ing_total!V$479</f>
        <v>3.6596166827540659</v>
      </c>
      <c r="E514" s="336">
        <f>Gasto_o_ing_total!D514*1000/Gasto_o_ing_total!D$479</f>
        <v>4.9691789924104945</v>
      </c>
      <c r="F514" s="336">
        <f>Gasto_o_ing_total!E514*1000/Gasto_o_ing_total!E$479</f>
        <v>1.3136963738799416</v>
      </c>
      <c r="G514" s="336">
        <f>Gasto_o_ing_total!F514*1000/Gasto_o_ing_total!F$479</f>
        <v>3.9704463265299834</v>
      </c>
      <c r="H514" s="336">
        <f>Gasto_o_ing_total!G514*1000/Gasto_o_ing_total!G$479</f>
        <v>6.0963109690603972</v>
      </c>
      <c r="I514" s="336">
        <f>Gasto_o_ing_total!H514*1000/Gasto_o_ing_total!H$479</f>
        <v>-1.0697878536475129</v>
      </c>
      <c r="J514" s="336">
        <f>Gasto_o_ing_total!I514*1000/Gasto_o_ing_total!I$479</f>
        <v>4.6958395414449958</v>
      </c>
      <c r="K514" s="336">
        <f>Gasto_o_ing_total!J514*1000/Gasto_o_ing_total!J$479</f>
        <v>5.1344633713159871</v>
      </c>
      <c r="L514" s="336">
        <f>Gasto_o_ing_total!K514*1000/Gasto_o_ing_total!K$479</f>
        <v>4.2404947079878061</v>
      </c>
      <c r="M514" s="336">
        <f>Gasto_o_ing_total!L514*1000/Gasto_o_ing_total!L$479</f>
        <v>10.415540625400853</v>
      </c>
      <c r="N514" s="336">
        <f>Gasto_o_ing_total!M514*1000/Gasto_o_ing_total!M$479</f>
        <v>5.8396863635800305</v>
      </c>
      <c r="O514" s="336">
        <f>Gasto_o_ing_total!N514*1000/Gasto_o_ing_total!N$479</f>
        <v>3.6721500215759542</v>
      </c>
      <c r="P514" s="336">
        <f>Gasto_o_ing_total!O514*1000/Gasto_o_ing_total!O$479</f>
        <v>7.3858449809489777</v>
      </c>
      <c r="Q514" s="336">
        <f>Gasto_o_ing_total!P514*1000/Gasto_o_ing_total!P$479</f>
        <v>1.7279316712551243</v>
      </c>
      <c r="R514" s="336">
        <f>Gasto_o_ing_total!Q514*1000/Gasto_o_ing_total!Q$479</f>
        <v>2.5747510408049576</v>
      </c>
      <c r="S514" s="336">
        <f>Gasto_o_ing_total!R514*1000/Gasto_o_ing_total!R$479</f>
        <v>-12.360495933233352</v>
      </c>
      <c r="T514" s="336">
        <f>Gasto_o_ing_total!S514*1000/Gasto_o_ing_total!S$479</f>
        <v>-25.228807216316724</v>
      </c>
      <c r="U514" s="336">
        <f>Gasto_o_ing_total!T514*1000/Gasto_o_ing_total!T$479</f>
        <v>1.4296911323683168</v>
      </c>
      <c r="V514" s="336">
        <f>Gasto_o_ing_total!U514*1000/Gasto_o_ing_total!U$479</f>
        <v>61.14028876180722</v>
      </c>
    </row>
    <row r="515" spans="1:22" s="102" customFormat="1">
      <c r="A515" s="355"/>
      <c r="B515" s="115" t="s">
        <v>464</v>
      </c>
      <c r="C515" s="333" t="str">
        <f>VLOOKUP(B515,Tot_res!C:D,2,FALSE)</f>
        <v>IVMH, sobreesfuerzo fiscal</v>
      </c>
      <c r="D515" s="336">
        <f>Gasto_o_ing_total!V515*1000/Gasto_o_ing_total!V$479</f>
        <v>5.4437397769594327</v>
      </c>
      <c r="E515" s="336">
        <f>Gasto_o_ing_total!D515*1000/Gasto_o_ing_total!D$479</f>
        <v>6.4984181028029129</v>
      </c>
      <c r="F515" s="336">
        <f>Gasto_o_ing_total!E515*1000/Gasto_o_ing_total!E$479</f>
        <v>0.85563792797159566</v>
      </c>
      <c r="G515" s="336">
        <f>Gasto_o_ing_total!F515*1000/Gasto_o_ing_total!F$479</f>
        <v>4.0446414965628348</v>
      </c>
      <c r="H515" s="336">
        <f>Gasto_o_ing_total!G515*1000/Gasto_o_ing_total!G$479</f>
        <v>6.7074696198150132</v>
      </c>
      <c r="I515" s="336">
        <f>Gasto_o_ing_total!H515*1000/Gasto_o_ing_total!H$479</f>
        <v>0.39378868749776663</v>
      </c>
      <c r="J515" s="336">
        <f>Gasto_o_ing_total!I515*1000/Gasto_o_ing_total!I$479</f>
        <v>7.299132619060912</v>
      </c>
      <c r="K515" s="336">
        <f>Gasto_o_ing_total!J515*1000/Gasto_o_ing_total!J$479</f>
        <v>8.7116441323183995</v>
      </c>
      <c r="L515" s="336">
        <f>Gasto_o_ing_total!K515*1000/Gasto_o_ing_total!K$479</f>
        <v>8.4642787530418566</v>
      </c>
      <c r="M515" s="336">
        <f>Gasto_o_ing_total!L515*1000/Gasto_o_ing_total!L$479</f>
        <v>7.6267297900527513</v>
      </c>
      <c r="N515" s="336">
        <f>Gasto_o_ing_total!M515*1000/Gasto_o_ing_total!M$479</f>
        <v>6.4016345001729782</v>
      </c>
      <c r="O515" s="336">
        <f>Gasto_o_ing_total!N515*1000/Gasto_o_ing_total!N$479</f>
        <v>8.0198898076248479</v>
      </c>
      <c r="P515" s="336">
        <f>Gasto_o_ing_total!O515*1000/Gasto_o_ing_total!O$479</f>
        <v>3.1282294175697487</v>
      </c>
      <c r="Q515" s="336">
        <f>Gasto_o_ing_total!P515*1000/Gasto_o_ing_total!P$479</f>
        <v>3.1177267967115001</v>
      </c>
      <c r="R515" s="336">
        <f>Gasto_o_ing_total!Q515*1000/Gasto_o_ing_total!Q$479</f>
        <v>6.4076847796085108</v>
      </c>
      <c r="S515" s="336">
        <f>Gasto_o_ing_total!R515*1000/Gasto_o_ing_total!R$479</f>
        <v>6.0382129953939145</v>
      </c>
      <c r="T515" s="336">
        <f>Gasto_o_ing_total!S515*1000/Gasto_o_ing_total!S$479</f>
        <v>0.96777759537288</v>
      </c>
      <c r="U515" s="336">
        <f>Gasto_o_ing_total!T515*1000/Gasto_o_ing_total!T$479</f>
        <v>0.84305949039640282</v>
      </c>
      <c r="V515" s="336">
        <f>Gasto_o_ing_total!U515*1000/Gasto_o_ing_total!U$479</f>
        <v>0.65067002288757747</v>
      </c>
    </row>
    <row r="516" spans="1:22" s="102" customFormat="1">
      <c r="A516" s="355"/>
      <c r="B516" s="115" t="s">
        <v>466</v>
      </c>
      <c r="C516" s="333" t="str">
        <f>VLOOKUP(B516,Tot_res!C:D,2,FALSE)</f>
        <v>Tasas sobre el juego, sobreesfuerzo fiscal</v>
      </c>
      <c r="D516" s="336">
        <f>Gasto_o_ing_total!V516*1000/Gasto_o_ing_total!V$479</f>
        <v>0.39226944447626161</v>
      </c>
      <c r="E516" s="336">
        <f>Gasto_o_ing_total!D516*1000/Gasto_o_ing_total!D$479</f>
        <v>1.5467937191831198</v>
      </c>
      <c r="F516" s="336">
        <f>Gasto_o_ing_total!E516*1000/Gasto_o_ing_total!E$479</f>
        <v>6.6496607650908617</v>
      </c>
      <c r="G516" s="336">
        <f>Gasto_o_ing_total!F516*1000/Gasto_o_ing_total!F$479</f>
        <v>3.8896815719966651</v>
      </c>
      <c r="H516" s="336">
        <f>Gasto_o_ing_total!G516*1000/Gasto_o_ing_total!G$479</f>
        <v>-5.9819787539050937</v>
      </c>
      <c r="I516" s="336">
        <f>Gasto_o_ing_total!H516*1000/Gasto_o_ing_total!H$479</f>
        <v>8.8433039393280666</v>
      </c>
      <c r="J516" s="336">
        <f>Gasto_o_ing_total!I516*1000/Gasto_o_ing_total!I$479</f>
        <v>2.7740960793267981</v>
      </c>
      <c r="K516" s="336">
        <f>Gasto_o_ing_total!J516*1000/Gasto_o_ing_total!J$479</f>
        <v>1.3950313531541423</v>
      </c>
      <c r="L516" s="336">
        <f>Gasto_o_ing_total!K516*1000/Gasto_o_ing_total!K$479</f>
        <v>-2.5503189691251325</v>
      </c>
      <c r="M516" s="336">
        <f>Gasto_o_ing_total!L516*1000/Gasto_o_ing_total!L$479</f>
        <v>6.2717161620126936</v>
      </c>
      <c r="N516" s="336">
        <f>Gasto_o_ing_total!M516*1000/Gasto_o_ing_total!M$479</f>
        <v>-2.8728651845653785</v>
      </c>
      <c r="O516" s="336">
        <f>Gasto_o_ing_total!N516*1000/Gasto_o_ing_total!N$479</f>
        <v>5.2554052097832065</v>
      </c>
      <c r="P516" s="336">
        <f>Gasto_o_ing_total!O516*1000/Gasto_o_ing_total!O$479</f>
        <v>0.24238288530311</v>
      </c>
      <c r="Q516" s="336">
        <f>Gasto_o_ing_total!P516*1000/Gasto_o_ing_total!P$479</f>
        <v>-12.303843877270435</v>
      </c>
      <c r="R516" s="336">
        <f>Gasto_o_ing_total!Q516*1000/Gasto_o_ing_total!Q$479</f>
        <v>0.89110729687583656</v>
      </c>
      <c r="S516" s="336">
        <f>Gasto_o_ing_total!R516*1000/Gasto_o_ing_total!R$479</f>
        <v>-2.2848884048848506</v>
      </c>
      <c r="T516" s="336">
        <f>Gasto_o_ing_total!S516*1000/Gasto_o_ing_total!S$479</f>
        <v>8.3472161684112631</v>
      </c>
      <c r="U516" s="336">
        <f>Gasto_o_ing_total!T516*1000/Gasto_o_ing_total!T$479</f>
        <v>4.6339709807620295</v>
      </c>
      <c r="V516" s="336">
        <f>Gasto_o_ing_total!U516*1000/Gasto_o_ing_total!U$479</f>
        <v>8.1611228770081539</v>
      </c>
    </row>
    <row r="517" spans="1:22" s="102" customFormat="1">
      <c r="A517" s="355"/>
      <c r="B517" s="115" t="s">
        <v>467</v>
      </c>
      <c r="C517" s="333" t="str">
        <f>VLOOKUP(B517,Tot_res!C:D,2,FALSE)</f>
        <v>Canarias, sobreesfuerzo fiscal consumo</v>
      </c>
      <c r="D517" s="336">
        <f>Gasto_o_ing_total!V517*1000/Gasto_o_ing_total!V$479</f>
        <v>-48.885459455428382</v>
      </c>
      <c r="E517" s="336">
        <f>Gasto_o_ing_total!D517*1000/Gasto_o_ing_total!D$479</f>
        <v>-12.253564618264607</v>
      </c>
      <c r="F517" s="336">
        <f>Gasto_o_ing_total!E517*1000/Gasto_o_ing_total!E$479</f>
        <v>-12.559802722466728</v>
      </c>
      <c r="G517" s="336">
        <f>Gasto_o_ing_total!F517*1000/Gasto_o_ing_total!F$479</f>
        <v>-15.033737692657018</v>
      </c>
      <c r="H517" s="336">
        <f>Gasto_o_ing_total!G517*1000/Gasto_o_ing_total!G$479</f>
        <v>-12.501573083867358</v>
      </c>
      <c r="I517" s="336">
        <f>Gasto_o_ing_total!H517*1000/Gasto_o_ing_total!H$479</f>
        <v>-813.09673946406713</v>
      </c>
      <c r="J517" s="336">
        <f>Gasto_o_ing_total!I517*1000/Gasto_o_ing_total!I$479</f>
        <v>-14.029262730762792</v>
      </c>
      <c r="K517" s="336">
        <f>Gasto_o_ing_total!J517*1000/Gasto_o_ing_total!J$479</f>
        <v>-12.961755264886733</v>
      </c>
      <c r="L517" s="336">
        <f>Gasto_o_ing_total!K517*1000/Gasto_o_ing_total!K$479</f>
        <v>-12.301391970812121</v>
      </c>
      <c r="M517" s="336">
        <f>Gasto_o_ing_total!L517*1000/Gasto_o_ing_total!L$479</f>
        <v>-12.576660004254283</v>
      </c>
      <c r="N517" s="336">
        <f>Gasto_o_ing_total!M517*1000/Gasto_o_ing_total!M$479</f>
        <v>-12.374614261113717</v>
      </c>
      <c r="O517" s="336">
        <f>Gasto_o_ing_total!N517*1000/Gasto_o_ing_total!N$479</f>
        <v>-12.113915725819938</v>
      </c>
      <c r="P517" s="336">
        <f>Gasto_o_ing_total!O517*1000/Gasto_o_ing_total!O$479</f>
        <v>-13.720202290530377</v>
      </c>
      <c r="Q517" s="336">
        <f>Gasto_o_ing_total!P517*1000/Gasto_o_ing_total!P$479</f>
        <v>-13.55281229493818</v>
      </c>
      <c r="R517" s="336">
        <f>Gasto_o_ing_total!Q517*1000/Gasto_o_ing_total!Q$479</f>
        <v>-12.174660685984376</v>
      </c>
      <c r="S517" s="336">
        <f>Gasto_o_ing_total!R517*1000/Gasto_o_ing_total!R$479</f>
        <v>-13.548003513265707</v>
      </c>
      <c r="T517" s="336">
        <f>Gasto_o_ing_total!S517*1000/Gasto_o_ing_total!S$479</f>
        <v>-14.987023054372148</v>
      </c>
      <c r="U517" s="336">
        <f>Gasto_o_ing_total!T517*1000/Gasto_o_ing_total!T$479</f>
        <v>-12.441497262102583</v>
      </c>
      <c r="V517" s="336">
        <f>Gasto_o_ing_total!U517*1000/Gasto_o_ing_total!U$479</f>
        <v>-12.419608182000259</v>
      </c>
    </row>
    <row r="518" spans="1:22" s="102" customFormat="1">
      <c r="A518" s="355"/>
      <c r="B518" s="115" t="s">
        <v>468</v>
      </c>
      <c r="C518" s="333" t="str">
        <f>VLOOKUP(B518,Tot_res!C:D,2,FALSE)</f>
        <v>Ceuta y Melilla, sobreesfuerzo fiscal consumo</v>
      </c>
      <c r="D518" s="336">
        <f>Gasto_o_ing_total!V518*1000/Gasto_o_ing_total!V$479</f>
        <v>-1.3727546371624801</v>
      </c>
      <c r="E518" s="336">
        <f>Gasto_o_ing_total!D518*1000/Gasto_o_ing_total!D$479</f>
        <v>0</v>
      </c>
      <c r="F518" s="336">
        <f>Gasto_o_ing_total!E518*1000/Gasto_o_ing_total!E$479</f>
        <v>0</v>
      </c>
      <c r="G518" s="336">
        <f>Gasto_o_ing_total!F518*1000/Gasto_o_ing_total!F$479</f>
        <v>0</v>
      </c>
      <c r="H518" s="336">
        <f>Gasto_o_ing_total!G518*1000/Gasto_o_ing_total!G$479</f>
        <v>0</v>
      </c>
      <c r="I518" s="336">
        <f>Gasto_o_ing_total!H518*1000/Gasto_o_ing_total!H$479</f>
        <v>0</v>
      </c>
      <c r="J518" s="336">
        <f>Gasto_o_ing_total!I518*1000/Gasto_o_ing_total!I$479</f>
        <v>0</v>
      </c>
      <c r="K518" s="336">
        <f>Gasto_o_ing_total!J518*1000/Gasto_o_ing_total!J$479</f>
        <v>0</v>
      </c>
      <c r="L518" s="336">
        <f>Gasto_o_ing_total!K518*1000/Gasto_o_ing_total!K$479</f>
        <v>0</v>
      </c>
      <c r="M518" s="336">
        <f>Gasto_o_ing_total!L518*1000/Gasto_o_ing_total!L$479</f>
        <v>0</v>
      </c>
      <c r="N518" s="336">
        <f>Gasto_o_ing_total!M518*1000/Gasto_o_ing_total!M$479</f>
        <v>0</v>
      </c>
      <c r="O518" s="336">
        <f>Gasto_o_ing_total!N518*1000/Gasto_o_ing_total!N$479</f>
        <v>0</v>
      </c>
      <c r="P518" s="336">
        <f>Gasto_o_ing_total!O518*1000/Gasto_o_ing_total!O$479</f>
        <v>0</v>
      </c>
      <c r="Q518" s="336">
        <f>Gasto_o_ing_total!P518*1000/Gasto_o_ing_total!P$479</f>
        <v>0</v>
      </c>
      <c r="R518" s="336">
        <f>Gasto_o_ing_total!Q518*1000/Gasto_o_ing_total!Q$479</f>
        <v>0</v>
      </c>
      <c r="S518" s="336">
        <f>Gasto_o_ing_total!R518*1000/Gasto_o_ing_total!R$479</f>
        <v>0</v>
      </c>
      <c r="T518" s="336">
        <f>Gasto_o_ing_total!S518*1000/Gasto_o_ing_total!S$479</f>
        <v>0</v>
      </c>
      <c r="U518" s="336">
        <f>Gasto_o_ing_total!T518*1000/Gasto_o_ing_total!T$479</f>
        <v>0</v>
      </c>
      <c r="V518" s="336">
        <f>Gasto_o_ing_total!U518*1000/Gasto_o_ing_total!U$479</f>
        <v>-382.12676393740588</v>
      </c>
    </row>
    <row r="519" spans="1:22" s="102" customFormat="1">
      <c r="A519" s="355"/>
      <c r="B519" s="115" t="s">
        <v>469</v>
      </c>
      <c r="C519" s="333" t="str">
        <f>VLOOKUP(B519,Tot_res!C:D,2,FALSE)</f>
        <v>Impuesto de matriculación, sobreesfuerzo fiscal</v>
      </c>
      <c r="D519" s="336">
        <f>Gasto_o_ing_total!V519*1000/Gasto_o_ing_total!V$479</f>
        <v>4.4026523047796584E-2</v>
      </c>
      <c r="E519" s="336">
        <f>Gasto_o_ing_total!D519*1000/Gasto_o_ing_total!D$479</f>
        <v>9.4505101369877928E-2</v>
      </c>
      <c r="F519" s="336">
        <f>Gasto_o_ing_total!E519*1000/Gasto_o_ing_total!E$479</f>
        <v>4.6342168628951781E-3</v>
      </c>
      <c r="G519" s="336">
        <f>Gasto_o_ing_total!F519*1000/Gasto_o_ing_total!F$479</f>
        <v>4.1199059290373277E-2</v>
      </c>
      <c r="H519" s="336">
        <f>Gasto_o_ing_total!G519*1000/Gasto_o_ing_total!G$479</f>
        <v>0.12676314921925547</v>
      </c>
      <c r="I519" s="336">
        <f>Gasto_o_ing_total!H519*1000/Gasto_o_ing_total!H$479</f>
        <v>2.1448019516836958E-3</v>
      </c>
      <c r="J519" s="336">
        <f>Gasto_o_ing_total!I519*1000/Gasto_o_ing_total!I$479</f>
        <v>0.14097263126499177</v>
      </c>
      <c r="K519" s="336">
        <f>Gasto_o_ing_total!J519*1000/Gasto_o_ing_total!J$479</f>
        <v>4.5004919637875547E-3</v>
      </c>
      <c r="L519" s="336">
        <f>Gasto_o_ing_total!K519*1000/Gasto_o_ing_total!K$479</f>
        <v>4.177267248687562E-3</v>
      </c>
      <c r="M519" s="336">
        <f>Gasto_o_ing_total!L519*1000/Gasto_o_ing_total!L$479</f>
        <v>8.2371327598020114E-2</v>
      </c>
      <c r="N519" s="336">
        <f>Gasto_o_ing_total!M519*1000/Gasto_o_ing_total!M$479</f>
        <v>4.3954643158739971E-3</v>
      </c>
      <c r="O519" s="336">
        <f>Gasto_o_ing_total!N519*1000/Gasto_o_ing_total!N$479</f>
        <v>0.2378204492157347</v>
      </c>
      <c r="P519" s="336">
        <f>Gasto_o_ing_total!O519*1000/Gasto_o_ing_total!O$479</f>
        <v>4.4511132846476696E-3</v>
      </c>
      <c r="Q519" s="336">
        <f>Gasto_o_ing_total!P519*1000/Gasto_o_ing_total!P$479</f>
        <v>5.1033808664083359E-3</v>
      </c>
      <c r="R519" s="336">
        <f>Gasto_o_ing_total!Q519*1000/Gasto_o_ing_total!Q$479</f>
        <v>4.0912350731951127E-3</v>
      </c>
      <c r="S519" s="336">
        <f>Gasto_o_ing_total!R519*1000/Gasto_o_ing_total!R$479</f>
        <v>4.791120059468198E-3</v>
      </c>
      <c r="T519" s="336">
        <f>Gasto_o_ing_total!S519*1000/Gasto_o_ing_total!S$479</f>
        <v>5.241648554739073E-3</v>
      </c>
      <c r="U519" s="336">
        <f>Gasto_o_ing_total!T519*1000/Gasto_o_ing_total!T$479</f>
        <v>4.5660827066762999E-3</v>
      </c>
      <c r="V519" s="336">
        <f>Gasto_o_ing_total!U519*1000/Gasto_o_ing_total!U$479</f>
        <v>3.523958519490659E-3</v>
      </c>
    </row>
    <row r="520" spans="1:22" s="102" customFormat="1">
      <c r="A520" s="355"/>
      <c r="B520" s="115" t="s">
        <v>470</v>
      </c>
      <c r="C520" s="333" t="str">
        <f>VLOOKUP(B520,Tot_res!C:D,2,FALSE)</f>
        <v>Impuestos propios de las CCAA</v>
      </c>
      <c r="D520" s="336">
        <f>Gasto_o_ing_total!V520*1000/Gasto_o_ing_total!V$479</f>
        <v>58.943844578473843</v>
      </c>
      <c r="E520" s="336">
        <f>Gasto_o_ing_total!D520*1000/Gasto_o_ing_total!D$479</f>
        <v>38.930670166521153</v>
      </c>
      <c r="F520" s="336">
        <f>Gasto_o_ing_total!E520*1000/Gasto_o_ing_total!E$479</f>
        <v>56.053582085922166</v>
      </c>
      <c r="G520" s="336">
        <f>Gasto_o_ing_total!F520*1000/Gasto_o_ing_total!F$479</f>
        <v>99.581618285373011</v>
      </c>
      <c r="H520" s="336">
        <f>Gasto_o_ing_total!G520*1000/Gasto_o_ing_total!G$479</f>
        <v>107.88899542958472</v>
      </c>
      <c r="I520" s="336">
        <f>Gasto_o_ing_total!H520*1000/Gasto_o_ing_total!H$479</f>
        <v>36.735692959431226</v>
      </c>
      <c r="J520" s="336">
        <f>Gasto_o_ing_total!I520*1000/Gasto_o_ing_total!I$479</f>
        <v>65.725326629079476</v>
      </c>
      <c r="K520" s="336">
        <f>Gasto_o_ing_total!J520*1000/Gasto_o_ing_total!J$479</f>
        <v>41.914791915312392</v>
      </c>
      <c r="L520" s="336">
        <f>Gasto_o_ing_total!K520*1000/Gasto_o_ing_total!K$479</f>
        <v>-83.276220335442858</v>
      </c>
      <c r="M520" s="336">
        <f>Gasto_o_ing_total!L520*1000/Gasto_o_ing_total!L$479</f>
        <v>147.34119959637891</v>
      </c>
      <c r="N520" s="336">
        <f>Gasto_o_ing_total!M520*1000/Gasto_o_ing_total!M$479</f>
        <v>70.700374427085649</v>
      </c>
      <c r="O520" s="336">
        <f>Gasto_o_ing_total!N520*1000/Gasto_o_ing_total!N$479</f>
        <v>147.48779744023059</v>
      </c>
      <c r="P520" s="336">
        <f>Gasto_o_ing_total!O520*1000/Gasto_o_ing_total!O$479</f>
        <v>46.631717239672255</v>
      </c>
      <c r="Q520" s="336">
        <f>Gasto_o_ing_total!P520*1000/Gasto_o_ing_total!P$479</f>
        <v>5.4747528395965679</v>
      </c>
      <c r="R520" s="336">
        <f>Gasto_o_ing_total!Q520*1000/Gasto_o_ing_total!Q$479</f>
        <v>49.494175816734817</v>
      </c>
      <c r="S520" s="336">
        <f>Gasto_o_ing_total!R520*1000/Gasto_o_ing_total!R$479</f>
        <v>79.65504443823734</v>
      </c>
      <c r="T520" s="336">
        <f>Gasto_o_ing_total!S520*1000/Gasto_o_ing_total!S$479</f>
        <v>67.096910128069538</v>
      </c>
      <c r="U520" s="336">
        <f>Gasto_o_ing_total!T520*1000/Gasto_o_ing_total!T$479</f>
        <v>81.752931614638342</v>
      </c>
      <c r="V520" s="336">
        <f>Gasto_o_ing_total!U520*1000/Gasto_o_ing_total!U$479</f>
        <v>0</v>
      </c>
    </row>
    <row r="521" spans="1:22">
      <c r="A521" s="356"/>
      <c r="C521" s="9"/>
      <c r="D521" s="27"/>
      <c r="E521" s="27"/>
      <c r="F521" s="27"/>
      <c r="G521" s="27"/>
      <c r="H521" s="27"/>
      <c r="I521" s="27"/>
      <c r="J521" s="27"/>
      <c r="K521" s="27"/>
      <c r="L521" s="27"/>
      <c r="M521" s="27"/>
      <c r="N521" s="27"/>
      <c r="O521" s="27"/>
      <c r="P521" s="27"/>
      <c r="Q521" s="27"/>
      <c r="R521" s="27"/>
      <c r="S521" s="27"/>
      <c r="T521" s="27"/>
      <c r="U521" s="27"/>
      <c r="V521" s="27"/>
    </row>
    <row r="522" spans="1:22" s="102" customFormat="1">
      <c r="A522" s="356"/>
      <c r="B522" s="115"/>
      <c r="C522" s="137" t="s">
        <v>436</v>
      </c>
      <c r="D522" s="110">
        <f>Gasto_o_ing_total!V522*1000/Gasto_o_ing_total!V$479</f>
        <v>500.54123510864451</v>
      </c>
      <c r="E522" s="110">
        <f>Gasto_o_ing_total!D522*1000/Gasto_o_ing_total!D$479</f>
        <v>413.43863510187418</v>
      </c>
      <c r="F522" s="110">
        <f>Gasto_o_ing_total!E522*1000/Gasto_o_ing_total!E$479</f>
        <v>525.89277769608259</v>
      </c>
      <c r="G522" s="110">
        <f>Gasto_o_ing_total!F522*1000/Gasto_o_ing_total!F$479</f>
        <v>475.58036873668095</v>
      </c>
      <c r="H522" s="110">
        <f>Gasto_o_ing_total!G522*1000/Gasto_o_ing_total!G$479</f>
        <v>649.17381875260696</v>
      </c>
      <c r="I522" s="110">
        <f>Gasto_o_ing_total!H522*1000/Gasto_o_ing_total!H$479</f>
        <v>382.91415154845731</v>
      </c>
      <c r="J522" s="110">
        <f>Gasto_o_ing_total!I522*1000/Gasto_o_ing_total!I$479</f>
        <v>538.74408997885712</v>
      </c>
      <c r="K522" s="110">
        <f>Gasto_o_ing_total!J522*1000/Gasto_o_ing_total!J$479</f>
        <v>475.6752927862579</v>
      </c>
      <c r="L522" s="110">
        <f>Gasto_o_ing_total!K522*1000/Gasto_o_ing_total!K$479</f>
        <v>449.06854732105325</v>
      </c>
      <c r="M522" s="110">
        <f>Gasto_o_ing_total!L522*1000/Gasto_o_ing_total!L$479</f>
        <v>627.04537923999999</v>
      </c>
      <c r="N522" s="110">
        <f>Gasto_o_ing_total!M522*1000/Gasto_o_ing_total!M$479</f>
        <v>485.47119059946579</v>
      </c>
      <c r="O522" s="110">
        <f>Gasto_o_ing_total!N522*1000/Gasto_o_ing_total!N$479</f>
        <v>345.5819781488413</v>
      </c>
      <c r="P522" s="110">
        <f>Gasto_o_ing_total!O522*1000/Gasto_o_ing_total!O$479</f>
        <v>372.50590256653436</v>
      </c>
      <c r="Q522" s="110">
        <f>Gasto_o_ing_total!P522*1000/Gasto_o_ing_total!P$479</f>
        <v>616.75959896342795</v>
      </c>
      <c r="R522" s="110">
        <f>Gasto_o_ing_total!Q522*1000/Gasto_o_ing_total!Q$479</f>
        <v>448.84231242175986</v>
      </c>
      <c r="S522" s="110">
        <f>Gasto_o_ing_total!R522*1000/Gasto_o_ing_total!R$479</f>
        <v>470.32159783281446</v>
      </c>
      <c r="T522" s="110">
        <f>Gasto_o_ing_total!S522*1000/Gasto_o_ing_total!S$479</f>
        <v>499.24480314257744</v>
      </c>
      <c r="U522" s="110">
        <f>Gasto_o_ing_total!T522*1000/Gasto_o_ing_total!T$479</f>
        <v>535.39557698637668</v>
      </c>
      <c r="V522" s="110">
        <f>Gasto_o_ing_total!U522*1000/Gasto_o_ing_total!U$479</f>
        <v>136.24565005884426</v>
      </c>
    </row>
    <row r="523" spans="1:22" s="102" customFormat="1">
      <c r="A523" s="355"/>
      <c r="B523" s="115" t="s">
        <v>625</v>
      </c>
      <c r="C523" s="333" t="str">
        <f>VLOOKUP(B523,Tot_res!C:D,2,FALSE)</f>
        <v>Impuestos y tasas municipales</v>
      </c>
      <c r="D523" s="336">
        <f>Gasto_o_ing_total!V523*1000/Gasto_o_ing_total!V$479</f>
        <v>500.54123510864451</v>
      </c>
      <c r="E523" s="336">
        <f>Gasto_o_ing_total!D523*1000/Gasto_o_ing_total!D$479</f>
        <v>413.43863510187418</v>
      </c>
      <c r="F523" s="336">
        <f>Gasto_o_ing_total!E523*1000/Gasto_o_ing_total!E$479</f>
        <v>525.89277769608259</v>
      </c>
      <c r="G523" s="336">
        <f>Gasto_o_ing_total!F523*1000/Gasto_o_ing_total!F$479</f>
        <v>475.58036873668095</v>
      </c>
      <c r="H523" s="336">
        <f>Gasto_o_ing_total!G523*1000/Gasto_o_ing_total!G$479</f>
        <v>649.17381875260696</v>
      </c>
      <c r="I523" s="336">
        <f>Gasto_o_ing_total!H523*1000/Gasto_o_ing_total!H$479</f>
        <v>382.91415154845731</v>
      </c>
      <c r="J523" s="336">
        <f>Gasto_o_ing_total!I523*1000/Gasto_o_ing_total!I$479</f>
        <v>538.74408997885712</v>
      </c>
      <c r="K523" s="336">
        <f>Gasto_o_ing_total!J523*1000/Gasto_o_ing_total!J$479</f>
        <v>475.6752927862579</v>
      </c>
      <c r="L523" s="336">
        <f>Gasto_o_ing_total!K523*1000/Gasto_o_ing_total!K$479</f>
        <v>449.06854732105325</v>
      </c>
      <c r="M523" s="336">
        <f>Gasto_o_ing_total!L523*1000/Gasto_o_ing_total!L$479</f>
        <v>627.04537923999999</v>
      </c>
      <c r="N523" s="336">
        <f>Gasto_o_ing_total!M523*1000/Gasto_o_ing_total!M$479</f>
        <v>485.47119059946579</v>
      </c>
      <c r="O523" s="336">
        <f>Gasto_o_ing_total!N523*1000/Gasto_o_ing_total!N$479</f>
        <v>345.5819781488413</v>
      </c>
      <c r="P523" s="336">
        <f>Gasto_o_ing_total!O523*1000/Gasto_o_ing_total!O$479</f>
        <v>372.50590256653436</v>
      </c>
      <c r="Q523" s="336">
        <f>Gasto_o_ing_total!P523*1000/Gasto_o_ing_total!P$479</f>
        <v>616.75959896342795</v>
      </c>
      <c r="R523" s="336">
        <f>Gasto_o_ing_total!Q523*1000/Gasto_o_ing_total!Q$479</f>
        <v>448.84231242175986</v>
      </c>
      <c r="S523" s="336">
        <f>Gasto_o_ing_total!R523*1000/Gasto_o_ing_total!R$479</f>
        <v>470.32159783281446</v>
      </c>
      <c r="T523" s="336">
        <f>Gasto_o_ing_total!S523*1000/Gasto_o_ing_total!S$479</f>
        <v>499.24480314257744</v>
      </c>
      <c r="U523" s="336">
        <f>Gasto_o_ing_total!T523*1000/Gasto_o_ing_total!T$479</f>
        <v>535.39557698637668</v>
      </c>
      <c r="V523" s="336">
        <f>Gasto_o_ing_total!U523*1000/Gasto_o_ing_total!U$479</f>
        <v>136.24565005884426</v>
      </c>
    </row>
    <row r="524" spans="1:22">
      <c r="A524" s="356"/>
      <c r="C524" s="6"/>
      <c r="D524" s="27"/>
      <c r="E524" s="27"/>
      <c r="F524" s="27"/>
      <c r="G524" s="27"/>
      <c r="H524" s="27"/>
      <c r="I524" s="27"/>
      <c r="J524" s="27"/>
      <c r="K524" s="27"/>
      <c r="L524" s="27"/>
      <c r="M524" s="27"/>
      <c r="N524" s="27"/>
      <c r="O524" s="27"/>
      <c r="P524" s="27"/>
      <c r="Q524" s="27"/>
      <c r="R524" s="27"/>
      <c r="S524" s="27"/>
      <c r="T524" s="27"/>
      <c r="U524" s="27"/>
      <c r="V524" s="27"/>
    </row>
    <row r="525" spans="1:22" s="102" customFormat="1">
      <c r="A525" s="356"/>
      <c r="B525" s="115"/>
      <c r="C525" s="137" t="s">
        <v>94</v>
      </c>
      <c r="D525" s="110">
        <f>Gasto_o_ing_total!V525*1000/Gasto_o_ing_total!V$479</f>
        <v>4626.8808793276557</v>
      </c>
      <c r="E525" s="110">
        <f>Gasto_o_ing_total!D525*1000/Gasto_o_ing_total!D$479</f>
        <v>3719.1889752977872</v>
      </c>
      <c r="F525" s="110">
        <f>Gasto_o_ing_total!E525*1000/Gasto_o_ing_total!E$479</f>
        <v>4975.0879961564897</v>
      </c>
      <c r="G525" s="110">
        <f>Gasto_o_ing_total!F525*1000/Gasto_o_ing_total!F$479</f>
        <v>4880.5172860728435</v>
      </c>
      <c r="H525" s="110">
        <f>Gasto_o_ing_total!G525*1000/Gasto_o_ing_total!G$479</f>
        <v>4945.2155230475519</v>
      </c>
      <c r="I525" s="110">
        <f>Gasto_o_ing_total!H525*1000/Gasto_o_ing_total!H$479</f>
        <v>2899.3627067605289</v>
      </c>
      <c r="J525" s="110">
        <f>Gasto_o_ing_total!I525*1000/Gasto_o_ing_total!I$479</f>
        <v>4910.6810726339563</v>
      </c>
      <c r="K525" s="110">
        <f>Gasto_o_ing_total!J525*1000/Gasto_o_ing_total!J$479</f>
        <v>4498.3324503515096</v>
      </c>
      <c r="L525" s="110">
        <f>Gasto_o_ing_total!K525*1000/Gasto_o_ing_total!K$479</f>
        <v>3730.230512889807</v>
      </c>
      <c r="M525" s="110">
        <f>Gasto_o_ing_total!L525*1000/Gasto_o_ing_total!L$479</f>
        <v>5469.8415783883866</v>
      </c>
      <c r="N525" s="110">
        <f>Gasto_o_ing_total!M525*1000/Gasto_o_ing_total!M$479</f>
        <v>4134.8421103018491</v>
      </c>
      <c r="O525" s="110">
        <f>Gasto_o_ing_total!N525*1000/Gasto_o_ing_total!N$479</f>
        <v>3662.5941939943987</v>
      </c>
      <c r="P525" s="110">
        <f>Gasto_o_ing_total!O525*1000/Gasto_o_ing_total!O$479</f>
        <v>4191.3069068618206</v>
      </c>
      <c r="Q525" s="110">
        <f>Gasto_o_ing_total!P525*1000/Gasto_o_ing_total!P$479</f>
        <v>6218.6129259868685</v>
      </c>
      <c r="R525" s="110">
        <f>Gasto_o_ing_total!Q525*1000/Gasto_o_ing_total!Q$479</f>
        <v>3757.255036013551</v>
      </c>
      <c r="S525" s="110">
        <f>Gasto_o_ing_total!R525*1000/Gasto_o_ing_total!R$479</f>
        <v>4832.7713670680487</v>
      </c>
      <c r="T525" s="110">
        <f>Gasto_o_ing_total!S525*1000/Gasto_o_ing_total!S$479</f>
        <v>5402.2398710725929</v>
      </c>
      <c r="U525" s="110">
        <f>Gasto_o_ing_total!T525*1000/Gasto_o_ing_total!T$479</f>
        <v>4734.1640950657102</v>
      </c>
      <c r="V525" s="110">
        <f>Gasto_o_ing_total!U525*1000/Gasto_o_ing_total!U$479</f>
        <v>3080.3603698225716</v>
      </c>
    </row>
    <row r="526" spans="1:22" s="102" customFormat="1">
      <c r="A526" s="356"/>
      <c r="B526" s="115"/>
      <c r="D526" s="110"/>
      <c r="E526" s="110"/>
      <c r="F526" s="110"/>
      <c r="G526" s="110"/>
      <c r="H526" s="110"/>
      <c r="I526" s="110"/>
      <c r="J526" s="110"/>
      <c r="K526" s="110"/>
      <c r="L526" s="110"/>
      <c r="M526" s="110"/>
      <c r="N526" s="110"/>
      <c r="O526" s="110"/>
      <c r="P526" s="110"/>
      <c r="Q526" s="110"/>
      <c r="R526" s="110"/>
      <c r="S526" s="110"/>
      <c r="T526" s="110"/>
      <c r="U526" s="110"/>
      <c r="V526" s="110"/>
    </row>
    <row r="527" spans="1:22" s="102" customFormat="1">
      <c r="A527" s="356"/>
      <c r="B527" s="115"/>
      <c r="C527" s="154" t="s">
        <v>437</v>
      </c>
      <c r="D527" s="110">
        <f>Gasto_o_ing_total!V527*1000/Gasto_o_ing_total!V$479</f>
        <v>2558.5626387784873</v>
      </c>
      <c r="E527" s="110">
        <f>Gasto_o_ing_total!D527*1000/Gasto_o_ing_total!D$479</f>
        <v>1945.8019860962015</v>
      </c>
      <c r="F527" s="110">
        <f>Gasto_o_ing_total!E527*1000/Gasto_o_ing_total!E$479</f>
        <v>2774.9661487235194</v>
      </c>
      <c r="G527" s="110">
        <f>Gasto_o_ing_total!F527*1000/Gasto_o_ing_total!F$479</f>
        <v>2623.4762003524579</v>
      </c>
      <c r="H527" s="110">
        <f>Gasto_o_ing_total!G527*1000/Gasto_o_ing_total!G$479</f>
        <v>2694.9491338774615</v>
      </c>
      <c r="I527" s="110">
        <f>Gasto_o_ing_total!H527*1000/Gasto_o_ing_total!H$479</f>
        <v>2186.8135719600741</v>
      </c>
      <c r="J527" s="110">
        <f>Gasto_o_ing_total!I527*1000/Gasto_o_ing_total!I$479</f>
        <v>2638.6645742430064</v>
      </c>
      <c r="K527" s="110">
        <f>Gasto_o_ing_total!J527*1000/Gasto_o_ing_total!J$479</f>
        <v>2486.6632463944929</v>
      </c>
      <c r="L527" s="110">
        <f>Gasto_o_ing_total!K527*1000/Gasto_o_ing_total!K$479</f>
        <v>2159.1442837830728</v>
      </c>
      <c r="M527" s="110">
        <f>Gasto_o_ing_total!L527*1000/Gasto_o_ing_total!L$479</f>
        <v>3018.1756830680411</v>
      </c>
      <c r="N527" s="110">
        <f>Gasto_o_ing_total!M527*1000/Gasto_o_ing_total!M$479</f>
        <v>2172.0375065201333</v>
      </c>
      <c r="O527" s="110">
        <f>Gasto_o_ing_total!N527*1000/Gasto_o_ing_total!N$479</f>
        <v>1895.265689784743</v>
      </c>
      <c r="P527" s="110">
        <f>Gasto_o_ing_total!O527*1000/Gasto_o_ing_total!O$479</f>
        <v>2370.2233725096503</v>
      </c>
      <c r="Q527" s="110">
        <f>Gasto_o_ing_total!P527*1000/Gasto_o_ing_total!P$479</f>
        <v>3247.2599142281051</v>
      </c>
      <c r="R527" s="110">
        <f>Gasto_o_ing_total!Q527*1000/Gasto_o_ing_total!Q$479</f>
        <v>2048.8260595043844</v>
      </c>
      <c r="S527" s="110">
        <f>Gasto_o_ing_total!R527*1000/Gasto_o_ing_total!R$479</f>
        <v>3218.2081076179988</v>
      </c>
      <c r="T527" s="110">
        <f>Gasto_o_ing_total!S527*1000/Gasto_o_ing_total!S$479</f>
        <v>3493.6001952692945</v>
      </c>
      <c r="U527" s="110">
        <f>Gasto_o_ing_total!T527*1000/Gasto_o_ing_total!T$479</f>
        <v>2709.3869258077657</v>
      </c>
      <c r="V527" s="110">
        <f>Gasto_o_ing_total!U527*1000/Gasto_o_ing_total!U$479</f>
        <v>2054.4329823903272</v>
      </c>
    </row>
    <row r="528" spans="1:22" s="102" customFormat="1">
      <c r="A528" s="355"/>
      <c r="B528" s="115" t="s">
        <v>624</v>
      </c>
      <c r="C528" s="333" t="str">
        <f>VLOOKUP(B528,Tot_res!C:D,2,FALSE)</f>
        <v>Cotizaciones sociales</v>
      </c>
      <c r="D528" s="336">
        <f>Gasto_o_ing_total!V528*1000/Gasto_o_ing_total!V$479</f>
        <v>2558.5626387784873</v>
      </c>
      <c r="E528" s="336">
        <f>Gasto_o_ing_total!D528*1000/Gasto_o_ing_total!D$479</f>
        <v>1945.8019860962015</v>
      </c>
      <c r="F528" s="336">
        <f>Gasto_o_ing_total!E528*1000/Gasto_o_ing_total!E$479</f>
        <v>2774.9661487235194</v>
      </c>
      <c r="G528" s="336">
        <f>Gasto_o_ing_total!F528*1000/Gasto_o_ing_total!F$479</f>
        <v>2623.4762003524579</v>
      </c>
      <c r="H528" s="336">
        <f>Gasto_o_ing_total!G528*1000/Gasto_o_ing_total!G$479</f>
        <v>2694.9491338774615</v>
      </c>
      <c r="I528" s="336">
        <f>Gasto_o_ing_total!H528*1000/Gasto_o_ing_total!H$479</f>
        <v>2186.8135719600741</v>
      </c>
      <c r="J528" s="336">
        <f>Gasto_o_ing_total!I528*1000/Gasto_o_ing_total!I$479</f>
        <v>2638.6645742430064</v>
      </c>
      <c r="K528" s="336">
        <f>Gasto_o_ing_total!J528*1000/Gasto_o_ing_total!J$479</f>
        <v>2486.6632463944929</v>
      </c>
      <c r="L528" s="336">
        <f>Gasto_o_ing_total!K528*1000/Gasto_o_ing_total!K$479</f>
        <v>2159.1442837830728</v>
      </c>
      <c r="M528" s="336">
        <f>Gasto_o_ing_total!L528*1000/Gasto_o_ing_total!L$479</f>
        <v>3018.1756830680411</v>
      </c>
      <c r="N528" s="336">
        <f>Gasto_o_ing_total!M528*1000/Gasto_o_ing_total!M$479</f>
        <v>2172.0375065201333</v>
      </c>
      <c r="O528" s="336">
        <f>Gasto_o_ing_total!N528*1000/Gasto_o_ing_total!N$479</f>
        <v>1895.265689784743</v>
      </c>
      <c r="P528" s="336">
        <f>Gasto_o_ing_total!O528*1000/Gasto_o_ing_total!O$479</f>
        <v>2370.2233725096503</v>
      </c>
      <c r="Q528" s="336">
        <f>Gasto_o_ing_total!P528*1000/Gasto_o_ing_total!P$479</f>
        <v>3247.2599142281051</v>
      </c>
      <c r="R528" s="336">
        <f>Gasto_o_ing_total!Q528*1000/Gasto_o_ing_total!Q$479</f>
        <v>2048.8260595043844</v>
      </c>
      <c r="S528" s="336">
        <f>Gasto_o_ing_total!R528*1000/Gasto_o_ing_total!R$479</f>
        <v>3218.2081076179988</v>
      </c>
      <c r="T528" s="336">
        <f>Gasto_o_ing_total!S528*1000/Gasto_o_ing_total!S$479</f>
        <v>3493.6001952692945</v>
      </c>
      <c r="U528" s="336">
        <f>Gasto_o_ing_total!T528*1000/Gasto_o_ing_total!T$479</f>
        <v>2709.3869258077657</v>
      </c>
      <c r="V528" s="336">
        <f>Gasto_o_ing_total!U528*1000/Gasto_o_ing_total!U$479</f>
        <v>2054.4329823903272</v>
      </c>
    </row>
    <row r="529" spans="1:22">
      <c r="A529" s="356"/>
      <c r="C529" s="25"/>
      <c r="D529" s="27"/>
      <c r="E529" s="27"/>
      <c r="F529" s="27"/>
      <c r="G529" s="27"/>
      <c r="H529" s="27"/>
      <c r="I529" s="27"/>
      <c r="J529" s="27"/>
      <c r="K529" s="27"/>
      <c r="L529" s="27"/>
      <c r="M529" s="27"/>
      <c r="N529" s="27"/>
      <c r="O529" s="27"/>
      <c r="P529" s="27"/>
      <c r="Q529" s="27"/>
      <c r="R529" s="27"/>
      <c r="S529" s="27"/>
      <c r="T529" s="27"/>
      <c r="U529" s="27"/>
      <c r="V529" s="27"/>
    </row>
    <row r="530" spans="1:22" s="102" customFormat="1">
      <c r="A530" s="356"/>
      <c r="B530" s="115"/>
      <c r="C530" s="154" t="s">
        <v>95</v>
      </c>
      <c r="D530" s="110">
        <f>Gasto_o_ing_total!V530*1000/Gasto_o_ing_total!V$479</f>
        <v>410.81444349910021</v>
      </c>
      <c r="E530" s="110">
        <f>Gasto_o_ing_total!D530*1000/Gasto_o_ing_total!D$479</f>
        <v>410.62747713545696</v>
      </c>
      <c r="F530" s="110">
        <f>Gasto_o_ing_total!E530*1000/Gasto_o_ing_total!E$479</f>
        <v>410.84644876204715</v>
      </c>
      <c r="G530" s="110">
        <f>Gasto_o_ing_total!F530*1000/Gasto_o_ing_total!F$479</f>
        <v>410.84420627245697</v>
      </c>
      <c r="H530" s="110">
        <f>Gasto_o_ing_total!G530*1000/Gasto_o_ing_total!G$479</f>
        <v>410.9989375153616</v>
      </c>
      <c r="I530" s="110">
        <f>Gasto_o_ing_total!H530*1000/Gasto_o_ing_total!H$479</f>
        <v>410.64824466262218</v>
      </c>
      <c r="J530" s="110">
        <f>Gasto_o_ing_total!I530*1000/Gasto_o_ing_total!I$479</f>
        <v>410.9007367360025</v>
      </c>
      <c r="K530" s="110">
        <f>Gasto_o_ing_total!J530*1000/Gasto_o_ing_total!J$479</f>
        <v>410.80367549308869</v>
      </c>
      <c r="L530" s="110">
        <f>Gasto_o_ing_total!K530*1000/Gasto_o_ing_total!K$479</f>
        <v>410.66154855722488</v>
      </c>
      <c r="M530" s="110">
        <f>Gasto_o_ing_total!L530*1000/Gasto_o_ing_total!L$479</f>
        <v>410.98099691075214</v>
      </c>
      <c r="N530" s="110">
        <f>Gasto_o_ing_total!M530*1000/Gasto_o_ing_total!M$479</f>
        <v>410.70541784902366</v>
      </c>
      <c r="O530" s="110">
        <f>Gasto_o_ing_total!N530*1000/Gasto_o_ing_total!N$479</f>
        <v>410.57285026175282</v>
      </c>
      <c r="P530" s="110">
        <f>Gasto_o_ing_total!O530*1000/Gasto_o_ing_total!O$479</f>
        <v>410.74276026032459</v>
      </c>
      <c r="Q530" s="110">
        <f>Gasto_o_ing_total!P530*1000/Gasto_o_ing_total!P$479</f>
        <v>411.03527621562614</v>
      </c>
      <c r="R530" s="110">
        <f>Gasto_o_ing_total!Q530*1000/Gasto_o_ing_total!Q$479</f>
        <v>410.56806769849726</v>
      </c>
      <c r="S530" s="110">
        <f>Gasto_o_ing_total!R530*1000/Gasto_o_ing_total!R$479</f>
        <v>410.91696264255023</v>
      </c>
      <c r="T530" s="110">
        <f>Gasto_o_ing_total!S530*1000/Gasto_o_ing_total!S$479</f>
        <v>411.10255466646424</v>
      </c>
      <c r="U530" s="110">
        <f>Gasto_o_ing_total!T530*1000/Gasto_o_ing_total!T$479</f>
        <v>410.7919945352503</v>
      </c>
      <c r="V530" s="110">
        <f>Gasto_o_ing_total!U530*1000/Gasto_o_ing_total!U$479</f>
        <v>410.48774026023119</v>
      </c>
    </row>
    <row r="531" spans="1:22" s="102" customFormat="1">
      <c r="A531" s="355"/>
      <c r="B531" s="115" t="s">
        <v>665</v>
      </c>
      <c r="C531" s="333" t="str">
        <f>VLOOKUP(B531,Tot_res!C:D,2,FALSE)</f>
        <v>Tasas, precios públicos e ingresos procedentes de la venta de bienes y servicios de la AC</v>
      </c>
      <c r="D531" s="336">
        <f>Gasto_o_ing_total!V531*1000/Gasto_o_ing_total!V$479</f>
        <v>57.747146881862662</v>
      </c>
      <c r="E531" s="336">
        <f>Gasto_o_ing_total!D531*1000/Gasto_o_ing_total!D$479</f>
        <v>57.747146881862669</v>
      </c>
      <c r="F531" s="336">
        <f>Gasto_o_ing_total!E531*1000/Gasto_o_ing_total!E$479</f>
        <v>57.747146881862669</v>
      </c>
      <c r="G531" s="336">
        <f>Gasto_o_ing_total!F531*1000/Gasto_o_ing_total!F$479</f>
        <v>57.747146881862669</v>
      </c>
      <c r="H531" s="336">
        <f>Gasto_o_ing_total!G531*1000/Gasto_o_ing_total!G$479</f>
        <v>57.747146881862669</v>
      </c>
      <c r="I531" s="336">
        <f>Gasto_o_ing_total!H531*1000/Gasto_o_ing_total!H$479</f>
        <v>57.747146881862669</v>
      </c>
      <c r="J531" s="336">
        <f>Gasto_o_ing_total!I531*1000/Gasto_o_ing_total!I$479</f>
        <v>57.747146881862669</v>
      </c>
      <c r="K531" s="336">
        <f>Gasto_o_ing_total!J531*1000/Gasto_o_ing_total!J$479</f>
        <v>57.747146881862662</v>
      </c>
      <c r="L531" s="336">
        <f>Gasto_o_ing_total!K531*1000/Gasto_o_ing_total!K$479</f>
        <v>57.747146881862669</v>
      </c>
      <c r="M531" s="336">
        <f>Gasto_o_ing_total!L531*1000/Gasto_o_ing_total!L$479</f>
        <v>57.747146881862669</v>
      </c>
      <c r="N531" s="336">
        <f>Gasto_o_ing_total!M531*1000/Gasto_o_ing_total!M$479</f>
        <v>57.747146881862662</v>
      </c>
      <c r="O531" s="336">
        <f>Gasto_o_ing_total!N531*1000/Gasto_o_ing_total!N$479</f>
        <v>57.747146881862669</v>
      </c>
      <c r="P531" s="336">
        <f>Gasto_o_ing_total!O531*1000/Gasto_o_ing_total!O$479</f>
        <v>57.747146881862669</v>
      </c>
      <c r="Q531" s="336">
        <f>Gasto_o_ing_total!P531*1000/Gasto_o_ing_total!P$479</f>
        <v>57.747146881862669</v>
      </c>
      <c r="R531" s="336">
        <f>Gasto_o_ing_total!Q531*1000/Gasto_o_ing_total!Q$479</f>
        <v>57.747146881862662</v>
      </c>
      <c r="S531" s="336">
        <f>Gasto_o_ing_total!R531*1000/Gasto_o_ing_total!R$479</f>
        <v>57.747146881862676</v>
      </c>
      <c r="T531" s="336">
        <f>Gasto_o_ing_total!S531*1000/Gasto_o_ing_total!S$479</f>
        <v>57.747146881862669</v>
      </c>
      <c r="U531" s="336">
        <f>Gasto_o_ing_total!T531*1000/Gasto_o_ing_total!T$479</f>
        <v>57.747146881862676</v>
      </c>
      <c r="V531" s="336">
        <f>Gasto_o_ing_total!U531*1000/Gasto_o_ing_total!U$479</f>
        <v>57.747146881862676</v>
      </c>
    </row>
    <row r="532" spans="1:22" s="102" customFormat="1">
      <c r="A532" s="355"/>
      <c r="B532" s="115" t="s">
        <v>472</v>
      </c>
      <c r="C532" s="333" t="str">
        <f>VLOOKUP(B532,Tot_res!C:D,2,FALSE)</f>
        <v>Tasas, Comisión del Mercado de Telecomunicaciones, CMT</v>
      </c>
      <c r="D532" s="336">
        <f>Gasto_o_ing_total!V532*1000/Gasto_o_ing_total!V$479</f>
        <v>0.46323194171775833</v>
      </c>
      <c r="E532" s="336">
        <f>Gasto_o_ing_total!D532*1000/Gasto_o_ing_total!D$479</f>
        <v>0.42885175130819342</v>
      </c>
      <c r="F532" s="336">
        <f>Gasto_o_ing_total!E532*1000/Gasto_o_ing_total!E$479</f>
        <v>0.46702750412367705</v>
      </c>
      <c r="G532" s="336">
        <f>Gasto_o_ing_total!F532*1000/Gasto_o_ing_total!F$479</f>
        <v>0.47159232703680481</v>
      </c>
      <c r="H532" s="336">
        <f>Gasto_o_ing_total!G532*1000/Gasto_o_ing_total!G$479</f>
        <v>0.53305976158869239</v>
      </c>
      <c r="I532" s="336">
        <f>Gasto_o_ing_total!H532*1000/Gasto_o_ing_total!H$479</f>
        <v>0.45705656867803535</v>
      </c>
      <c r="J532" s="336">
        <f>Gasto_o_ing_total!I532*1000/Gasto_o_ing_total!I$479</f>
        <v>0.47454348027091087</v>
      </c>
      <c r="K532" s="336">
        <f>Gasto_o_ing_total!J532*1000/Gasto_o_ing_total!J$479</f>
        <v>0.45034232216753173</v>
      </c>
      <c r="L532" s="336">
        <f>Gasto_o_ing_total!K532*1000/Gasto_o_ing_total!K$479</f>
        <v>0.41527928813965981</v>
      </c>
      <c r="M532" s="336">
        <f>Gasto_o_ing_total!L532*1000/Gasto_o_ing_total!L$479</f>
        <v>0.49981876079905391</v>
      </c>
      <c r="N532" s="336">
        <f>Gasto_o_ing_total!M532*1000/Gasto_o_ing_total!M$479</f>
        <v>0.44187995580225814</v>
      </c>
      <c r="O532" s="336">
        <f>Gasto_o_ing_total!N532*1000/Gasto_o_ing_total!N$479</f>
        <v>0.41068995015030246</v>
      </c>
      <c r="P532" s="336">
        <f>Gasto_o_ing_total!O532*1000/Gasto_o_ing_total!O$479</f>
        <v>0.43644180694809803</v>
      </c>
      <c r="Q532" s="336">
        <f>Gasto_o_ing_total!P532*1000/Gasto_o_ing_total!P$479</f>
        <v>0.50515945396517414</v>
      </c>
      <c r="R532" s="336">
        <f>Gasto_o_ing_total!Q532*1000/Gasto_o_ing_total!Q$479</f>
        <v>0.40140212256603752</v>
      </c>
      <c r="S532" s="336">
        <f>Gasto_o_ing_total!R532*1000/Gasto_o_ing_total!R$479</f>
        <v>0.46614852063815237</v>
      </c>
      <c r="T532" s="336">
        <f>Gasto_o_ing_total!S532*1000/Gasto_o_ing_total!S$479</f>
        <v>0.52493302724426427</v>
      </c>
      <c r="U532" s="336">
        <f>Gasto_o_ing_total!T532*1000/Gasto_o_ing_total!T$479</f>
        <v>0.44707481929514264</v>
      </c>
      <c r="V532" s="336">
        <f>Gasto_o_ing_total!U532*1000/Gasto_o_ing_total!U$479</f>
        <v>0.39622415256588683</v>
      </c>
    </row>
    <row r="533" spans="1:22" s="102" customFormat="1">
      <c r="A533" s="355"/>
      <c r="B533" s="115" t="s">
        <v>473</v>
      </c>
      <c r="C533" s="333" t="str">
        <f>VLOOKUP(B533,Tot_res!C:D,2,FALSE)</f>
        <v>Tasas, Comisión Nacional de la Energía, CME</v>
      </c>
      <c r="D533" s="336">
        <f>Gasto_o_ing_total!V533*1000/Gasto_o_ing_total!V$479</f>
        <v>0.69066265916050174</v>
      </c>
      <c r="E533" s="336">
        <f>Gasto_o_ing_total!D533*1000/Gasto_o_ing_total!D$479</f>
        <v>0.639837090242111</v>
      </c>
      <c r="F533" s="336">
        <f>Gasto_o_ing_total!E533*1000/Gasto_o_ing_total!E$479</f>
        <v>0.70096639443390019</v>
      </c>
      <c r="G533" s="336">
        <f>Gasto_o_ing_total!F533*1000/Gasto_o_ing_total!F$479</f>
        <v>0.69506664901294746</v>
      </c>
      <c r="H533" s="336">
        <f>Gasto_o_ing_total!G533*1000/Gasto_o_ing_total!G$479</f>
        <v>0.74606894725279516</v>
      </c>
      <c r="I533" s="336">
        <f>Gasto_o_ing_total!H533*1000/Gasto_o_ing_total!H$479</f>
        <v>0.61648620273077903</v>
      </c>
      <c r="J533" s="336">
        <f>Gasto_o_ing_total!I533*1000/Gasto_o_ing_total!I$479</f>
        <v>0.73876590949226639</v>
      </c>
      <c r="K533" s="336">
        <f>Gasto_o_ing_total!J533*1000/Gasto_o_ing_total!J$479</f>
        <v>0.70773599955925881</v>
      </c>
      <c r="L533" s="336">
        <f>Gasto_o_ing_total!K533*1000/Gasto_o_ing_total!K$479</f>
        <v>0.68094030988600318</v>
      </c>
      <c r="M533" s="336">
        <f>Gasto_o_ing_total!L533*1000/Gasto_o_ing_total!L$479</f>
        <v>0.73298283304719369</v>
      </c>
      <c r="N533" s="336">
        <f>Gasto_o_ing_total!M533*1000/Gasto_o_ing_total!M$479</f>
        <v>0.65303181965365908</v>
      </c>
      <c r="O533" s="336">
        <f>Gasto_o_ing_total!N533*1000/Gasto_o_ing_total!N$479</f>
        <v>0.63004681234125726</v>
      </c>
      <c r="P533" s="336">
        <f>Gasto_o_ing_total!O533*1000/Gasto_o_ing_total!O$479</f>
        <v>0.68214227660737581</v>
      </c>
      <c r="Q533" s="336">
        <f>Gasto_o_ing_total!P533*1000/Gasto_o_ing_total!P$479</f>
        <v>0.75519744754911533</v>
      </c>
      <c r="R533" s="336">
        <f>Gasto_o_ing_total!Q533*1000/Gasto_o_ing_total!Q$479</f>
        <v>0.63364674283882638</v>
      </c>
      <c r="S533" s="336">
        <f>Gasto_o_ing_total!R533*1000/Gasto_o_ing_total!R$479</f>
        <v>0.72454012987717153</v>
      </c>
      <c r="T533" s="336">
        <f>Gasto_o_ing_total!S533*1000/Gasto_o_ing_total!S$479</f>
        <v>0.72951114245870252</v>
      </c>
      <c r="U533" s="336">
        <f>Gasto_o_ing_total!T533*1000/Gasto_o_ing_total!T$479</f>
        <v>0.68923722012800237</v>
      </c>
      <c r="V533" s="336">
        <f>Gasto_o_ing_total!U533*1000/Gasto_o_ing_total!U$479</f>
        <v>0.54359794948362128</v>
      </c>
    </row>
    <row r="534" spans="1:22" s="102" customFormat="1">
      <c r="A534" s="355"/>
      <c r="B534" s="115" t="s">
        <v>475</v>
      </c>
      <c r="C534" s="333" t="str">
        <f>VLOOKUP(B534,Tot_res!C:D,2,FALSE)</f>
        <v>Tasas, CNMV</v>
      </c>
      <c r="D534" s="336">
        <f>Gasto_o_ing_total!V534*1000/Gasto_o_ing_total!V$479</f>
        <v>1.0048867998640783</v>
      </c>
      <c r="E534" s="336">
        <f>Gasto_o_ing_total!D534*1000/Gasto_o_ing_total!D$479</f>
        <v>0.90312619554880713</v>
      </c>
      <c r="F534" s="336">
        <f>Gasto_o_ing_total!E534*1000/Gasto_o_ing_total!E$479</f>
        <v>1.0227927651317779</v>
      </c>
      <c r="G534" s="336">
        <f>Gasto_o_ing_total!F534*1000/Gasto_o_ing_total!F$479</f>
        <v>1.0218851980492774</v>
      </c>
      <c r="H534" s="336">
        <f>Gasto_o_ing_total!G534*1000/Gasto_o_ing_total!G$479</f>
        <v>1.0641467081622311</v>
      </c>
      <c r="I534" s="336">
        <f>Gasto_o_ing_total!H534*1000/Gasto_o_ing_total!H$479</f>
        <v>0.91903979285553505</v>
      </c>
      <c r="J534" s="336">
        <f>Gasto_o_ing_total!I534*1000/Gasto_o_ing_total!I$479</f>
        <v>1.0317652478814952</v>
      </c>
      <c r="K534" s="336">
        <f>Gasto_o_ing_total!J534*1000/Gasto_o_ing_total!J$479</f>
        <v>0.98993507300410089</v>
      </c>
      <c r="L534" s="336">
        <f>Gasto_o_ing_total!K534*1000/Gasto_o_ing_total!K$479</f>
        <v>0.90966686084132464</v>
      </c>
      <c r="M534" s="336">
        <f>Gasto_o_ing_total!L534*1000/Gasto_o_ing_total!L$479</f>
        <v>1.0925332185480499</v>
      </c>
      <c r="N534" s="336">
        <f>Gasto_o_ing_total!M534*1000/Gasto_o_ing_total!M$479</f>
        <v>0.95484397520988662</v>
      </c>
      <c r="O534" s="336">
        <f>Gasto_o_ing_total!N534*1000/Gasto_o_ing_total!N$479</f>
        <v>0.87645140090341744</v>
      </c>
      <c r="P534" s="336">
        <f>Gasto_o_ing_total!O534*1000/Gasto_o_ing_total!O$479</f>
        <v>0.968514078411299</v>
      </c>
      <c r="Q534" s="336">
        <f>Gasto_o_ing_total!P534*1000/Gasto_o_ing_total!P$479</f>
        <v>1.1192572157539442</v>
      </c>
      <c r="R534" s="336">
        <f>Gasto_o_ing_total!Q534*1000/Gasto_o_ing_total!Q$479</f>
        <v>0.87735673473460163</v>
      </c>
      <c r="S534" s="336">
        <f>Gasto_o_ing_total!R534*1000/Gasto_o_ing_total!R$479</f>
        <v>1.0706118936770264</v>
      </c>
      <c r="T534" s="336">
        <f>Gasto_o_ing_total!S534*1000/Gasto_o_ing_total!S$479</f>
        <v>1.1924483984034753</v>
      </c>
      <c r="U534" s="336">
        <f>Gasto_o_ing_total!T534*1000/Gasto_o_ing_total!T$479</f>
        <v>1.0000203974693478</v>
      </c>
      <c r="V534" s="336">
        <f>Gasto_o_ing_total!U534*1000/Gasto_o_ing_total!U$479</f>
        <v>0.89225605982389466</v>
      </c>
    </row>
    <row r="535" spans="1:22" s="102" customFormat="1">
      <c r="A535" s="355"/>
      <c r="B535" s="115" t="s">
        <v>471</v>
      </c>
      <c r="C535" s="333" t="str">
        <f>VLOOKUP(B535,Tot_res!C:D,2,FALSE)</f>
        <v>Ingresos financieros, patrimoniales y similares de la Administración Central</v>
      </c>
      <c r="D535" s="336">
        <f>Gasto_o_ing_total!V535*1000/Gasto_o_ing_total!V$479</f>
        <v>273.51689634726841</v>
      </c>
      <c r="E535" s="336">
        <f>Gasto_o_ing_total!D535*1000/Gasto_o_ing_total!D$479</f>
        <v>273.51689634726841</v>
      </c>
      <c r="F535" s="336">
        <f>Gasto_o_ing_total!E535*1000/Gasto_o_ing_total!E$479</f>
        <v>273.51689634726841</v>
      </c>
      <c r="G535" s="336">
        <f>Gasto_o_ing_total!F535*1000/Gasto_o_ing_total!F$479</f>
        <v>273.51689634726847</v>
      </c>
      <c r="H535" s="336">
        <f>Gasto_o_ing_total!G535*1000/Gasto_o_ing_total!G$479</f>
        <v>273.51689634726847</v>
      </c>
      <c r="I535" s="336">
        <f>Gasto_o_ing_total!H535*1000/Gasto_o_ing_total!H$479</f>
        <v>273.51689634726847</v>
      </c>
      <c r="J535" s="336">
        <f>Gasto_o_ing_total!I535*1000/Gasto_o_ing_total!I$479</f>
        <v>273.51689634726841</v>
      </c>
      <c r="K535" s="336">
        <f>Gasto_o_ing_total!J535*1000/Gasto_o_ing_total!J$479</f>
        <v>273.51689634726847</v>
      </c>
      <c r="L535" s="336">
        <f>Gasto_o_ing_total!K535*1000/Gasto_o_ing_total!K$479</f>
        <v>273.51689634726847</v>
      </c>
      <c r="M535" s="336">
        <f>Gasto_o_ing_total!L535*1000/Gasto_o_ing_total!L$479</f>
        <v>273.51689634726841</v>
      </c>
      <c r="N535" s="336">
        <f>Gasto_o_ing_total!M535*1000/Gasto_o_ing_total!M$479</f>
        <v>273.51689634726841</v>
      </c>
      <c r="O535" s="336">
        <f>Gasto_o_ing_total!N535*1000/Gasto_o_ing_total!N$479</f>
        <v>273.51689634726847</v>
      </c>
      <c r="P535" s="336">
        <f>Gasto_o_ing_total!O535*1000/Gasto_o_ing_total!O$479</f>
        <v>273.51689634726841</v>
      </c>
      <c r="Q535" s="336">
        <f>Gasto_o_ing_total!P535*1000/Gasto_o_ing_total!P$479</f>
        <v>273.51689634726841</v>
      </c>
      <c r="R535" s="336">
        <f>Gasto_o_ing_total!Q535*1000/Gasto_o_ing_total!Q$479</f>
        <v>273.51689634726841</v>
      </c>
      <c r="S535" s="336">
        <f>Gasto_o_ing_total!R535*1000/Gasto_o_ing_total!R$479</f>
        <v>273.51689634726841</v>
      </c>
      <c r="T535" s="336">
        <f>Gasto_o_ing_total!S535*1000/Gasto_o_ing_total!S$479</f>
        <v>273.51689634726841</v>
      </c>
      <c r="U535" s="336">
        <f>Gasto_o_ing_total!T535*1000/Gasto_o_ing_total!T$479</f>
        <v>273.51689634726841</v>
      </c>
      <c r="V535" s="336">
        <f>Gasto_o_ing_total!U535*1000/Gasto_o_ing_total!U$479</f>
        <v>273.51689634726841</v>
      </c>
    </row>
    <row r="536" spans="1:22" s="102" customFormat="1">
      <c r="A536" s="355"/>
      <c r="B536" s="115" t="s">
        <v>476</v>
      </c>
      <c r="C536" s="333" t="str">
        <f>VLOOKUP(B536,Tot_res!C:D,2,FALSE)</f>
        <v>Ingresos del Banco de España, BdE</v>
      </c>
      <c r="D536" s="336">
        <f>Gasto_o_ing_total!V536*1000/Gasto_o_ing_total!V$479</f>
        <v>77.391618869226761</v>
      </c>
      <c r="E536" s="336">
        <f>Gasto_o_ing_total!D536*1000/Gasto_o_ing_total!D$479</f>
        <v>77.391618869226733</v>
      </c>
      <c r="F536" s="336">
        <f>Gasto_o_ing_total!E536*1000/Gasto_o_ing_total!E$479</f>
        <v>77.391618869226733</v>
      </c>
      <c r="G536" s="336">
        <f>Gasto_o_ing_total!F536*1000/Gasto_o_ing_total!F$479</f>
        <v>77.391618869226747</v>
      </c>
      <c r="H536" s="336">
        <f>Gasto_o_ing_total!G536*1000/Gasto_o_ing_total!G$479</f>
        <v>77.391618869226733</v>
      </c>
      <c r="I536" s="336">
        <f>Gasto_o_ing_total!H536*1000/Gasto_o_ing_total!H$479</f>
        <v>77.391618869226747</v>
      </c>
      <c r="J536" s="336">
        <f>Gasto_o_ing_total!I536*1000/Gasto_o_ing_total!I$479</f>
        <v>77.391618869226747</v>
      </c>
      <c r="K536" s="336">
        <f>Gasto_o_ing_total!J536*1000/Gasto_o_ing_total!J$479</f>
        <v>77.391618869226747</v>
      </c>
      <c r="L536" s="336">
        <f>Gasto_o_ing_total!K536*1000/Gasto_o_ing_total!K$479</f>
        <v>77.391618869226747</v>
      </c>
      <c r="M536" s="336">
        <f>Gasto_o_ing_total!L536*1000/Gasto_o_ing_total!L$479</f>
        <v>77.391618869226733</v>
      </c>
      <c r="N536" s="336">
        <f>Gasto_o_ing_total!M536*1000/Gasto_o_ing_total!M$479</f>
        <v>77.391618869226747</v>
      </c>
      <c r="O536" s="336">
        <f>Gasto_o_ing_total!N536*1000/Gasto_o_ing_total!N$479</f>
        <v>77.391618869226733</v>
      </c>
      <c r="P536" s="336">
        <f>Gasto_o_ing_total!O536*1000/Gasto_o_ing_total!O$479</f>
        <v>77.391618869226733</v>
      </c>
      <c r="Q536" s="336">
        <f>Gasto_o_ing_total!P536*1000/Gasto_o_ing_total!P$479</f>
        <v>77.391618869226733</v>
      </c>
      <c r="R536" s="336">
        <f>Gasto_o_ing_total!Q536*1000/Gasto_o_ing_total!Q$479</f>
        <v>77.391618869226733</v>
      </c>
      <c r="S536" s="336">
        <f>Gasto_o_ing_total!R536*1000/Gasto_o_ing_total!R$479</f>
        <v>77.391618869226747</v>
      </c>
      <c r="T536" s="336">
        <f>Gasto_o_ing_total!S536*1000/Gasto_o_ing_total!S$479</f>
        <v>77.391618869226733</v>
      </c>
      <c r="U536" s="336">
        <f>Gasto_o_ing_total!T536*1000/Gasto_o_ing_total!T$479</f>
        <v>77.391618869226747</v>
      </c>
      <c r="V536" s="336">
        <f>Gasto_o_ing_total!U536*1000/Gasto_o_ing_total!U$479</f>
        <v>77.391618869226733</v>
      </c>
    </row>
    <row r="537" spans="1:22">
      <c r="C537" s="26"/>
      <c r="D537" s="27"/>
      <c r="E537" s="27"/>
      <c r="F537" s="27"/>
      <c r="G537" s="27"/>
      <c r="H537" s="27"/>
      <c r="I537" s="27"/>
      <c r="J537" s="27"/>
      <c r="K537" s="27"/>
      <c r="L537" s="27"/>
      <c r="M537" s="27"/>
      <c r="N537" s="27"/>
      <c r="O537" s="27"/>
      <c r="P537" s="27"/>
      <c r="Q537" s="27"/>
      <c r="R537" s="27"/>
      <c r="S537" s="27"/>
      <c r="T537" s="27"/>
      <c r="U537" s="27"/>
      <c r="V537" s="27"/>
    </row>
    <row r="538" spans="1:22">
      <c r="D538" s="27"/>
      <c r="E538" s="27"/>
      <c r="F538" s="27"/>
      <c r="G538" s="27"/>
      <c r="H538" s="27"/>
      <c r="I538" s="27"/>
      <c r="J538" s="27"/>
      <c r="K538" s="27"/>
      <c r="L538" s="27"/>
      <c r="M538" s="27"/>
      <c r="N538" s="27"/>
      <c r="O538" s="27"/>
      <c r="P538" s="27"/>
      <c r="Q538" s="27"/>
      <c r="R538" s="27"/>
      <c r="S538" s="27"/>
      <c r="T538" s="27"/>
      <c r="U538" s="27"/>
      <c r="V538" s="27"/>
    </row>
    <row r="539" spans="1:22" s="102" customFormat="1">
      <c r="A539" s="353"/>
      <c r="B539" s="115"/>
      <c r="C539" s="103" t="s">
        <v>96</v>
      </c>
      <c r="D539" s="110">
        <f>Gasto_o_ing_total!V539*1000/Gasto_o_ing_total!V$479</f>
        <v>7596.2579616052444</v>
      </c>
      <c r="E539" s="110">
        <f>Gasto_o_ing_total!D539*1000/Gasto_o_ing_total!D$479</f>
        <v>6075.6184385294464</v>
      </c>
      <c r="F539" s="110">
        <f>Gasto_o_ing_total!E539*1000/Gasto_o_ing_total!E$479</f>
        <v>8160.9005936420572</v>
      </c>
      <c r="G539" s="110">
        <f>Gasto_o_ing_total!F539*1000/Gasto_o_ing_total!F$479</f>
        <v>7914.837692697758</v>
      </c>
      <c r="H539" s="110">
        <f>Gasto_o_ing_total!G539*1000/Gasto_o_ing_total!G$479</f>
        <v>8051.1635944403761</v>
      </c>
      <c r="I539" s="110">
        <f>Gasto_o_ing_total!H539*1000/Gasto_o_ing_total!H$479</f>
        <v>5496.8245233832249</v>
      </c>
      <c r="J539" s="110">
        <f>Gasto_o_ing_total!I539*1000/Gasto_o_ing_total!I$479</f>
        <v>7960.2463836129646</v>
      </c>
      <c r="K539" s="110">
        <f>Gasto_o_ing_total!J539*1000/Gasto_o_ing_total!J$479</f>
        <v>7395.7993722390911</v>
      </c>
      <c r="L539" s="110">
        <f>Gasto_o_ing_total!K539*1000/Gasto_o_ing_total!K$479</f>
        <v>6300.0363452301053</v>
      </c>
      <c r="M539" s="110">
        <f>Gasto_o_ing_total!L539*1000/Gasto_o_ing_total!L$479</f>
        <v>8898.9982583671808</v>
      </c>
      <c r="N539" s="110">
        <f>Gasto_o_ing_total!M539*1000/Gasto_o_ing_total!M$479</f>
        <v>6717.5850346710058</v>
      </c>
      <c r="O539" s="110">
        <f>Gasto_o_ing_total!N539*1000/Gasto_o_ing_total!N$479</f>
        <v>5968.4327340408945</v>
      </c>
      <c r="P539" s="110">
        <f>Gasto_o_ing_total!O539*1000/Gasto_o_ing_total!O$479</f>
        <v>6972.2730396317975</v>
      </c>
      <c r="Q539" s="110">
        <f>Gasto_o_ing_total!P539*1000/Gasto_o_ing_total!P$479</f>
        <v>9876.9081164306008</v>
      </c>
      <c r="R539" s="110">
        <f>Gasto_o_ing_total!Q539*1000/Gasto_o_ing_total!Q$479</f>
        <v>6216.6491632164334</v>
      </c>
      <c r="S539" s="110">
        <f>Gasto_o_ing_total!R539*1000/Gasto_o_ing_total!R$479</f>
        <v>8461.8964373285962</v>
      </c>
      <c r="T539" s="110">
        <f>Gasto_o_ing_total!S539*1000/Gasto_o_ing_total!S$479</f>
        <v>9306.9426210083529</v>
      </c>
      <c r="U539" s="110">
        <f>Gasto_o_ing_total!T539*1000/Gasto_o_ing_total!T$479</f>
        <v>7854.3430154087255</v>
      </c>
      <c r="V539" s="110">
        <f>Gasto_o_ing_total!U539*1000/Gasto_o_ing_total!U$479</f>
        <v>5545.2810924731311</v>
      </c>
    </row>
    <row r="540" spans="1:22" s="102" customFormat="1">
      <c r="A540" s="353"/>
      <c r="B540" s="115"/>
      <c r="C540" s="103" t="s">
        <v>97</v>
      </c>
      <c r="D540" s="110">
        <f>Gasto_o_ing_total!V540*1000/Gasto_o_ing_total!V$479</f>
        <v>7594.3015569936488</v>
      </c>
      <c r="E540" s="110">
        <f>Gasto_o_ing_total!D540*1000/Gasto_o_ing_total!D$479</f>
        <v>6000.1898525528213</v>
      </c>
      <c r="F540" s="110">
        <f>Gasto_o_ing_total!E540*1000/Gasto_o_ing_total!E$479</f>
        <v>8085.9984813010278</v>
      </c>
      <c r="G540" s="110">
        <f>Gasto_o_ing_total!F540*1000/Gasto_o_ing_total!F$479</f>
        <v>7753.8602664542368</v>
      </c>
      <c r="H540" s="110">
        <f>Gasto_o_ing_total!G540*1000/Gasto_o_ing_total!G$479</f>
        <v>7905.9046150707372</v>
      </c>
      <c r="I540" s="110">
        <f>Gasto_o_ing_total!H540*1000/Gasto_o_ing_total!H$479</f>
        <v>6279.8688688219627</v>
      </c>
      <c r="J540" s="110">
        <f>Gasto_o_ing_total!I540*1000/Gasto_o_ing_total!I$479</f>
        <v>7837.5232354118289</v>
      </c>
      <c r="K540" s="110">
        <f>Gasto_o_ing_total!J540*1000/Gasto_o_ing_total!J$479</f>
        <v>7347.4592313018711</v>
      </c>
      <c r="L540" s="110">
        <f>Gasto_o_ing_total!K540*1000/Gasto_o_ing_total!K$479</f>
        <v>6360.3874668967883</v>
      </c>
      <c r="M540" s="110">
        <f>Gasto_o_ing_total!L540*1000/Gasto_o_ing_total!L$479</f>
        <v>8733.5478837851606</v>
      </c>
      <c r="N540" s="110">
        <f>Gasto_o_ing_total!M540*1000/Gasto_o_ing_total!M$479</f>
        <v>6648.7344017662499</v>
      </c>
      <c r="O540" s="110">
        <f>Gasto_o_ing_total!N540*1000/Gasto_o_ing_total!N$479</f>
        <v>5769.8696249131308</v>
      </c>
      <c r="P540" s="110">
        <f>Gasto_o_ing_total!O540*1000/Gasto_o_ing_total!O$479</f>
        <v>6932.1534409591213</v>
      </c>
      <c r="Q540" s="110">
        <f>Gasto_o_ing_total!P540*1000/Gasto_o_ing_total!P$479</f>
        <v>9918.8169604618306</v>
      </c>
      <c r="R540" s="110">
        <f>Gasto_o_ing_total!Q540*1000/Gasto_o_ing_total!Q$479</f>
        <v>6139.8944081864884</v>
      </c>
      <c r="S540" s="110">
        <f>Gasto_o_ing_total!R540*1000/Gasto_o_ing_total!R$479</f>
        <v>8888.6092444943424</v>
      </c>
      <c r="T540" s="110">
        <f>Gasto_o_ing_total!S540*1000/Gasto_o_ing_total!S$479</f>
        <v>9684.0018177862949</v>
      </c>
      <c r="U540" s="110">
        <f>Gasto_o_ing_total!T540*1000/Gasto_o_ing_total!T$479</f>
        <v>7803.9089122950336</v>
      </c>
      <c r="V540" s="110">
        <f>Gasto_o_ing_total!U540*1000/Gasto_o_ing_total!U$479</f>
        <v>5970.958804591949</v>
      </c>
    </row>
    <row r="541" spans="1:22" s="102" customFormat="1">
      <c r="A541" s="353"/>
      <c r="B541" s="115"/>
    </row>
    <row r="545" spans="1:7" s="101" customFormat="1">
      <c r="A545" s="353"/>
      <c r="B545" s="9"/>
      <c r="C545"/>
      <c r="D545"/>
      <c r="E545"/>
      <c r="F545"/>
      <c r="G545"/>
    </row>
    <row r="546" spans="1:7" s="101" customFormat="1">
      <c r="A546" s="353"/>
      <c r="B546" s="9"/>
    </row>
    <row r="547" spans="1:7" s="101" customFormat="1">
      <c r="A547" s="353"/>
      <c r="B547" s="9"/>
      <c r="D547" s="304"/>
      <c r="E547" s="304"/>
      <c r="F547" s="304"/>
      <c r="G547" s="304"/>
    </row>
    <row r="548" spans="1:7" s="101" customFormat="1">
      <c r="A548" s="353"/>
      <c r="B548" s="9"/>
      <c r="C548" s="305"/>
      <c r="D548" s="4"/>
      <c r="E548" s="4"/>
      <c r="F548" s="4"/>
      <c r="G548" s="4"/>
    </row>
    <row r="549" spans="1:7" s="101" customFormat="1">
      <c r="A549" s="353"/>
      <c r="B549" s="9"/>
      <c r="C549" s="305"/>
      <c r="D549" s="4"/>
      <c r="E549" s="4"/>
      <c r="F549" s="4"/>
      <c r="G549" s="4"/>
    </row>
    <row r="550" spans="1:7" s="101" customFormat="1">
      <c r="A550" s="353"/>
      <c r="B550" s="9"/>
      <c r="C550" s="305"/>
      <c r="D550" s="4"/>
      <c r="E550" s="4"/>
      <c r="F550" s="4"/>
      <c r="G550" s="4"/>
    </row>
  </sheetData>
  <phoneticPr fontId="7" type="noConversion"/>
  <pageMargins left="0.75" right="0.75" top="1" bottom="1" header="0.5" footer="0.5"/>
  <pageSetup paperSize="9" orientation="portrait"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V541"/>
  <sheetViews>
    <sheetView zoomScaleNormal="100" workbookViewId="0">
      <pane xSplit="3" ySplit="7" topLeftCell="D152" activePane="bottomRight" state="frozen"/>
      <selection activeCell="A537" sqref="A537"/>
      <selection pane="topRight" activeCell="A537" sqref="A537"/>
      <selection pane="bottomLeft" activeCell="A537" sqref="A537"/>
      <selection pane="bottomRight" activeCell="B152" sqref="B152"/>
    </sheetView>
  </sheetViews>
  <sheetFormatPr baseColWidth="10" defaultRowHeight="12.55"/>
  <cols>
    <col min="1" max="1" width="11" style="353"/>
    <col min="2" max="2" width="6" customWidth="1"/>
    <col min="3" max="3" width="53.19921875" customWidth="1"/>
    <col min="4" max="4" width="10" customWidth="1"/>
    <col min="5" max="5" width="14.5" customWidth="1"/>
    <col min="6" max="6" width="12.8984375" customWidth="1"/>
    <col min="7" max="22" width="9.69921875" customWidth="1"/>
  </cols>
  <sheetData>
    <row r="1" spans="1:22" s="102" customFormat="1">
      <c r="A1" s="353"/>
    </row>
    <row r="2" spans="1:22" s="102" customFormat="1">
      <c r="A2" s="353"/>
    </row>
    <row r="3" spans="1:22" s="102" customFormat="1">
      <c r="A3" s="353"/>
    </row>
    <row r="4" spans="1:22" s="102" customFormat="1">
      <c r="A4" s="353"/>
    </row>
    <row r="5" spans="1:22" s="102" customFormat="1">
      <c r="A5" s="353"/>
      <c r="C5" s="103" t="s">
        <v>101</v>
      </c>
    </row>
    <row r="6" spans="1:22" s="102" customFormat="1">
      <c r="A6" s="353"/>
      <c r="C6" s="104"/>
      <c r="D6" s="105"/>
      <c r="E6" s="105"/>
      <c r="F6" s="105"/>
      <c r="G6" s="105"/>
      <c r="H6" s="105"/>
      <c r="I6" s="105"/>
      <c r="J6" s="105"/>
      <c r="K6" s="105"/>
      <c r="L6" s="105"/>
      <c r="M6" s="105"/>
      <c r="N6" s="105"/>
      <c r="O6" s="105"/>
      <c r="P6" s="105"/>
      <c r="Q6" s="105"/>
      <c r="R6" s="105"/>
      <c r="S6" s="105"/>
      <c r="T6" s="105"/>
      <c r="U6" s="105"/>
      <c r="V6" s="105"/>
    </row>
    <row r="7" spans="1:22" s="102" customFormat="1">
      <c r="A7" s="354"/>
      <c r="B7" s="106"/>
      <c r="C7" s="106"/>
      <c r="D7" s="107" t="s">
        <v>104</v>
      </c>
      <c r="E7" s="108" t="s">
        <v>66</v>
      </c>
      <c r="F7" s="108" t="s">
        <v>67</v>
      </c>
      <c r="G7" s="108" t="s">
        <v>56</v>
      </c>
      <c r="H7" s="108" t="s">
        <v>48</v>
      </c>
      <c r="I7" s="108" t="s">
        <v>49</v>
      </c>
      <c r="J7" s="108" t="s">
        <v>50</v>
      </c>
      <c r="K7" s="108" t="s">
        <v>51</v>
      </c>
      <c r="L7" s="108" t="s">
        <v>24</v>
      </c>
      <c r="M7" s="108" t="s">
        <v>46</v>
      </c>
      <c r="N7" s="108" t="s">
        <v>72</v>
      </c>
      <c r="O7" s="108" t="s">
        <v>73</v>
      </c>
      <c r="P7" s="108" t="s">
        <v>74</v>
      </c>
      <c r="Q7" s="108" t="s">
        <v>37</v>
      </c>
      <c r="R7" s="108" t="s">
        <v>38</v>
      </c>
      <c r="S7" s="108" t="s">
        <v>33</v>
      </c>
      <c r="T7" s="108" t="s">
        <v>34</v>
      </c>
      <c r="U7" s="108" t="s">
        <v>88</v>
      </c>
      <c r="V7" s="108" t="s">
        <v>89</v>
      </c>
    </row>
    <row r="8" spans="1:22" s="102" customFormat="1" ht="13.15">
      <c r="A8" s="353"/>
      <c r="C8" s="109" t="s">
        <v>83</v>
      </c>
      <c r="D8" s="110">
        <f>Gasto_o_ing_per_capita!D8*100/Gasto_o_ing_per_capita!$D8</f>
        <v>100</v>
      </c>
      <c r="E8" s="110">
        <f>Gasto_o_ing_per_capita!E8*100/Gasto_o_ing_per_capita!$D8</f>
        <v>99.999999999999986</v>
      </c>
      <c r="F8" s="110">
        <f>Gasto_o_ing_per_capita!F8*100/Gasto_o_ing_per_capita!$D8</f>
        <v>100</v>
      </c>
      <c r="G8" s="110">
        <f>Gasto_o_ing_per_capita!G8*100/Gasto_o_ing_per_capita!$D8</f>
        <v>100</v>
      </c>
      <c r="H8" s="110">
        <f>Gasto_o_ing_per_capita!H8*100/Gasto_o_ing_per_capita!$D8</f>
        <v>99.999999999999986</v>
      </c>
      <c r="I8" s="110">
        <f>Gasto_o_ing_per_capita!I8*100/Gasto_o_ing_per_capita!$D8</f>
        <v>99.999999999999986</v>
      </c>
      <c r="J8" s="110">
        <f>Gasto_o_ing_per_capita!J8*100/Gasto_o_ing_per_capita!$D8</f>
        <v>99.999999999999986</v>
      </c>
      <c r="K8" s="110">
        <f>Gasto_o_ing_per_capita!K8*100/Gasto_o_ing_per_capita!$D8</f>
        <v>99.999999999999986</v>
      </c>
      <c r="L8" s="110">
        <f>Gasto_o_ing_per_capita!L8*100/Gasto_o_ing_per_capita!$D8</f>
        <v>100</v>
      </c>
      <c r="M8" s="110">
        <f>Gasto_o_ing_per_capita!M8*100/Gasto_o_ing_per_capita!$D8</f>
        <v>99.999999999999986</v>
      </c>
      <c r="N8" s="110">
        <f>Gasto_o_ing_per_capita!N8*100/Gasto_o_ing_per_capita!$D8</f>
        <v>100</v>
      </c>
      <c r="O8" s="110">
        <f>Gasto_o_ing_per_capita!O8*100/Gasto_o_ing_per_capita!$D8</f>
        <v>100</v>
      </c>
      <c r="P8" s="110">
        <f>Gasto_o_ing_per_capita!P8*100/Gasto_o_ing_per_capita!$D8</f>
        <v>100</v>
      </c>
      <c r="Q8" s="110">
        <f>Gasto_o_ing_per_capita!Q8*100/Gasto_o_ing_per_capita!$D8</f>
        <v>100</v>
      </c>
      <c r="R8" s="110">
        <f>Gasto_o_ing_per_capita!R8*100/Gasto_o_ing_per_capita!$D8</f>
        <v>99.999999999999986</v>
      </c>
      <c r="S8" s="110">
        <f>Gasto_o_ing_per_capita!S8*100/Gasto_o_ing_per_capita!$D8</f>
        <v>100</v>
      </c>
      <c r="T8" s="110">
        <f>Gasto_o_ing_per_capita!T8*100/Gasto_o_ing_per_capita!$D8</f>
        <v>100</v>
      </c>
      <c r="U8" s="110">
        <f>Gasto_o_ing_per_capita!U8*100/Gasto_o_ing_per_capita!$D8</f>
        <v>99.999999999999986</v>
      </c>
      <c r="V8" s="110">
        <f>Gasto_o_ing_per_capita!V8*100/Gasto_o_ing_per_capita!$D8</f>
        <v>99.999999999999986</v>
      </c>
    </row>
    <row r="9" spans="1:22" s="102" customFormat="1">
      <c r="A9" s="353"/>
      <c r="D9" s="110"/>
      <c r="E9" s="110"/>
      <c r="F9" s="110"/>
      <c r="G9" s="110"/>
      <c r="H9" s="110"/>
      <c r="I9" s="110"/>
      <c r="J9" s="110"/>
      <c r="K9" s="110"/>
      <c r="L9" s="110"/>
      <c r="M9" s="110"/>
      <c r="N9" s="110"/>
      <c r="O9" s="110"/>
      <c r="P9" s="110"/>
      <c r="Q9" s="110"/>
      <c r="R9" s="110"/>
      <c r="S9" s="110"/>
      <c r="T9" s="110"/>
      <c r="U9" s="110"/>
      <c r="V9" s="110"/>
    </row>
    <row r="10" spans="1:22" s="102" customFormat="1" ht="13.15">
      <c r="A10" s="353"/>
      <c r="C10" s="112" t="s">
        <v>32</v>
      </c>
      <c r="D10" s="113">
        <f>Gasto_o_ing_per_capita!D10*100/Gasto_o_ing_per_capita!$D10</f>
        <v>99.999999999999986</v>
      </c>
      <c r="E10" s="113">
        <f>Gasto_o_ing_per_capita!E10*100/Gasto_o_ing_per_capita!$D10</f>
        <v>99.999999999999986</v>
      </c>
      <c r="F10" s="113">
        <f>Gasto_o_ing_per_capita!F10*100/Gasto_o_ing_per_capita!$D10</f>
        <v>99.999999999999986</v>
      </c>
      <c r="G10" s="113">
        <f>Gasto_o_ing_per_capita!G10*100/Gasto_o_ing_per_capita!$D10</f>
        <v>99.999999999999986</v>
      </c>
      <c r="H10" s="113">
        <f>Gasto_o_ing_per_capita!H10*100/Gasto_o_ing_per_capita!$D10</f>
        <v>99.999999999999986</v>
      </c>
      <c r="I10" s="113">
        <f>Gasto_o_ing_per_capita!I10*100/Gasto_o_ing_per_capita!$D10</f>
        <v>100.00000000000001</v>
      </c>
      <c r="J10" s="113">
        <f>Gasto_o_ing_per_capita!J10*100/Gasto_o_ing_per_capita!$D10</f>
        <v>99.999999999999986</v>
      </c>
      <c r="K10" s="113">
        <f>Gasto_o_ing_per_capita!K10*100/Gasto_o_ing_per_capita!$D10</f>
        <v>99.999999999999986</v>
      </c>
      <c r="L10" s="113">
        <f>Gasto_o_ing_per_capita!L10*100/Gasto_o_ing_per_capita!$D10</f>
        <v>99.999999999999986</v>
      </c>
      <c r="M10" s="113">
        <f>Gasto_o_ing_per_capita!M10*100/Gasto_o_ing_per_capita!$D10</f>
        <v>99.999999999999972</v>
      </c>
      <c r="N10" s="113">
        <f>Gasto_o_ing_per_capita!N10*100/Gasto_o_ing_per_capita!$D10</f>
        <v>99.999999999999986</v>
      </c>
      <c r="O10" s="113">
        <f>Gasto_o_ing_per_capita!O10*100/Gasto_o_ing_per_capita!$D10</f>
        <v>100.00000000000001</v>
      </c>
      <c r="P10" s="113">
        <f>Gasto_o_ing_per_capita!P10*100/Gasto_o_ing_per_capita!$D10</f>
        <v>99.999999999999986</v>
      </c>
      <c r="Q10" s="113">
        <f>Gasto_o_ing_per_capita!Q10*100/Gasto_o_ing_per_capita!$D10</f>
        <v>100.00000000000001</v>
      </c>
      <c r="R10" s="113">
        <f>Gasto_o_ing_per_capita!R10*100/Gasto_o_ing_per_capita!$D10</f>
        <v>99.999999999999986</v>
      </c>
      <c r="S10" s="113">
        <f>Gasto_o_ing_per_capita!S10*100/Gasto_o_ing_per_capita!$D10</f>
        <v>99.999999999999986</v>
      </c>
      <c r="T10" s="113">
        <f>Gasto_o_ing_per_capita!T10*100/Gasto_o_ing_per_capita!$D10</f>
        <v>99.999999999999986</v>
      </c>
      <c r="U10" s="113">
        <f>Gasto_o_ing_per_capita!U10*100/Gasto_o_ing_per_capita!$D10</f>
        <v>100.00000000000003</v>
      </c>
      <c r="V10" s="113">
        <f>Gasto_o_ing_per_capita!V10*100/Gasto_o_ing_per_capita!$D10</f>
        <v>99.999999999999986</v>
      </c>
    </row>
    <row r="11" spans="1:22" s="102" customFormat="1" ht="13.15">
      <c r="A11" s="355" t="str">
        <f>IF(B11="","",(IF(ISERROR(MATCH(B11,Tot_res!C:C,0)),"Eliminar!!!","")))</f>
        <v/>
      </c>
      <c r="B11" s="115" t="s">
        <v>114</v>
      </c>
      <c r="C11" s="333" t="str">
        <f>VLOOKUP(B11,Tot_res!C:D,2,FALSE)</f>
        <v>Gobierno del poder judicial</v>
      </c>
      <c r="D11" s="336">
        <f>Gasto_o_ing_per_capita!D11*100/Gasto_o_ing_per_capita!$D11</f>
        <v>100</v>
      </c>
      <c r="E11" s="336">
        <f>Gasto_o_ing_per_capita!E11*100/Gasto_o_ing_per_capita!$D11</f>
        <v>100</v>
      </c>
      <c r="F11" s="336">
        <f>Gasto_o_ing_per_capita!F11*100/Gasto_o_ing_per_capita!$D11</f>
        <v>100</v>
      </c>
      <c r="G11" s="336">
        <f>Gasto_o_ing_per_capita!G11*100/Gasto_o_ing_per_capita!$D11</f>
        <v>100.00000000000001</v>
      </c>
      <c r="H11" s="336">
        <f>Gasto_o_ing_per_capita!H11*100/Gasto_o_ing_per_capita!$D11</f>
        <v>100.00000000000001</v>
      </c>
      <c r="I11" s="336">
        <f>Gasto_o_ing_per_capita!I11*100/Gasto_o_ing_per_capita!$D11</f>
        <v>100</v>
      </c>
      <c r="J11" s="336">
        <f>Gasto_o_ing_per_capita!J11*100/Gasto_o_ing_per_capita!$D11</f>
        <v>100</v>
      </c>
      <c r="K11" s="336">
        <f>Gasto_o_ing_per_capita!K11*100/Gasto_o_ing_per_capita!$D11</f>
        <v>100</v>
      </c>
      <c r="L11" s="336">
        <f>Gasto_o_ing_per_capita!L11*100/Gasto_o_ing_per_capita!$D11</f>
        <v>100.00000000000001</v>
      </c>
      <c r="M11" s="336">
        <f>Gasto_o_ing_per_capita!M11*100/Gasto_o_ing_per_capita!$D11</f>
        <v>100</v>
      </c>
      <c r="N11" s="336">
        <f>Gasto_o_ing_per_capita!N11*100/Gasto_o_ing_per_capita!$D11</f>
        <v>100.00000000000001</v>
      </c>
      <c r="O11" s="336">
        <f>Gasto_o_ing_per_capita!O11*100/Gasto_o_ing_per_capita!$D11</f>
        <v>100</v>
      </c>
      <c r="P11" s="336">
        <f>Gasto_o_ing_per_capita!P11*100/Gasto_o_ing_per_capita!$D11</f>
        <v>100</v>
      </c>
      <c r="Q11" s="336">
        <f>Gasto_o_ing_per_capita!Q11*100/Gasto_o_ing_per_capita!$D11</f>
        <v>100</v>
      </c>
      <c r="R11" s="336">
        <f>Gasto_o_ing_per_capita!R11*100/Gasto_o_ing_per_capita!$D11</f>
        <v>99.999999999999986</v>
      </c>
      <c r="S11" s="336">
        <f>Gasto_o_ing_per_capita!S11*100/Gasto_o_ing_per_capita!$D11</f>
        <v>100.00000000000001</v>
      </c>
      <c r="T11" s="336">
        <f>Gasto_o_ing_per_capita!T11*100/Gasto_o_ing_per_capita!$D11</f>
        <v>100</v>
      </c>
      <c r="U11" s="336">
        <f>Gasto_o_ing_per_capita!U11*100/Gasto_o_ing_per_capita!$D11</f>
        <v>100</v>
      </c>
      <c r="V11" s="336">
        <f>Gasto_o_ing_per_capita!V11*100/Gasto_o_ing_per_capita!$D11</f>
        <v>100</v>
      </c>
    </row>
    <row r="12" spans="1:22" s="102" customFormat="1" ht="13.15">
      <c r="A12" s="355" t="str">
        <f>IF(B12="","",(IF(ISERROR(MATCH(B12,Tot_res!C:C,0)),"Eliminar!!!","")))</f>
        <v/>
      </c>
      <c r="B12" s="115" t="s">
        <v>115</v>
      </c>
      <c r="C12" s="333" t="str">
        <f>VLOOKUP(B12,Tot_res!C:D,2,FALSE)</f>
        <v>Selección y formación de jueces</v>
      </c>
      <c r="D12" s="336">
        <f>Gasto_o_ing_per_capita!D12*100/Gasto_o_ing_per_capita!$D12</f>
        <v>99.999999999999986</v>
      </c>
      <c r="E12" s="336">
        <f>Gasto_o_ing_per_capita!E12*100/Gasto_o_ing_per_capita!$D12</f>
        <v>99.999999999999986</v>
      </c>
      <c r="F12" s="336">
        <f>Gasto_o_ing_per_capita!F12*100/Gasto_o_ing_per_capita!$D12</f>
        <v>99.999999999999986</v>
      </c>
      <c r="G12" s="336">
        <f>Gasto_o_ing_per_capita!G12*100/Gasto_o_ing_per_capita!$D12</f>
        <v>99.999999999999986</v>
      </c>
      <c r="H12" s="336">
        <f>Gasto_o_ing_per_capita!H12*100/Gasto_o_ing_per_capita!$D12</f>
        <v>99.999999999999986</v>
      </c>
      <c r="I12" s="336">
        <f>Gasto_o_ing_per_capita!I12*100/Gasto_o_ing_per_capita!$D12</f>
        <v>99.999999999999986</v>
      </c>
      <c r="J12" s="336">
        <f>Gasto_o_ing_per_capita!J12*100/Gasto_o_ing_per_capita!$D12</f>
        <v>99.999999999999986</v>
      </c>
      <c r="K12" s="336">
        <f>Gasto_o_ing_per_capita!K12*100/Gasto_o_ing_per_capita!$D12</f>
        <v>99.999999999999986</v>
      </c>
      <c r="L12" s="336">
        <f>Gasto_o_ing_per_capita!L12*100/Gasto_o_ing_per_capita!$D12</f>
        <v>99.999999999999986</v>
      </c>
      <c r="M12" s="336">
        <f>Gasto_o_ing_per_capita!M12*100/Gasto_o_ing_per_capita!$D12</f>
        <v>99.999999999999986</v>
      </c>
      <c r="N12" s="336">
        <f>Gasto_o_ing_per_capita!N12*100/Gasto_o_ing_per_capita!$D12</f>
        <v>99.999999999999986</v>
      </c>
      <c r="O12" s="336">
        <f>Gasto_o_ing_per_capita!O12*100/Gasto_o_ing_per_capita!$D12</f>
        <v>99.999999999999986</v>
      </c>
      <c r="P12" s="336">
        <f>Gasto_o_ing_per_capita!P12*100/Gasto_o_ing_per_capita!$D12</f>
        <v>99.999999999999986</v>
      </c>
      <c r="Q12" s="336">
        <f>Gasto_o_ing_per_capita!Q12*100/Gasto_o_ing_per_capita!$D12</f>
        <v>99.999999999999986</v>
      </c>
      <c r="R12" s="336">
        <f>Gasto_o_ing_per_capita!R12*100/Gasto_o_ing_per_capita!$D12</f>
        <v>99.999999999999986</v>
      </c>
      <c r="S12" s="336">
        <f>Gasto_o_ing_per_capita!S12*100/Gasto_o_ing_per_capita!$D12</f>
        <v>99.999999999999986</v>
      </c>
      <c r="T12" s="336">
        <f>Gasto_o_ing_per_capita!T12*100/Gasto_o_ing_per_capita!$D12</f>
        <v>99.999999999999986</v>
      </c>
      <c r="U12" s="336">
        <f>Gasto_o_ing_per_capita!U12*100/Gasto_o_ing_per_capita!$D12</f>
        <v>99.999999999999986</v>
      </c>
      <c r="V12" s="336">
        <f>Gasto_o_ing_per_capita!V12*100/Gasto_o_ing_per_capita!$D12</f>
        <v>99.999999999999986</v>
      </c>
    </row>
    <row r="13" spans="1:22" s="102" customFormat="1" ht="13.15">
      <c r="A13" s="355" t="str">
        <f>IF(B13="","",(IF(ISERROR(MATCH(B13,Tot_res!C:C,0)),"Eliminar!!!","")))</f>
        <v/>
      </c>
      <c r="B13" s="115" t="s">
        <v>116</v>
      </c>
      <c r="C13" s="333" t="str">
        <f>VLOOKUP(B13,Tot_res!C:D,2,FALSE)</f>
        <v>Documentación y publicaciones judiciales</v>
      </c>
      <c r="D13" s="336">
        <f>Gasto_o_ing_per_capita!D13*100/Gasto_o_ing_per_capita!$D13</f>
        <v>100</v>
      </c>
      <c r="E13" s="336">
        <f>Gasto_o_ing_per_capita!E13*100/Gasto_o_ing_per_capita!$D13</f>
        <v>100.00000000000001</v>
      </c>
      <c r="F13" s="336">
        <f>Gasto_o_ing_per_capita!F13*100/Gasto_o_ing_per_capita!$D13</f>
        <v>100.00000000000001</v>
      </c>
      <c r="G13" s="336">
        <f>Gasto_o_ing_per_capita!G13*100/Gasto_o_ing_per_capita!$D13</f>
        <v>100.00000000000004</v>
      </c>
      <c r="H13" s="336">
        <f>Gasto_o_ing_per_capita!H13*100/Gasto_o_ing_per_capita!$D13</f>
        <v>100.00000000000001</v>
      </c>
      <c r="I13" s="336">
        <f>Gasto_o_ing_per_capita!I13*100/Gasto_o_ing_per_capita!$D13</f>
        <v>100.00000000000001</v>
      </c>
      <c r="J13" s="336">
        <f>Gasto_o_ing_per_capita!J13*100/Gasto_o_ing_per_capita!$D13</f>
        <v>100.00000000000001</v>
      </c>
      <c r="K13" s="336">
        <f>Gasto_o_ing_per_capita!K13*100/Gasto_o_ing_per_capita!$D13</f>
        <v>100.00000000000001</v>
      </c>
      <c r="L13" s="336">
        <f>Gasto_o_ing_per_capita!L13*100/Gasto_o_ing_per_capita!$D13</f>
        <v>100.00000000000001</v>
      </c>
      <c r="M13" s="336">
        <f>Gasto_o_ing_per_capita!M13*100/Gasto_o_ing_per_capita!$D13</f>
        <v>100.00000000000001</v>
      </c>
      <c r="N13" s="336">
        <f>Gasto_o_ing_per_capita!N13*100/Gasto_o_ing_per_capita!$D13</f>
        <v>100.00000000000001</v>
      </c>
      <c r="O13" s="336">
        <f>Gasto_o_ing_per_capita!O13*100/Gasto_o_ing_per_capita!$D13</f>
        <v>100.00000000000001</v>
      </c>
      <c r="P13" s="336">
        <f>Gasto_o_ing_per_capita!P13*100/Gasto_o_ing_per_capita!$D13</f>
        <v>100.00000000000001</v>
      </c>
      <c r="Q13" s="336">
        <f>Gasto_o_ing_per_capita!Q13*100/Gasto_o_ing_per_capita!$D13</f>
        <v>100.00000000000001</v>
      </c>
      <c r="R13" s="336">
        <f>Gasto_o_ing_per_capita!R13*100/Gasto_o_ing_per_capita!$D13</f>
        <v>100.00000000000001</v>
      </c>
      <c r="S13" s="336">
        <f>Gasto_o_ing_per_capita!S13*100/Gasto_o_ing_per_capita!$D13</f>
        <v>100.00000000000001</v>
      </c>
      <c r="T13" s="336">
        <f>Gasto_o_ing_per_capita!T13*100/Gasto_o_ing_per_capita!$D13</f>
        <v>100.00000000000004</v>
      </c>
      <c r="U13" s="336">
        <f>Gasto_o_ing_per_capita!U13*100/Gasto_o_ing_per_capita!$D13</f>
        <v>100.00000000000001</v>
      </c>
      <c r="V13" s="336">
        <f>Gasto_o_ing_per_capita!V13*100/Gasto_o_ing_per_capita!$D13</f>
        <v>100.00000000000001</v>
      </c>
    </row>
    <row r="14" spans="1:22" s="102" customFormat="1" ht="13.15">
      <c r="A14" s="355" t="str">
        <f>IF(B14="","",(IF(ISERROR(MATCH(B14,Tot_res!C:C,0)),"Eliminar!!!","")))</f>
        <v/>
      </c>
      <c r="B14" s="115" t="s">
        <v>117</v>
      </c>
      <c r="C14" s="333" t="str">
        <f>VLOOKUP(B14,Tot_res!C:D,2,FALSE)</f>
        <v>Jefatura del estado</v>
      </c>
      <c r="D14" s="336">
        <f>Gasto_o_ing_per_capita!D14*100/Gasto_o_ing_per_capita!$D14</f>
        <v>100</v>
      </c>
      <c r="E14" s="336">
        <f>Gasto_o_ing_per_capita!E14*100/Gasto_o_ing_per_capita!$D14</f>
        <v>100.00000000000003</v>
      </c>
      <c r="F14" s="336">
        <f>Gasto_o_ing_per_capita!F14*100/Gasto_o_ing_per_capita!$D14</f>
        <v>100.00000000000003</v>
      </c>
      <c r="G14" s="336">
        <f>Gasto_o_ing_per_capita!G14*100/Gasto_o_ing_per_capita!$D14</f>
        <v>100.00000000000003</v>
      </c>
      <c r="H14" s="336">
        <f>Gasto_o_ing_per_capita!H14*100/Gasto_o_ing_per_capita!$D14</f>
        <v>100.00000000000003</v>
      </c>
      <c r="I14" s="336">
        <f>Gasto_o_ing_per_capita!I14*100/Gasto_o_ing_per_capita!$D14</f>
        <v>100.00000000000003</v>
      </c>
      <c r="J14" s="336">
        <f>Gasto_o_ing_per_capita!J14*100/Gasto_o_ing_per_capita!$D14</f>
        <v>100.00000000000003</v>
      </c>
      <c r="K14" s="336">
        <f>Gasto_o_ing_per_capita!K14*100/Gasto_o_ing_per_capita!$D14</f>
        <v>100.00000000000003</v>
      </c>
      <c r="L14" s="336">
        <f>Gasto_o_ing_per_capita!L14*100/Gasto_o_ing_per_capita!$D14</f>
        <v>100.00000000000003</v>
      </c>
      <c r="M14" s="336">
        <f>Gasto_o_ing_per_capita!M14*100/Gasto_o_ing_per_capita!$D14</f>
        <v>100.00000000000003</v>
      </c>
      <c r="N14" s="336">
        <f>Gasto_o_ing_per_capita!N14*100/Gasto_o_ing_per_capita!$D14</f>
        <v>100.00000000000003</v>
      </c>
      <c r="O14" s="336">
        <f>Gasto_o_ing_per_capita!O14*100/Gasto_o_ing_per_capita!$D14</f>
        <v>100.00000000000003</v>
      </c>
      <c r="P14" s="336">
        <f>Gasto_o_ing_per_capita!P14*100/Gasto_o_ing_per_capita!$D14</f>
        <v>100.00000000000003</v>
      </c>
      <c r="Q14" s="336">
        <f>Gasto_o_ing_per_capita!Q14*100/Gasto_o_ing_per_capita!$D14</f>
        <v>100.00000000000003</v>
      </c>
      <c r="R14" s="336">
        <f>Gasto_o_ing_per_capita!R14*100/Gasto_o_ing_per_capita!$D14</f>
        <v>100</v>
      </c>
      <c r="S14" s="336">
        <f>Gasto_o_ing_per_capita!S14*100/Gasto_o_ing_per_capita!$D14</f>
        <v>100.00000000000003</v>
      </c>
      <c r="T14" s="336">
        <f>Gasto_o_ing_per_capita!T14*100/Gasto_o_ing_per_capita!$D14</f>
        <v>100.00000000000003</v>
      </c>
      <c r="U14" s="336">
        <f>Gasto_o_ing_per_capita!U14*100/Gasto_o_ing_per_capita!$D14</f>
        <v>100.00000000000003</v>
      </c>
      <c r="V14" s="336">
        <f>Gasto_o_ing_per_capita!V14*100/Gasto_o_ing_per_capita!$D14</f>
        <v>100.00000000000003</v>
      </c>
    </row>
    <row r="15" spans="1:22" s="102" customFormat="1" ht="13.15">
      <c r="A15" s="355" t="str">
        <f>IF(B15="","",(IF(ISERROR(MATCH(B15,Tot_res!C:C,0)),"Eliminar!!!","")))</f>
        <v/>
      </c>
      <c r="B15" s="115" t="s">
        <v>118</v>
      </c>
      <c r="C15" s="333" t="str">
        <f>VLOOKUP(B15,Tot_res!C:D,2,FALSE)</f>
        <v>Actividad legislativa</v>
      </c>
      <c r="D15" s="336">
        <f>Gasto_o_ing_per_capita!D15*100/Gasto_o_ing_per_capita!$D15</f>
        <v>100</v>
      </c>
      <c r="E15" s="336">
        <f>Gasto_o_ing_per_capita!E15*100/Gasto_o_ing_per_capita!$D15</f>
        <v>99.999999999999986</v>
      </c>
      <c r="F15" s="336">
        <f>Gasto_o_ing_per_capita!F15*100/Gasto_o_ing_per_capita!$D15</f>
        <v>99.999999999999986</v>
      </c>
      <c r="G15" s="336">
        <f>Gasto_o_ing_per_capita!G15*100/Gasto_o_ing_per_capita!$D15</f>
        <v>100</v>
      </c>
      <c r="H15" s="336">
        <f>Gasto_o_ing_per_capita!H15*100/Gasto_o_ing_per_capita!$D15</f>
        <v>100</v>
      </c>
      <c r="I15" s="336">
        <f>Gasto_o_ing_per_capita!I15*100/Gasto_o_ing_per_capita!$D15</f>
        <v>100</v>
      </c>
      <c r="J15" s="336">
        <f>Gasto_o_ing_per_capita!J15*100/Gasto_o_ing_per_capita!$D15</f>
        <v>100</v>
      </c>
      <c r="K15" s="336">
        <f>Gasto_o_ing_per_capita!K15*100/Gasto_o_ing_per_capita!$D15</f>
        <v>100</v>
      </c>
      <c r="L15" s="336">
        <f>Gasto_o_ing_per_capita!L15*100/Gasto_o_ing_per_capita!$D15</f>
        <v>100</v>
      </c>
      <c r="M15" s="336">
        <f>Gasto_o_ing_per_capita!M15*100/Gasto_o_ing_per_capita!$D15</f>
        <v>100</v>
      </c>
      <c r="N15" s="336">
        <f>Gasto_o_ing_per_capita!N15*100/Gasto_o_ing_per_capita!$D15</f>
        <v>100</v>
      </c>
      <c r="O15" s="336">
        <f>Gasto_o_ing_per_capita!O15*100/Gasto_o_ing_per_capita!$D15</f>
        <v>100</v>
      </c>
      <c r="P15" s="336">
        <f>Gasto_o_ing_per_capita!P15*100/Gasto_o_ing_per_capita!$D15</f>
        <v>100</v>
      </c>
      <c r="Q15" s="336">
        <f>Gasto_o_ing_per_capita!Q15*100/Gasto_o_ing_per_capita!$D15</f>
        <v>100</v>
      </c>
      <c r="R15" s="336">
        <f>Gasto_o_ing_per_capita!R15*100/Gasto_o_ing_per_capita!$D15</f>
        <v>100</v>
      </c>
      <c r="S15" s="336">
        <f>Gasto_o_ing_per_capita!S15*100/Gasto_o_ing_per_capita!$D15</f>
        <v>100</v>
      </c>
      <c r="T15" s="336">
        <f>Gasto_o_ing_per_capita!T15*100/Gasto_o_ing_per_capita!$D15</f>
        <v>100</v>
      </c>
      <c r="U15" s="336">
        <f>Gasto_o_ing_per_capita!U15*100/Gasto_o_ing_per_capita!$D15</f>
        <v>100</v>
      </c>
      <c r="V15" s="336">
        <f>Gasto_o_ing_per_capita!V15*100/Gasto_o_ing_per_capita!$D15</f>
        <v>99.999999999999986</v>
      </c>
    </row>
    <row r="16" spans="1:22" s="102" customFormat="1" ht="13.15">
      <c r="A16" s="355" t="str">
        <f>IF(B16="","",(IF(ISERROR(MATCH(B16,Tot_res!C:C,0)),"Eliminar!!!","")))</f>
        <v/>
      </c>
      <c r="B16" s="115" t="s">
        <v>120</v>
      </c>
      <c r="C16" s="333" t="str">
        <f>VLOOKUP(B16,Tot_res!C:D,2,FALSE)</f>
        <v>Control externo del sector público</v>
      </c>
      <c r="D16" s="336">
        <f>Gasto_o_ing_per_capita!D16*100/Gasto_o_ing_per_capita!$D16</f>
        <v>100</v>
      </c>
      <c r="E16" s="336">
        <f>Gasto_o_ing_per_capita!E16*100/Gasto_o_ing_per_capita!$D16</f>
        <v>100.00000000000004</v>
      </c>
      <c r="F16" s="336">
        <f>Gasto_o_ing_per_capita!F16*100/Gasto_o_ing_per_capita!$D16</f>
        <v>100.00000000000001</v>
      </c>
      <c r="G16" s="336">
        <f>Gasto_o_ing_per_capita!G16*100/Gasto_o_ing_per_capita!$D16</f>
        <v>100.00000000000001</v>
      </c>
      <c r="H16" s="336">
        <f>Gasto_o_ing_per_capita!H16*100/Gasto_o_ing_per_capita!$D16</f>
        <v>100.00000000000001</v>
      </c>
      <c r="I16" s="336">
        <f>Gasto_o_ing_per_capita!I16*100/Gasto_o_ing_per_capita!$D16</f>
        <v>100.00000000000004</v>
      </c>
      <c r="J16" s="336">
        <f>Gasto_o_ing_per_capita!J16*100/Gasto_o_ing_per_capita!$D16</f>
        <v>100.00000000000001</v>
      </c>
      <c r="K16" s="336">
        <f>Gasto_o_ing_per_capita!K16*100/Gasto_o_ing_per_capita!$D16</f>
        <v>100.00000000000004</v>
      </c>
      <c r="L16" s="336">
        <f>Gasto_o_ing_per_capita!L16*100/Gasto_o_ing_per_capita!$D16</f>
        <v>100.00000000000004</v>
      </c>
      <c r="M16" s="336">
        <f>Gasto_o_ing_per_capita!M16*100/Gasto_o_ing_per_capita!$D16</f>
        <v>100.00000000000004</v>
      </c>
      <c r="N16" s="336">
        <f>Gasto_o_ing_per_capita!N16*100/Gasto_o_ing_per_capita!$D16</f>
        <v>100.00000000000004</v>
      </c>
      <c r="O16" s="336">
        <f>Gasto_o_ing_per_capita!O16*100/Gasto_o_ing_per_capita!$D16</f>
        <v>100.00000000000004</v>
      </c>
      <c r="P16" s="336">
        <f>Gasto_o_ing_per_capita!P16*100/Gasto_o_ing_per_capita!$D16</f>
        <v>100.00000000000001</v>
      </c>
      <c r="Q16" s="336">
        <f>Gasto_o_ing_per_capita!Q16*100/Gasto_o_ing_per_capita!$D16</f>
        <v>100.00000000000004</v>
      </c>
      <c r="R16" s="336">
        <f>Gasto_o_ing_per_capita!R16*100/Gasto_o_ing_per_capita!$D16</f>
        <v>100.00000000000001</v>
      </c>
      <c r="S16" s="336">
        <f>Gasto_o_ing_per_capita!S16*100/Gasto_o_ing_per_capita!$D16</f>
        <v>100.00000000000004</v>
      </c>
      <c r="T16" s="336">
        <f>Gasto_o_ing_per_capita!T16*100/Gasto_o_ing_per_capita!$D16</f>
        <v>100.00000000000004</v>
      </c>
      <c r="U16" s="336">
        <f>Gasto_o_ing_per_capita!U16*100/Gasto_o_ing_per_capita!$D16</f>
        <v>100.00000000000004</v>
      </c>
      <c r="V16" s="336">
        <f>Gasto_o_ing_per_capita!V16*100/Gasto_o_ing_per_capita!$D16</f>
        <v>100.00000000000001</v>
      </c>
    </row>
    <row r="17" spans="1:22" s="102" customFormat="1" ht="13.15">
      <c r="A17" s="355" t="str">
        <f>IF(B17="","",(IF(ISERROR(MATCH(B17,Tot_res!C:C,0)),"Eliminar!!!","")))</f>
        <v/>
      </c>
      <c r="B17" s="115" t="s">
        <v>121</v>
      </c>
      <c r="C17" s="333" t="str">
        <f>VLOOKUP(B17,Tot_res!C:D,2,FALSE)</f>
        <v>Control constitucional</v>
      </c>
      <c r="D17" s="336">
        <f>Gasto_o_ing_per_capita!D17*100/Gasto_o_ing_per_capita!$D17</f>
        <v>100</v>
      </c>
      <c r="E17" s="336">
        <f>Gasto_o_ing_per_capita!E17*100/Gasto_o_ing_per_capita!$D17</f>
        <v>99.999999999999972</v>
      </c>
      <c r="F17" s="336">
        <f>Gasto_o_ing_per_capita!F17*100/Gasto_o_ing_per_capita!$D17</f>
        <v>99.999999999999957</v>
      </c>
      <c r="G17" s="336">
        <f>Gasto_o_ing_per_capita!G17*100/Gasto_o_ing_per_capita!$D17</f>
        <v>99.999999999999986</v>
      </c>
      <c r="H17" s="336">
        <f>Gasto_o_ing_per_capita!H17*100/Gasto_o_ing_per_capita!$D17</f>
        <v>99.999999999999972</v>
      </c>
      <c r="I17" s="336">
        <f>Gasto_o_ing_per_capita!I17*100/Gasto_o_ing_per_capita!$D17</f>
        <v>99.999999999999986</v>
      </c>
      <c r="J17" s="336">
        <f>Gasto_o_ing_per_capita!J17*100/Gasto_o_ing_per_capita!$D17</f>
        <v>100</v>
      </c>
      <c r="K17" s="336">
        <f>Gasto_o_ing_per_capita!K17*100/Gasto_o_ing_per_capita!$D17</f>
        <v>99.999999999999986</v>
      </c>
      <c r="L17" s="336">
        <f>Gasto_o_ing_per_capita!L17*100/Gasto_o_ing_per_capita!$D17</f>
        <v>99.999999999999986</v>
      </c>
      <c r="M17" s="336">
        <f>Gasto_o_ing_per_capita!M17*100/Gasto_o_ing_per_capita!$D17</f>
        <v>99.999999999999986</v>
      </c>
      <c r="N17" s="336">
        <f>Gasto_o_ing_per_capita!N17*100/Gasto_o_ing_per_capita!$D17</f>
        <v>99.999999999999986</v>
      </c>
      <c r="O17" s="336">
        <f>Gasto_o_ing_per_capita!O17*100/Gasto_o_ing_per_capita!$D17</f>
        <v>99.999999999999972</v>
      </c>
      <c r="P17" s="336">
        <f>Gasto_o_ing_per_capita!P17*100/Gasto_o_ing_per_capita!$D17</f>
        <v>99.999999999999957</v>
      </c>
      <c r="Q17" s="336">
        <f>Gasto_o_ing_per_capita!Q17*100/Gasto_o_ing_per_capita!$D17</f>
        <v>99.999999999999972</v>
      </c>
      <c r="R17" s="336">
        <f>Gasto_o_ing_per_capita!R17*100/Gasto_o_ing_per_capita!$D17</f>
        <v>99.999999999999972</v>
      </c>
      <c r="S17" s="336">
        <f>Gasto_o_ing_per_capita!S17*100/Gasto_o_ing_per_capita!$D17</f>
        <v>99.999999999999986</v>
      </c>
      <c r="T17" s="336">
        <f>Gasto_o_ing_per_capita!T17*100/Gasto_o_ing_per_capita!$D17</f>
        <v>99.999999999999986</v>
      </c>
      <c r="U17" s="336">
        <f>Gasto_o_ing_per_capita!U17*100/Gasto_o_ing_per_capita!$D17</f>
        <v>99.999999999999972</v>
      </c>
      <c r="V17" s="336">
        <f>Gasto_o_ing_per_capita!V17*100/Gasto_o_ing_per_capita!$D17</f>
        <v>99.999999999999972</v>
      </c>
    </row>
    <row r="18" spans="1:22" s="102" customFormat="1" ht="13.15">
      <c r="A18" s="355" t="str">
        <f>IF(B18="","",(IF(ISERROR(MATCH(B18,Tot_res!C:C,0)),"Eliminar!!!","")))</f>
        <v/>
      </c>
      <c r="B18" s="115" t="s">
        <v>122</v>
      </c>
      <c r="C18" s="333" t="str">
        <f>VLOOKUP(B18,Tot_res!C:D,2,FALSE)</f>
        <v>Apoyo a la gestión administrativa de la jefatura del estado</v>
      </c>
      <c r="D18" s="336">
        <f>Gasto_o_ing_per_capita!D18*100/Gasto_o_ing_per_capita!$D18</f>
        <v>100</v>
      </c>
      <c r="E18" s="336">
        <f>Gasto_o_ing_per_capita!E18*100/Gasto_o_ing_per_capita!$D18</f>
        <v>100</v>
      </c>
      <c r="F18" s="336">
        <f>Gasto_o_ing_per_capita!F18*100/Gasto_o_ing_per_capita!$D18</f>
        <v>100</v>
      </c>
      <c r="G18" s="336">
        <f>Gasto_o_ing_per_capita!G18*100/Gasto_o_ing_per_capita!$D18</f>
        <v>100.00000000000003</v>
      </c>
      <c r="H18" s="336">
        <f>Gasto_o_ing_per_capita!H18*100/Gasto_o_ing_per_capita!$D18</f>
        <v>99.999999999999986</v>
      </c>
      <c r="I18" s="336">
        <f>Gasto_o_ing_per_capita!I18*100/Gasto_o_ing_per_capita!$D18</f>
        <v>100</v>
      </c>
      <c r="J18" s="336">
        <f>Gasto_o_ing_per_capita!J18*100/Gasto_o_ing_per_capita!$D18</f>
        <v>100.00000000000003</v>
      </c>
      <c r="K18" s="336">
        <f>Gasto_o_ing_per_capita!K18*100/Gasto_o_ing_per_capita!$D18</f>
        <v>100</v>
      </c>
      <c r="L18" s="336">
        <f>Gasto_o_ing_per_capita!L18*100/Gasto_o_ing_per_capita!$D18</f>
        <v>100</v>
      </c>
      <c r="M18" s="336">
        <f>Gasto_o_ing_per_capita!M18*100/Gasto_o_ing_per_capita!$D18</f>
        <v>100</v>
      </c>
      <c r="N18" s="336">
        <f>Gasto_o_ing_per_capita!N18*100/Gasto_o_ing_per_capita!$D18</f>
        <v>100</v>
      </c>
      <c r="O18" s="336">
        <f>Gasto_o_ing_per_capita!O18*100/Gasto_o_ing_per_capita!$D18</f>
        <v>100</v>
      </c>
      <c r="P18" s="336">
        <f>Gasto_o_ing_per_capita!P18*100/Gasto_o_ing_per_capita!$D18</f>
        <v>100</v>
      </c>
      <c r="Q18" s="336">
        <f>Gasto_o_ing_per_capita!Q18*100/Gasto_o_ing_per_capita!$D18</f>
        <v>100</v>
      </c>
      <c r="R18" s="336">
        <f>Gasto_o_ing_per_capita!R18*100/Gasto_o_ing_per_capita!$D18</f>
        <v>100</v>
      </c>
      <c r="S18" s="336">
        <f>Gasto_o_ing_per_capita!S18*100/Gasto_o_ing_per_capita!$D18</f>
        <v>100</v>
      </c>
      <c r="T18" s="336">
        <f>Gasto_o_ing_per_capita!T18*100/Gasto_o_ing_per_capita!$D18</f>
        <v>100</v>
      </c>
      <c r="U18" s="336">
        <f>Gasto_o_ing_per_capita!U18*100/Gasto_o_ing_per_capita!$D18</f>
        <v>100</v>
      </c>
      <c r="V18" s="336">
        <f>Gasto_o_ing_per_capita!V18*100/Gasto_o_ing_per_capita!$D18</f>
        <v>100</v>
      </c>
    </row>
    <row r="19" spans="1:22" s="102" customFormat="1" ht="13.15">
      <c r="A19" s="355" t="str">
        <f>IF(B19="","",(IF(ISERROR(MATCH(B19,Tot_res!C:C,0)),"Eliminar!!!","")))</f>
        <v/>
      </c>
      <c r="B19" s="115" t="s">
        <v>123</v>
      </c>
      <c r="C19" s="333" t="str">
        <f>VLOOKUP(B19,Tot_res!C:D,2,FALSE)</f>
        <v>Presidencia del gobierno</v>
      </c>
      <c r="D19" s="336">
        <f>Gasto_o_ing_per_capita!D19*100/Gasto_o_ing_per_capita!$D19</f>
        <v>100.00000000000001</v>
      </c>
      <c r="E19" s="336">
        <f>Gasto_o_ing_per_capita!E19*100/Gasto_o_ing_per_capita!$D19</f>
        <v>99.999999999999986</v>
      </c>
      <c r="F19" s="336">
        <f>Gasto_o_ing_per_capita!F19*100/Gasto_o_ing_per_capita!$D19</f>
        <v>99.999999999999986</v>
      </c>
      <c r="G19" s="336">
        <f>Gasto_o_ing_per_capita!G19*100/Gasto_o_ing_per_capita!$D19</f>
        <v>100.00000000000001</v>
      </c>
      <c r="H19" s="336">
        <f>Gasto_o_ing_per_capita!H19*100/Gasto_o_ing_per_capita!$D19</f>
        <v>99.999999999999972</v>
      </c>
      <c r="I19" s="336">
        <f>Gasto_o_ing_per_capita!I19*100/Gasto_o_ing_per_capita!$D19</f>
        <v>100.00000000000001</v>
      </c>
      <c r="J19" s="336">
        <f>Gasto_o_ing_per_capita!J19*100/Gasto_o_ing_per_capita!$D19</f>
        <v>99.999999999999986</v>
      </c>
      <c r="K19" s="336">
        <f>Gasto_o_ing_per_capita!K19*100/Gasto_o_ing_per_capita!$D19</f>
        <v>100.00000000000001</v>
      </c>
      <c r="L19" s="336">
        <f>Gasto_o_ing_per_capita!L19*100/Gasto_o_ing_per_capita!$D19</f>
        <v>100.00000000000001</v>
      </c>
      <c r="M19" s="336">
        <f>Gasto_o_ing_per_capita!M19*100/Gasto_o_ing_per_capita!$D19</f>
        <v>99.999999999999986</v>
      </c>
      <c r="N19" s="336">
        <f>Gasto_o_ing_per_capita!N19*100/Gasto_o_ing_per_capita!$D19</f>
        <v>100.00000000000001</v>
      </c>
      <c r="O19" s="336">
        <f>Gasto_o_ing_per_capita!O19*100/Gasto_o_ing_per_capita!$D19</f>
        <v>99.999999999999986</v>
      </c>
      <c r="P19" s="336">
        <f>Gasto_o_ing_per_capita!P19*100/Gasto_o_ing_per_capita!$D19</f>
        <v>99.999999999999986</v>
      </c>
      <c r="Q19" s="336">
        <f>Gasto_o_ing_per_capita!Q19*100/Gasto_o_ing_per_capita!$D19</f>
        <v>99.999999999999986</v>
      </c>
      <c r="R19" s="336">
        <f>Gasto_o_ing_per_capita!R19*100/Gasto_o_ing_per_capita!$D19</f>
        <v>99.999999999999972</v>
      </c>
      <c r="S19" s="336">
        <f>Gasto_o_ing_per_capita!S19*100/Gasto_o_ing_per_capita!$D19</f>
        <v>99.999999999999986</v>
      </c>
      <c r="T19" s="336">
        <f>Gasto_o_ing_per_capita!T19*100/Gasto_o_ing_per_capita!$D19</f>
        <v>99.999999999999986</v>
      </c>
      <c r="U19" s="336">
        <f>Gasto_o_ing_per_capita!U19*100/Gasto_o_ing_per_capita!$D19</f>
        <v>99.999999999999986</v>
      </c>
      <c r="V19" s="336">
        <f>Gasto_o_ing_per_capita!V19*100/Gasto_o_ing_per_capita!$D19</f>
        <v>99.999999999999986</v>
      </c>
    </row>
    <row r="20" spans="1:22" s="102" customFormat="1" ht="13.15">
      <c r="A20" s="355" t="str">
        <f>IF(B20="","",(IF(ISERROR(MATCH(B20,Tot_res!C:C,0)),"Eliminar!!!","")))</f>
        <v/>
      </c>
      <c r="B20" s="115" t="s">
        <v>124</v>
      </c>
      <c r="C20" s="333" t="str">
        <f>VLOOKUP(B20,Tot_res!C:D,2,FALSE)</f>
        <v>Alto asesoramiento del estado</v>
      </c>
      <c r="D20" s="336">
        <f>Gasto_o_ing_per_capita!D20*100/Gasto_o_ing_per_capita!$D20</f>
        <v>100</v>
      </c>
      <c r="E20" s="336">
        <f>Gasto_o_ing_per_capita!E20*100/Gasto_o_ing_per_capita!$D20</f>
        <v>100</v>
      </c>
      <c r="F20" s="336">
        <f>Gasto_o_ing_per_capita!F20*100/Gasto_o_ing_per_capita!$D20</f>
        <v>100</v>
      </c>
      <c r="G20" s="336">
        <f>Gasto_o_ing_per_capita!G20*100/Gasto_o_ing_per_capita!$D20</f>
        <v>100</v>
      </c>
      <c r="H20" s="336">
        <f>Gasto_o_ing_per_capita!H20*100/Gasto_o_ing_per_capita!$D20</f>
        <v>100</v>
      </c>
      <c r="I20" s="336">
        <f>Gasto_o_ing_per_capita!I20*100/Gasto_o_ing_per_capita!$D20</f>
        <v>100.00000000000003</v>
      </c>
      <c r="J20" s="336">
        <f>Gasto_o_ing_per_capita!J20*100/Gasto_o_ing_per_capita!$D20</f>
        <v>100.00000000000003</v>
      </c>
      <c r="K20" s="336">
        <f>Gasto_o_ing_per_capita!K20*100/Gasto_o_ing_per_capita!$D20</f>
        <v>100.00000000000003</v>
      </c>
      <c r="L20" s="336">
        <f>Gasto_o_ing_per_capita!L20*100/Gasto_o_ing_per_capita!$D20</f>
        <v>100</v>
      </c>
      <c r="M20" s="336">
        <f>Gasto_o_ing_per_capita!M20*100/Gasto_o_ing_per_capita!$D20</f>
        <v>100</v>
      </c>
      <c r="N20" s="336">
        <f>Gasto_o_ing_per_capita!N20*100/Gasto_o_ing_per_capita!$D20</f>
        <v>100</v>
      </c>
      <c r="O20" s="336">
        <f>Gasto_o_ing_per_capita!O20*100/Gasto_o_ing_per_capita!$D20</f>
        <v>100</v>
      </c>
      <c r="P20" s="336">
        <f>Gasto_o_ing_per_capita!P20*100/Gasto_o_ing_per_capita!$D20</f>
        <v>100</v>
      </c>
      <c r="Q20" s="336">
        <f>Gasto_o_ing_per_capita!Q20*100/Gasto_o_ing_per_capita!$D20</f>
        <v>100</v>
      </c>
      <c r="R20" s="336">
        <f>Gasto_o_ing_per_capita!R20*100/Gasto_o_ing_per_capita!$D20</f>
        <v>100</v>
      </c>
      <c r="S20" s="336">
        <f>Gasto_o_ing_per_capita!S20*100/Gasto_o_ing_per_capita!$D20</f>
        <v>100</v>
      </c>
      <c r="T20" s="336">
        <f>Gasto_o_ing_per_capita!T20*100/Gasto_o_ing_per_capita!$D20</f>
        <v>100</v>
      </c>
      <c r="U20" s="336">
        <f>Gasto_o_ing_per_capita!U20*100/Gasto_o_ing_per_capita!$D20</f>
        <v>100.00000000000003</v>
      </c>
      <c r="V20" s="336">
        <f>Gasto_o_ing_per_capita!V20*100/Gasto_o_ing_per_capita!$D20</f>
        <v>100</v>
      </c>
    </row>
    <row r="21" spans="1:22" s="102" customFormat="1" ht="13.15">
      <c r="A21" s="355" t="str">
        <f>IF(B21="","",(IF(ISERROR(MATCH(B21,Tot_res!C:C,0)),"Eliminar!!!","")))</f>
        <v/>
      </c>
      <c r="B21" s="115" t="s">
        <v>125</v>
      </c>
      <c r="C21" s="333" t="str">
        <f>VLOOKUP(B21,Tot_res!C:D,2,FALSE)</f>
        <v>Relaciones con las cortes generales, secretariado del gobierno y apoyo a la alta dirección</v>
      </c>
      <c r="D21" s="336">
        <f>Gasto_o_ing_per_capita!D21*100/Gasto_o_ing_per_capita!$D21</f>
        <v>100</v>
      </c>
      <c r="E21" s="336">
        <f>Gasto_o_ing_per_capita!E21*100/Gasto_o_ing_per_capita!$D21</f>
        <v>99.999999999999972</v>
      </c>
      <c r="F21" s="336">
        <f>Gasto_o_ing_per_capita!F21*100/Gasto_o_ing_per_capita!$D21</f>
        <v>100</v>
      </c>
      <c r="G21" s="336">
        <f>Gasto_o_ing_per_capita!G21*100/Gasto_o_ing_per_capita!$D21</f>
        <v>100.00000000000001</v>
      </c>
      <c r="H21" s="336">
        <f>Gasto_o_ing_per_capita!H21*100/Gasto_o_ing_per_capita!$D21</f>
        <v>100</v>
      </c>
      <c r="I21" s="336">
        <f>Gasto_o_ing_per_capita!I21*100/Gasto_o_ing_per_capita!$D21</f>
        <v>100.00000000000001</v>
      </c>
      <c r="J21" s="336">
        <f>Gasto_o_ing_per_capita!J21*100/Gasto_o_ing_per_capita!$D21</f>
        <v>100</v>
      </c>
      <c r="K21" s="336">
        <f>Gasto_o_ing_per_capita!K21*100/Gasto_o_ing_per_capita!$D21</f>
        <v>100.00000000000001</v>
      </c>
      <c r="L21" s="336">
        <f>Gasto_o_ing_per_capita!L21*100/Gasto_o_ing_per_capita!$D21</f>
        <v>100.00000000000001</v>
      </c>
      <c r="M21" s="336">
        <f>Gasto_o_ing_per_capita!M21*100/Gasto_o_ing_per_capita!$D21</f>
        <v>100.00000000000001</v>
      </c>
      <c r="N21" s="336">
        <f>Gasto_o_ing_per_capita!N21*100/Gasto_o_ing_per_capita!$D21</f>
        <v>100</v>
      </c>
      <c r="O21" s="336">
        <f>Gasto_o_ing_per_capita!O21*100/Gasto_o_ing_per_capita!$D21</f>
        <v>99.999999999999972</v>
      </c>
      <c r="P21" s="336">
        <f>Gasto_o_ing_per_capita!P21*100/Gasto_o_ing_per_capita!$D21</f>
        <v>100</v>
      </c>
      <c r="Q21" s="336">
        <f>Gasto_o_ing_per_capita!Q21*100/Gasto_o_ing_per_capita!$D21</f>
        <v>100.00000000000001</v>
      </c>
      <c r="R21" s="336">
        <f>Gasto_o_ing_per_capita!R21*100/Gasto_o_ing_per_capita!$D21</f>
        <v>100</v>
      </c>
      <c r="S21" s="336">
        <f>Gasto_o_ing_per_capita!S21*100/Gasto_o_ing_per_capita!$D21</f>
        <v>100.00000000000001</v>
      </c>
      <c r="T21" s="336">
        <f>Gasto_o_ing_per_capita!T21*100/Gasto_o_ing_per_capita!$D21</f>
        <v>100.00000000000001</v>
      </c>
      <c r="U21" s="336">
        <f>Gasto_o_ing_per_capita!U21*100/Gasto_o_ing_per_capita!$D21</f>
        <v>100</v>
      </c>
      <c r="V21" s="336">
        <f>Gasto_o_ing_per_capita!V21*100/Gasto_o_ing_per_capita!$D21</f>
        <v>100.00000000000001</v>
      </c>
    </row>
    <row r="22" spans="1:22" s="102" customFormat="1" ht="13.15">
      <c r="A22" s="355" t="str">
        <f>IF(B22="","",(IF(ISERROR(MATCH(B22,Tot_res!C:C,0)),"Eliminar!!!","")))</f>
        <v/>
      </c>
      <c r="B22" s="115" t="s">
        <v>126</v>
      </c>
      <c r="C22" s="333" t="str">
        <f>VLOOKUP(B22,Tot_res!C:D,2,FALSE)</f>
        <v>Asesoramiento del gobierno en materia social, económica y laboral</v>
      </c>
      <c r="D22" s="336">
        <f>Gasto_o_ing_per_capita!D22*100/Gasto_o_ing_per_capita!$D22</f>
        <v>99.999999999999986</v>
      </c>
      <c r="E22" s="336">
        <f>Gasto_o_ing_per_capita!E22*100/Gasto_o_ing_per_capita!$D22</f>
        <v>99.999999999999986</v>
      </c>
      <c r="F22" s="336">
        <f>Gasto_o_ing_per_capita!F22*100/Gasto_o_ing_per_capita!$D22</f>
        <v>99.999999999999986</v>
      </c>
      <c r="G22" s="336">
        <f>Gasto_o_ing_per_capita!G22*100/Gasto_o_ing_per_capita!$D22</f>
        <v>99.999999999999986</v>
      </c>
      <c r="H22" s="336">
        <f>Gasto_o_ing_per_capita!H22*100/Gasto_o_ing_per_capita!$D22</f>
        <v>99.999999999999986</v>
      </c>
      <c r="I22" s="336">
        <f>Gasto_o_ing_per_capita!I22*100/Gasto_o_ing_per_capita!$D22</f>
        <v>99.999999999999986</v>
      </c>
      <c r="J22" s="336">
        <f>Gasto_o_ing_per_capita!J22*100/Gasto_o_ing_per_capita!$D22</f>
        <v>99.999999999999986</v>
      </c>
      <c r="K22" s="336">
        <f>Gasto_o_ing_per_capita!K22*100/Gasto_o_ing_per_capita!$D22</f>
        <v>99.999999999999986</v>
      </c>
      <c r="L22" s="336">
        <f>Gasto_o_ing_per_capita!L22*100/Gasto_o_ing_per_capita!$D22</f>
        <v>99.999999999999986</v>
      </c>
      <c r="M22" s="336">
        <f>Gasto_o_ing_per_capita!M22*100/Gasto_o_ing_per_capita!$D22</f>
        <v>99.999999999999986</v>
      </c>
      <c r="N22" s="336">
        <f>Gasto_o_ing_per_capita!N22*100/Gasto_o_ing_per_capita!$D22</f>
        <v>99.999999999999986</v>
      </c>
      <c r="O22" s="336">
        <f>Gasto_o_ing_per_capita!O22*100/Gasto_o_ing_per_capita!$D22</f>
        <v>99.999999999999986</v>
      </c>
      <c r="P22" s="336">
        <f>Gasto_o_ing_per_capita!P22*100/Gasto_o_ing_per_capita!$D22</f>
        <v>99.999999999999986</v>
      </c>
      <c r="Q22" s="336">
        <f>Gasto_o_ing_per_capita!Q22*100/Gasto_o_ing_per_capita!$D22</f>
        <v>99.999999999999986</v>
      </c>
      <c r="R22" s="336">
        <f>Gasto_o_ing_per_capita!R22*100/Gasto_o_ing_per_capita!$D22</f>
        <v>99.999999999999986</v>
      </c>
      <c r="S22" s="336">
        <f>Gasto_o_ing_per_capita!S22*100/Gasto_o_ing_per_capita!$D22</f>
        <v>99.999999999999986</v>
      </c>
      <c r="T22" s="336">
        <f>Gasto_o_ing_per_capita!T22*100/Gasto_o_ing_per_capita!$D22</f>
        <v>99.999999999999986</v>
      </c>
      <c r="U22" s="336">
        <f>Gasto_o_ing_per_capita!U22*100/Gasto_o_ing_per_capita!$D22</f>
        <v>99.999999999999986</v>
      </c>
      <c r="V22" s="336">
        <f>Gasto_o_ing_per_capita!V22*100/Gasto_o_ing_per_capita!$D22</f>
        <v>99.999999999999986</v>
      </c>
    </row>
    <row r="23" spans="1:22" s="102" customFormat="1" ht="13.15">
      <c r="A23" s="355" t="str">
        <f>IF(B23="","",(IF(ISERROR(MATCH(B23,Tot_res!C:C,0)),"Eliminar!!!","")))</f>
        <v/>
      </c>
      <c r="B23" s="115" t="s">
        <v>127</v>
      </c>
      <c r="C23" s="333" t="str">
        <f>VLOOKUP(B23,Tot_res!C:D,2,FALSE)</f>
        <v>Cobertura informativa</v>
      </c>
      <c r="D23" s="336">
        <f>Gasto_o_ing_per_capita!D23*100/Gasto_o_ing_per_capita!$D23</f>
        <v>100</v>
      </c>
      <c r="E23" s="336">
        <f>Gasto_o_ing_per_capita!E23*100/Gasto_o_ing_per_capita!$D23</f>
        <v>100.00000000000001</v>
      </c>
      <c r="F23" s="336">
        <f>Gasto_o_ing_per_capita!F23*100/Gasto_o_ing_per_capita!$D23</f>
        <v>100</v>
      </c>
      <c r="G23" s="336">
        <f>Gasto_o_ing_per_capita!G23*100/Gasto_o_ing_per_capita!$D23</f>
        <v>100.00000000000001</v>
      </c>
      <c r="H23" s="336">
        <f>Gasto_o_ing_per_capita!H23*100/Gasto_o_ing_per_capita!$D23</f>
        <v>100</v>
      </c>
      <c r="I23" s="336">
        <f>Gasto_o_ing_per_capita!I23*100/Gasto_o_ing_per_capita!$D23</f>
        <v>100.00000000000001</v>
      </c>
      <c r="J23" s="336">
        <f>Gasto_o_ing_per_capita!J23*100/Gasto_o_ing_per_capita!$D23</f>
        <v>100.00000000000001</v>
      </c>
      <c r="K23" s="336">
        <f>Gasto_o_ing_per_capita!K23*100/Gasto_o_ing_per_capita!$D23</f>
        <v>100.00000000000001</v>
      </c>
      <c r="L23" s="336">
        <f>Gasto_o_ing_per_capita!L23*100/Gasto_o_ing_per_capita!$D23</f>
        <v>100</v>
      </c>
      <c r="M23" s="336">
        <f>Gasto_o_ing_per_capita!M23*100/Gasto_o_ing_per_capita!$D23</f>
        <v>100</v>
      </c>
      <c r="N23" s="336">
        <f>Gasto_o_ing_per_capita!N23*100/Gasto_o_ing_per_capita!$D23</f>
        <v>100.00000000000001</v>
      </c>
      <c r="O23" s="336">
        <f>Gasto_o_ing_per_capita!O23*100/Gasto_o_ing_per_capita!$D23</f>
        <v>100</v>
      </c>
      <c r="P23" s="336">
        <f>Gasto_o_ing_per_capita!P23*100/Gasto_o_ing_per_capita!$D23</f>
        <v>100</v>
      </c>
      <c r="Q23" s="336">
        <f>Gasto_o_ing_per_capita!Q23*100/Gasto_o_ing_per_capita!$D23</f>
        <v>100.00000000000001</v>
      </c>
      <c r="R23" s="336">
        <f>Gasto_o_ing_per_capita!R23*100/Gasto_o_ing_per_capita!$D23</f>
        <v>100</v>
      </c>
      <c r="S23" s="336">
        <f>Gasto_o_ing_per_capita!S23*100/Gasto_o_ing_per_capita!$D23</f>
        <v>100.00000000000001</v>
      </c>
      <c r="T23" s="336">
        <f>Gasto_o_ing_per_capita!T23*100/Gasto_o_ing_per_capita!$D23</f>
        <v>100</v>
      </c>
      <c r="U23" s="336">
        <f>Gasto_o_ing_per_capita!U23*100/Gasto_o_ing_per_capita!$D23</f>
        <v>100.00000000000001</v>
      </c>
      <c r="V23" s="336">
        <f>Gasto_o_ing_per_capita!V23*100/Gasto_o_ing_per_capita!$D23</f>
        <v>100</v>
      </c>
    </row>
    <row r="24" spans="1:22" s="102" customFormat="1" ht="13.15">
      <c r="A24" s="356"/>
      <c r="B24" s="115"/>
      <c r="D24" s="110"/>
      <c r="E24" s="110"/>
      <c r="F24" s="110"/>
      <c r="G24" s="110"/>
      <c r="H24" s="110"/>
      <c r="I24" s="110"/>
      <c r="J24" s="110"/>
      <c r="K24" s="110"/>
      <c r="L24" s="110"/>
      <c r="M24" s="110"/>
      <c r="N24" s="110"/>
      <c r="O24" s="110"/>
      <c r="P24" s="110"/>
      <c r="Q24" s="110"/>
      <c r="R24" s="110"/>
      <c r="S24" s="110"/>
      <c r="T24" s="110"/>
      <c r="U24" s="110"/>
      <c r="V24" s="110"/>
    </row>
    <row r="25" spans="1:22" s="102" customFormat="1" ht="13.15">
      <c r="A25" s="356"/>
      <c r="B25" s="115"/>
      <c r="C25" s="117" t="s">
        <v>47</v>
      </c>
      <c r="D25" s="113">
        <f>Gasto_o_ing_per_capita!D25*100/Gasto_o_ing_per_capita!$D25</f>
        <v>100</v>
      </c>
      <c r="E25" s="113">
        <f>Gasto_o_ing_per_capita!E25*100/Gasto_o_ing_per_capita!$D25</f>
        <v>100</v>
      </c>
      <c r="F25" s="113">
        <f>Gasto_o_ing_per_capita!F25*100/Gasto_o_ing_per_capita!$D25</f>
        <v>99.999999999999986</v>
      </c>
      <c r="G25" s="113">
        <f>Gasto_o_ing_per_capita!G25*100/Gasto_o_ing_per_capita!$D25</f>
        <v>100.00000000000001</v>
      </c>
      <c r="H25" s="113">
        <f>Gasto_o_ing_per_capita!H25*100/Gasto_o_ing_per_capita!$D25</f>
        <v>99.999999999999986</v>
      </c>
      <c r="I25" s="113">
        <f>Gasto_o_ing_per_capita!I25*100/Gasto_o_ing_per_capita!$D25</f>
        <v>99.999999999999986</v>
      </c>
      <c r="J25" s="113">
        <f>Gasto_o_ing_per_capita!J25*100/Gasto_o_ing_per_capita!$D25</f>
        <v>100</v>
      </c>
      <c r="K25" s="113">
        <f>Gasto_o_ing_per_capita!K25*100/Gasto_o_ing_per_capita!$D25</f>
        <v>99.999999999999986</v>
      </c>
      <c r="L25" s="113">
        <f>Gasto_o_ing_per_capita!L25*100/Gasto_o_ing_per_capita!$D25</f>
        <v>100</v>
      </c>
      <c r="M25" s="113">
        <f>Gasto_o_ing_per_capita!M25*100/Gasto_o_ing_per_capita!$D25</f>
        <v>99.999999999999986</v>
      </c>
      <c r="N25" s="113">
        <f>Gasto_o_ing_per_capita!N25*100/Gasto_o_ing_per_capita!$D25</f>
        <v>100.00000000000001</v>
      </c>
      <c r="O25" s="113">
        <f>Gasto_o_ing_per_capita!O25*100/Gasto_o_ing_per_capita!$D25</f>
        <v>100</v>
      </c>
      <c r="P25" s="113">
        <f>Gasto_o_ing_per_capita!P25*100/Gasto_o_ing_per_capita!$D25</f>
        <v>99.999999999999986</v>
      </c>
      <c r="Q25" s="113">
        <f>Gasto_o_ing_per_capita!Q25*100/Gasto_o_ing_per_capita!$D25</f>
        <v>100.00000000000001</v>
      </c>
      <c r="R25" s="113">
        <f>Gasto_o_ing_per_capita!R25*100/Gasto_o_ing_per_capita!$D25</f>
        <v>99.999999999999986</v>
      </c>
      <c r="S25" s="113">
        <f>Gasto_o_ing_per_capita!S25*100/Gasto_o_ing_per_capita!$D25</f>
        <v>100.00000000000001</v>
      </c>
      <c r="T25" s="113">
        <f>Gasto_o_ing_per_capita!T25*100/Gasto_o_ing_per_capita!$D25</f>
        <v>99.999999999999986</v>
      </c>
      <c r="U25" s="113">
        <f>Gasto_o_ing_per_capita!U25*100/Gasto_o_ing_per_capita!$D25</f>
        <v>100</v>
      </c>
      <c r="V25" s="113">
        <f>Gasto_o_ing_per_capita!V25*100/Gasto_o_ing_per_capita!$D25</f>
        <v>100</v>
      </c>
    </row>
    <row r="26" spans="1:22" s="102" customFormat="1" ht="13.15">
      <c r="A26" s="355" t="str">
        <f>IF(B26="","",(IF(ISERROR(MATCH(B26,Tot_res!C:C,0)),"Eliminar!!!","")))</f>
        <v/>
      </c>
      <c r="B26" s="115" t="s">
        <v>129</v>
      </c>
      <c r="C26" s="333" t="str">
        <f>VLOOKUP(B26,Tot_res!C:D,2,FALSE)</f>
        <v>Dirección y servicios generales de asuntos exteriores</v>
      </c>
      <c r="D26" s="336">
        <f>Gasto_o_ing_per_capita!D26*100/Gasto_o_ing_per_capita!$D26</f>
        <v>100</v>
      </c>
      <c r="E26" s="336">
        <f>Gasto_o_ing_per_capita!E26*100/Gasto_o_ing_per_capita!$D26</f>
        <v>99.999999999999986</v>
      </c>
      <c r="F26" s="336">
        <f>Gasto_o_ing_per_capita!F26*100/Gasto_o_ing_per_capita!$D26</f>
        <v>99.999999999999986</v>
      </c>
      <c r="G26" s="336">
        <f>Gasto_o_ing_per_capita!G26*100/Gasto_o_ing_per_capita!$D26</f>
        <v>100</v>
      </c>
      <c r="H26" s="336">
        <f>Gasto_o_ing_per_capita!H26*100/Gasto_o_ing_per_capita!$D26</f>
        <v>99.999999999999986</v>
      </c>
      <c r="I26" s="336">
        <f>Gasto_o_ing_per_capita!I26*100/Gasto_o_ing_per_capita!$D26</f>
        <v>99.999999999999986</v>
      </c>
      <c r="J26" s="336">
        <f>Gasto_o_ing_per_capita!J26*100/Gasto_o_ing_per_capita!$D26</f>
        <v>100</v>
      </c>
      <c r="K26" s="336">
        <f>Gasto_o_ing_per_capita!K26*100/Gasto_o_ing_per_capita!$D26</f>
        <v>100</v>
      </c>
      <c r="L26" s="336">
        <f>Gasto_o_ing_per_capita!L26*100/Gasto_o_ing_per_capita!$D26</f>
        <v>99.999999999999986</v>
      </c>
      <c r="M26" s="336">
        <f>Gasto_o_ing_per_capita!M26*100/Gasto_o_ing_per_capita!$D26</f>
        <v>99.999999999999986</v>
      </c>
      <c r="N26" s="336">
        <f>Gasto_o_ing_per_capita!N26*100/Gasto_o_ing_per_capita!$D26</f>
        <v>100</v>
      </c>
      <c r="O26" s="336">
        <f>Gasto_o_ing_per_capita!O26*100/Gasto_o_ing_per_capita!$D26</f>
        <v>99.999999999999986</v>
      </c>
      <c r="P26" s="336">
        <f>Gasto_o_ing_per_capita!P26*100/Gasto_o_ing_per_capita!$D26</f>
        <v>99.999999999999986</v>
      </c>
      <c r="Q26" s="336">
        <f>Gasto_o_ing_per_capita!Q26*100/Gasto_o_ing_per_capita!$D26</f>
        <v>99.999999999999986</v>
      </c>
      <c r="R26" s="336">
        <f>Gasto_o_ing_per_capita!R26*100/Gasto_o_ing_per_capita!$D26</f>
        <v>99.999999999999986</v>
      </c>
      <c r="S26" s="336">
        <f>Gasto_o_ing_per_capita!S26*100/Gasto_o_ing_per_capita!$D26</f>
        <v>99.999999999999986</v>
      </c>
      <c r="T26" s="336">
        <f>Gasto_o_ing_per_capita!T26*100/Gasto_o_ing_per_capita!$D26</f>
        <v>100</v>
      </c>
      <c r="U26" s="336">
        <f>Gasto_o_ing_per_capita!U26*100/Gasto_o_ing_per_capita!$D26</f>
        <v>100</v>
      </c>
      <c r="V26" s="336">
        <f>Gasto_o_ing_per_capita!V26*100/Gasto_o_ing_per_capita!$D26</f>
        <v>100</v>
      </c>
    </row>
    <row r="27" spans="1:22" s="102" customFormat="1" ht="13.15">
      <c r="A27" s="355" t="str">
        <f>IF(B27="","",(IF(ISERROR(MATCH(B27,Tot_res!C:C,0)),"Eliminar!!!","")))</f>
        <v/>
      </c>
      <c r="B27" s="115" t="s">
        <v>130</v>
      </c>
      <c r="C27" s="333" t="str">
        <f>VLOOKUP(B27,Tot_res!C:D,2,FALSE)</f>
        <v>Acción del estado en el exterior</v>
      </c>
      <c r="D27" s="336">
        <f>Gasto_o_ing_per_capita!D27*100/Gasto_o_ing_per_capita!$D27</f>
        <v>100</v>
      </c>
      <c r="E27" s="336">
        <f>Gasto_o_ing_per_capita!E27*100/Gasto_o_ing_per_capita!$D27</f>
        <v>100</v>
      </c>
      <c r="F27" s="336">
        <f>Gasto_o_ing_per_capita!F27*100/Gasto_o_ing_per_capita!$D27</f>
        <v>99.999999999999986</v>
      </c>
      <c r="G27" s="336">
        <f>Gasto_o_ing_per_capita!G27*100/Gasto_o_ing_per_capita!$D27</f>
        <v>100</v>
      </c>
      <c r="H27" s="336">
        <f>Gasto_o_ing_per_capita!H27*100/Gasto_o_ing_per_capita!$D27</f>
        <v>100</v>
      </c>
      <c r="I27" s="336">
        <f>Gasto_o_ing_per_capita!I27*100/Gasto_o_ing_per_capita!$D27</f>
        <v>100</v>
      </c>
      <c r="J27" s="336">
        <f>Gasto_o_ing_per_capita!J27*100/Gasto_o_ing_per_capita!$D27</f>
        <v>100</v>
      </c>
      <c r="K27" s="336">
        <f>Gasto_o_ing_per_capita!K27*100/Gasto_o_ing_per_capita!$D27</f>
        <v>99.999999999999986</v>
      </c>
      <c r="L27" s="336">
        <f>Gasto_o_ing_per_capita!L27*100/Gasto_o_ing_per_capita!$D27</f>
        <v>100</v>
      </c>
      <c r="M27" s="336">
        <f>Gasto_o_ing_per_capita!M27*100/Gasto_o_ing_per_capita!$D27</f>
        <v>99.999999999999986</v>
      </c>
      <c r="N27" s="336">
        <f>Gasto_o_ing_per_capita!N27*100/Gasto_o_ing_per_capita!$D27</f>
        <v>100</v>
      </c>
      <c r="O27" s="336">
        <f>Gasto_o_ing_per_capita!O27*100/Gasto_o_ing_per_capita!$D27</f>
        <v>99.999999999999986</v>
      </c>
      <c r="P27" s="336">
        <f>Gasto_o_ing_per_capita!P27*100/Gasto_o_ing_per_capita!$D27</f>
        <v>99.999999999999986</v>
      </c>
      <c r="Q27" s="336">
        <f>Gasto_o_ing_per_capita!Q27*100/Gasto_o_ing_per_capita!$D27</f>
        <v>100</v>
      </c>
      <c r="R27" s="336">
        <f>Gasto_o_ing_per_capita!R27*100/Gasto_o_ing_per_capita!$D27</f>
        <v>99.999999999999986</v>
      </c>
      <c r="S27" s="336">
        <f>Gasto_o_ing_per_capita!S27*100/Gasto_o_ing_per_capita!$D27</f>
        <v>99.999999999999986</v>
      </c>
      <c r="T27" s="336">
        <f>Gasto_o_ing_per_capita!T27*100/Gasto_o_ing_per_capita!$D27</f>
        <v>99.999999999999986</v>
      </c>
      <c r="U27" s="336">
        <f>Gasto_o_ing_per_capita!U27*100/Gasto_o_ing_per_capita!$D27</f>
        <v>100</v>
      </c>
      <c r="V27" s="336">
        <f>Gasto_o_ing_per_capita!V27*100/Gasto_o_ing_per_capita!$D27</f>
        <v>99.999999999999986</v>
      </c>
    </row>
    <row r="28" spans="1:22" s="102" customFormat="1" ht="13.15">
      <c r="A28" s="355" t="str">
        <f>IF(B28="","",(IF(ISERROR(MATCH(B28,Tot_res!C:C,0)),"Eliminar!!!","")))</f>
        <v/>
      </c>
      <c r="B28" s="115" t="s">
        <v>131</v>
      </c>
      <c r="C28" s="333" t="str">
        <f>VLOOKUP(B28,Tot_res!C:D,2,FALSE)</f>
        <v>Acción diplomática ante la unión europea</v>
      </c>
      <c r="D28" s="336">
        <f>Gasto_o_ing_per_capita!D28*100/Gasto_o_ing_per_capita!$D28</f>
        <v>100</v>
      </c>
      <c r="E28" s="336">
        <f>Gasto_o_ing_per_capita!E28*100/Gasto_o_ing_per_capita!$D28</f>
        <v>100.00000000000001</v>
      </c>
      <c r="F28" s="336">
        <f>Gasto_o_ing_per_capita!F28*100/Gasto_o_ing_per_capita!$D28</f>
        <v>100.00000000000003</v>
      </c>
      <c r="G28" s="336">
        <f>Gasto_o_ing_per_capita!G28*100/Gasto_o_ing_per_capita!$D28</f>
        <v>100.00000000000004</v>
      </c>
      <c r="H28" s="336">
        <f>Gasto_o_ing_per_capita!H28*100/Gasto_o_ing_per_capita!$D28</f>
        <v>100.00000000000001</v>
      </c>
      <c r="I28" s="336">
        <f>Gasto_o_ing_per_capita!I28*100/Gasto_o_ing_per_capita!$D28</f>
        <v>100.00000000000003</v>
      </c>
      <c r="J28" s="336">
        <f>Gasto_o_ing_per_capita!J28*100/Gasto_o_ing_per_capita!$D28</f>
        <v>100.00000000000003</v>
      </c>
      <c r="K28" s="336">
        <f>Gasto_o_ing_per_capita!K28*100/Gasto_o_ing_per_capita!$D28</f>
        <v>100.00000000000004</v>
      </c>
      <c r="L28" s="336">
        <f>Gasto_o_ing_per_capita!L28*100/Gasto_o_ing_per_capita!$D28</f>
        <v>100.00000000000004</v>
      </c>
      <c r="M28" s="336">
        <f>Gasto_o_ing_per_capita!M28*100/Gasto_o_ing_per_capita!$D28</f>
        <v>100.00000000000003</v>
      </c>
      <c r="N28" s="336">
        <f>Gasto_o_ing_per_capita!N28*100/Gasto_o_ing_per_capita!$D28</f>
        <v>100.00000000000004</v>
      </c>
      <c r="O28" s="336">
        <f>Gasto_o_ing_per_capita!O28*100/Gasto_o_ing_per_capita!$D28</f>
        <v>100.00000000000003</v>
      </c>
      <c r="P28" s="336">
        <f>Gasto_o_ing_per_capita!P28*100/Gasto_o_ing_per_capita!$D28</f>
        <v>100.00000000000003</v>
      </c>
      <c r="Q28" s="336">
        <f>Gasto_o_ing_per_capita!Q28*100/Gasto_o_ing_per_capita!$D28</f>
        <v>100.00000000000001</v>
      </c>
      <c r="R28" s="336">
        <f>Gasto_o_ing_per_capita!R28*100/Gasto_o_ing_per_capita!$D28</f>
        <v>100.00000000000001</v>
      </c>
      <c r="S28" s="336">
        <f>Gasto_o_ing_per_capita!S28*100/Gasto_o_ing_per_capita!$D28</f>
        <v>100.00000000000004</v>
      </c>
      <c r="T28" s="336">
        <f>Gasto_o_ing_per_capita!T28*100/Gasto_o_ing_per_capita!$D28</f>
        <v>100.00000000000003</v>
      </c>
      <c r="U28" s="336">
        <f>Gasto_o_ing_per_capita!U28*100/Gasto_o_ing_per_capita!$D28</f>
        <v>100.00000000000004</v>
      </c>
      <c r="V28" s="336">
        <f>Gasto_o_ing_per_capita!V28*100/Gasto_o_ing_per_capita!$D28</f>
        <v>100.00000000000001</v>
      </c>
    </row>
    <row r="29" spans="1:22" s="102" customFormat="1" ht="13.15">
      <c r="A29" s="355" t="str">
        <f>IF(B29="","",(IF(ISERROR(MATCH(B29,Tot_res!C:C,0)),"Eliminar!!!","")))</f>
        <v/>
      </c>
      <c r="B29" s="115" t="s">
        <v>132</v>
      </c>
      <c r="C29" s="333" t="str">
        <f>VLOOKUP(B29,Tot_res!C:D,2,FALSE)</f>
        <v>Cooperación para el desarrollo</v>
      </c>
      <c r="D29" s="336">
        <f>Gasto_o_ing_per_capita!D29*100/Gasto_o_ing_per_capita!$D29</f>
        <v>100</v>
      </c>
      <c r="E29" s="336">
        <f>Gasto_o_ing_per_capita!E29*100/Gasto_o_ing_per_capita!$D29</f>
        <v>99.999999999999986</v>
      </c>
      <c r="F29" s="336">
        <f>Gasto_o_ing_per_capita!F29*100/Gasto_o_ing_per_capita!$D29</f>
        <v>100</v>
      </c>
      <c r="G29" s="336">
        <f>Gasto_o_ing_per_capita!G29*100/Gasto_o_ing_per_capita!$D29</f>
        <v>100.00000000000001</v>
      </c>
      <c r="H29" s="336">
        <f>Gasto_o_ing_per_capita!H29*100/Gasto_o_ing_per_capita!$D29</f>
        <v>100</v>
      </c>
      <c r="I29" s="336">
        <f>Gasto_o_ing_per_capita!I29*100/Gasto_o_ing_per_capita!$D29</f>
        <v>100</v>
      </c>
      <c r="J29" s="336">
        <f>Gasto_o_ing_per_capita!J29*100/Gasto_o_ing_per_capita!$D29</f>
        <v>100</v>
      </c>
      <c r="K29" s="336">
        <f>Gasto_o_ing_per_capita!K29*100/Gasto_o_ing_per_capita!$D29</f>
        <v>100</v>
      </c>
      <c r="L29" s="336">
        <f>Gasto_o_ing_per_capita!L29*100/Gasto_o_ing_per_capita!$D29</f>
        <v>100</v>
      </c>
      <c r="M29" s="336">
        <f>Gasto_o_ing_per_capita!M29*100/Gasto_o_ing_per_capita!$D29</f>
        <v>100</v>
      </c>
      <c r="N29" s="336">
        <f>Gasto_o_ing_per_capita!N29*100/Gasto_o_ing_per_capita!$D29</f>
        <v>100.00000000000001</v>
      </c>
      <c r="O29" s="336">
        <f>Gasto_o_ing_per_capita!O29*100/Gasto_o_ing_per_capita!$D29</f>
        <v>100</v>
      </c>
      <c r="P29" s="336">
        <f>Gasto_o_ing_per_capita!P29*100/Gasto_o_ing_per_capita!$D29</f>
        <v>99.999999999999986</v>
      </c>
      <c r="Q29" s="336">
        <f>Gasto_o_ing_per_capita!Q29*100/Gasto_o_ing_per_capita!$D29</f>
        <v>99.999999999999986</v>
      </c>
      <c r="R29" s="336">
        <f>Gasto_o_ing_per_capita!R29*100/Gasto_o_ing_per_capita!$D29</f>
        <v>100</v>
      </c>
      <c r="S29" s="336">
        <f>Gasto_o_ing_per_capita!S29*100/Gasto_o_ing_per_capita!$D29</f>
        <v>100.00000000000001</v>
      </c>
      <c r="T29" s="336">
        <f>Gasto_o_ing_per_capita!T29*100/Gasto_o_ing_per_capita!$D29</f>
        <v>100.00000000000001</v>
      </c>
      <c r="U29" s="336">
        <f>Gasto_o_ing_per_capita!U29*100/Gasto_o_ing_per_capita!$D29</f>
        <v>100</v>
      </c>
      <c r="V29" s="336">
        <f>Gasto_o_ing_per_capita!V29*100/Gasto_o_ing_per_capita!$D29</f>
        <v>100.00000000000001</v>
      </c>
    </row>
    <row r="30" spans="1:22" s="102" customFormat="1" ht="13.15">
      <c r="A30" s="355" t="str">
        <f>IF(B30="","",(IF(ISERROR(MATCH(B30,Tot_res!C:C,0)),"Eliminar!!!","")))</f>
        <v/>
      </c>
      <c r="B30" s="115" t="s">
        <v>134</v>
      </c>
      <c r="C30" s="333" t="str">
        <f>VLOOKUP(B30,Tot_res!C:D,2,FALSE)</f>
        <v>Cooperación, promoción y difusión cultural en el exterior</v>
      </c>
      <c r="D30" s="336">
        <f>Gasto_o_ing_per_capita!D30*100/Gasto_o_ing_per_capita!$D30</f>
        <v>100</v>
      </c>
      <c r="E30" s="336">
        <f>Gasto_o_ing_per_capita!E30*100/Gasto_o_ing_per_capita!$D30</f>
        <v>99.999999999999986</v>
      </c>
      <c r="F30" s="336">
        <f>Gasto_o_ing_per_capita!F30*100/Gasto_o_ing_per_capita!$D30</f>
        <v>100</v>
      </c>
      <c r="G30" s="336">
        <f>Gasto_o_ing_per_capita!G30*100/Gasto_o_ing_per_capita!$D30</f>
        <v>100</v>
      </c>
      <c r="H30" s="336">
        <f>Gasto_o_ing_per_capita!H30*100/Gasto_o_ing_per_capita!$D30</f>
        <v>99.999999999999986</v>
      </c>
      <c r="I30" s="336">
        <f>Gasto_o_ing_per_capita!I30*100/Gasto_o_ing_per_capita!$D30</f>
        <v>100.00000000000003</v>
      </c>
      <c r="J30" s="336">
        <f>Gasto_o_ing_per_capita!J30*100/Gasto_o_ing_per_capita!$D30</f>
        <v>100</v>
      </c>
      <c r="K30" s="336">
        <f>Gasto_o_ing_per_capita!K30*100/Gasto_o_ing_per_capita!$D30</f>
        <v>100.00000000000003</v>
      </c>
      <c r="L30" s="336">
        <f>Gasto_o_ing_per_capita!L30*100/Gasto_o_ing_per_capita!$D30</f>
        <v>100.00000000000003</v>
      </c>
      <c r="M30" s="336">
        <f>Gasto_o_ing_per_capita!M30*100/Gasto_o_ing_per_capita!$D30</f>
        <v>100</v>
      </c>
      <c r="N30" s="336">
        <f>Gasto_o_ing_per_capita!N30*100/Gasto_o_ing_per_capita!$D30</f>
        <v>100</v>
      </c>
      <c r="O30" s="336">
        <f>Gasto_o_ing_per_capita!O30*100/Gasto_o_ing_per_capita!$D30</f>
        <v>99.999999999999986</v>
      </c>
      <c r="P30" s="336">
        <f>Gasto_o_ing_per_capita!P30*100/Gasto_o_ing_per_capita!$D30</f>
        <v>99.999999999999986</v>
      </c>
      <c r="Q30" s="336">
        <f>Gasto_o_ing_per_capita!Q30*100/Gasto_o_ing_per_capita!$D30</f>
        <v>100</v>
      </c>
      <c r="R30" s="336">
        <f>Gasto_o_ing_per_capita!R30*100/Gasto_o_ing_per_capita!$D30</f>
        <v>99.999999999999986</v>
      </c>
      <c r="S30" s="336">
        <f>Gasto_o_ing_per_capita!S30*100/Gasto_o_ing_per_capita!$D30</f>
        <v>100</v>
      </c>
      <c r="T30" s="336">
        <f>Gasto_o_ing_per_capita!T30*100/Gasto_o_ing_per_capita!$D30</f>
        <v>100</v>
      </c>
      <c r="U30" s="336">
        <f>Gasto_o_ing_per_capita!U30*100/Gasto_o_ing_per_capita!$D30</f>
        <v>100</v>
      </c>
      <c r="V30" s="336">
        <f>Gasto_o_ing_per_capita!V30*100/Gasto_o_ing_per_capita!$D30</f>
        <v>100</v>
      </c>
    </row>
    <row r="31" spans="1:22" s="102" customFormat="1" ht="13.15">
      <c r="A31" s="355" t="str">
        <f>IF(B31="","",(IF(ISERROR(MATCH(B31,Tot_res!C:C,0)),"Eliminar!!!","")))</f>
        <v/>
      </c>
      <c r="B31" s="119" t="s">
        <v>136</v>
      </c>
      <c r="C31" s="333" t="str">
        <f>VLOOKUP(B31,Tot_res!C:D,2,FALSE)</f>
        <v>Educación en el exterior</v>
      </c>
      <c r="D31" s="336">
        <f>Gasto_o_ing_per_capita!D31*100/Gasto_o_ing_per_capita!$D31</f>
        <v>100</v>
      </c>
      <c r="E31" s="336">
        <f>Gasto_o_ing_per_capita!E31*100/Gasto_o_ing_per_capita!$D31</f>
        <v>99.999999999999972</v>
      </c>
      <c r="F31" s="336">
        <f>Gasto_o_ing_per_capita!F31*100/Gasto_o_ing_per_capita!$D31</f>
        <v>100</v>
      </c>
      <c r="G31" s="336">
        <f>Gasto_o_ing_per_capita!G31*100/Gasto_o_ing_per_capita!$D31</f>
        <v>99.999999999999972</v>
      </c>
      <c r="H31" s="336">
        <f>Gasto_o_ing_per_capita!H31*100/Gasto_o_ing_per_capita!$D31</f>
        <v>100</v>
      </c>
      <c r="I31" s="336">
        <f>Gasto_o_ing_per_capita!I31*100/Gasto_o_ing_per_capita!$D31</f>
        <v>100</v>
      </c>
      <c r="J31" s="336">
        <f>Gasto_o_ing_per_capita!J31*100/Gasto_o_ing_per_capita!$D31</f>
        <v>100</v>
      </c>
      <c r="K31" s="336">
        <f>Gasto_o_ing_per_capita!K31*100/Gasto_o_ing_per_capita!$D31</f>
        <v>100</v>
      </c>
      <c r="L31" s="336">
        <f>Gasto_o_ing_per_capita!L31*100/Gasto_o_ing_per_capita!$D31</f>
        <v>100</v>
      </c>
      <c r="M31" s="336">
        <f>Gasto_o_ing_per_capita!M31*100/Gasto_o_ing_per_capita!$D31</f>
        <v>100</v>
      </c>
      <c r="N31" s="336">
        <f>Gasto_o_ing_per_capita!N31*100/Gasto_o_ing_per_capita!$D31</f>
        <v>100</v>
      </c>
      <c r="O31" s="336">
        <f>Gasto_o_ing_per_capita!O31*100/Gasto_o_ing_per_capita!$D31</f>
        <v>100</v>
      </c>
      <c r="P31" s="336">
        <f>Gasto_o_ing_per_capita!P31*100/Gasto_o_ing_per_capita!$D31</f>
        <v>100</v>
      </c>
      <c r="Q31" s="336">
        <f>Gasto_o_ing_per_capita!Q31*100/Gasto_o_ing_per_capita!$D31</f>
        <v>100</v>
      </c>
      <c r="R31" s="336">
        <f>Gasto_o_ing_per_capita!R31*100/Gasto_o_ing_per_capita!$D31</f>
        <v>100</v>
      </c>
      <c r="S31" s="336">
        <f>Gasto_o_ing_per_capita!S31*100/Gasto_o_ing_per_capita!$D31</f>
        <v>100</v>
      </c>
      <c r="T31" s="336">
        <f>Gasto_o_ing_per_capita!T31*100/Gasto_o_ing_per_capita!$D31</f>
        <v>100</v>
      </c>
      <c r="U31" s="336">
        <f>Gasto_o_ing_per_capita!U31*100/Gasto_o_ing_per_capita!$D31</f>
        <v>100</v>
      </c>
      <c r="V31" s="336">
        <f>Gasto_o_ing_per_capita!V31*100/Gasto_o_ing_per_capita!$D31</f>
        <v>100</v>
      </c>
    </row>
    <row r="32" spans="1:22" s="102" customFormat="1" ht="13.15">
      <c r="A32" s="355" t="str">
        <f>IF(B32="","",(IF(ISERROR(MATCH(B32,Tot_res!C:C,0)),"Eliminar!!!","")))</f>
        <v/>
      </c>
      <c r="B32" s="115" t="s">
        <v>138</v>
      </c>
      <c r="C32" s="333" t="str">
        <f>VLOOKUP(B32,Tot_res!C:D,2,FALSE)</f>
        <v>Relaciones con los organismos financieros multilaterales</v>
      </c>
      <c r="D32" s="336">
        <f>Gasto_o_ing_per_capita!D32*100/Gasto_o_ing_per_capita!$D32</f>
        <v>100</v>
      </c>
      <c r="E32" s="336">
        <f>Gasto_o_ing_per_capita!E32*100/Gasto_o_ing_per_capita!$D32</f>
        <v>100.00000000000004</v>
      </c>
      <c r="F32" s="336">
        <f>Gasto_o_ing_per_capita!F32*100/Gasto_o_ing_per_capita!$D32</f>
        <v>100.00000000000006</v>
      </c>
      <c r="G32" s="336">
        <f>Gasto_o_ing_per_capita!G32*100/Gasto_o_ing_per_capita!$D32</f>
        <v>100.00000000000006</v>
      </c>
      <c r="H32" s="336">
        <f>Gasto_o_ing_per_capita!H32*100/Gasto_o_ing_per_capita!$D32</f>
        <v>100.00000000000004</v>
      </c>
      <c r="I32" s="336">
        <f>Gasto_o_ing_per_capita!I32*100/Gasto_o_ing_per_capita!$D32</f>
        <v>100.00000000000004</v>
      </c>
      <c r="J32" s="336">
        <f>Gasto_o_ing_per_capita!J32*100/Gasto_o_ing_per_capita!$D32</f>
        <v>100.00000000000001</v>
      </c>
      <c r="K32" s="336">
        <f>Gasto_o_ing_per_capita!K32*100/Gasto_o_ing_per_capita!$D32</f>
        <v>100.00000000000006</v>
      </c>
      <c r="L32" s="336">
        <f>Gasto_o_ing_per_capita!L32*100/Gasto_o_ing_per_capita!$D32</f>
        <v>100.00000000000004</v>
      </c>
      <c r="M32" s="336">
        <f>Gasto_o_ing_per_capita!M32*100/Gasto_o_ing_per_capita!$D32</f>
        <v>100.00000000000004</v>
      </c>
      <c r="N32" s="336">
        <f>Gasto_o_ing_per_capita!N32*100/Gasto_o_ing_per_capita!$D32</f>
        <v>100.00000000000004</v>
      </c>
      <c r="O32" s="336">
        <f>Gasto_o_ing_per_capita!O32*100/Gasto_o_ing_per_capita!$D32</f>
        <v>100.00000000000001</v>
      </c>
      <c r="P32" s="336">
        <f>Gasto_o_ing_per_capita!P32*100/Gasto_o_ing_per_capita!$D32</f>
        <v>100.00000000000004</v>
      </c>
      <c r="Q32" s="336">
        <f>Gasto_o_ing_per_capita!Q32*100/Gasto_o_ing_per_capita!$D32</f>
        <v>100.00000000000004</v>
      </c>
      <c r="R32" s="336">
        <f>Gasto_o_ing_per_capita!R32*100/Gasto_o_ing_per_capita!$D32</f>
        <v>100.00000000000001</v>
      </c>
      <c r="S32" s="336">
        <f>Gasto_o_ing_per_capita!S32*100/Gasto_o_ing_per_capita!$D32</f>
        <v>100.00000000000004</v>
      </c>
      <c r="T32" s="336">
        <f>Gasto_o_ing_per_capita!T32*100/Gasto_o_ing_per_capita!$D32</f>
        <v>100.00000000000004</v>
      </c>
      <c r="U32" s="336">
        <f>Gasto_o_ing_per_capita!U32*100/Gasto_o_ing_per_capita!$D32</f>
        <v>100.00000000000006</v>
      </c>
      <c r="V32" s="336">
        <f>Gasto_o_ing_per_capita!V32*100/Gasto_o_ing_per_capita!$D32</f>
        <v>100.00000000000001</v>
      </c>
    </row>
    <row r="33" spans="1:22" s="102" customFormat="1" ht="13.15">
      <c r="A33" s="355" t="str">
        <f>IF(B33="","",(IF(ISERROR(MATCH(B33,Tot_res!C:C,0)),"Eliminar!!!","")))</f>
        <v/>
      </c>
      <c r="B33" s="115" t="s">
        <v>139</v>
      </c>
      <c r="C33" s="333" t="str">
        <f>VLOOKUP(B33,Tot_res!C:D,2,FALSE)</f>
        <v>Transferencias al presupuesto general de la unión europea</v>
      </c>
      <c r="D33" s="336">
        <f>Gasto_o_ing_per_capita!D33*100/Gasto_o_ing_per_capita!$D33</f>
        <v>100.00000000000001</v>
      </c>
      <c r="E33" s="336">
        <f>Gasto_o_ing_per_capita!E33*100/Gasto_o_ing_per_capita!$D33</f>
        <v>100.00000000000001</v>
      </c>
      <c r="F33" s="336">
        <f>Gasto_o_ing_per_capita!F33*100/Gasto_o_ing_per_capita!$D33</f>
        <v>99.999999999999986</v>
      </c>
      <c r="G33" s="336">
        <f>Gasto_o_ing_per_capita!G33*100/Gasto_o_ing_per_capita!$D33</f>
        <v>99.999999999999986</v>
      </c>
      <c r="H33" s="336">
        <f>Gasto_o_ing_per_capita!H33*100/Gasto_o_ing_per_capita!$D33</f>
        <v>100.00000000000001</v>
      </c>
      <c r="I33" s="336">
        <f>Gasto_o_ing_per_capita!I33*100/Gasto_o_ing_per_capita!$D33</f>
        <v>100.00000000000001</v>
      </c>
      <c r="J33" s="336">
        <f>Gasto_o_ing_per_capita!J33*100/Gasto_o_ing_per_capita!$D33</f>
        <v>100.00000000000001</v>
      </c>
      <c r="K33" s="336">
        <f>Gasto_o_ing_per_capita!K33*100/Gasto_o_ing_per_capita!$D33</f>
        <v>100.00000000000001</v>
      </c>
      <c r="L33" s="336">
        <f>Gasto_o_ing_per_capita!L33*100/Gasto_o_ing_per_capita!$D33</f>
        <v>100.00000000000001</v>
      </c>
      <c r="M33" s="336">
        <f>Gasto_o_ing_per_capita!M33*100/Gasto_o_ing_per_capita!$D33</f>
        <v>100.00000000000001</v>
      </c>
      <c r="N33" s="336">
        <f>Gasto_o_ing_per_capita!N33*100/Gasto_o_ing_per_capita!$D33</f>
        <v>100.00000000000001</v>
      </c>
      <c r="O33" s="336">
        <f>Gasto_o_ing_per_capita!O33*100/Gasto_o_ing_per_capita!$D33</f>
        <v>99.999999999999986</v>
      </c>
      <c r="P33" s="336">
        <f>Gasto_o_ing_per_capita!P33*100/Gasto_o_ing_per_capita!$D33</f>
        <v>99.999999999999986</v>
      </c>
      <c r="Q33" s="336">
        <f>Gasto_o_ing_per_capita!Q33*100/Gasto_o_ing_per_capita!$D33</f>
        <v>100.00000000000001</v>
      </c>
      <c r="R33" s="336">
        <f>Gasto_o_ing_per_capita!R33*100/Gasto_o_ing_per_capita!$D33</f>
        <v>100.00000000000001</v>
      </c>
      <c r="S33" s="336">
        <f>Gasto_o_ing_per_capita!S33*100/Gasto_o_ing_per_capita!$D33</f>
        <v>100.00000000000001</v>
      </c>
      <c r="T33" s="336">
        <f>Gasto_o_ing_per_capita!T33*100/Gasto_o_ing_per_capita!$D33</f>
        <v>100.00000000000001</v>
      </c>
      <c r="U33" s="336">
        <f>Gasto_o_ing_per_capita!U33*100/Gasto_o_ing_per_capita!$D33</f>
        <v>100.00000000000001</v>
      </c>
      <c r="V33" s="336">
        <f>Gasto_o_ing_per_capita!V33*100/Gasto_o_ing_per_capita!$D33</f>
        <v>100.00000000000001</v>
      </c>
    </row>
    <row r="34" spans="1:22" s="102" customFormat="1" ht="13.15">
      <c r="A34" s="356"/>
      <c r="B34" s="115"/>
      <c r="D34" s="110"/>
      <c r="E34" s="110"/>
      <c r="F34" s="110"/>
      <c r="G34" s="110"/>
      <c r="H34" s="110"/>
      <c r="I34" s="110"/>
      <c r="J34" s="110"/>
      <c r="K34" s="110"/>
      <c r="L34" s="110"/>
      <c r="M34" s="110"/>
      <c r="N34" s="110"/>
      <c r="O34" s="110"/>
      <c r="P34" s="110"/>
      <c r="Q34" s="110"/>
      <c r="R34" s="110"/>
      <c r="S34" s="110"/>
      <c r="T34" s="110"/>
      <c r="U34" s="110"/>
      <c r="V34" s="110"/>
    </row>
    <row r="35" spans="1:22" s="102" customFormat="1" ht="13.15">
      <c r="A35" s="356"/>
      <c r="B35" s="115"/>
      <c r="C35" s="128" t="s">
        <v>35</v>
      </c>
      <c r="D35" s="113">
        <f>Gasto_o_ing_per_capita!D35*100/Gasto_o_ing_per_capita!$D35</f>
        <v>100.00000000000001</v>
      </c>
      <c r="E35" s="113">
        <f>Gasto_o_ing_per_capita!E35*100/Gasto_o_ing_per_capita!$D35</f>
        <v>99.999999999999986</v>
      </c>
      <c r="F35" s="113">
        <f>Gasto_o_ing_per_capita!F35*100/Gasto_o_ing_per_capita!$D35</f>
        <v>100.00000000000001</v>
      </c>
      <c r="G35" s="113">
        <f>Gasto_o_ing_per_capita!G35*100/Gasto_o_ing_per_capita!$D35</f>
        <v>100.00000000000001</v>
      </c>
      <c r="H35" s="113">
        <f>Gasto_o_ing_per_capita!H35*100/Gasto_o_ing_per_capita!$D35</f>
        <v>99.999999999999986</v>
      </c>
      <c r="I35" s="113">
        <f>Gasto_o_ing_per_capita!I35*100/Gasto_o_ing_per_capita!$D35</f>
        <v>100.00000000000001</v>
      </c>
      <c r="J35" s="113">
        <f>Gasto_o_ing_per_capita!J35*100/Gasto_o_ing_per_capita!$D35</f>
        <v>99.999999999999986</v>
      </c>
      <c r="K35" s="113">
        <f>Gasto_o_ing_per_capita!K35*100/Gasto_o_ing_per_capita!$D35</f>
        <v>99.999999999999986</v>
      </c>
      <c r="L35" s="113">
        <f>Gasto_o_ing_per_capita!L35*100/Gasto_o_ing_per_capita!$D35</f>
        <v>100.00000000000001</v>
      </c>
      <c r="M35" s="113">
        <f>Gasto_o_ing_per_capita!M35*100/Gasto_o_ing_per_capita!$D35</f>
        <v>100.00000000000001</v>
      </c>
      <c r="N35" s="113">
        <f>Gasto_o_ing_per_capita!N35*100/Gasto_o_ing_per_capita!$D35</f>
        <v>100.00000000000001</v>
      </c>
      <c r="O35" s="113">
        <f>Gasto_o_ing_per_capita!O35*100/Gasto_o_ing_per_capita!$D35</f>
        <v>100.00000000000001</v>
      </c>
      <c r="P35" s="113">
        <f>Gasto_o_ing_per_capita!P35*100/Gasto_o_ing_per_capita!$D35</f>
        <v>100.00000000000001</v>
      </c>
      <c r="Q35" s="113">
        <f>Gasto_o_ing_per_capita!Q35*100/Gasto_o_ing_per_capita!$D35</f>
        <v>100.00000000000001</v>
      </c>
      <c r="R35" s="113">
        <f>Gasto_o_ing_per_capita!R35*100/Gasto_o_ing_per_capita!$D35</f>
        <v>100.00000000000001</v>
      </c>
      <c r="S35" s="113">
        <f>Gasto_o_ing_per_capita!S35*100/Gasto_o_ing_per_capita!$D35</f>
        <v>99.999999999999986</v>
      </c>
      <c r="T35" s="113">
        <f>Gasto_o_ing_per_capita!T35*100/Gasto_o_ing_per_capita!$D35</f>
        <v>99.999999999999986</v>
      </c>
      <c r="U35" s="113">
        <f>Gasto_o_ing_per_capita!U35*100/Gasto_o_ing_per_capita!$D35</f>
        <v>99.999999999999986</v>
      </c>
      <c r="V35" s="113">
        <f>Gasto_o_ing_per_capita!V35*100/Gasto_o_ing_per_capita!$D35</f>
        <v>99.999999999999986</v>
      </c>
    </row>
    <row r="36" spans="1:22" s="102" customFormat="1" ht="13.15">
      <c r="A36" s="355" t="str">
        <f>IF(B36="","",(IF(ISERROR(MATCH(B36,Tot_res!C:C,0)),"Eliminar!!!","")))</f>
        <v/>
      </c>
      <c r="B36" s="115" t="s">
        <v>140</v>
      </c>
      <c r="C36" s="333" t="str">
        <f>VLOOKUP(B36,Tot_res!C:D,2,FALSE)</f>
        <v>Administración y servicios generales de defensa</v>
      </c>
      <c r="D36" s="336">
        <f>Gasto_o_ing_per_capita!D36*100/Gasto_o_ing_per_capita!$D36</f>
        <v>100</v>
      </c>
      <c r="E36" s="336">
        <f>Gasto_o_ing_per_capita!E36*100/Gasto_o_ing_per_capita!$D36</f>
        <v>100</v>
      </c>
      <c r="F36" s="336">
        <f>Gasto_o_ing_per_capita!F36*100/Gasto_o_ing_per_capita!$D36</f>
        <v>100.00000000000001</v>
      </c>
      <c r="G36" s="336">
        <f>Gasto_o_ing_per_capita!G36*100/Gasto_o_ing_per_capita!$D36</f>
        <v>100.00000000000001</v>
      </c>
      <c r="H36" s="336">
        <f>Gasto_o_ing_per_capita!H36*100/Gasto_o_ing_per_capita!$D36</f>
        <v>100</v>
      </c>
      <c r="I36" s="336">
        <f>Gasto_o_ing_per_capita!I36*100/Gasto_o_ing_per_capita!$D36</f>
        <v>100.00000000000001</v>
      </c>
      <c r="J36" s="336">
        <f>Gasto_o_ing_per_capita!J36*100/Gasto_o_ing_per_capita!$D36</f>
        <v>100.00000000000001</v>
      </c>
      <c r="K36" s="336">
        <f>Gasto_o_ing_per_capita!K36*100/Gasto_o_ing_per_capita!$D36</f>
        <v>100.00000000000001</v>
      </c>
      <c r="L36" s="336">
        <f>Gasto_o_ing_per_capita!L36*100/Gasto_o_ing_per_capita!$D36</f>
        <v>100.00000000000001</v>
      </c>
      <c r="M36" s="336">
        <f>Gasto_o_ing_per_capita!M36*100/Gasto_o_ing_per_capita!$D36</f>
        <v>100.00000000000001</v>
      </c>
      <c r="N36" s="336">
        <f>Gasto_o_ing_per_capita!N36*100/Gasto_o_ing_per_capita!$D36</f>
        <v>100.00000000000001</v>
      </c>
      <c r="O36" s="336">
        <f>Gasto_o_ing_per_capita!O36*100/Gasto_o_ing_per_capita!$D36</f>
        <v>100.00000000000001</v>
      </c>
      <c r="P36" s="336">
        <f>Gasto_o_ing_per_capita!P36*100/Gasto_o_ing_per_capita!$D36</f>
        <v>100</v>
      </c>
      <c r="Q36" s="336">
        <f>Gasto_o_ing_per_capita!Q36*100/Gasto_o_ing_per_capita!$D36</f>
        <v>100.00000000000001</v>
      </c>
      <c r="R36" s="336">
        <f>Gasto_o_ing_per_capita!R36*100/Gasto_o_ing_per_capita!$D36</f>
        <v>100.00000000000001</v>
      </c>
      <c r="S36" s="336">
        <f>Gasto_o_ing_per_capita!S36*100/Gasto_o_ing_per_capita!$D36</f>
        <v>100</v>
      </c>
      <c r="T36" s="336">
        <f>Gasto_o_ing_per_capita!T36*100/Gasto_o_ing_per_capita!$D36</f>
        <v>100.00000000000001</v>
      </c>
      <c r="U36" s="336">
        <f>Gasto_o_ing_per_capita!U36*100/Gasto_o_ing_per_capita!$D36</f>
        <v>100.00000000000001</v>
      </c>
      <c r="V36" s="336">
        <f>Gasto_o_ing_per_capita!V36*100/Gasto_o_ing_per_capita!$D36</f>
        <v>100</v>
      </c>
    </row>
    <row r="37" spans="1:22" s="102" customFormat="1" ht="13.15">
      <c r="A37" s="355" t="str">
        <f>IF(B37="","",(IF(ISERROR(MATCH(B37,Tot_res!C:C,0)),"Eliminar!!!","")))</f>
        <v/>
      </c>
      <c r="B37" s="115" t="s">
        <v>141</v>
      </c>
      <c r="C37" s="333" t="str">
        <f>VLOOKUP(B37,Tot_res!C:D,2,FALSE)</f>
        <v>Formación del personal de las fuerzas armadas</v>
      </c>
      <c r="D37" s="336">
        <f>Gasto_o_ing_per_capita!D37*100/Gasto_o_ing_per_capita!$D37</f>
        <v>100</v>
      </c>
      <c r="E37" s="336">
        <f>Gasto_o_ing_per_capita!E37*100/Gasto_o_ing_per_capita!$D37</f>
        <v>100</v>
      </c>
      <c r="F37" s="336">
        <f>Gasto_o_ing_per_capita!F37*100/Gasto_o_ing_per_capita!$D37</f>
        <v>100</v>
      </c>
      <c r="G37" s="336">
        <f>Gasto_o_ing_per_capita!G37*100/Gasto_o_ing_per_capita!$D37</f>
        <v>100</v>
      </c>
      <c r="H37" s="336">
        <f>Gasto_o_ing_per_capita!H37*100/Gasto_o_ing_per_capita!$D37</f>
        <v>100</v>
      </c>
      <c r="I37" s="336">
        <f>Gasto_o_ing_per_capita!I37*100/Gasto_o_ing_per_capita!$D37</f>
        <v>100</v>
      </c>
      <c r="J37" s="336">
        <f>Gasto_o_ing_per_capita!J37*100/Gasto_o_ing_per_capita!$D37</f>
        <v>100</v>
      </c>
      <c r="K37" s="336">
        <f>Gasto_o_ing_per_capita!K37*100/Gasto_o_ing_per_capita!$D37</f>
        <v>100.00000000000001</v>
      </c>
      <c r="L37" s="336">
        <f>Gasto_o_ing_per_capita!L37*100/Gasto_o_ing_per_capita!$D37</f>
        <v>100</v>
      </c>
      <c r="M37" s="336">
        <f>Gasto_o_ing_per_capita!M37*100/Gasto_o_ing_per_capita!$D37</f>
        <v>100</v>
      </c>
      <c r="N37" s="336">
        <f>Gasto_o_ing_per_capita!N37*100/Gasto_o_ing_per_capita!$D37</f>
        <v>100</v>
      </c>
      <c r="O37" s="336">
        <f>Gasto_o_ing_per_capita!O37*100/Gasto_o_ing_per_capita!$D37</f>
        <v>100</v>
      </c>
      <c r="P37" s="336">
        <f>Gasto_o_ing_per_capita!P37*100/Gasto_o_ing_per_capita!$D37</f>
        <v>100</v>
      </c>
      <c r="Q37" s="336">
        <f>Gasto_o_ing_per_capita!Q37*100/Gasto_o_ing_per_capita!$D37</f>
        <v>100</v>
      </c>
      <c r="R37" s="336">
        <f>Gasto_o_ing_per_capita!R37*100/Gasto_o_ing_per_capita!$D37</f>
        <v>100</v>
      </c>
      <c r="S37" s="336">
        <f>Gasto_o_ing_per_capita!S37*100/Gasto_o_ing_per_capita!$D37</f>
        <v>100</v>
      </c>
      <c r="T37" s="336">
        <f>Gasto_o_ing_per_capita!T37*100/Gasto_o_ing_per_capita!$D37</f>
        <v>100</v>
      </c>
      <c r="U37" s="336">
        <f>Gasto_o_ing_per_capita!U37*100/Gasto_o_ing_per_capita!$D37</f>
        <v>100</v>
      </c>
      <c r="V37" s="336">
        <f>Gasto_o_ing_per_capita!V37*100/Gasto_o_ing_per_capita!$D37</f>
        <v>100</v>
      </c>
    </row>
    <row r="38" spans="1:22" s="102" customFormat="1" ht="13.15">
      <c r="A38" s="355" t="str">
        <f>IF(B38="","",(IF(ISERROR(MATCH(B38,Tot_res!C:C,0)),"Eliminar!!!","")))</f>
        <v/>
      </c>
      <c r="B38" s="115" t="s">
        <v>142</v>
      </c>
      <c r="C38" s="333" t="str">
        <f>VLOOKUP(B38,Tot_res!C:D,2,FALSE)</f>
        <v>Personal en reserva</v>
      </c>
      <c r="D38" s="336">
        <f>Gasto_o_ing_per_capita!D38*100/Gasto_o_ing_per_capita!$D38</f>
        <v>100</v>
      </c>
      <c r="E38" s="336">
        <f>Gasto_o_ing_per_capita!E38*100/Gasto_o_ing_per_capita!$D38</f>
        <v>99.999999999999972</v>
      </c>
      <c r="F38" s="336">
        <f>Gasto_o_ing_per_capita!F38*100/Gasto_o_ing_per_capita!$D38</f>
        <v>99.999999999999972</v>
      </c>
      <c r="G38" s="336">
        <f>Gasto_o_ing_per_capita!G38*100/Gasto_o_ing_per_capita!$D38</f>
        <v>100</v>
      </c>
      <c r="H38" s="336">
        <f>Gasto_o_ing_per_capita!H38*100/Gasto_o_ing_per_capita!$D38</f>
        <v>100</v>
      </c>
      <c r="I38" s="336">
        <f>Gasto_o_ing_per_capita!I38*100/Gasto_o_ing_per_capita!$D38</f>
        <v>100</v>
      </c>
      <c r="J38" s="336">
        <f>Gasto_o_ing_per_capita!J38*100/Gasto_o_ing_per_capita!$D38</f>
        <v>99.999999999999972</v>
      </c>
      <c r="K38" s="336">
        <f>Gasto_o_ing_per_capita!K38*100/Gasto_o_ing_per_capita!$D38</f>
        <v>100</v>
      </c>
      <c r="L38" s="336">
        <f>Gasto_o_ing_per_capita!L38*100/Gasto_o_ing_per_capita!$D38</f>
        <v>100</v>
      </c>
      <c r="M38" s="336">
        <f>Gasto_o_ing_per_capita!M38*100/Gasto_o_ing_per_capita!$D38</f>
        <v>100</v>
      </c>
      <c r="N38" s="336">
        <f>Gasto_o_ing_per_capita!N38*100/Gasto_o_ing_per_capita!$D38</f>
        <v>99.999999999999972</v>
      </c>
      <c r="O38" s="336">
        <f>Gasto_o_ing_per_capita!O38*100/Gasto_o_ing_per_capita!$D38</f>
        <v>99.999999999999972</v>
      </c>
      <c r="P38" s="336">
        <f>Gasto_o_ing_per_capita!P38*100/Gasto_o_ing_per_capita!$D38</f>
        <v>100</v>
      </c>
      <c r="Q38" s="336">
        <f>Gasto_o_ing_per_capita!Q38*100/Gasto_o_ing_per_capita!$D38</f>
        <v>99.999999999999972</v>
      </c>
      <c r="R38" s="336">
        <f>Gasto_o_ing_per_capita!R38*100/Gasto_o_ing_per_capita!$D38</f>
        <v>99.999999999999972</v>
      </c>
      <c r="S38" s="336">
        <f>Gasto_o_ing_per_capita!S38*100/Gasto_o_ing_per_capita!$D38</f>
        <v>100</v>
      </c>
      <c r="T38" s="336">
        <f>Gasto_o_ing_per_capita!T38*100/Gasto_o_ing_per_capita!$D38</f>
        <v>99.999999999999972</v>
      </c>
      <c r="U38" s="336">
        <f>Gasto_o_ing_per_capita!U38*100/Gasto_o_ing_per_capita!$D38</f>
        <v>99.999999999999972</v>
      </c>
      <c r="V38" s="336">
        <f>Gasto_o_ing_per_capita!V38*100/Gasto_o_ing_per_capita!$D38</f>
        <v>99.999999999999972</v>
      </c>
    </row>
    <row r="39" spans="1:22" s="102" customFormat="1" ht="13.15">
      <c r="A39" s="355" t="str">
        <f>IF(B39="","",(IF(ISERROR(MATCH(B39,Tot_res!C:C,0)),"Eliminar!!!","")))</f>
        <v/>
      </c>
      <c r="B39" s="115" t="s">
        <v>144</v>
      </c>
      <c r="C39" s="333" t="str">
        <f>VLOOKUP(B39,Tot_res!C:D,2,FALSE)</f>
        <v>Modernización de las fuerzas armadas</v>
      </c>
      <c r="D39" s="336">
        <f>Gasto_o_ing_per_capita!D39*100/Gasto_o_ing_per_capita!$D39</f>
        <v>100</v>
      </c>
      <c r="E39" s="336">
        <f>Gasto_o_ing_per_capita!E39*100/Gasto_o_ing_per_capita!$D39</f>
        <v>99.999999999999986</v>
      </c>
      <c r="F39" s="336">
        <f>Gasto_o_ing_per_capita!F39*100/Gasto_o_ing_per_capita!$D39</f>
        <v>100</v>
      </c>
      <c r="G39" s="336">
        <f>Gasto_o_ing_per_capita!G39*100/Gasto_o_ing_per_capita!$D39</f>
        <v>100</v>
      </c>
      <c r="H39" s="336">
        <f>Gasto_o_ing_per_capita!H39*100/Gasto_o_ing_per_capita!$D39</f>
        <v>99.999999999999986</v>
      </c>
      <c r="I39" s="336">
        <f>Gasto_o_ing_per_capita!I39*100/Gasto_o_ing_per_capita!$D39</f>
        <v>100</v>
      </c>
      <c r="J39" s="336">
        <f>Gasto_o_ing_per_capita!J39*100/Gasto_o_ing_per_capita!$D39</f>
        <v>100.00000000000001</v>
      </c>
      <c r="K39" s="336">
        <f>Gasto_o_ing_per_capita!K39*100/Gasto_o_ing_per_capita!$D39</f>
        <v>100</v>
      </c>
      <c r="L39" s="336">
        <f>Gasto_o_ing_per_capita!L39*100/Gasto_o_ing_per_capita!$D39</f>
        <v>100</v>
      </c>
      <c r="M39" s="336">
        <f>Gasto_o_ing_per_capita!M39*100/Gasto_o_ing_per_capita!$D39</f>
        <v>99.999999999999986</v>
      </c>
      <c r="N39" s="336">
        <f>Gasto_o_ing_per_capita!N39*100/Gasto_o_ing_per_capita!$D39</f>
        <v>100</v>
      </c>
      <c r="O39" s="336">
        <f>Gasto_o_ing_per_capita!O39*100/Gasto_o_ing_per_capita!$D39</f>
        <v>99.999999999999986</v>
      </c>
      <c r="P39" s="336">
        <f>Gasto_o_ing_per_capita!P39*100/Gasto_o_ing_per_capita!$D39</f>
        <v>99.999999999999986</v>
      </c>
      <c r="Q39" s="336">
        <f>Gasto_o_ing_per_capita!Q39*100/Gasto_o_ing_per_capita!$D39</f>
        <v>100</v>
      </c>
      <c r="R39" s="336">
        <f>Gasto_o_ing_per_capita!R39*100/Gasto_o_ing_per_capita!$D39</f>
        <v>99.999999999999986</v>
      </c>
      <c r="S39" s="336">
        <f>Gasto_o_ing_per_capita!S39*100/Gasto_o_ing_per_capita!$D39</f>
        <v>100</v>
      </c>
      <c r="T39" s="336">
        <f>Gasto_o_ing_per_capita!T39*100/Gasto_o_ing_per_capita!$D39</f>
        <v>99.999999999999986</v>
      </c>
      <c r="U39" s="336">
        <f>Gasto_o_ing_per_capita!U39*100/Gasto_o_ing_per_capita!$D39</f>
        <v>100</v>
      </c>
      <c r="V39" s="336">
        <f>Gasto_o_ing_per_capita!V39*100/Gasto_o_ing_per_capita!$D39</f>
        <v>100</v>
      </c>
    </row>
    <row r="40" spans="1:22" s="102" customFormat="1" ht="13.15">
      <c r="A40" s="355" t="str">
        <f>IF(B40="","",(IF(ISERROR(MATCH(B40,Tot_res!C:C,0)),"Eliminar!!!","")))</f>
        <v/>
      </c>
      <c r="B40" s="115" t="s">
        <v>145</v>
      </c>
      <c r="C40" s="333" t="str">
        <f>VLOOKUP(B40,Tot_res!C:D,2,FALSE)</f>
        <v>Programas especiales de modernización</v>
      </c>
      <c r="D40" s="336">
        <f>Gasto_o_ing_per_capita!D40*100/Gasto_o_ing_per_capita!$D40</f>
        <v>100</v>
      </c>
      <c r="E40" s="336">
        <f>Gasto_o_ing_per_capita!E40*100/Gasto_o_ing_per_capita!$D40</f>
        <v>100</v>
      </c>
      <c r="F40" s="336">
        <f>Gasto_o_ing_per_capita!F40*100/Gasto_o_ing_per_capita!$D40</f>
        <v>100</v>
      </c>
      <c r="G40" s="336">
        <f>Gasto_o_ing_per_capita!G40*100/Gasto_o_ing_per_capita!$D40</f>
        <v>100</v>
      </c>
      <c r="H40" s="336">
        <f>Gasto_o_ing_per_capita!H40*100/Gasto_o_ing_per_capita!$D40</f>
        <v>100.00000000000001</v>
      </c>
      <c r="I40" s="336">
        <f>Gasto_o_ing_per_capita!I40*100/Gasto_o_ing_per_capita!$D40</f>
        <v>100.00000000000001</v>
      </c>
      <c r="J40" s="336">
        <f>Gasto_o_ing_per_capita!J40*100/Gasto_o_ing_per_capita!$D40</f>
        <v>100</v>
      </c>
      <c r="K40" s="336">
        <f>Gasto_o_ing_per_capita!K40*100/Gasto_o_ing_per_capita!$D40</f>
        <v>100</v>
      </c>
      <c r="L40" s="336">
        <f>Gasto_o_ing_per_capita!L40*100/Gasto_o_ing_per_capita!$D40</f>
        <v>100</v>
      </c>
      <c r="M40" s="336">
        <f>Gasto_o_ing_per_capita!M40*100/Gasto_o_ing_per_capita!$D40</f>
        <v>100</v>
      </c>
      <c r="N40" s="336">
        <f>Gasto_o_ing_per_capita!N40*100/Gasto_o_ing_per_capita!$D40</f>
        <v>100</v>
      </c>
      <c r="O40" s="336">
        <f>Gasto_o_ing_per_capita!O40*100/Gasto_o_ing_per_capita!$D40</f>
        <v>100</v>
      </c>
      <c r="P40" s="336">
        <f>Gasto_o_ing_per_capita!P40*100/Gasto_o_ing_per_capita!$D40</f>
        <v>100</v>
      </c>
      <c r="Q40" s="336">
        <f>Gasto_o_ing_per_capita!Q40*100/Gasto_o_ing_per_capita!$D40</f>
        <v>100</v>
      </c>
      <c r="R40" s="336">
        <f>Gasto_o_ing_per_capita!R40*100/Gasto_o_ing_per_capita!$D40</f>
        <v>100</v>
      </c>
      <c r="S40" s="336">
        <f>Gasto_o_ing_per_capita!S40*100/Gasto_o_ing_per_capita!$D40</f>
        <v>100.00000000000001</v>
      </c>
      <c r="T40" s="336">
        <f>Gasto_o_ing_per_capita!T40*100/Gasto_o_ing_per_capita!$D40</f>
        <v>100.00000000000001</v>
      </c>
      <c r="U40" s="336">
        <f>Gasto_o_ing_per_capita!U40*100/Gasto_o_ing_per_capita!$D40</f>
        <v>100</v>
      </c>
      <c r="V40" s="336">
        <f>Gasto_o_ing_per_capita!V40*100/Gasto_o_ing_per_capita!$D40</f>
        <v>100</v>
      </c>
    </row>
    <row r="41" spans="1:22" s="102" customFormat="1" ht="13.15">
      <c r="A41" s="355" t="str">
        <f>IF(B41="","",(IF(ISERROR(MATCH(B41,Tot_res!C:C,0)),"Eliminar!!!","")))</f>
        <v/>
      </c>
      <c r="B41" s="115" t="s">
        <v>147</v>
      </c>
      <c r="C41" s="333" t="str">
        <f>VLOOKUP(B41,Tot_res!C:D,2,FALSE)</f>
        <v>Gastos operativos de las fuerzas armadas</v>
      </c>
      <c r="D41" s="336">
        <f>Gasto_o_ing_per_capita!D41*100/Gasto_o_ing_per_capita!$D41</f>
        <v>100</v>
      </c>
      <c r="E41" s="336">
        <f>Gasto_o_ing_per_capita!E41*100/Gasto_o_ing_per_capita!$D41</f>
        <v>100.00000000000001</v>
      </c>
      <c r="F41" s="336">
        <f>Gasto_o_ing_per_capita!F41*100/Gasto_o_ing_per_capita!$D41</f>
        <v>100</v>
      </c>
      <c r="G41" s="336">
        <f>Gasto_o_ing_per_capita!G41*100/Gasto_o_ing_per_capita!$D41</f>
        <v>100.00000000000001</v>
      </c>
      <c r="H41" s="336">
        <f>Gasto_o_ing_per_capita!H41*100/Gasto_o_ing_per_capita!$D41</f>
        <v>100</v>
      </c>
      <c r="I41" s="336">
        <f>Gasto_o_ing_per_capita!I41*100/Gasto_o_ing_per_capita!$D41</f>
        <v>100</v>
      </c>
      <c r="J41" s="336">
        <f>Gasto_o_ing_per_capita!J41*100/Gasto_o_ing_per_capita!$D41</f>
        <v>100</v>
      </c>
      <c r="K41" s="336">
        <f>Gasto_o_ing_per_capita!K41*100/Gasto_o_ing_per_capita!$D41</f>
        <v>100</v>
      </c>
      <c r="L41" s="336">
        <f>Gasto_o_ing_per_capita!L41*100/Gasto_o_ing_per_capita!$D41</f>
        <v>100</v>
      </c>
      <c r="M41" s="336">
        <f>Gasto_o_ing_per_capita!M41*100/Gasto_o_ing_per_capita!$D41</f>
        <v>100</v>
      </c>
      <c r="N41" s="336">
        <f>Gasto_o_ing_per_capita!N41*100/Gasto_o_ing_per_capita!$D41</f>
        <v>100</v>
      </c>
      <c r="O41" s="336">
        <f>Gasto_o_ing_per_capita!O41*100/Gasto_o_ing_per_capita!$D41</f>
        <v>99.999999999999972</v>
      </c>
      <c r="P41" s="336">
        <f>Gasto_o_ing_per_capita!P41*100/Gasto_o_ing_per_capita!$D41</f>
        <v>100</v>
      </c>
      <c r="Q41" s="336">
        <f>Gasto_o_ing_per_capita!Q41*100/Gasto_o_ing_per_capita!$D41</f>
        <v>100.00000000000001</v>
      </c>
      <c r="R41" s="336">
        <f>Gasto_o_ing_per_capita!R41*100/Gasto_o_ing_per_capita!$D41</f>
        <v>100</v>
      </c>
      <c r="S41" s="336">
        <f>Gasto_o_ing_per_capita!S41*100/Gasto_o_ing_per_capita!$D41</f>
        <v>100</v>
      </c>
      <c r="T41" s="336">
        <f>Gasto_o_ing_per_capita!T41*100/Gasto_o_ing_per_capita!$D41</f>
        <v>100</v>
      </c>
      <c r="U41" s="336">
        <f>Gasto_o_ing_per_capita!U41*100/Gasto_o_ing_per_capita!$D41</f>
        <v>100</v>
      </c>
      <c r="V41" s="336">
        <f>Gasto_o_ing_per_capita!V41*100/Gasto_o_ing_per_capita!$D41</f>
        <v>100</v>
      </c>
    </row>
    <row r="42" spans="1:22" s="102" customFormat="1" ht="13.15">
      <c r="A42" s="355" t="str">
        <f>IF(B42="","",(IF(ISERROR(MATCH(B42,Tot_res!C:C,0)),"Eliminar!!!","")))</f>
        <v/>
      </c>
      <c r="B42" s="115" t="s">
        <v>148</v>
      </c>
      <c r="C42" s="333" t="str">
        <f>VLOOKUP(B42,Tot_res!C:D,2,FALSE)</f>
        <v>Apoyo logístico</v>
      </c>
      <c r="D42" s="336">
        <f>Gasto_o_ing_per_capita!D42*100/Gasto_o_ing_per_capita!$D42</f>
        <v>100</v>
      </c>
      <c r="E42" s="336">
        <f>Gasto_o_ing_per_capita!E42*100/Gasto_o_ing_per_capita!$D42</f>
        <v>100</v>
      </c>
      <c r="F42" s="336">
        <f>Gasto_o_ing_per_capita!F42*100/Gasto_o_ing_per_capita!$D42</f>
        <v>100.00000000000001</v>
      </c>
      <c r="G42" s="336">
        <f>Gasto_o_ing_per_capita!G42*100/Gasto_o_ing_per_capita!$D42</f>
        <v>100.00000000000001</v>
      </c>
      <c r="H42" s="336">
        <f>Gasto_o_ing_per_capita!H42*100/Gasto_o_ing_per_capita!$D42</f>
        <v>100</v>
      </c>
      <c r="I42" s="336">
        <f>Gasto_o_ing_per_capita!I42*100/Gasto_o_ing_per_capita!$D42</f>
        <v>100</v>
      </c>
      <c r="J42" s="336">
        <f>Gasto_o_ing_per_capita!J42*100/Gasto_o_ing_per_capita!$D42</f>
        <v>100.00000000000001</v>
      </c>
      <c r="K42" s="336">
        <f>Gasto_o_ing_per_capita!K42*100/Gasto_o_ing_per_capita!$D42</f>
        <v>100.00000000000001</v>
      </c>
      <c r="L42" s="336">
        <f>Gasto_o_ing_per_capita!L42*100/Gasto_o_ing_per_capita!$D42</f>
        <v>100.00000000000001</v>
      </c>
      <c r="M42" s="336">
        <f>Gasto_o_ing_per_capita!M42*100/Gasto_o_ing_per_capita!$D42</f>
        <v>100</v>
      </c>
      <c r="N42" s="336">
        <f>Gasto_o_ing_per_capita!N42*100/Gasto_o_ing_per_capita!$D42</f>
        <v>100.00000000000003</v>
      </c>
      <c r="O42" s="336">
        <f>Gasto_o_ing_per_capita!O42*100/Gasto_o_ing_per_capita!$D42</f>
        <v>100</v>
      </c>
      <c r="P42" s="336">
        <f>Gasto_o_ing_per_capita!P42*100/Gasto_o_ing_per_capita!$D42</f>
        <v>100</v>
      </c>
      <c r="Q42" s="336">
        <f>Gasto_o_ing_per_capita!Q42*100/Gasto_o_ing_per_capita!$D42</f>
        <v>100.00000000000001</v>
      </c>
      <c r="R42" s="336">
        <f>Gasto_o_ing_per_capita!R42*100/Gasto_o_ing_per_capita!$D42</f>
        <v>99.999999999999986</v>
      </c>
      <c r="S42" s="336">
        <f>Gasto_o_ing_per_capita!S42*100/Gasto_o_ing_per_capita!$D42</f>
        <v>99.999999999999986</v>
      </c>
      <c r="T42" s="336">
        <f>Gasto_o_ing_per_capita!T42*100/Gasto_o_ing_per_capita!$D42</f>
        <v>100</v>
      </c>
      <c r="U42" s="336">
        <f>Gasto_o_ing_per_capita!U42*100/Gasto_o_ing_per_capita!$D42</f>
        <v>100</v>
      </c>
      <c r="V42" s="336">
        <f>Gasto_o_ing_per_capita!V42*100/Gasto_o_ing_per_capita!$D42</f>
        <v>100</v>
      </c>
    </row>
    <row r="43" spans="1:22" s="102" customFormat="1" ht="13.15">
      <c r="A43" s="355" t="str">
        <f>IF(B43="","",(IF(ISERROR(MATCH(B43,Tot_res!C:C,0)),"Eliminar!!!","")))</f>
        <v/>
      </c>
      <c r="B43" s="115" t="s">
        <v>149</v>
      </c>
      <c r="C43" s="333" t="str">
        <f>VLOOKUP(B43,Tot_res!C:D,2,FALSE)</f>
        <v>Asistencia hospitalaria en las fuerzas armadas</v>
      </c>
      <c r="D43" s="336">
        <f>Gasto_o_ing_per_capita!D43*100/Gasto_o_ing_per_capita!$D43</f>
        <v>100</v>
      </c>
      <c r="E43" s="336">
        <f>Gasto_o_ing_per_capita!E43*100/Gasto_o_ing_per_capita!$D43</f>
        <v>100.00000000000001</v>
      </c>
      <c r="F43" s="336">
        <f>Gasto_o_ing_per_capita!F43*100/Gasto_o_ing_per_capita!$D43</f>
        <v>100</v>
      </c>
      <c r="G43" s="336">
        <f>Gasto_o_ing_per_capita!G43*100/Gasto_o_ing_per_capita!$D43</f>
        <v>100.00000000000003</v>
      </c>
      <c r="H43" s="336">
        <f>Gasto_o_ing_per_capita!H43*100/Gasto_o_ing_per_capita!$D43</f>
        <v>100.00000000000001</v>
      </c>
      <c r="I43" s="336">
        <f>Gasto_o_ing_per_capita!I43*100/Gasto_o_ing_per_capita!$D43</f>
        <v>100.00000000000001</v>
      </c>
      <c r="J43" s="336">
        <f>Gasto_o_ing_per_capita!J43*100/Gasto_o_ing_per_capita!$D43</f>
        <v>100.00000000000001</v>
      </c>
      <c r="K43" s="336">
        <f>Gasto_o_ing_per_capita!K43*100/Gasto_o_ing_per_capita!$D43</f>
        <v>100.00000000000001</v>
      </c>
      <c r="L43" s="336">
        <f>Gasto_o_ing_per_capita!L43*100/Gasto_o_ing_per_capita!$D43</f>
        <v>100.00000000000001</v>
      </c>
      <c r="M43" s="336">
        <f>Gasto_o_ing_per_capita!M43*100/Gasto_o_ing_per_capita!$D43</f>
        <v>100.00000000000001</v>
      </c>
      <c r="N43" s="336">
        <f>Gasto_o_ing_per_capita!N43*100/Gasto_o_ing_per_capita!$D43</f>
        <v>100.00000000000001</v>
      </c>
      <c r="O43" s="336">
        <f>Gasto_o_ing_per_capita!O43*100/Gasto_o_ing_per_capita!$D43</f>
        <v>100.00000000000001</v>
      </c>
      <c r="P43" s="336">
        <f>Gasto_o_ing_per_capita!P43*100/Gasto_o_ing_per_capita!$D43</f>
        <v>100.00000000000001</v>
      </c>
      <c r="Q43" s="336">
        <f>Gasto_o_ing_per_capita!Q43*100/Gasto_o_ing_per_capita!$D43</f>
        <v>100.00000000000001</v>
      </c>
      <c r="R43" s="336">
        <f>Gasto_o_ing_per_capita!R43*100/Gasto_o_ing_per_capita!$D43</f>
        <v>100.00000000000001</v>
      </c>
      <c r="S43" s="336">
        <f>Gasto_o_ing_per_capita!S43*100/Gasto_o_ing_per_capita!$D43</f>
        <v>100.00000000000003</v>
      </c>
      <c r="T43" s="336">
        <f>Gasto_o_ing_per_capita!T43*100/Gasto_o_ing_per_capita!$D43</f>
        <v>100.00000000000003</v>
      </c>
      <c r="U43" s="336">
        <f>Gasto_o_ing_per_capita!U43*100/Gasto_o_ing_per_capita!$D43</f>
        <v>100.00000000000001</v>
      </c>
      <c r="V43" s="336">
        <f>Gasto_o_ing_per_capita!V43*100/Gasto_o_ing_per_capita!$D43</f>
        <v>100.00000000000001</v>
      </c>
    </row>
    <row r="44" spans="1:22" s="102" customFormat="1" ht="13.15">
      <c r="A44" s="355" t="str">
        <f>IF(B44="","",(IF(ISERROR(MATCH(B44,Tot_res!C:C,0)),"Eliminar!!!","")))</f>
        <v/>
      </c>
      <c r="B44" s="115" t="s">
        <v>150</v>
      </c>
      <c r="C44" s="333" t="str">
        <f>VLOOKUP(B44,Tot_res!C:D,2,FALSE)</f>
        <v>Investigación y estudios de las fuerzas armadas</v>
      </c>
      <c r="D44" s="336">
        <f>Gasto_o_ing_per_capita!D44*100/Gasto_o_ing_per_capita!$D44</f>
        <v>100</v>
      </c>
      <c r="E44" s="336">
        <f>Gasto_o_ing_per_capita!E44*100/Gasto_o_ing_per_capita!$D44</f>
        <v>99.999999999999972</v>
      </c>
      <c r="F44" s="336">
        <f>Gasto_o_ing_per_capita!F44*100/Gasto_o_ing_per_capita!$D44</f>
        <v>99.999999999999972</v>
      </c>
      <c r="G44" s="336">
        <f>Gasto_o_ing_per_capita!G44*100/Gasto_o_ing_per_capita!$D44</f>
        <v>99.999999999999986</v>
      </c>
      <c r="H44" s="336">
        <f>Gasto_o_ing_per_capita!H44*100/Gasto_o_ing_per_capita!$D44</f>
        <v>99.999999999999972</v>
      </c>
      <c r="I44" s="336">
        <f>Gasto_o_ing_per_capita!I44*100/Gasto_o_ing_per_capita!$D44</f>
        <v>99.999999999999986</v>
      </c>
      <c r="J44" s="336">
        <f>Gasto_o_ing_per_capita!J44*100/Gasto_o_ing_per_capita!$D44</f>
        <v>99.999999999999986</v>
      </c>
      <c r="K44" s="336">
        <f>Gasto_o_ing_per_capita!K44*100/Gasto_o_ing_per_capita!$D44</f>
        <v>99.999999999999986</v>
      </c>
      <c r="L44" s="336">
        <f>Gasto_o_ing_per_capita!L44*100/Gasto_o_ing_per_capita!$D44</f>
        <v>99.999999999999986</v>
      </c>
      <c r="M44" s="336">
        <f>Gasto_o_ing_per_capita!M44*100/Gasto_o_ing_per_capita!$D44</f>
        <v>99.999999999999972</v>
      </c>
      <c r="N44" s="336">
        <f>Gasto_o_ing_per_capita!N44*100/Gasto_o_ing_per_capita!$D44</f>
        <v>99.999999999999986</v>
      </c>
      <c r="O44" s="336">
        <f>Gasto_o_ing_per_capita!O44*100/Gasto_o_ing_per_capita!$D44</f>
        <v>99.999999999999972</v>
      </c>
      <c r="P44" s="336">
        <f>Gasto_o_ing_per_capita!P44*100/Gasto_o_ing_per_capita!$D44</f>
        <v>99.999999999999972</v>
      </c>
      <c r="Q44" s="336">
        <f>Gasto_o_ing_per_capita!Q44*100/Gasto_o_ing_per_capita!$D44</f>
        <v>99.999999999999972</v>
      </c>
      <c r="R44" s="336">
        <f>Gasto_o_ing_per_capita!R44*100/Gasto_o_ing_per_capita!$D44</f>
        <v>99.999999999999972</v>
      </c>
      <c r="S44" s="336">
        <f>Gasto_o_ing_per_capita!S44*100/Gasto_o_ing_per_capita!$D44</f>
        <v>99.999999999999972</v>
      </c>
      <c r="T44" s="336">
        <f>Gasto_o_ing_per_capita!T44*100/Gasto_o_ing_per_capita!$D44</f>
        <v>99.999999999999986</v>
      </c>
      <c r="U44" s="336">
        <f>Gasto_o_ing_per_capita!U44*100/Gasto_o_ing_per_capita!$D44</f>
        <v>99.999999999999986</v>
      </c>
      <c r="V44" s="336">
        <f>Gasto_o_ing_per_capita!V44*100/Gasto_o_ing_per_capita!$D44</f>
        <v>99.999999999999986</v>
      </c>
    </row>
    <row r="45" spans="1:22" s="102" customFormat="1" ht="13.15">
      <c r="A45" s="355" t="str">
        <f>IF(B45="","",(IF(ISERROR(MATCH(B45,Tot_res!C:C,0)),"Eliminar!!!","")))</f>
        <v/>
      </c>
      <c r="B45" s="115" t="s">
        <v>152</v>
      </c>
      <c r="C45" s="333" t="str">
        <f>VLOOKUP(B45,Tot_res!C:D,2,FALSE)</f>
        <v>Apoyo a la innovación tecnológica en el sector de la defensa</v>
      </c>
      <c r="D45" s="336">
        <f>Gasto_o_ing_per_capita!D45*100/Gasto_o_ing_per_capita!$D45</f>
        <v>100</v>
      </c>
      <c r="E45" s="336">
        <f>Gasto_o_ing_per_capita!E45*100/Gasto_o_ing_per_capita!$D45</f>
        <v>100.00000000000003</v>
      </c>
      <c r="F45" s="336">
        <f>Gasto_o_ing_per_capita!F45*100/Gasto_o_ing_per_capita!$D45</f>
        <v>100</v>
      </c>
      <c r="G45" s="336">
        <f>Gasto_o_ing_per_capita!G45*100/Gasto_o_ing_per_capita!$D45</f>
        <v>100.00000000000003</v>
      </c>
      <c r="H45" s="336">
        <f>Gasto_o_ing_per_capita!H45*100/Gasto_o_ing_per_capita!$D45</f>
        <v>100</v>
      </c>
      <c r="I45" s="336">
        <f>Gasto_o_ing_per_capita!I45*100/Gasto_o_ing_per_capita!$D45</f>
        <v>100</v>
      </c>
      <c r="J45" s="336">
        <f>Gasto_o_ing_per_capita!J45*100/Gasto_o_ing_per_capita!$D45</f>
        <v>100</v>
      </c>
      <c r="K45" s="336">
        <f>Gasto_o_ing_per_capita!K45*100/Gasto_o_ing_per_capita!$D45</f>
        <v>100.00000000000003</v>
      </c>
      <c r="L45" s="336">
        <f>Gasto_o_ing_per_capita!L45*100/Gasto_o_ing_per_capita!$D45</f>
        <v>100</v>
      </c>
      <c r="M45" s="336">
        <f>Gasto_o_ing_per_capita!M45*100/Gasto_o_ing_per_capita!$D45</f>
        <v>100</v>
      </c>
      <c r="N45" s="336">
        <f>Gasto_o_ing_per_capita!N45*100/Gasto_o_ing_per_capita!$D45</f>
        <v>100</v>
      </c>
      <c r="O45" s="336">
        <f>Gasto_o_ing_per_capita!O45*100/Gasto_o_ing_per_capita!$D45</f>
        <v>100</v>
      </c>
      <c r="P45" s="336">
        <f>Gasto_o_ing_per_capita!P45*100/Gasto_o_ing_per_capita!$D45</f>
        <v>100</v>
      </c>
      <c r="Q45" s="336">
        <f>Gasto_o_ing_per_capita!Q45*100/Gasto_o_ing_per_capita!$D45</f>
        <v>100</v>
      </c>
      <c r="R45" s="336">
        <f>Gasto_o_ing_per_capita!R45*100/Gasto_o_ing_per_capita!$D45</f>
        <v>100</v>
      </c>
      <c r="S45" s="336">
        <f>Gasto_o_ing_per_capita!S45*100/Gasto_o_ing_per_capita!$D45</f>
        <v>100.00000000000003</v>
      </c>
      <c r="T45" s="336">
        <f>Gasto_o_ing_per_capita!T45*100/Gasto_o_ing_per_capita!$D45</f>
        <v>100</v>
      </c>
      <c r="U45" s="336">
        <f>Gasto_o_ing_per_capita!U45*100/Gasto_o_ing_per_capita!$D45</f>
        <v>100</v>
      </c>
      <c r="V45" s="336">
        <f>Gasto_o_ing_per_capita!V45*100/Gasto_o_ing_per_capita!$D45</f>
        <v>100.00000000000003</v>
      </c>
    </row>
    <row r="46" spans="1:22" s="102" customFormat="1" ht="13.15">
      <c r="A46" s="356"/>
      <c r="B46" s="115"/>
      <c r="D46" s="110"/>
      <c r="E46" s="110"/>
      <c r="F46" s="110"/>
      <c r="G46" s="110"/>
      <c r="H46" s="110"/>
      <c r="I46" s="110"/>
      <c r="J46" s="110"/>
      <c r="K46" s="110"/>
      <c r="L46" s="110"/>
      <c r="M46" s="110"/>
      <c r="N46" s="110"/>
      <c r="O46" s="110"/>
      <c r="P46" s="110"/>
      <c r="Q46" s="110"/>
      <c r="R46" s="110"/>
      <c r="S46" s="110"/>
      <c r="T46" s="110"/>
      <c r="U46" s="110"/>
      <c r="V46" s="110"/>
    </row>
    <row r="47" spans="1:22" s="102" customFormat="1" ht="13.15">
      <c r="A47" s="356"/>
      <c r="B47" s="115"/>
      <c r="C47" s="128" t="s">
        <v>30</v>
      </c>
      <c r="D47" s="113">
        <f>Gasto_o_ing_per_capita!D47*100/Gasto_o_ing_per_capita!$D47</f>
        <v>100</v>
      </c>
      <c r="E47" s="113">
        <f>Gasto_o_ing_per_capita!E47*100/Gasto_o_ing_per_capita!$D47</f>
        <v>100.00000000000003</v>
      </c>
      <c r="F47" s="113">
        <f>Gasto_o_ing_per_capita!F47*100/Gasto_o_ing_per_capita!$D47</f>
        <v>100</v>
      </c>
      <c r="G47" s="113">
        <f>Gasto_o_ing_per_capita!G47*100/Gasto_o_ing_per_capita!$D47</f>
        <v>100.00000000000003</v>
      </c>
      <c r="H47" s="113">
        <f>Gasto_o_ing_per_capita!H47*100/Gasto_o_ing_per_capita!$D47</f>
        <v>100</v>
      </c>
      <c r="I47" s="113">
        <f>Gasto_o_ing_per_capita!I47*100/Gasto_o_ing_per_capita!$D47</f>
        <v>100</v>
      </c>
      <c r="J47" s="113">
        <f>Gasto_o_ing_per_capita!J47*100/Gasto_o_ing_per_capita!$D47</f>
        <v>100</v>
      </c>
      <c r="K47" s="113">
        <f>Gasto_o_ing_per_capita!K47*100/Gasto_o_ing_per_capita!$D47</f>
        <v>100</v>
      </c>
      <c r="L47" s="113">
        <f>Gasto_o_ing_per_capita!L47*100/Gasto_o_ing_per_capita!$D47</f>
        <v>100.00000000000003</v>
      </c>
      <c r="M47" s="113">
        <f>Gasto_o_ing_per_capita!M47*100/Gasto_o_ing_per_capita!$D47</f>
        <v>100.00000000000003</v>
      </c>
      <c r="N47" s="113">
        <f>Gasto_o_ing_per_capita!N47*100/Gasto_o_ing_per_capita!$D47</f>
        <v>100</v>
      </c>
      <c r="O47" s="113">
        <f>Gasto_o_ing_per_capita!O47*100/Gasto_o_ing_per_capita!$D47</f>
        <v>100.00000000000003</v>
      </c>
      <c r="P47" s="113">
        <f>Gasto_o_ing_per_capita!P47*100/Gasto_o_ing_per_capita!$D47</f>
        <v>100</v>
      </c>
      <c r="Q47" s="113">
        <f>Gasto_o_ing_per_capita!Q47*100/Gasto_o_ing_per_capita!$D47</f>
        <v>100.00000000000003</v>
      </c>
      <c r="R47" s="113">
        <f>Gasto_o_ing_per_capita!R47*100/Gasto_o_ing_per_capita!$D47</f>
        <v>100.00000000000003</v>
      </c>
      <c r="S47" s="113">
        <f>Gasto_o_ing_per_capita!S47*100/Gasto_o_ing_per_capita!$D47</f>
        <v>100.00000000000006</v>
      </c>
      <c r="T47" s="113">
        <f>Gasto_o_ing_per_capita!T47*100/Gasto_o_ing_per_capita!$D47</f>
        <v>100.00000000000003</v>
      </c>
      <c r="U47" s="113">
        <f>Gasto_o_ing_per_capita!U47*100/Gasto_o_ing_per_capita!$D47</f>
        <v>100</v>
      </c>
      <c r="V47" s="113">
        <f>Gasto_o_ing_per_capita!V47*100/Gasto_o_ing_per_capita!$D47</f>
        <v>100.00000000000003</v>
      </c>
    </row>
    <row r="48" spans="1:22" s="102" customFormat="1" ht="13.15">
      <c r="A48" s="355" t="str">
        <f>IF(B48="","",(IF(ISERROR(MATCH(B48,Tot_res!C:C,0)),"Eliminar!!!","")))</f>
        <v/>
      </c>
      <c r="B48" s="115" t="s">
        <v>153</v>
      </c>
      <c r="C48" s="333" t="str">
        <f>VLOOKUP(B48,Tot_res!C:D,2,FALSE)</f>
        <v>Coordinación y relaciones financieras con los entes territoriales</v>
      </c>
      <c r="D48" s="336">
        <f>Gasto_o_ing_per_capita!D48*100/Gasto_o_ing_per_capita!$D48</f>
        <v>100</v>
      </c>
      <c r="E48" s="336">
        <f>Gasto_o_ing_per_capita!E48*100/Gasto_o_ing_per_capita!$D48</f>
        <v>100</v>
      </c>
      <c r="F48" s="336">
        <f>Gasto_o_ing_per_capita!F48*100/Gasto_o_ing_per_capita!$D48</f>
        <v>100.00000000000003</v>
      </c>
      <c r="G48" s="336">
        <f>Gasto_o_ing_per_capita!G48*100/Gasto_o_ing_per_capita!$D48</f>
        <v>100.00000000000003</v>
      </c>
      <c r="H48" s="336">
        <f>Gasto_o_ing_per_capita!H48*100/Gasto_o_ing_per_capita!$D48</f>
        <v>100.00000000000003</v>
      </c>
      <c r="I48" s="336">
        <f>Gasto_o_ing_per_capita!I48*100/Gasto_o_ing_per_capita!$D48</f>
        <v>100.00000000000003</v>
      </c>
      <c r="J48" s="336">
        <f>Gasto_o_ing_per_capita!J48*100/Gasto_o_ing_per_capita!$D48</f>
        <v>100</v>
      </c>
      <c r="K48" s="336">
        <f>Gasto_o_ing_per_capita!K48*100/Gasto_o_ing_per_capita!$D48</f>
        <v>100.00000000000003</v>
      </c>
      <c r="L48" s="336">
        <f>Gasto_o_ing_per_capita!L48*100/Gasto_o_ing_per_capita!$D48</f>
        <v>100.00000000000003</v>
      </c>
      <c r="M48" s="336">
        <f>Gasto_o_ing_per_capita!M48*100/Gasto_o_ing_per_capita!$D48</f>
        <v>100.00000000000003</v>
      </c>
      <c r="N48" s="336">
        <f>Gasto_o_ing_per_capita!N48*100/Gasto_o_ing_per_capita!$D48</f>
        <v>100.00000000000003</v>
      </c>
      <c r="O48" s="336">
        <f>Gasto_o_ing_per_capita!O48*100/Gasto_o_ing_per_capita!$D48</f>
        <v>100</v>
      </c>
      <c r="P48" s="336">
        <f>Gasto_o_ing_per_capita!P48*100/Gasto_o_ing_per_capita!$D48</f>
        <v>100</v>
      </c>
      <c r="Q48" s="336">
        <f>Gasto_o_ing_per_capita!Q48*100/Gasto_o_ing_per_capita!$D48</f>
        <v>100.00000000000003</v>
      </c>
      <c r="R48" s="336">
        <f>Gasto_o_ing_per_capita!R48*100/Gasto_o_ing_per_capita!$D48</f>
        <v>100</v>
      </c>
      <c r="S48" s="336">
        <f>Gasto_o_ing_per_capita!S48*100/Gasto_o_ing_per_capita!$D48</f>
        <v>100.00000000000003</v>
      </c>
      <c r="T48" s="336">
        <f>Gasto_o_ing_per_capita!T48*100/Gasto_o_ing_per_capita!$D48</f>
        <v>100.00000000000003</v>
      </c>
      <c r="U48" s="336">
        <f>Gasto_o_ing_per_capita!U48*100/Gasto_o_ing_per_capita!$D48</f>
        <v>100.00000000000003</v>
      </c>
      <c r="V48" s="336">
        <f>Gasto_o_ing_per_capita!V48*100/Gasto_o_ing_per_capita!$D48</f>
        <v>100.00000000000003</v>
      </c>
    </row>
    <row r="49" spans="1:22" s="102" customFormat="1" ht="13.15">
      <c r="A49" s="355" t="str">
        <f>IF(B49="","",(IF(ISERROR(MATCH(B49,Tot_res!C:C,0)),"Eliminar!!!","")))</f>
        <v/>
      </c>
      <c r="B49" s="115" t="s">
        <v>630</v>
      </c>
      <c r="C49" s="333" t="str">
        <f>VLOOKUP(B49,Tot_res!C:D,2,FALSE)</f>
        <v>Gestión del patrimonio del estado</v>
      </c>
      <c r="D49" s="336">
        <f>Gasto_o_ing_per_capita!D49*100/Gasto_o_ing_per_capita!$D49</f>
        <v>100</v>
      </c>
      <c r="E49" s="336">
        <f>Gasto_o_ing_per_capita!E49*100/Gasto_o_ing_per_capita!$D49</f>
        <v>100</v>
      </c>
      <c r="F49" s="336">
        <f>Gasto_o_ing_per_capita!F49*100/Gasto_o_ing_per_capita!$D49</f>
        <v>100</v>
      </c>
      <c r="G49" s="336">
        <f>Gasto_o_ing_per_capita!G49*100/Gasto_o_ing_per_capita!$D49</f>
        <v>100</v>
      </c>
      <c r="H49" s="336">
        <f>Gasto_o_ing_per_capita!H49*100/Gasto_o_ing_per_capita!$D49</f>
        <v>100</v>
      </c>
      <c r="I49" s="336">
        <f>Gasto_o_ing_per_capita!I49*100/Gasto_o_ing_per_capita!$D49</f>
        <v>100</v>
      </c>
      <c r="J49" s="336">
        <f>Gasto_o_ing_per_capita!J49*100/Gasto_o_ing_per_capita!$D49</f>
        <v>100</v>
      </c>
      <c r="K49" s="336">
        <f>Gasto_o_ing_per_capita!K49*100/Gasto_o_ing_per_capita!$D49</f>
        <v>100</v>
      </c>
      <c r="L49" s="336">
        <f>Gasto_o_ing_per_capita!L49*100/Gasto_o_ing_per_capita!$D49</f>
        <v>100</v>
      </c>
      <c r="M49" s="336">
        <f>Gasto_o_ing_per_capita!M49*100/Gasto_o_ing_per_capita!$D49</f>
        <v>100</v>
      </c>
      <c r="N49" s="336">
        <f>Gasto_o_ing_per_capita!N49*100/Gasto_o_ing_per_capita!$D49</f>
        <v>100</v>
      </c>
      <c r="O49" s="336">
        <f>Gasto_o_ing_per_capita!O49*100/Gasto_o_ing_per_capita!$D49</f>
        <v>100</v>
      </c>
      <c r="P49" s="336">
        <f>Gasto_o_ing_per_capita!P49*100/Gasto_o_ing_per_capita!$D49</f>
        <v>100</v>
      </c>
      <c r="Q49" s="336">
        <f>Gasto_o_ing_per_capita!Q49*100/Gasto_o_ing_per_capita!$D49</f>
        <v>100</v>
      </c>
      <c r="R49" s="336">
        <f>Gasto_o_ing_per_capita!R49*100/Gasto_o_ing_per_capita!$D49</f>
        <v>100</v>
      </c>
      <c r="S49" s="336">
        <f>Gasto_o_ing_per_capita!S49*100/Gasto_o_ing_per_capita!$D49</f>
        <v>100</v>
      </c>
      <c r="T49" s="336">
        <f>Gasto_o_ing_per_capita!T49*100/Gasto_o_ing_per_capita!$D49</f>
        <v>100</v>
      </c>
      <c r="U49" s="336">
        <f>Gasto_o_ing_per_capita!U49*100/Gasto_o_ing_per_capita!$D49</f>
        <v>100</v>
      </c>
      <c r="V49" s="336">
        <f>Gasto_o_ing_per_capita!V49*100/Gasto_o_ing_per_capita!$D49</f>
        <v>99.999999999999972</v>
      </c>
    </row>
    <row r="50" spans="1:22" s="102" customFormat="1" ht="13.15">
      <c r="A50" s="355" t="str">
        <f>IF(B50="","",(IF(ISERROR(MATCH(B50,Tot_res!C:C,0)),"Eliminar!!!","")))</f>
        <v/>
      </c>
      <c r="B50" s="115" t="s">
        <v>696</v>
      </c>
      <c r="C50" s="333" t="str">
        <f>VLOOKUP(B50,Tot_res!C:D,2,FALSE)</f>
        <v>Dirección y servicios generales de hacienda y administraciones públicas</v>
      </c>
      <c r="D50" s="336">
        <f>Gasto_o_ing_per_capita!D50*100/Gasto_o_ing_per_capita!$D50</f>
        <v>100</v>
      </c>
      <c r="E50" s="336">
        <f>Gasto_o_ing_per_capita!E50*100/Gasto_o_ing_per_capita!$D50</f>
        <v>99.999999999999972</v>
      </c>
      <c r="F50" s="336">
        <f>Gasto_o_ing_per_capita!F50*100/Gasto_o_ing_per_capita!$D50</f>
        <v>99.999999999999972</v>
      </c>
      <c r="G50" s="336">
        <f>Gasto_o_ing_per_capita!G50*100/Gasto_o_ing_per_capita!$D50</f>
        <v>99.999999999999972</v>
      </c>
      <c r="H50" s="336">
        <f>Gasto_o_ing_per_capita!H50*100/Gasto_o_ing_per_capita!$D50</f>
        <v>99.999999999999972</v>
      </c>
      <c r="I50" s="336">
        <f>Gasto_o_ing_per_capita!I50*100/Gasto_o_ing_per_capita!$D50</f>
        <v>99.999999999999986</v>
      </c>
      <c r="J50" s="336">
        <f>Gasto_o_ing_per_capita!J50*100/Gasto_o_ing_per_capita!$D50</f>
        <v>99.999999999999972</v>
      </c>
      <c r="K50" s="336">
        <f>Gasto_o_ing_per_capita!K50*100/Gasto_o_ing_per_capita!$D50</f>
        <v>99.999999999999986</v>
      </c>
      <c r="L50" s="336">
        <f>Gasto_o_ing_per_capita!L50*100/Gasto_o_ing_per_capita!$D50</f>
        <v>99.999999999999986</v>
      </c>
      <c r="M50" s="336">
        <f>Gasto_o_ing_per_capita!M50*100/Gasto_o_ing_per_capita!$D50</f>
        <v>99.999999999999986</v>
      </c>
      <c r="N50" s="336">
        <f>Gasto_o_ing_per_capita!N50*100/Gasto_o_ing_per_capita!$D50</f>
        <v>99.999999999999972</v>
      </c>
      <c r="O50" s="336">
        <f>Gasto_o_ing_per_capita!O50*100/Gasto_o_ing_per_capita!$D50</f>
        <v>99.999999999999972</v>
      </c>
      <c r="P50" s="336">
        <f>Gasto_o_ing_per_capita!P50*100/Gasto_o_ing_per_capita!$D50</f>
        <v>99.999999999999972</v>
      </c>
      <c r="Q50" s="336">
        <f>Gasto_o_ing_per_capita!Q50*100/Gasto_o_ing_per_capita!$D50</f>
        <v>99.999999999999986</v>
      </c>
      <c r="R50" s="336">
        <f>Gasto_o_ing_per_capita!R50*100/Gasto_o_ing_per_capita!$D50</f>
        <v>99.999999999999943</v>
      </c>
      <c r="S50" s="336">
        <f>Gasto_o_ing_per_capita!S50*100/Gasto_o_ing_per_capita!$D50</f>
        <v>99.999999999999972</v>
      </c>
      <c r="T50" s="336">
        <f>Gasto_o_ing_per_capita!T50*100/Gasto_o_ing_per_capita!$D50</f>
        <v>99.999999999999986</v>
      </c>
      <c r="U50" s="336">
        <f>Gasto_o_ing_per_capita!U50*100/Gasto_o_ing_per_capita!$D50</f>
        <v>99.999999999999972</v>
      </c>
      <c r="V50" s="336">
        <f>Gasto_o_ing_per_capita!V50*100/Gasto_o_ing_per_capita!$D50</f>
        <v>99.999999999999972</v>
      </c>
    </row>
    <row r="51" spans="1:22" s="102" customFormat="1" ht="13.15">
      <c r="A51" s="355" t="str">
        <f>IF(B51="","",(IF(ISERROR(MATCH(B51,Tot_res!C:C,0)),"Eliminar!!!","")))</f>
        <v/>
      </c>
      <c r="B51" s="115" t="s">
        <v>154</v>
      </c>
      <c r="C51" s="333" t="str">
        <f>VLOOKUP(B51,Tot_res!C:D,2,FALSE)</f>
        <v>Formación del personal de economía y hacienda</v>
      </c>
      <c r="D51" s="336">
        <f>Gasto_o_ing_per_capita!D51*100/Gasto_o_ing_per_capita!$D51</f>
        <v>100</v>
      </c>
      <c r="E51" s="336">
        <f>Gasto_o_ing_per_capita!E51*100/Gasto_o_ing_per_capita!$D51</f>
        <v>99.999999999999972</v>
      </c>
      <c r="F51" s="336">
        <f>Gasto_o_ing_per_capita!F51*100/Gasto_o_ing_per_capita!$D51</f>
        <v>99.999999999999957</v>
      </c>
      <c r="G51" s="336">
        <f>Gasto_o_ing_per_capita!G51*100/Gasto_o_ing_per_capita!$D51</f>
        <v>99.999999999999957</v>
      </c>
      <c r="H51" s="336">
        <f>Gasto_o_ing_per_capita!H51*100/Gasto_o_ing_per_capita!$D51</f>
        <v>99.999999999999972</v>
      </c>
      <c r="I51" s="336">
        <f>Gasto_o_ing_per_capita!I51*100/Gasto_o_ing_per_capita!$D51</f>
        <v>99.999999999999972</v>
      </c>
      <c r="J51" s="336">
        <f>Gasto_o_ing_per_capita!J51*100/Gasto_o_ing_per_capita!$D51</f>
        <v>99.999999999999972</v>
      </c>
      <c r="K51" s="336">
        <f>Gasto_o_ing_per_capita!K51*100/Gasto_o_ing_per_capita!$D51</f>
        <v>99.999999999999957</v>
      </c>
      <c r="L51" s="336">
        <f>Gasto_o_ing_per_capita!L51*100/Gasto_o_ing_per_capita!$D51</f>
        <v>99.999999999999972</v>
      </c>
      <c r="M51" s="336">
        <f>Gasto_o_ing_per_capita!M51*100/Gasto_o_ing_per_capita!$D51</f>
        <v>99.999999999999972</v>
      </c>
      <c r="N51" s="336">
        <f>Gasto_o_ing_per_capita!N51*100/Gasto_o_ing_per_capita!$D51</f>
        <v>99.999999999999972</v>
      </c>
      <c r="O51" s="336">
        <f>Gasto_o_ing_per_capita!O51*100/Gasto_o_ing_per_capita!$D51</f>
        <v>99.999999999999957</v>
      </c>
      <c r="P51" s="336">
        <f>Gasto_o_ing_per_capita!P51*100/Gasto_o_ing_per_capita!$D51</f>
        <v>99.999999999999957</v>
      </c>
      <c r="Q51" s="336">
        <f>Gasto_o_ing_per_capita!Q51*100/Gasto_o_ing_per_capita!$D51</f>
        <v>99.999999999999957</v>
      </c>
      <c r="R51" s="336">
        <f>Gasto_o_ing_per_capita!R51*100/Gasto_o_ing_per_capita!$D51</f>
        <v>99.999999999999957</v>
      </c>
      <c r="S51" s="336">
        <f>Gasto_o_ing_per_capita!S51*100/Gasto_o_ing_per_capita!$D51</f>
        <v>99.999999999999972</v>
      </c>
      <c r="T51" s="336">
        <f>Gasto_o_ing_per_capita!T51*100/Gasto_o_ing_per_capita!$D51</f>
        <v>99.999999999999972</v>
      </c>
      <c r="U51" s="336">
        <f>Gasto_o_ing_per_capita!U51*100/Gasto_o_ing_per_capita!$D51</f>
        <v>99.999999999999972</v>
      </c>
      <c r="V51" s="336">
        <f>Gasto_o_ing_per_capita!V51*100/Gasto_o_ing_per_capita!$D51</f>
        <v>99.999999999999957</v>
      </c>
    </row>
    <row r="52" spans="1:22" s="102" customFormat="1" ht="13.15">
      <c r="A52" s="355" t="str">
        <f>IF(B52="","",(IF(ISERROR(MATCH(B52,Tot_res!C:C,0)),"Eliminar!!!","")))</f>
        <v/>
      </c>
      <c r="B52" s="115" t="s">
        <v>698</v>
      </c>
      <c r="C52" s="333" t="str">
        <f>VLOOKUP(B52,Tot_res!C:D,2,FALSE)</f>
        <v>Gestión de la deuda y de la tesorería del estado</v>
      </c>
      <c r="D52" s="336">
        <f>Gasto_o_ing_per_capita!D52*100/Gasto_o_ing_per_capita!$D52</f>
        <v>100</v>
      </c>
      <c r="E52" s="336">
        <f>Gasto_o_ing_per_capita!E52*100/Gasto_o_ing_per_capita!$D52</f>
        <v>99.999999999999986</v>
      </c>
      <c r="F52" s="336">
        <f>Gasto_o_ing_per_capita!F52*100/Gasto_o_ing_per_capita!$D52</f>
        <v>100</v>
      </c>
      <c r="G52" s="336">
        <f>Gasto_o_ing_per_capita!G52*100/Gasto_o_ing_per_capita!$D52</f>
        <v>100</v>
      </c>
      <c r="H52" s="336">
        <f>Gasto_o_ing_per_capita!H52*100/Gasto_o_ing_per_capita!$D52</f>
        <v>100</v>
      </c>
      <c r="I52" s="336">
        <f>Gasto_o_ing_per_capita!I52*100/Gasto_o_ing_per_capita!$D52</f>
        <v>99.999999999999986</v>
      </c>
      <c r="J52" s="336">
        <f>Gasto_o_ing_per_capita!J52*100/Gasto_o_ing_per_capita!$D52</f>
        <v>100</v>
      </c>
      <c r="K52" s="336">
        <f>Gasto_o_ing_per_capita!K52*100/Gasto_o_ing_per_capita!$D52</f>
        <v>100</v>
      </c>
      <c r="L52" s="336">
        <f>Gasto_o_ing_per_capita!L52*100/Gasto_o_ing_per_capita!$D52</f>
        <v>100</v>
      </c>
      <c r="M52" s="336">
        <f>Gasto_o_ing_per_capita!M52*100/Gasto_o_ing_per_capita!$D52</f>
        <v>99.999999999999986</v>
      </c>
      <c r="N52" s="336">
        <f>Gasto_o_ing_per_capita!N52*100/Gasto_o_ing_per_capita!$D52</f>
        <v>100</v>
      </c>
      <c r="O52" s="336">
        <f>Gasto_o_ing_per_capita!O52*100/Gasto_o_ing_per_capita!$D52</f>
        <v>99.999999999999986</v>
      </c>
      <c r="P52" s="336">
        <f>Gasto_o_ing_per_capita!P52*100/Gasto_o_ing_per_capita!$D52</f>
        <v>100</v>
      </c>
      <c r="Q52" s="336">
        <f>Gasto_o_ing_per_capita!Q52*100/Gasto_o_ing_per_capita!$D52</f>
        <v>100</v>
      </c>
      <c r="R52" s="336">
        <f>Gasto_o_ing_per_capita!R52*100/Gasto_o_ing_per_capita!$D52</f>
        <v>100</v>
      </c>
      <c r="S52" s="336">
        <f>Gasto_o_ing_per_capita!S52*100/Gasto_o_ing_per_capita!$D52</f>
        <v>100</v>
      </c>
      <c r="T52" s="336">
        <f>Gasto_o_ing_per_capita!T52*100/Gasto_o_ing_per_capita!$D52</f>
        <v>100</v>
      </c>
      <c r="U52" s="336">
        <f>Gasto_o_ing_per_capita!U52*100/Gasto_o_ing_per_capita!$D52</f>
        <v>100</v>
      </c>
      <c r="V52" s="336">
        <f>Gasto_o_ing_per_capita!V52*100/Gasto_o_ing_per_capita!$D52</f>
        <v>100</v>
      </c>
    </row>
    <row r="53" spans="1:22" s="102" customFormat="1" ht="13.15">
      <c r="A53" s="355" t="str">
        <f>IF(B53="","",(IF(ISERROR(MATCH(B53,Tot_res!C:C,0)),"Eliminar!!!","")))</f>
        <v/>
      </c>
      <c r="B53" s="115" t="s">
        <v>700</v>
      </c>
      <c r="C53" s="333" t="str">
        <f>VLOOKUP(B53,Tot_res!C:D,2,FALSE)</f>
        <v>Previsión y política económica</v>
      </c>
      <c r="D53" s="336">
        <f>Gasto_o_ing_per_capita!D53*100/Gasto_o_ing_per_capita!$D53</f>
        <v>100</v>
      </c>
      <c r="E53" s="336">
        <f>Gasto_o_ing_per_capita!E53*100/Gasto_o_ing_per_capita!$D53</f>
        <v>100</v>
      </c>
      <c r="F53" s="336">
        <f>Gasto_o_ing_per_capita!F53*100/Gasto_o_ing_per_capita!$D53</f>
        <v>100</v>
      </c>
      <c r="G53" s="336">
        <f>Gasto_o_ing_per_capita!G53*100/Gasto_o_ing_per_capita!$D53</f>
        <v>100.00000000000001</v>
      </c>
      <c r="H53" s="336">
        <f>Gasto_o_ing_per_capita!H53*100/Gasto_o_ing_per_capita!$D53</f>
        <v>100</v>
      </c>
      <c r="I53" s="336">
        <f>Gasto_o_ing_per_capita!I53*100/Gasto_o_ing_per_capita!$D53</f>
        <v>100.00000000000001</v>
      </c>
      <c r="J53" s="336">
        <f>Gasto_o_ing_per_capita!J53*100/Gasto_o_ing_per_capita!$D53</f>
        <v>100.00000000000001</v>
      </c>
      <c r="K53" s="336">
        <f>Gasto_o_ing_per_capita!K53*100/Gasto_o_ing_per_capita!$D53</f>
        <v>100.00000000000001</v>
      </c>
      <c r="L53" s="336">
        <f>Gasto_o_ing_per_capita!L53*100/Gasto_o_ing_per_capita!$D53</f>
        <v>100.00000000000001</v>
      </c>
      <c r="M53" s="336">
        <f>Gasto_o_ing_per_capita!M53*100/Gasto_o_ing_per_capita!$D53</f>
        <v>100</v>
      </c>
      <c r="N53" s="336">
        <f>Gasto_o_ing_per_capita!N53*100/Gasto_o_ing_per_capita!$D53</f>
        <v>100.00000000000001</v>
      </c>
      <c r="O53" s="336">
        <f>Gasto_o_ing_per_capita!O53*100/Gasto_o_ing_per_capita!$D53</f>
        <v>100</v>
      </c>
      <c r="P53" s="336">
        <f>Gasto_o_ing_per_capita!P53*100/Gasto_o_ing_per_capita!$D53</f>
        <v>100.00000000000001</v>
      </c>
      <c r="Q53" s="336">
        <f>Gasto_o_ing_per_capita!Q53*100/Gasto_o_ing_per_capita!$D53</f>
        <v>100</v>
      </c>
      <c r="R53" s="336">
        <f>Gasto_o_ing_per_capita!R53*100/Gasto_o_ing_per_capita!$D53</f>
        <v>100</v>
      </c>
      <c r="S53" s="336">
        <f>Gasto_o_ing_per_capita!S53*100/Gasto_o_ing_per_capita!$D53</f>
        <v>100.00000000000001</v>
      </c>
      <c r="T53" s="336">
        <f>Gasto_o_ing_per_capita!T53*100/Gasto_o_ing_per_capita!$D53</f>
        <v>100</v>
      </c>
      <c r="U53" s="336">
        <f>Gasto_o_ing_per_capita!U53*100/Gasto_o_ing_per_capita!$D53</f>
        <v>100.00000000000001</v>
      </c>
      <c r="V53" s="336">
        <f>Gasto_o_ing_per_capita!V53*100/Gasto_o_ing_per_capita!$D53</f>
        <v>100</v>
      </c>
    </row>
    <row r="54" spans="1:22" s="102" customFormat="1" ht="13.15">
      <c r="A54" s="355" t="str">
        <f>IF(B54="","",(IF(ISERROR(MATCH(B54,Tot_res!C:C,0)),"Eliminar!!!","")))</f>
        <v/>
      </c>
      <c r="B54" s="115" t="s">
        <v>156</v>
      </c>
      <c r="C54" s="333" t="str">
        <f>VLOOKUP(B54,Tot_res!C:D,2,FALSE)</f>
        <v>Política presupuestaria</v>
      </c>
      <c r="D54" s="336">
        <f>Gasto_o_ing_per_capita!D54*100/Gasto_o_ing_per_capita!$D54</f>
        <v>100</v>
      </c>
      <c r="E54" s="336">
        <f>Gasto_o_ing_per_capita!E54*100/Gasto_o_ing_per_capita!$D54</f>
        <v>99.999999999999986</v>
      </c>
      <c r="F54" s="336">
        <f>Gasto_o_ing_per_capita!F54*100/Gasto_o_ing_per_capita!$D54</f>
        <v>100</v>
      </c>
      <c r="G54" s="336">
        <f>Gasto_o_ing_per_capita!G54*100/Gasto_o_ing_per_capita!$D54</f>
        <v>100</v>
      </c>
      <c r="H54" s="336">
        <f>Gasto_o_ing_per_capita!H54*100/Gasto_o_ing_per_capita!$D54</f>
        <v>99.999999999999986</v>
      </c>
      <c r="I54" s="336">
        <f>Gasto_o_ing_per_capita!I54*100/Gasto_o_ing_per_capita!$D54</f>
        <v>100</v>
      </c>
      <c r="J54" s="336">
        <f>Gasto_o_ing_per_capita!J54*100/Gasto_o_ing_per_capita!$D54</f>
        <v>100</v>
      </c>
      <c r="K54" s="336">
        <f>Gasto_o_ing_per_capita!K54*100/Gasto_o_ing_per_capita!$D54</f>
        <v>100</v>
      </c>
      <c r="L54" s="336">
        <f>Gasto_o_ing_per_capita!L54*100/Gasto_o_ing_per_capita!$D54</f>
        <v>100</v>
      </c>
      <c r="M54" s="336">
        <f>Gasto_o_ing_per_capita!M54*100/Gasto_o_ing_per_capita!$D54</f>
        <v>100</v>
      </c>
      <c r="N54" s="336">
        <f>Gasto_o_ing_per_capita!N54*100/Gasto_o_ing_per_capita!$D54</f>
        <v>100</v>
      </c>
      <c r="O54" s="336">
        <f>Gasto_o_ing_per_capita!O54*100/Gasto_o_ing_per_capita!$D54</f>
        <v>100</v>
      </c>
      <c r="P54" s="336">
        <f>Gasto_o_ing_per_capita!P54*100/Gasto_o_ing_per_capita!$D54</f>
        <v>100</v>
      </c>
      <c r="Q54" s="336">
        <f>Gasto_o_ing_per_capita!Q54*100/Gasto_o_ing_per_capita!$D54</f>
        <v>100</v>
      </c>
      <c r="R54" s="336">
        <f>Gasto_o_ing_per_capita!R54*100/Gasto_o_ing_per_capita!$D54</f>
        <v>99.999999999999986</v>
      </c>
      <c r="S54" s="336">
        <f>Gasto_o_ing_per_capita!S54*100/Gasto_o_ing_per_capita!$D54</f>
        <v>100</v>
      </c>
      <c r="T54" s="336">
        <f>Gasto_o_ing_per_capita!T54*100/Gasto_o_ing_per_capita!$D54</f>
        <v>100</v>
      </c>
      <c r="U54" s="336">
        <f>Gasto_o_ing_per_capita!U54*100/Gasto_o_ing_per_capita!$D54</f>
        <v>100</v>
      </c>
      <c r="V54" s="336">
        <f>Gasto_o_ing_per_capita!V54*100/Gasto_o_ing_per_capita!$D54</f>
        <v>100</v>
      </c>
    </row>
    <row r="55" spans="1:22" s="102" customFormat="1" ht="13.15">
      <c r="A55" s="355" t="str">
        <f>IF(B55="","",(IF(ISERROR(MATCH(B55,Tot_res!C:C,0)),"Eliminar!!!","")))</f>
        <v/>
      </c>
      <c r="B55" s="115" t="s">
        <v>158</v>
      </c>
      <c r="C55" s="333" t="str">
        <f>VLOOKUP(B55,Tot_res!C:D,2,FALSE)</f>
        <v>Política tributaria</v>
      </c>
      <c r="D55" s="336">
        <f>Gasto_o_ing_per_capita!D55*100/Gasto_o_ing_per_capita!$D55</f>
        <v>100</v>
      </c>
      <c r="E55" s="336">
        <f>Gasto_o_ing_per_capita!E55*100/Gasto_o_ing_per_capita!$D55</f>
        <v>100</v>
      </c>
      <c r="F55" s="336">
        <f>Gasto_o_ing_per_capita!F55*100/Gasto_o_ing_per_capita!$D55</f>
        <v>100.00000000000001</v>
      </c>
      <c r="G55" s="336">
        <f>Gasto_o_ing_per_capita!G55*100/Gasto_o_ing_per_capita!$D55</f>
        <v>100.00000000000001</v>
      </c>
      <c r="H55" s="336">
        <f>Gasto_o_ing_per_capita!H55*100/Gasto_o_ing_per_capita!$D55</f>
        <v>99.999999999999986</v>
      </c>
      <c r="I55" s="336">
        <f>Gasto_o_ing_per_capita!I55*100/Gasto_o_ing_per_capita!$D55</f>
        <v>99.999999999999986</v>
      </c>
      <c r="J55" s="336">
        <f>Gasto_o_ing_per_capita!J55*100/Gasto_o_ing_per_capita!$D55</f>
        <v>100</v>
      </c>
      <c r="K55" s="336">
        <f>Gasto_o_ing_per_capita!K55*100/Gasto_o_ing_per_capita!$D55</f>
        <v>100</v>
      </c>
      <c r="L55" s="336">
        <f>Gasto_o_ing_per_capita!L55*100/Gasto_o_ing_per_capita!$D55</f>
        <v>100.00000000000001</v>
      </c>
      <c r="M55" s="336">
        <f>Gasto_o_ing_per_capita!M55*100/Gasto_o_ing_per_capita!$D55</f>
        <v>100.00000000000001</v>
      </c>
      <c r="N55" s="336">
        <f>Gasto_o_ing_per_capita!N55*100/Gasto_o_ing_per_capita!$D55</f>
        <v>100.00000000000001</v>
      </c>
      <c r="O55" s="336">
        <f>Gasto_o_ing_per_capita!O55*100/Gasto_o_ing_per_capita!$D55</f>
        <v>100</v>
      </c>
      <c r="P55" s="336">
        <f>Gasto_o_ing_per_capita!P55*100/Gasto_o_ing_per_capita!$D55</f>
        <v>100</v>
      </c>
      <c r="Q55" s="336">
        <f>Gasto_o_ing_per_capita!Q55*100/Gasto_o_ing_per_capita!$D55</f>
        <v>100</v>
      </c>
      <c r="R55" s="336">
        <f>Gasto_o_ing_per_capita!R55*100/Gasto_o_ing_per_capita!$D55</f>
        <v>100</v>
      </c>
      <c r="S55" s="336">
        <f>Gasto_o_ing_per_capita!S55*100/Gasto_o_ing_per_capita!$D55</f>
        <v>100.00000000000001</v>
      </c>
      <c r="T55" s="336">
        <f>Gasto_o_ing_per_capita!T55*100/Gasto_o_ing_per_capita!$D55</f>
        <v>100</v>
      </c>
      <c r="U55" s="336">
        <f>Gasto_o_ing_per_capita!U55*100/Gasto_o_ing_per_capita!$D55</f>
        <v>100.00000000000001</v>
      </c>
      <c r="V55" s="336">
        <f>Gasto_o_ing_per_capita!V55*100/Gasto_o_ing_per_capita!$D55</f>
        <v>99.999999999999986</v>
      </c>
    </row>
    <row r="56" spans="1:22" s="102" customFormat="1" ht="13.15">
      <c r="A56" s="355" t="str">
        <f>IF(B56="","",(IF(ISERROR(MATCH(B56,Tot_res!C:C,0)),"Eliminar!!!","")))</f>
        <v/>
      </c>
      <c r="B56" s="115" t="s">
        <v>160</v>
      </c>
      <c r="C56" s="333" t="str">
        <f>VLOOKUP(B56,Tot_res!C:D,2,FALSE)</f>
        <v>Control interno y contabilidad pública</v>
      </c>
      <c r="D56" s="336">
        <f>Gasto_o_ing_per_capita!D56*100/Gasto_o_ing_per_capita!$D56</f>
        <v>100</v>
      </c>
      <c r="E56" s="336">
        <f>Gasto_o_ing_per_capita!E56*100/Gasto_o_ing_per_capita!$D56</f>
        <v>99.999999999999986</v>
      </c>
      <c r="F56" s="336">
        <f>Gasto_o_ing_per_capita!F56*100/Gasto_o_ing_per_capita!$D56</f>
        <v>99.999999999999986</v>
      </c>
      <c r="G56" s="336">
        <f>Gasto_o_ing_per_capita!G56*100/Gasto_o_ing_per_capita!$D56</f>
        <v>100</v>
      </c>
      <c r="H56" s="336">
        <f>Gasto_o_ing_per_capita!H56*100/Gasto_o_ing_per_capita!$D56</f>
        <v>99.999999999999986</v>
      </c>
      <c r="I56" s="336">
        <f>Gasto_o_ing_per_capita!I56*100/Gasto_o_ing_per_capita!$D56</f>
        <v>100</v>
      </c>
      <c r="J56" s="336">
        <f>Gasto_o_ing_per_capita!J56*100/Gasto_o_ing_per_capita!$D56</f>
        <v>100</v>
      </c>
      <c r="K56" s="336">
        <f>Gasto_o_ing_per_capita!K56*100/Gasto_o_ing_per_capita!$D56</f>
        <v>100</v>
      </c>
      <c r="L56" s="336">
        <f>Gasto_o_ing_per_capita!L56*100/Gasto_o_ing_per_capita!$D56</f>
        <v>100</v>
      </c>
      <c r="M56" s="336">
        <f>Gasto_o_ing_per_capita!M56*100/Gasto_o_ing_per_capita!$D56</f>
        <v>100</v>
      </c>
      <c r="N56" s="336">
        <f>Gasto_o_ing_per_capita!N56*100/Gasto_o_ing_per_capita!$D56</f>
        <v>100.00000000000001</v>
      </c>
      <c r="O56" s="336">
        <f>Gasto_o_ing_per_capita!O56*100/Gasto_o_ing_per_capita!$D56</f>
        <v>99.999999999999986</v>
      </c>
      <c r="P56" s="336">
        <f>Gasto_o_ing_per_capita!P56*100/Gasto_o_ing_per_capita!$D56</f>
        <v>99.999999999999986</v>
      </c>
      <c r="Q56" s="336">
        <f>Gasto_o_ing_per_capita!Q56*100/Gasto_o_ing_per_capita!$D56</f>
        <v>99.999999999999986</v>
      </c>
      <c r="R56" s="336">
        <f>Gasto_o_ing_per_capita!R56*100/Gasto_o_ing_per_capita!$D56</f>
        <v>99.999999999999986</v>
      </c>
      <c r="S56" s="336">
        <f>Gasto_o_ing_per_capita!S56*100/Gasto_o_ing_per_capita!$D56</f>
        <v>100</v>
      </c>
      <c r="T56" s="336">
        <f>Gasto_o_ing_per_capita!T56*100/Gasto_o_ing_per_capita!$D56</f>
        <v>100</v>
      </c>
      <c r="U56" s="336">
        <f>Gasto_o_ing_per_capita!U56*100/Gasto_o_ing_per_capita!$D56</f>
        <v>100</v>
      </c>
      <c r="V56" s="336">
        <f>Gasto_o_ing_per_capita!V56*100/Gasto_o_ing_per_capita!$D56</f>
        <v>99.999999999999986</v>
      </c>
    </row>
    <row r="57" spans="1:22" s="102" customFormat="1" ht="13.15">
      <c r="A57" s="355" t="str">
        <f>IF(B57="","",(IF(ISERROR(MATCH(B57,Tot_res!C:C,0)),"Eliminar!!!","")))</f>
        <v/>
      </c>
      <c r="B57" s="115" t="s">
        <v>161</v>
      </c>
      <c r="C57" s="333" t="str">
        <f>VLOOKUP(B57,Tot_res!C:D,2,FALSE)</f>
        <v>Aplicación del sistema tributario estatal +  AF01: ajuste forales, gestión tributaria</v>
      </c>
      <c r="D57" s="336">
        <f>Gasto_o_ing_per_capita!D57*100/Gasto_o_ing_per_capita!$D57</f>
        <v>100</v>
      </c>
      <c r="E57" s="336">
        <f>Gasto_o_ing_per_capita!E57*100/Gasto_o_ing_per_capita!$D57</f>
        <v>99.999999999999986</v>
      </c>
      <c r="F57" s="336">
        <f>Gasto_o_ing_per_capita!F57*100/Gasto_o_ing_per_capita!$D57</f>
        <v>99.999999999999986</v>
      </c>
      <c r="G57" s="336">
        <f>Gasto_o_ing_per_capita!G57*100/Gasto_o_ing_per_capita!$D57</f>
        <v>100</v>
      </c>
      <c r="H57" s="336">
        <f>Gasto_o_ing_per_capita!H57*100/Gasto_o_ing_per_capita!$D57</f>
        <v>99.999999999999986</v>
      </c>
      <c r="I57" s="336">
        <f>Gasto_o_ing_per_capita!I57*100/Gasto_o_ing_per_capita!$D57</f>
        <v>99.999999999999986</v>
      </c>
      <c r="J57" s="336">
        <f>Gasto_o_ing_per_capita!J57*100/Gasto_o_ing_per_capita!$D57</f>
        <v>99.999999999999972</v>
      </c>
      <c r="K57" s="336">
        <f>Gasto_o_ing_per_capita!K57*100/Gasto_o_ing_per_capita!$D57</f>
        <v>99.999999999999986</v>
      </c>
      <c r="L57" s="336">
        <f>Gasto_o_ing_per_capita!L57*100/Gasto_o_ing_per_capita!$D57</f>
        <v>99.999999999999986</v>
      </c>
      <c r="M57" s="336">
        <f>Gasto_o_ing_per_capita!M57*100/Gasto_o_ing_per_capita!$D57</f>
        <v>100</v>
      </c>
      <c r="N57" s="336">
        <f>Gasto_o_ing_per_capita!N57*100/Gasto_o_ing_per_capita!$D57</f>
        <v>99.999999999999986</v>
      </c>
      <c r="O57" s="336">
        <f>Gasto_o_ing_per_capita!O57*100/Gasto_o_ing_per_capita!$D57</f>
        <v>99.999999999999986</v>
      </c>
      <c r="P57" s="336">
        <f>Gasto_o_ing_per_capita!P57*100/Gasto_o_ing_per_capita!$D57</f>
        <v>99.999999999999986</v>
      </c>
      <c r="Q57" s="336">
        <f>Gasto_o_ing_per_capita!Q57*100/Gasto_o_ing_per_capita!$D57</f>
        <v>99.999999999999986</v>
      </c>
      <c r="R57" s="336">
        <f>Gasto_o_ing_per_capita!R57*100/Gasto_o_ing_per_capita!$D57</f>
        <v>100</v>
      </c>
      <c r="S57" s="336">
        <f>Gasto_o_ing_per_capita!S57*100/Gasto_o_ing_per_capita!$D57</f>
        <v>100.00000000000004</v>
      </c>
      <c r="T57" s="336">
        <f>Gasto_o_ing_per_capita!T57*100/Gasto_o_ing_per_capita!$D57</f>
        <v>100.00000000000003</v>
      </c>
      <c r="U57" s="336">
        <f>Gasto_o_ing_per_capita!U57*100/Gasto_o_ing_per_capita!$D57</f>
        <v>99.999999999999986</v>
      </c>
      <c r="V57" s="336">
        <f>Gasto_o_ing_per_capita!V57*100/Gasto_o_ing_per_capita!$D57</f>
        <v>99.999999999999986</v>
      </c>
    </row>
    <row r="58" spans="1:22" s="102" customFormat="1" ht="13.15">
      <c r="A58" s="355" t="str">
        <f>IF(B58="","",(IF(ISERROR(MATCH(B58,Tot_res!C:C,0)),"Eliminar!!!","")))</f>
        <v/>
      </c>
      <c r="B58" s="115" t="s">
        <v>162</v>
      </c>
      <c r="C58" s="333" t="str">
        <f>VLOOKUP(B58,Tot_res!C:D,2,FALSE)</f>
        <v>Gestión del catastro inmobiliario + AF02: corrección forales, catastro</v>
      </c>
      <c r="D58" s="336">
        <f>Gasto_o_ing_per_capita!D58*100/Gasto_o_ing_per_capita!$D58</f>
        <v>100</v>
      </c>
      <c r="E58" s="336">
        <f>Gasto_o_ing_per_capita!E58*100/Gasto_o_ing_per_capita!$D58</f>
        <v>100</v>
      </c>
      <c r="F58" s="336">
        <f>Gasto_o_ing_per_capita!F58*100/Gasto_o_ing_per_capita!$D58</f>
        <v>100</v>
      </c>
      <c r="G58" s="336">
        <f>Gasto_o_ing_per_capita!G58*100/Gasto_o_ing_per_capita!$D58</f>
        <v>100.00000000000001</v>
      </c>
      <c r="H58" s="336">
        <f>Gasto_o_ing_per_capita!H58*100/Gasto_o_ing_per_capita!$D58</f>
        <v>100</v>
      </c>
      <c r="I58" s="336">
        <f>Gasto_o_ing_per_capita!I58*100/Gasto_o_ing_per_capita!$D58</f>
        <v>100.00000000000001</v>
      </c>
      <c r="J58" s="336">
        <f>Gasto_o_ing_per_capita!J58*100/Gasto_o_ing_per_capita!$D58</f>
        <v>100.00000000000001</v>
      </c>
      <c r="K58" s="336">
        <f>Gasto_o_ing_per_capita!K58*100/Gasto_o_ing_per_capita!$D58</f>
        <v>100</v>
      </c>
      <c r="L58" s="336">
        <f>Gasto_o_ing_per_capita!L58*100/Gasto_o_ing_per_capita!$D58</f>
        <v>100</v>
      </c>
      <c r="M58" s="336">
        <f>Gasto_o_ing_per_capita!M58*100/Gasto_o_ing_per_capita!$D58</f>
        <v>100</v>
      </c>
      <c r="N58" s="336">
        <f>Gasto_o_ing_per_capita!N58*100/Gasto_o_ing_per_capita!$D58</f>
        <v>100</v>
      </c>
      <c r="O58" s="336">
        <f>Gasto_o_ing_per_capita!O58*100/Gasto_o_ing_per_capita!$D58</f>
        <v>100.00000000000001</v>
      </c>
      <c r="P58" s="336">
        <f>Gasto_o_ing_per_capita!P58*100/Gasto_o_ing_per_capita!$D58</f>
        <v>100.00000000000001</v>
      </c>
      <c r="Q58" s="336">
        <f>Gasto_o_ing_per_capita!Q58*100/Gasto_o_ing_per_capita!$D58</f>
        <v>100.00000000000001</v>
      </c>
      <c r="R58" s="336">
        <f>Gasto_o_ing_per_capita!R58*100/Gasto_o_ing_per_capita!$D58</f>
        <v>100.00000000000001</v>
      </c>
      <c r="S58" s="336">
        <f>Gasto_o_ing_per_capita!S58*100/Gasto_o_ing_per_capita!$D58</f>
        <v>100</v>
      </c>
      <c r="T58" s="336">
        <f>Gasto_o_ing_per_capita!T58*100/Gasto_o_ing_per_capita!$D58</f>
        <v>100</v>
      </c>
      <c r="U58" s="336">
        <f>Gasto_o_ing_per_capita!U58*100/Gasto_o_ing_per_capita!$D58</f>
        <v>100.00000000000001</v>
      </c>
      <c r="V58" s="336">
        <f>Gasto_o_ing_per_capita!V58*100/Gasto_o_ing_per_capita!$D58</f>
        <v>100.00000000000001</v>
      </c>
    </row>
    <row r="59" spans="1:22" s="102" customFormat="1" ht="13.15">
      <c r="A59" s="355" t="str">
        <f>IF(B59="","",(IF(ISERROR(MATCH(B59,Tot_res!C:C,0)),"Eliminar!!!","")))</f>
        <v/>
      </c>
      <c r="B59" s="115" t="s">
        <v>163</v>
      </c>
      <c r="C59" s="333" t="str">
        <f>VLOOKUP(B59,Tot_res!C:D,2,FALSE)</f>
        <v>Resolución de reclamaciones económico-administrativas</v>
      </c>
      <c r="D59" s="336">
        <f>Gasto_o_ing_per_capita!D59*100/Gasto_o_ing_per_capita!$D59</f>
        <v>100</v>
      </c>
      <c r="E59" s="336">
        <f>Gasto_o_ing_per_capita!E59*100/Gasto_o_ing_per_capita!$D59</f>
        <v>100.00000000000001</v>
      </c>
      <c r="F59" s="336">
        <f>Gasto_o_ing_per_capita!F59*100/Gasto_o_ing_per_capita!$D59</f>
        <v>100</v>
      </c>
      <c r="G59" s="336">
        <f>Gasto_o_ing_per_capita!G59*100/Gasto_o_ing_per_capita!$D59</f>
        <v>100.00000000000001</v>
      </c>
      <c r="H59" s="336">
        <f>Gasto_o_ing_per_capita!H59*100/Gasto_o_ing_per_capita!$D59</f>
        <v>100</v>
      </c>
      <c r="I59" s="336">
        <f>Gasto_o_ing_per_capita!I59*100/Gasto_o_ing_per_capita!$D59</f>
        <v>100.00000000000001</v>
      </c>
      <c r="J59" s="336">
        <f>Gasto_o_ing_per_capita!J59*100/Gasto_o_ing_per_capita!$D59</f>
        <v>100.00000000000001</v>
      </c>
      <c r="K59" s="336">
        <f>Gasto_o_ing_per_capita!K59*100/Gasto_o_ing_per_capita!$D59</f>
        <v>100.00000000000001</v>
      </c>
      <c r="L59" s="336">
        <f>Gasto_o_ing_per_capita!L59*100/Gasto_o_ing_per_capita!$D59</f>
        <v>100.00000000000001</v>
      </c>
      <c r="M59" s="336">
        <f>Gasto_o_ing_per_capita!M59*100/Gasto_o_ing_per_capita!$D59</f>
        <v>100.00000000000001</v>
      </c>
      <c r="N59" s="336">
        <f>Gasto_o_ing_per_capita!N59*100/Gasto_o_ing_per_capita!$D59</f>
        <v>100.00000000000001</v>
      </c>
      <c r="O59" s="336">
        <f>Gasto_o_ing_per_capita!O59*100/Gasto_o_ing_per_capita!$D59</f>
        <v>100</v>
      </c>
      <c r="P59" s="336">
        <f>Gasto_o_ing_per_capita!P59*100/Gasto_o_ing_per_capita!$D59</f>
        <v>100</v>
      </c>
      <c r="Q59" s="336">
        <f>Gasto_o_ing_per_capita!Q59*100/Gasto_o_ing_per_capita!$D59</f>
        <v>100</v>
      </c>
      <c r="R59" s="336">
        <f>Gasto_o_ing_per_capita!R59*100/Gasto_o_ing_per_capita!$D59</f>
        <v>99.999999999999986</v>
      </c>
      <c r="S59" s="336">
        <f>Gasto_o_ing_per_capita!S59*100/Gasto_o_ing_per_capita!$D59</f>
        <v>100</v>
      </c>
      <c r="T59" s="336">
        <f>Gasto_o_ing_per_capita!T59*100/Gasto_o_ing_per_capita!$D59</f>
        <v>100.00000000000001</v>
      </c>
      <c r="U59" s="336">
        <f>Gasto_o_ing_per_capita!U59*100/Gasto_o_ing_per_capita!$D59</f>
        <v>100.00000000000001</v>
      </c>
      <c r="V59" s="336">
        <f>Gasto_o_ing_per_capita!V59*100/Gasto_o_ing_per_capita!$D59</f>
        <v>100</v>
      </c>
    </row>
    <row r="60" spans="1:22" s="102" customFormat="1" ht="13.15">
      <c r="A60" s="356"/>
      <c r="B60" s="115"/>
      <c r="D60" s="110"/>
      <c r="E60" s="110"/>
      <c r="F60" s="110"/>
      <c r="G60" s="110"/>
      <c r="H60" s="110"/>
      <c r="I60" s="110"/>
      <c r="J60" s="110"/>
      <c r="K60" s="110"/>
      <c r="L60" s="110"/>
      <c r="M60" s="110"/>
      <c r="N60" s="110"/>
      <c r="O60" s="110"/>
      <c r="P60" s="110"/>
      <c r="Q60" s="110"/>
      <c r="R60" s="110"/>
      <c r="S60" s="110"/>
      <c r="T60" s="110"/>
      <c r="U60" s="110"/>
      <c r="V60" s="110"/>
    </row>
    <row r="61" spans="1:22" s="102" customFormat="1" ht="13.15">
      <c r="A61" s="356"/>
      <c r="B61" s="115"/>
      <c r="C61" s="128" t="s">
        <v>0</v>
      </c>
      <c r="D61" s="113">
        <f>Gasto_o_ing_per_capita!D61*100/Gasto_o_ing_per_capita!$D61</f>
        <v>100</v>
      </c>
      <c r="E61" s="113">
        <f>Gasto_o_ing_per_capita!E61*100/Gasto_o_ing_per_capita!$D61</f>
        <v>100</v>
      </c>
      <c r="F61" s="113">
        <f>Gasto_o_ing_per_capita!F61*100/Gasto_o_ing_per_capita!$D61</f>
        <v>100.00000000000001</v>
      </c>
      <c r="G61" s="113">
        <f>Gasto_o_ing_per_capita!G61*100/Gasto_o_ing_per_capita!$D61</f>
        <v>100</v>
      </c>
      <c r="H61" s="113">
        <f>Gasto_o_ing_per_capita!H61*100/Gasto_o_ing_per_capita!$D61</f>
        <v>99.999999999999986</v>
      </c>
      <c r="I61" s="113">
        <f>Gasto_o_ing_per_capita!I61*100/Gasto_o_ing_per_capita!$D61</f>
        <v>100</v>
      </c>
      <c r="J61" s="113">
        <f>Gasto_o_ing_per_capita!J61*100/Gasto_o_ing_per_capita!$D61</f>
        <v>100</v>
      </c>
      <c r="K61" s="113">
        <f>Gasto_o_ing_per_capita!K61*100/Gasto_o_ing_per_capita!$D61</f>
        <v>99.999999999999986</v>
      </c>
      <c r="L61" s="113">
        <f>Gasto_o_ing_per_capita!L61*100/Gasto_o_ing_per_capita!$D61</f>
        <v>100.00000000000001</v>
      </c>
      <c r="M61" s="113">
        <f>Gasto_o_ing_per_capita!M61*100/Gasto_o_ing_per_capita!$D61</f>
        <v>100</v>
      </c>
      <c r="N61" s="113">
        <f>Gasto_o_ing_per_capita!N61*100/Gasto_o_ing_per_capita!$D61</f>
        <v>99.999999999999986</v>
      </c>
      <c r="O61" s="113">
        <f>Gasto_o_ing_per_capita!O61*100/Gasto_o_ing_per_capita!$D61</f>
        <v>99.999999999999986</v>
      </c>
      <c r="P61" s="113">
        <f>Gasto_o_ing_per_capita!P61*100/Gasto_o_ing_per_capita!$D61</f>
        <v>100</v>
      </c>
      <c r="Q61" s="113">
        <f>Gasto_o_ing_per_capita!Q61*100/Gasto_o_ing_per_capita!$D61</f>
        <v>100</v>
      </c>
      <c r="R61" s="113">
        <f>Gasto_o_ing_per_capita!R61*100/Gasto_o_ing_per_capita!$D61</f>
        <v>99.999999999999986</v>
      </c>
      <c r="S61" s="113">
        <f>Gasto_o_ing_per_capita!S61*100/Gasto_o_ing_per_capita!$D61</f>
        <v>100</v>
      </c>
      <c r="T61" s="113">
        <f>Gasto_o_ing_per_capita!T61*100/Gasto_o_ing_per_capita!$D61</f>
        <v>100</v>
      </c>
      <c r="U61" s="113">
        <f>Gasto_o_ing_per_capita!U61*100/Gasto_o_ing_per_capita!$D61</f>
        <v>100.00000000000001</v>
      </c>
      <c r="V61" s="113">
        <f>Gasto_o_ing_per_capita!V61*100/Gasto_o_ing_per_capita!$D61</f>
        <v>99.999999999999986</v>
      </c>
    </row>
    <row r="62" spans="1:22" s="102" customFormat="1" ht="13.15">
      <c r="A62" s="355" t="str">
        <f>IF(B62="","",(IF(ISERROR(MATCH(B62,Tot_res!C:C,0)),"Eliminar!!!","")))</f>
        <v/>
      </c>
      <c r="B62" s="115" t="s">
        <v>164</v>
      </c>
      <c r="C62" s="333" t="str">
        <f>VLOOKUP(B62,Tot_res!C:D,2,FALSE)</f>
        <v>Registros vinculados con la fe pública</v>
      </c>
      <c r="D62" s="336">
        <f>Gasto_o_ing_per_capita!D62*100/Gasto_o_ing_per_capita!$D62</f>
        <v>99.999999999999986</v>
      </c>
      <c r="E62" s="336">
        <f>Gasto_o_ing_per_capita!E62*100/Gasto_o_ing_per_capita!$D62</f>
        <v>99.999999999999986</v>
      </c>
      <c r="F62" s="336">
        <f>Gasto_o_ing_per_capita!F62*100/Gasto_o_ing_per_capita!$D62</f>
        <v>99.999999999999986</v>
      </c>
      <c r="G62" s="336">
        <f>Gasto_o_ing_per_capita!G62*100/Gasto_o_ing_per_capita!$D62</f>
        <v>100.00000000000001</v>
      </c>
      <c r="H62" s="336">
        <f>Gasto_o_ing_per_capita!H62*100/Gasto_o_ing_per_capita!$D62</f>
        <v>99.999999999999986</v>
      </c>
      <c r="I62" s="336">
        <f>Gasto_o_ing_per_capita!I62*100/Gasto_o_ing_per_capita!$D62</f>
        <v>99.999999999999986</v>
      </c>
      <c r="J62" s="336">
        <f>Gasto_o_ing_per_capita!J62*100/Gasto_o_ing_per_capita!$D62</f>
        <v>99.999999999999986</v>
      </c>
      <c r="K62" s="336">
        <f>Gasto_o_ing_per_capita!K62*100/Gasto_o_ing_per_capita!$D62</f>
        <v>100.00000000000001</v>
      </c>
      <c r="L62" s="336">
        <f>Gasto_o_ing_per_capita!L62*100/Gasto_o_ing_per_capita!$D62</f>
        <v>99.999999999999986</v>
      </c>
      <c r="M62" s="336">
        <f>Gasto_o_ing_per_capita!M62*100/Gasto_o_ing_per_capita!$D62</f>
        <v>99.999999999999986</v>
      </c>
      <c r="N62" s="336">
        <f>Gasto_o_ing_per_capita!N62*100/Gasto_o_ing_per_capita!$D62</f>
        <v>100.00000000000001</v>
      </c>
      <c r="O62" s="336">
        <f>Gasto_o_ing_per_capita!O62*100/Gasto_o_ing_per_capita!$D62</f>
        <v>99.999999999999986</v>
      </c>
      <c r="P62" s="336">
        <f>Gasto_o_ing_per_capita!P62*100/Gasto_o_ing_per_capita!$D62</f>
        <v>99.999999999999986</v>
      </c>
      <c r="Q62" s="336">
        <f>Gasto_o_ing_per_capita!Q62*100/Gasto_o_ing_per_capita!$D62</f>
        <v>99.999999999999986</v>
      </c>
      <c r="R62" s="336">
        <f>Gasto_o_ing_per_capita!R62*100/Gasto_o_ing_per_capita!$D62</f>
        <v>99.999999999999986</v>
      </c>
      <c r="S62" s="336">
        <f>Gasto_o_ing_per_capita!S62*100/Gasto_o_ing_per_capita!$D62</f>
        <v>99.999999999999986</v>
      </c>
      <c r="T62" s="336">
        <f>Gasto_o_ing_per_capita!T62*100/Gasto_o_ing_per_capita!$D62</f>
        <v>100.00000000000001</v>
      </c>
      <c r="U62" s="336">
        <f>Gasto_o_ing_per_capita!U62*100/Gasto_o_ing_per_capita!$D62</f>
        <v>99.999999999999986</v>
      </c>
      <c r="V62" s="336">
        <f>Gasto_o_ing_per_capita!V62*100/Gasto_o_ing_per_capita!$D62</f>
        <v>99.999999999999986</v>
      </c>
    </row>
    <row r="63" spans="1:22" s="102" customFormat="1" ht="13.15">
      <c r="A63" s="355" t="str">
        <f>IF(B63="","",(IF(ISERROR(MATCH(B63,Tot_res!C:C,0)),"Eliminar!!!","")))</f>
        <v/>
      </c>
      <c r="B63" s="115" t="s">
        <v>165</v>
      </c>
      <c r="C63" s="333" t="str">
        <f>VLOOKUP(B63,Tot_res!C:D,2,FALSE)</f>
        <v>Derecho de asilo y apátridas</v>
      </c>
      <c r="D63" s="336">
        <f>Gasto_o_ing_per_capita!D63*100/Gasto_o_ing_per_capita!$D63</f>
        <v>100</v>
      </c>
      <c r="E63" s="336">
        <f>Gasto_o_ing_per_capita!E63*100/Gasto_o_ing_per_capita!$D63</f>
        <v>99.999999999999957</v>
      </c>
      <c r="F63" s="336">
        <f>Gasto_o_ing_per_capita!F63*100/Gasto_o_ing_per_capita!$D63</f>
        <v>99.999999999999957</v>
      </c>
      <c r="G63" s="336">
        <f>Gasto_o_ing_per_capita!G63*100/Gasto_o_ing_per_capita!$D63</f>
        <v>99.999999999999972</v>
      </c>
      <c r="H63" s="336">
        <f>Gasto_o_ing_per_capita!H63*100/Gasto_o_ing_per_capita!$D63</f>
        <v>99.999999999999957</v>
      </c>
      <c r="I63" s="336">
        <f>Gasto_o_ing_per_capita!I63*100/Gasto_o_ing_per_capita!$D63</f>
        <v>99.999999999999957</v>
      </c>
      <c r="J63" s="336">
        <f>Gasto_o_ing_per_capita!J63*100/Gasto_o_ing_per_capita!$D63</f>
        <v>99.999999999999972</v>
      </c>
      <c r="K63" s="336">
        <f>Gasto_o_ing_per_capita!K63*100/Gasto_o_ing_per_capita!$D63</f>
        <v>99.999999999999957</v>
      </c>
      <c r="L63" s="336">
        <f>Gasto_o_ing_per_capita!L63*100/Gasto_o_ing_per_capita!$D63</f>
        <v>99.999999999999957</v>
      </c>
      <c r="M63" s="336">
        <f>Gasto_o_ing_per_capita!M63*100/Gasto_o_ing_per_capita!$D63</f>
        <v>99.999999999999972</v>
      </c>
      <c r="N63" s="336">
        <f>Gasto_o_ing_per_capita!N63*100/Gasto_o_ing_per_capita!$D63</f>
        <v>99.999999999999957</v>
      </c>
      <c r="O63" s="336">
        <f>Gasto_o_ing_per_capita!O63*100/Gasto_o_ing_per_capita!$D63</f>
        <v>99.999999999999957</v>
      </c>
      <c r="P63" s="336">
        <f>Gasto_o_ing_per_capita!P63*100/Gasto_o_ing_per_capita!$D63</f>
        <v>99.999999999999957</v>
      </c>
      <c r="Q63" s="336">
        <f>Gasto_o_ing_per_capita!Q63*100/Gasto_o_ing_per_capita!$D63</f>
        <v>99.999999999999972</v>
      </c>
      <c r="R63" s="336">
        <f>Gasto_o_ing_per_capita!R63*100/Gasto_o_ing_per_capita!$D63</f>
        <v>99.999999999999957</v>
      </c>
      <c r="S63" s="336">
        <f>Gasto_o_ing_per_capita!S63*100/Gasto_o_ing_per_capita!$D63</f>
        <v>99.999999999999957</v>
      </c>
      <c r="T63" s="336">
        <f>Gasto_o_ing_per_capita!T63*100/Gasto_o_ing_per_capita!$D63</f>
        <v>99.999999999999972</v>
      </c>
      <c r="U63" s="336">
        <f>Gasto_o_ing_per_capita!U63*100/Gasto_o_ing_per_capita!$D63</f>
        <v>99.999999999999972</v>
      </c>
      <c r="V63" s="336">
        <f>Gasto_o_ing_per_capita!V63*100/Gasto_o_ing_per_capita!$D63</f>
        <v>99.999999999999957</v>
      </c>
    </row>
    <row r="64" spans="1:22" s="102" customFormat="1" ht="13.15">
      <c r="A64" s="355" t="str">
        <f>IF(B64="","",(IF(ISERROR(MATCH(B64,Tot_res!C:C,0)),"Eliminar!!!","")))</f>
        <v/>
      </c>
      <c r="B64" s="115" t="s">
        <v>166</v>
      </c>
      <c r="C64" s="333" t="str">
        <f>VLOOKUP(B64,Tot_res!C:D,2,FALSE)</f>
        <v>Protección de datos de carácter personal</v>
      </c>
      <c r="D64" s="336">
        <f>Gasto_o_ing_per_capita!D64*100/Gasto_o_ing_per_capita!$D64</f>
        <v>100</v>
      </c>
      <c r="E64" s="336">
        <f>Gasto_o_ing_per_capita!E64*100/Gasto_o_ing_per_capita!$D64</f>
        <v>100.00000000000003</v>
      </c>
      <c r="F64" s="336">
        <f>Gasto_o_ing_per_capita!F64*100/Gasto_o_ing_per_capita!$D64</f>
        <v>100</v>
      </c>
      <c r="G64" s="336">
        <f>Gasto_o_ing_per_capita!G64*100/Gasto_o_ing_per_capita!$D64</f>
        <v>100.00000000000004</v>
      </c>
      <c r="H64" s="336">
        <f>Gasto_o_ing_per_capita!H64*100/Gasto_o_ing_per_capita!$D64</f>
        <v>100.00000000000003</v>
      </c>
      <c r="I64" s="336">
        <f>Gasto_o_ing_per_capita!I64*100/Gasto_o_ing_per_capita!$D64</f>
        <v>100.00000000000003</v>
      </c>
      <c r="J64" s="336">
        <f>Gasto_o_ing_per_capita!J64*100/Gasto_o_ing_per_capita!$D64</f>
        <v>100.00000000000003</v>
      </c>
      <c r="K64" s="336">
        <f>Gasto_o_ing_per_capita!K64*100/Gasto_o_ing_per_capita!$D64</f>
        <v>100.00000000000003</v>
      </c>
      <c r="L64" s="336">
        <f>Gasto_o_ing_per_capita!L64*100/Gasto_o_ing_per_capita!$D64</f>
        <v>100.00000000000004</v>
      </c>
      <c r="M64" s="336">
        <f>Gasto_o_ing_per_capita!M64*100/Gasto_o_ing_per_capita!$D64</f>
        <v>100.00000000000003</v>
      </c>
      <c r="N64" s="336">
        <f>Gasto_o_ing_per_capita!N64*100/Gasto_o_ing_per_capita!$D64</f>
        <v>100.00000000000003</v>
      </c>
      <c r="O64" s="336">
        <f>Gasto_o_ing_per_capita!O64*100/Gasto_o_ing_per_capita!$D64</f>
        <v>100.00000000000003</v>
      </c>
      <c r="P64" s="336">
        <f>Gasto_o_ing_per_capita!P64*100/Gasto_o_ing_per_capita!$D64</f>
        <v>100.00000000000003</v>
      </c>
      <c r="Q64" s="336">
        <f>Gasto_o_ing_per_capita!Q64*100/Gasto_o_ing_per_capita!$D64</f>
        <v>100.00000000000003</v>
      </c>
      <c r="R64" s="336">
        <f>Gasto_o_ing_per_capita!R64*100/Gasto_o_ing_per_capita!$D64</f>
        <v>100.00000000000003</v>
      </c>
      <c r="S64" s="336">
        <f>Gasto_o_ing_per_capita!S64*100/Gasto_o_ing_per_capita!$D64</f>
        <v>100.00000000000004</v>
      </c>
      <c r="T64" s="336">
        <f>Gasto_o_ing_per_capita!T64*100/Gasto_o_ing_per_capita!$D64</f>
        <v>100.00000000000004</v>
      </c>
      <c r="U64" s="336">
        <f>Gasto_o_ing_per_capita!U64*100/Gasto_o_ing_per_capita!$D64</f>
        <v>100.00000000000004</v>
      </c>
      <c r="V64" s="336">
        <f>Gasto_o_ing_per_capita!V64*100/Gasto_o_ing_per_capita!$D64</f>
        <v>100.00000000000003</v>
      </c>
    </row>
    <row r="65" spans="1:22" s="102" customFormat="1" ht="13.15">
      <c r="A65" s="355" t="str">
        <f>IF(B65="","",(IF(ISERROR(MATCH(B65,Tot_res!C:C,0)),"Eliminar!!!","")))</f>
        <v/>
      </c>
      <c r="B65" s="115" t="s">
        <v>167</v>
      </c>
      <c r="C65" s="333" t="str">
        <f>VLOOKUP(B65,Tot_res!C:D,2,FALSE)</f>
        <v>Meteorología</v>
      </c>
      <c r="D65" s="336">
        <f>Gasto_o_ing_per_capita!D65*100/Gasto_o_ing_per_capita!$D65</f>
        <v>100</v>
      </c>
      <c r="E65" s="336">
        <f>Gasto_o_ing_per_capita!E65*100/Gasto_o_ing_per_capita!$D65</f>
        <v>100</v>
      </c>
      <c r="F65" s="336">
        <f>Gasto_o_ing_per_capita!F65*100/Gasto_o_ing_per_capita!$D65</f>
        <v>100.00000000000001</v>
      </c>
      <c r="G65" s="336">
        <f>Gasto_o_ing_per_capita!G65*100/Gasto_o_ing_per_capita!$D65</f>
        <v>100.00000000000003</v>
      </c>
      <c r="H65" s="336">
        <f>Gasto_o_ing_per_capita!H65*100/Gasto_o_ing_per_capita!$D65</f>
        <v>100.00000000000003</v>
      </c>
      <c r="I65" s="336">
        <f>Gasto_o_ing_per_capita!I65*100/Gasto_o_ing_per_capita!$D65</f>
        <v>100.00000000000001</v>
      </c>
      <c r="J65" s="336">
        <f>Gasto_o_ing_per_capita!J65*100/Gasto_o_ing_per_capita!$D65</f>
        <v>100.00000000000001</v>
      </c>
      <c r="K65" s="336">
        <f>Gasto_o_ing_per_capita!K65*100/Gasto_o_ing_per_capita!$D65</f>
        <v>100.00000000000003</v>
      </c>
      <c r="L65" s="336">
        <f>Gasto_o_ing_per_capita!L65*100/Gasto_o_ing_per_capita!$D65</f>
        <v>100.00000000000003</v>
      </c>
      <c r="M65" s="336">
        <f>Gasto_o_ing_per_capita!M65*100/Gasto_o_ing_per_capita!$D65</f>
        <v>100.00000000000001</v>
      </c>
      <c r="N65" s="336">
        <f>Gasto_o_ing_per_capita!N65*100/Gasto_o_ing_per_capita!$D65</f>
        <v>100.00000000000001</v>
      </c>
      <c r="O65" s="336">
        <f>Gasto_o_ing_per_capita!O65*100/Gasto_o_ing_per_capita!$D65</f>
        <v>100</v>
      </c>
      <c r="P65" s="336">
        <f>Gasto_o_ing_per_capita!P65*100/Gasto_o_ing_per_capita!$D65</f>
        <v>100.00000000000001</v>
      </c>
      <c r="Q65" s="336">
        <f>Gasto_o_ing_per_capita!Q65*100/Gasto_o_ing_per_capita!$D65</f>
        <v>100.00000000000001</v>
      </c>
      <c r="R65" s="336">
        <f>Gasto_o_ing_per_capita!R65*100/Gasto_o_ing_per_capita!$D65</f>
        <v>100</v>
      </c>
      <c r="S65" s="336">
        <f>Gasto_o_ing_per_capita!S65*100/Gasto_o_ing_per_capita!$D65</f>
        <v>100.00000000000004</v>
      </c>
      <c r="T65" s="336">
        <f>Gasto_o_ing_per_capita!T65*100/Gasto_o_ing_per_capita!$D65</f>
        <v>100.00000000000003</v>
      </c>
      <c r="U65" s="336">
        <f>Gasto_o_ing_per_capita!U65*100/Gasto_o_ing_per_capita!$D65</f>
        <v>100.00000000000001</v>
      </c>
      <c r="V65" s="336">
        <f>Gasto_o_ing_per_capita!V65*100/Gasto_o_ing_per_capita!$D65</f>
        <v>100.00000000000001</v>
      </c>
    </row>
    <row r="66" spans="1:22" s="102" customFormat="1" ht="13.15">
      <c r="A66" s="355" t="str">
        <f>IF(B66="","",(IF(ISERROR(MATCH(B66,Tot_res!C:C,0)),"Eliminar!!!","")))</f>
        <v/>
      </c>
      <c r="B66" s="115" t="s">
        <v>169</v>
      </c>
      <c r="C66" s="333" t="str">
        <f>VLOOKUP(B66,Tot_res!C:D,2,FALSE)</f>
        <v>Metrología</v>
      </c>
      <c r="D66" s="336">
        <f>Gasto_o_ing_per_capita!D66*100/Gasto_o_ing_per_capita!$D66</f>
        <v>100</v>
      </c>
      <c r="E66" s="336">
        <f>Gasto_o_ing_per_capita!E66*100/Gasto_o_ing_per_capita!$D66</f>
        <v>99.999999999999986</v>
      </c>
      <c r="F66" s="336">
        <f>Gasto_o_ing_per_capita!F66*100/Gasto_o_ing_per_capita!$D66</f>
        <v>99.999999999999986</v>
      </c>
      <c r="G66" s="336">
        <f>Gasto_o_ing_per_capita!G66*100/Gasto_o_ing_per_capita!$D66</f>
        <v>100</v>
      </c>
      <c r="H66" s="336">
        <f>Gasto_o_ing_per_capita!H66*100/Gasto_o_ing_per_capita!$D66</f>
        <v>99.999999999999957</v>
      </c>
      <c r="I66" s="336">
        <f>Gasto_o_ing_per_capita!I66*100/Gasto_o_ing_per_capita!$D66</f>
        <v>100</v>
      </c>
      <c r="J66" s="336">
        <f>Gasto_o_ing_per_capita!J66*100/Gasto_o_ing_per_capita!$D66</f>
        <v>100</v>
      </c>
      <c r="K66" s="336">
        <f>Gasto_o_ing_per_capita!K66*100/Gasto_o_ing_per_capita!$D66</f>
        <v>99.999999999999957</v>
      </c>
      <c r="L66" s="336">
        <f>Gasto_o_ing_per_capita!L66*100/Gasto_o_ing_per_capita!$D66</f>
        <v>100</v>
      </c>
      <c r="M66" s="336">
        <f>Gasto_o_ing_per_capita!M66*100/Gasto_o_ing_per_capita!$D66</f>
        <v>99.999999999999986</v>
      </c>
      <c r="N66" s="336">
        <f>Gasto_o_ing_per_capita!N66*100/Gasto_o_ing_per_capita!$D66</f>
        <v>99.999999999999986</v>
      </c>
      <c r="O66" s="336">
        <f>Gasto_o_ing_per_capita!O66*100/Gasto_o_ing_per_capita!$D66</f>
        <v>99.999999999999986</v>
      </c>
      <c r="P66" s="336">
        <f>Gasto_o_ing_per_capita!P66*100/Gasto_o_ing_per_capita!$D66</f>
        <v>99.999999999999957</v>
      </c>
      <c r="Q66" s="336">
        <f>Gasto_o_ing_per_capita!Q66*100/Gasto_o_ing_per_capita!$D66</f>
        <v>99.999999999999986</v>
      </c>
      <c r="R66" s="336">
        <f>Gasto_o_ing_per_capita!R66*100/Gasto_o_ing_per_capita!$D66</f>
        <v>99.999999999999957</v>
      </c>
      <c r="S66" s="336">
        <f>Gasto_o_ing_per_capita!S66*100/Gasto_o_ing_per_capita!$D66</f>
        <v>100</v>
      </c>
      <c r="T66" s="336">
        <f>Gasto_o_ing_per_capita!T66*100/Gasto_o_ing_per_capita!$D66</f>
        <v>99.999999999999986</v>
      </c>
      <c r="U66" s="336">
        <f>Gasto_o_ing_per_capita!U66*100/Gasto_o_ing_per_capita!$D66</f>
        <v>99.999999999999986</v>
      </c>
      <c r="V66" s="336">
        <f>Gasto_o_ing_per_capita!V66*100/Gasto_o_ing_per_capita!$D66</f>
        <v>100</v>
      </c>
    </row>
    <row r="67" spans="1:22" s="102" customFormat="1" ht="13.15">
      <c r="A67" s="355" t="str">
        <f>IF(B67="","",(IF(ISERROR(MATCH(B67,Tot_res!C:C,0)),"Eliminar!!!","")))</f>
        <v/>
      </c>
      <c r="B67" s="115" t="s">
        <v>170</v>
      </c>
      <c r="C67" s="333" t="str">
        <f>VLOOKUP(B67,Tot_res!C:D,2,FALSE)</f>
        <v>Dirección y organización de la administración pública</v>
      </c>
      <c r="D67" s="336">
        <f>Gasto_o_ing_per_capita!D67*100/Gasto_o_ing_per_capita!$D67</f>
        <v>100</v>
      </c>
      <c r="E67" s="336">
        <f>Gasto_o_ing_per_capita!E67*100/Gasto_o_ing_per_capita!$D67</f>
        <v>100</v>
      </c>
      <c r="F67" s="336">
        <f>Gasto_o_ing_per_capita!F67*100/Gasto_o_ing_per_capita!$D67</f>
        <v>100</v>
      </c>
      <c r="G67" s="336">
        <f>Gasto_o_ing_per_capita!G67*100/Gasto_o_ing_per_capita!$D67</f>
        <v>100.00000000000001</v>
      </c>
      <c r="H67" s="336">
        <f>Gasto_o_ing_per_capita!H67*100/Gasto_o_ing_per_capita!$D67</f>
        <v>99.999999999999986</v>
      </c>
      <c r="I67" s="336">
        <f>Gasto_o_ing_per_capita!I67*100/Gasto_o_ing_per_capita!$D67</f>
        <v>100</v>
      </c>
      <c r="J67" s="336">
        <f>Gasto_o_ing_per_capita!J67*100/Gasto_o_ing_per_capita!$D67</f>
        <v>100</v>
      </c>
      <c r="K67" s="336">
        <f>Gasto_o_ing_per_capita!K67*100/Gasto_o_ing_per_capita!$D67</f>
        <v>100.00000000000001</v>
      </c>
      <c r="L67" s="336">
        <f>Gasto_o_ing_per_capita!L67*100/Gasto_o_ing_per_capita!$D67</f>
        <v>100.00000000000001</v>
      </c>
      <c r="M67" s="336">
        <f>Gasto_o_ing_per_capita!M67*100/Gasto_o_ing_per_capita!$D67</f>
        <v>100</v>
      </c>
      <c r="N67" s="336">
        <f>Gasto_o_ing_per_capita!N67*100/Gasto_o_ing_per_capita!$D67</f>
        <v>100.00000000000001</v>
      </c>
      <c r="O67" s="336">
        <f>Gasto_o_ing_per_capita!O67*100/Gasto_o_ing_per_capita!$D67</f>
        <v>100</v>
      </c>
      <c r="P67" s="336">
        <f>Gasto_o_ing_per_capita!P67*100/Gasto_o_ing_per_capita!$D67</f>
        <v>100.00000000000001</v>
      </c>
      <c r="Q67" s="336">
        <f>Gasto_o_ing_per_capita!Q67*100/Gasto_o_ing_per_capita!$D67</f>
        <v>100</v>
      </c>
      <c r="R67" s="336">
        <f>Gasto_o_ing_per_capita!R67*100/Gasto_o_ing_per_capita!$D67</f>
        <v>100</v>
      </c>
      <c r="S67" s="336">
        <f>Gasto_o_ing_per_capita!S67*100/Gasto_o_ing_per_capita!$D67</f>
        <v>100</v>
      </c>
      <c r="T67" s="336">
        <f>Gasto_o_ing_per_capita!T67*100/Gasto_o_ing_per_capita!$D67</f>
        <v>100</v>
      </c>
      <c r="U67" s="336">
        <f>Gasto_o_ing_per_capita!U67*100/Gasto_o_ing_per_capita!$D67</f>
        <v>100</v>
      </c>
      <c r="V67" s="336">
        <f>Gasto_o_ing_per_capita!V67*100/Gasto_o_ing_per_capita!$D67</f>
        <v>100</v>
      </c>
    </row>
    <row r="68" spans="1:22" s="102" customFormat="1" ht="13.15">
      <c r="A68" s="355" t="str">
        <f>IF(B68="","",(IF(ISERROR(MATCH(B68,Tot_res!C:C,0)),"Eliminar!!!","")))</f>
        <v/>
      </c>
      <c r="B68" s="115" t="s">
        <v>711</v>
      </c>
      <c r="C68" s="333" t="str">
        <f>VLOOKUP(B68,Tot_res!C:D,2,FALSE)</f>
        <v>Formación del personal de las administraciones públicas</v>
      </c>
      <c r="D68" s="336">
        <f>Gasto_o_ing_per_capita!D68*100/Gasto_o_ing_per_capita!$D68</f>
        <v>100</v>
      </c>
      <c r="E68" s="336">
        <f>Gasto_o_ing_per_capita!E68*100/Gasto_o_ing_per_capita!$D68</f>
        <v>100.00000000000001</v>
      </c>
      <c r="F68" s="336">
        <f>Gasto_o_ing_per_capita!F68*100/Gasto_o_ing_per_capita!$D68</f>
        <v>100</v>
      </c>
      <c r="G68" s="336">
        <f>Gasto_o_ing_per_capita!G68*100/Gasto_o_ing_per_capita!$D68</f>
        <v>100.00000000000001</v>
      </c>
      <c r="H68" s="336">
        <f>Gasto_o_ing_per_capita!H68*100/Gasto_o_ing_per_capita!$D68</f>
        <v>100</v>
      </c>
      <c r="I68" s="336">
        <f>Gasto_o_ing_per_capita!I68*100/Gasto_o_ing_per_capita!$D68</f>
        <v>100.00000000000001</v>
      </c>
      <c r="J68" s="336">
        <f>Gasto_o_ing_per_capita!J68*100/Gasto_o_ing_per_capita!$D68</f>
        <v>100.00000000000001</v>
      </c>
      <c r="K68" s="336">
        <f>Gasto_o_ing_per_capita!K68*100/Gasto_o_ing_per_capita!$D68</f>
        <v>100.00000000000001</v>
      </c>
      <c r="L68" s="336">
        <f>Gasto_o_ing_per_capita!L68*100/Gasto_o_ing_per_capita!$D68</f>
        <v>100.00000000000001</v>
      </c>
      <c r="M68" s="336">
        <f>Gasto_o_ing_per_capita!M68*100/Gasto_o_ing_per_capita!$D68</f>
        <v>100.00000000000001</v>
      </c>
      <c r="N68" s="336">
        <f>Gasto_o_ing_per_capita!N68*100/Gasto_o_ing_per_capita!$D68</f>
        <v>100.00000000000003</v>
      </c>
      <c r="O68" s="336">
        <f>Gasto_o_ing_per_capita!O68*100/Gasto_o_ing_per_capita!$D68</f>
        <v>100.00000000000001</v>
      </c>
      <c r="P68" s="336">
        <f>Gasto_o_ing_per_capita!P68*100/Gasto_o_ing_per_capita!$D68</f>
        <v>100.00000000000001</v>
      </c>
      <c r="Q68" s="336">
        <f>Gasto_o_ing_per_capita!Q68*100/Gasto_o_ing_per_capita!$D68</f>
        <v>100.00000000000001</v>
      </c>
      <c r="R68" s="336">
        <f>Gasto_o_ing_per_capita!R68*100/Gasto_o_ing_per_capita!$D68</f>
        <v>100</v>
      </c>
      <c r="S68" s="336">
        <f>Gasto_o_ing_per_capita!S68*100/Gasto_o_ing_per_capita!$D68</f>
        <v>100.00000000000001</v>
      </c>
      <c r="T68" s="336">
        <f>Gasto_o_ing_per_capita!T68*100/Gasto_o_ing_per_capita!$D68</f>
        <v>100.00000000000001</v>
      </c>
      <c r="U68" s="336">
        <f>Gasto_o_ing_per_capita!U68*100/Gasto_o_ing_per_capita!$D68</f>
        <v>100.00000000000001</v>
      </c>
      <c r="V68" s="336">
        <f>Gasto_o_ing_per_capita!V68*100/Gasto_o_ing_per_capita!$D68</f>
        <v>100.00000000000001</v>
      </c>
    </row>
    <row r="69" spans="1:22" s="102" customFormat="1" ht="13.15">
      <c r="A69" s="355" t="str">
        <f>IF(B69="","",(IF(ISERROR(MATCH(B69,Tot_res!C:C,0)),"Eliminar!!!","")))</f>
        <v/>
      </c>
      <c r="B69" s="115" t="s">
        <v>171</v>
      </c>
      <c r="C69" s="333" t="str">
        <f>VLOOKUP(B69,Tot_res!C:D,2,FALSE)</f>
        <v>Administración periférica del estado</v>
      </c>
      <c r="D69" s="336">
        <f>Gasto_o_ing_per_capita!D69*100/Gasto_o_ing_per_capita!$D69</f>
        <v>100</v>
      </c>
      <c r="E69" s="336">
        <f>Gasto_o_ing_per_capita!E69*100/Gasto_o_ing_per_capita!$D69</f>
        <v>99.999999999999986</v>
      </c>
      <c r="F69" s="336">
        <f>Gasto_o_ing_per_capita!F69*100/Gasto_o_ing_per_capita!$D69</f>
        <v>99.999999999999972</v>
      </c>
      <c r="G69" s="336">
        <f>Gasto_o_ing_per_capita!G69*100/Gasto_o_ing_per_capita!$D69</f>
        <v>99.999999999999986</v>
      </c>
      <c r="H69" s="336">
        <f>Gasto_o_ing_per_capita!H69*100/Gasto_o_ing_per_capita!$D69</f>
        <v>99.999999999999972</v>
      </c>
      <c r="I69" s="336">
        <f>Gasto_o_ing_per_capita!I69*100/Gasto_o_ing_per_capita!$D69</f>
        <v>99.999999999999986</v>
      </c>
      <c r="J69" s="336">
        <f>Gasto_o_ing_per_capita!J69*100/Gasto_o_ing_per_capita!$D69</f>
        <v>99.999999999999986</v>
      </c>
      <c r="K69" s="336">
        <f>Gasto_o_ing_per_capita!K69*100/Gasto_o_ing_per_capita!$D69</f>
        <v>100</v>
      </c>
      <c r="L69" s="336">
        <f>Gasto_o_ing_per_capita!L69*100/Gasto_o_ing_per_capita!$D69</f>
        <v>100</v>
      </c>
      <c r="M69" s="336">
        <f>Gasto_o_ing_per_capita!M69*100/Gasto_o_ing_per_capita!$D69</f>
        <v>99.999999999999986</v>
      </c>
      <c r="N69" s="336">
        <f>Gasto_o_ing_per_capita!N69*100/Gasto_o_ing_per_capita!$D69</f>
        <v>99.999999999999986</v>
      </c>
      <c r="O69" s="336">
        <f>Gasto_o_ing_per_capita!O69*100/Gasto_o_ing_per_capita!$D69</f>
        <v>99.999999999999986</v>
      </c>
      <c r="P69" s="336">
        <f>Gasto_o_ing_per_capita!P69*100/Gasto_o_ing_per_capita!$D69</f>
        <v>99.999999999999986</v>
      </c>
      <c r="Q69" s="336">
        <f>Gasto_o_ing_per_capita!Q69*100/Gasto_o_ing_per_capita!$D69</f>
        <v>99.999999999999986</v>
      </c>
      <c r="R69" s="336">
        <f>Gasto_o_ing_per_capita!R69*100/Gasto_o_ing_per_capita!$D69</f>
        <v>99.999999999999986</v>
      </c>
      <c r="S69" s="336">
        <f>Gasto_o_ing_per_capita!S69*100/Gasto_o_ing_per_capita!$D69</f>
        <v>99.999999999999986</v>
      </c>
      <c r="T69" s="336">
        <f>Gasto_o_ing_per_capita!T69*100/Gasto_o_ing_per_capita!$D69</f>
        <v>99.999999999999986</v>
      </c>
      <c r="U69" s="336">
        <f>Gasto_o_ing_per_capita!U69*100/Gasto_o_ing_per_capita!$D69</f>
        <v>99.999999999999986</v>
      </c>
      <c r="V69" s="336">
        <f>Gasto_o_ing_per_capita!V69*100/Gasto_o_ing_per_capita!$D69</f>
        <v>99.999999999999986</v>
      </c>
    </row>
    <row r="70" spans="1:22" s="102" customFormat="1" ht="13.15">
      <c r="A70" s="355" t="str">
        <f>IF(B70="","",(IF(ISERROR(MATCH(B70,Tot_res!C:C,0)),"Eliminar!!!","")))</f>
        <v/>
      </c>
      <c r="B70" s="115" t="s">
        <v>172</v>
      </c>
      <c r="C70" s="333" t="str">
        <f>VLOOKUP(B70,Tot_res!C:D,2,FALSE)</f>
        <v>Publicidad de las normas legales</v>
      </c>
      <c r="D70" s="336">
        <f>Gasto_o_ing_per_capita!D70*100/Gasto_o_ing_per_capita!$D70</f>
        <v>100</v>
      </c>
      <c r="E70" s="336">
        <f>Gasto_o_ing_per_capita!E70*100/Gasto_o_ing_per_capita!$D70</f>
        <v>99.999999999999957</v>
      </c>
      <c r="F70" s="336">
        <f>Gasto_o_ing_per_capita!F70*100/Gasto_o_ing_per_capita!$D70</f>
        <v>99.999999999999957</v>
      </c>
      <c r="G70" s="336">
        <f>Gasto_o_ing_per_capita!G70*100/Gasto_o_ing_per_capita!$D70</f>
        <v>99.999999999999972</v>
      </c>
      <c r="H70" s="336">
        <f>Gasto_o_ing_per_capita!H70*100/Gasto_o_ing_per_capita!$D70</f>
        <v>99.999999999999957</v>
      </c>
      <c r="I70" s="336">
        <f>Gasto_o_ing_per_capita!I70*100/Gasto_o_ing_per_capita!$D70</f>
        <v>100</v>
      </c>
      <c r="J70" s="336">
        <f>Gasto_o_ing_per_capita!J70*100/Gasto_o_ing_per_capita!$D70</f>
        <v>99.999999999999957</v>
      </c>
      <c r="K70" s="336">
        <f>Gasto_o_ing_per_capita!K70*100/Gasto_o_ing_per_capita!$D70</f>
        <v>99.999999999999972</v>
      </c>
      <c r="L70" s="336">
        <f>Gasto_o_ing_per_capita!L70*100/Gasto_o_ing_per_capita!$D70</f>
        <v>99.999999999999972</v>
      </c>
      <c r="M70" s="336">
        <f>Gasto_o_ing_per_capita!M70*100/Gasto_o_ing_per_capita!$D70</f>
        <v>99.999999999999957</v>
      </c>
      <c r="N70" s="336">
        <f>Gasto_o_ing_per_capita!N70*100/Gasto_o_ing_per_capita!$D70</f>
        <v>99.999999999999972</v>
      </c>
      <c r="O70" s="336">
        <f>Gasto_o_ing_per_capita!O70*100/Gasto_o_ing_per_capita!$D70</f>
        <v>99.999999999999972</v>
      </c>
      <c r="P70" s="336">
        <f>Gasto_o_ing_per_capita!P70*100/Gasto_o_ing_per_capita!$D70</f>
        <v>99.999999999999972</v>
      </c>
      <c r="Q70" s="336">
        <f>Gasto_o_ing_per_capita!Q70*100/Gasto_o_ing_per_capita!$D70</f>
        <v>99.999999999999972</v>
      </c>
      <c r="R70" s="336">
        <f>Gasto_o_ing_per_capita!R70*100/Gasto_o_ing_per_capita!$D70</f>
        <v>99.999999999999957</v>
      </c>
      <c r="S70" s="336">
        <f>Gasto_o_ing_per_capita!S70*100/Gasto_o_ing_per_capita!$D70</f>
        <v>99.999999999999972</v>
      </c>
      <c r="T70" s="336">
        <f>Gasto_o_ing_per_capita!T70*100/Gasto_o_ing_per_capita!$D70</f>
        <v>99.999999999999957</v>
      </c>
      <c r="U70" s="336">
        <f>Gasto_o_ing_per_capita!U70*100/Gasto_o_ing_per_capita!$D70</f>
        <v>99.999999999999972</v>
      </c>
      <c r="V70" s="336">
        <f>Gasto_o_ing_per_capita!V70*100/Gasto_o_ing_per_capita!$D70</f>
        <v>99.999999999999972</v>
      </c>
    </row>
    <row r="71" spans="1:22" s="102" customFormat="1" ht="13.15">
      <c r="A71" s="355" t="str">
        <f>IF(B71="","",(IF(ISERROR(MATCH(B71,Tot_res!C:C,0)),"Eliminar!!!","")))</f>
        <v/>
      </c>
      <c r="B71" s="115" t="s">
        <v>174</v>
      </c>
      <c r="C71" s="333" t="str">
        <f>VLOOKUP(B71,Tot_res!C:D,2,FALSE)</f>
        <v>Asesoramiento y defensa intereses del estado</v>
      </c>
      <c r="D71" s="336">
        <f>Gasto_o_ing_per_capita!D71*100/Gasto_o_ing_per_capita!$D71</f>
        <v>100</v>
      </c>
      <c r="E71" s="336">
        <f>Gasto_o_ing_per_capita!E71*100/Gasto_o_ing_per_capita!$D71</f>
        <v>100.00000000000001</v>
      </c>
      <c r="F71" s="336">
        <f>Gasto_o_ing_per_capita!F71*100/Gasto_o_ing_per_capita!$D71</f>
        <v>100.00000000000001</v>
      </c>
      <c r="G71" s="336">
        <f>Gasto_o_ing_per_capita!G71*100/Gasto_o_ing_per_capita!$D71</f>
        <v>100.00000000000001</v>
      </c>
      <c r="H71" s="336">
        <f>Gasto_o_ing_per_capita!H71*100/Gasto_o_ing_per_capita!$D71</f>
        <v>100</v>
      </c>
      <c r="I71" s="336">
        <f>Gasto_o_ing_per_capita!I71*100/Gasto_o_ing_per_capita!$D71</f>
        <v>100.00000000000001</v>
      </c>
      <c r="J71" s="336">
        <f>Gasto_o_ing_per_capita!J71*100/Gasto_o_ing_per_capita!$D71</f>
        <v>100.00000000000001</v>
      </c>
      <c r="K71" s="336">
        <f>Gasto_o_ing_per_capita!K71*100/Gasto_o_ing_per_capita!$D71</f>
        <v>100.00000000000001</v>
      </c>
      <c r="L71" s="336">
        <f>Gasto_o_ing_per_capita!L71*100/Gasto_o_ing_per_capita!$D71</f>
        <v>100.00000000000001</v>
      </c>
      <c r="M71" s="336">
        <f>Gasto_o_ing_per_capita!M71*100/Gasto_o_ing_per_capita!$D71</f>
        <v>100.00000000000001</v>
      </c>
      <c r="N71" s="336">
        <f>Gasto_o_ing_per_capita!N71*100/Gasto_o_ing_per_capita!$D71</f>
        <v>100.00000000000001</v>
      </c>
      <c r="O71" s="336">
        <f>Gasto_o_ing_per_capita!O71*100/Gasto_o_ing_per_capita!$D71</f>
        <v>100</v>
      </c>
      <c r="P71" s="336">
        <f>Gasto_o_ing_per_capita!P71*100/Gasto_o_ing_per_capita!$D71</f>
        <v>100.00000000000001</v>
      </c>
      <c r="Q71" s="336">
        <f>Gasto_o_ing_per_capita!Q71*100/Gasto_o_ing_per_capita!$D71</f>
        <v>100</v>
      </c>
      <c r="R71" s="336">
        <f>Gasto_o_ing_per_capita!R71*100/Gasto_o_ing_per_capita!$D71</f>
        <v>100.00000000000001</v>
      </c>
      <c r="S71" s="336">
        <f>Gasto_o_ing_per_capita!S71*100/Gasto_o_ing_per_capita!$D71</f>
        <v>100.00000000000001</v>
      </c>
      <c r="T71" s="336">
        <f>Gasto_o_ing_per_capita!T71*100/Gasto_o_ing_per_capita!$D71</f>
        <v>100.00000000000001</v>
      </c>
      <c r="U71" s="336">
        <f>Gasto_o_ing_per_capita!U71*100/Gasto_o_ing_per_capita!$D71</f>
        <v>100.00000000000001</v>
      </c>
      <c r="V71" s="336">
        <f>Gasto_o_ing_per_capita!V71*100/Gasto_o_ing_per_capita!$D71</f>
        <v>100.00000000000001</v>
      </c>
    </row>
    <row r="72" spans="1:22" s="102" customFormat="1" ht="13.15">
      <c r="A72" s="355" t="str">
        <f>IF(B72="","",(IF(ISERROR(MATCH(B72,Tot_res!C:C,0)),"Eliminar!!!","")))</f>
        <v/>
      </c>
      <c r="B72" s="115" t="s">
        <v>175</v>
      </c>
      <c r="C72" s="333" t="str">
        <f>VLOOKUP(B72,Tot_res!C:D,2,FALSE)</f>
        <v>Servicios de transportes de ministerios</v>
      </c>
      <c r="D72" s="336">
        <f>Gasto_o_ing_per_capita!D72*100/Gasto_o_ing_per_capita!$D72</f>
        <v>100</v>
      </c>
      <c r="E72" s="336">
        <f>Gasto_o_ing_per_capita!E72*100/Gasto_o_ing_per_capita!$D72</f>
        <v>100.00000000000001</v>
      </c>
      <c r="F72" s="336">
        <f>Gasto_o_ing_per_capita!F72*100/Gasto_o_ing_per_capita!$D72</f>
        <v>100.00000000000001</v>
      </c>
      <c r="G72" s="336">
        <f>Gasto_o_ing_per_capita!G72*100/Gasto_o_ing_per_capita!$D72</f>
        <v>100.00000000000003</v>
      </c>
      <c r="H72" s="336">
        <f>Gasto_o_ing_per_capita!H72*100/Gasto_o_ing_per_capita!$D72</f>
        <v>100.00000000000001</v>
      </c>
      <c r="I72" s="336">
        <f>Gasto_o_ing_per_capita!I72*100/Gasto_o_ing_per_capita!$D72</f>
        <v>100.00000000000001</v>
      </c>
      <c r="J72" s="336">
        <f>Gasto_o_ing_per_capita!J72*100/Gasto_o_ing_per_capita!$D72</f>
        <v>100.00000000000003</v>
      </c>
      <c r="K72" s="336">
        <f>Gasto_o_ing_per_capita!K72*100/Gasto_o_ing_per_capita!$D72</f>
        <v>100.00000000000003</v>
      </c>
      <c r="L72" s="336">
        <f>Gasto_o_ing_per_capita!L72*100/Gasto_o_ing_per_capita!$D72</f>
        <v>100.00000000000003</v>
      </c>
      <c r="M72" s="336">
        <f>Gasto_o_ing_per_capita!M72*100/Gasto_o_ing_per_capita!$D72</f>
        <v>100.00000000000001</v>
      </c>
      <c r="N72" s="336">
        <f>Gasto_o_ing_per_capita!N72*100/Gasto_o_ing_per_capita!$D72</f>
        <v>100.00000000000004</v>
      </c>
      <c r="O72" s="336">
        <f>Gasto_o_ing_per_capita!O72*100/Gasto_o_ing_per_capita!$D72</f>
        <v>100.00000000000003</v>
      </c>
      <c r="P72" s="336">
        <f>Gasto_o_ing_per_capita!P72*100/Gasto_o_ing_per_capita!$D72</f>
        <v>100.00000000000001</v>
      </c>
      <c r="Q72" s="336">
        <f>Gasto_o_ing_per_capita!Q72*100/Gasto_o_ing_per_capita!$D72</f>
        <v>100.00000000000003</v>
      </c>
      <c r="R72" s="336">
        <f>Gasto_o_ing_per_capita!R72*100/Gasto_o_ing_per_capita!$D72</f>
        <v>100.00000000000001</v>
      </c>
      <c r="S72" s="336">
        <f>Gasto_o_ing_per_capita!S72*100/Gasto_o_ing_per_capita!$D72</f>
        <v>100.00000000000003</v>
      </c>
      <c r="T72" s="336">
        <f>Gasto_o_ing_per_capita!T72*100/Gasto_o_ing_per_capita!$D72</f>
        <v>100.00000000000001</v>
      </c>
      <c r="U72" s="336">
        <f>Gasto_o_ing_per_capita!U72*100/Gasto_o_ing_per_capita!$D72</f>
        <v>100.00000000000003</v>
      </c>
      <c r="V72" s="336">
        <f>Gasto_o_ing_per_capita!V72*100/Gasto_o_ing_per_capita!$D72</f>
        <v>100.00000000000003</v>
      </c>
    </row>
    <row r="73" spans="1:22" s="102" customFormat="1" ht="13.15">
      <c r="A73" s="355" t="str">
        <f>IF(B73="","",(IF(ISERROR(MATCH(B73,Tot_res!C:C,0)),"Eliminar!!!","")))</f>
        <v/>
      </c>
      <c r="B73" s="115" t="s">
        <v>176</v>
      </c>
      <c r="C73" s="333" t="str">
        <f>VLOOKUP(B73,Tot_res!C:D,2,FALSE)</f>
        <v>Evaluación de políticas y programas públicos, calidad de los servicios e impacto normativo</v>
      </c>
      <c r="D73" s="336">
        <f>Gasto_o_ing_per_capita!D73*100/Gasto_o_ing_per_capita!$D73</f>
        <v>100</v>
      </c>
      <c r="E73" s="336">
        <f>Gasto_o_ing_per_capita!E73*100/Gasto_o_ing_per_capita!$D73</f>
        <v>100</v>
      </c>
      <c r="F73" s="336">
        <f>Gasto_o_ing_per_capita!F73*100/Gasto_o_ing_per_capita!$D73</f>
        <v>100.00000000000001</v>
      </c>
      <c r="G73" s="336">
        <f>Gasto_o_ing_per_capita!G73*100/Gasto_o_ing_per_capita!$D73</f>
        <v>100.00000000000001</v>
      </c>
      <c r="H73" s="336">
        <f>Gasto_o_ing_per_capita!H73*100/Gasto_o_ing_per_capita!$D73</f>
        <v>100</v>
      </c>
      <c r="I73" s="336">
        <f>Gasto_o_ing_per_capita!I73*100/Gasto_o_ing_per_capita!$D73</f>
        <v>100.00000000000001</v>
      </c>
      <c r="J73" s="336">
        <f>Gasto_o_ing_per_capita!J73*100/Gasto_o_ing_per_capita!$D73</f>
        <v>100</v>
      </c>
      <c r="K73" s="336">
        <f>Gasto_o_ing_per_capita!K73*100/Gasto_o_ing_per_capita!$D73</f>
        <v>100.00000000000001</v>
      </c>
      <c r="L73" s="336">
        <f>Gasto_o_ing_per_capita!L73*100/Gasto_o_ing_per_capita!$D73</f>
        <v>100.00000000000001</v>
      </c>
      <c r="M73" s="336">
        <f>Gasto_o_ing_per_capita!M73*100/Gasto_o_ing_per_capita!$D73</f>
        <v>100</v>
      </c>
      <c r="N73" s="336">
        <f>Gasto_o_ing_per_capita!N73*100/Gasto_o_ing_per_capita!$D73</f>
        <v>100.00000000000001</v>
      </c>
      <c r="O73" s="336">
        <f>Gasto_o_ing_per_capita!O73*100/Gasto_o_ing_per_capita!$D73</f>
        <v>100</v>
      </c>
      <c r="P73" s="336">
        <f>Gasto_o_ing_per_capita!P73*100/Gasto_o_ing_per_capita!$D73</f>
        <v>100.00000000000001</v>
      </c>
      <c r="Q73" s="336">
        <f>Gasto_o_ing_per_capita!Q73*100/Gasto_o_ing_per_capita!$D73</f>
        <v>100.00000000000001</v>
      </c>
      <c r="R73" s="336">
        <f>Gasto_o_ing_per_capita!R73*100/Gasto_o_ing_per_capita!$D73</f>
        <v>100.00000000000001</v>
      </c>
      <c r="S73" s="336">
        <f>Gasto_o_ing_per_capita!S73*100/Gasto_o_ing_per_capita!$D73</f>
        <v>100</v>
      </c>
      <c r="T73" s="336">
        <f>Gasto_o_ing_per_capita!T73*100/Gasto_o_ing_per_capita!$D73</f>
        <v>100.00000000000001</v>
      </c>
      <c r="U73" s="336">
        <f>Gasto_o_ing_per_capita!U73*100/Gasto_o_ing_per_capita!$D73</f>
        <v>100.00000000000001</v>
      </c>
      <c r="V73" s="336">
        <f>Gasto_o_ing_per_capita!V73*100/Gasto_o_ing_per_capita!$D73</f>
        <v>100.00000000000001</v>
      </c>
    </row>
    <row r="74" spans="1:22" s="102" customFormat="1" ht="13.15">
      <c r="A74" s="355" t="str">
        <f>IF(B74="","",(IF(ISERROR(MATCH(B74,Tot_res!C:C,0)),"Eliminar!!!","")))</f>
        <v/>
      </c>
      <c r="B74" s="115" t="s">
        <v>177</v>
      </c>
      <c r="C74" s="333" t="str">
        <f>VLOOKUP(B74,Tot_res!C:D,2,FALSE)</f>
        <v>Organización territorial del estado y desarrollo de sus sistemas de colaboración</v>
      </c>
      <c r="D74" s="336">
        <f>Gasto_o_ing_per_capita!D74*100/Gasto_o_ing_per_capita!$D74</f>
        <v>100</v>
      </c>
      <c r="E74" s="336">
        <f>Gasto_o_ing_per_capita!E74*100/Gasto_o_ing_per_capita!$D74</f>
        <v>99.999999999999986</v>
      </c>
      <c r="F74" s="336">
        <f>Gasto_o_ing_per_capita!F74*100/Gasto_o_ing_per_capita!$D74</f>
        <v>99.999999999999986</v>
      </c>
      <c r="G74" s="336">
        <f>Gasto_o_ing_per_capita!G74*100/Gasto_o_ing_per_capita!$D74</f>
        <v>100</v>
      </c>
      <c r="H74" s="336">
        <f>Gasto_o_ing_per_capita!H74*100/Gasto_o_ing_per_capita!$D74</f>
        <v>99.999999999999986</v>
      </c>
      <c r="I74" s="336">
        <f>Gasto_o_ing_per_capita!I74*100/Gasto_o_ing_per_capita!$D74</f>
        <v>100</v>
      </c>
      <c r="J74" s="336">
        <f>Gasto_o_ing_per_capita!J74*100/Gasto_o_ing_per_capita!$D74</f>
        <v>99.999999999999986</v>
      </c>
      <c r="K74" s="336">
        <f>Gasto_o_ing_per_capita!K74*100/Gasto_o_ing_per_capita!$D74</f>
        <v>100</v>
      </c>
      <c r="L74" s="336">
        <f>Gasto_o_ing_per_capita!L74*100/Gasto_o_ing_per_capita!$D74</f>
        <v>99.999999999999986</v>
      </c>
      <c r="M74" s="336">
        <f>Gasto_o_ing_per_capita!M74*100/Gasto_o_ing_per_capita!$D74</f>
        <v>100</v>
      </c>
      <c r="N74" s="336">
        <f>Gasto_o_ing_per_capita!N74*100/Gasto_o_ing_per_capita!$D74</f>
        <v>100</v>
      </c>
      <c r="O74" s="336">
        <f>Gasto_o_ing_per_capita!O74*100/Gasto_o_ing_per_capita!$D74</f>
        <v>99.999999999999986</v>
      </c>
      <c r="P74" s="336">
        <f>Gasto_o_ing_per_capita!P74*100/Gasto_o_ing_per_capita!$D74</f>
        <v>100</v>
      </c>
      <c r="Q74" s="336">
        <f>Gasto_o_ing_per_capita!Q74*100/Gasto_o_ing_per_capita!$D74</f>
        <v>99.999999999999986</v>
      </c>
      <c r="R74" s="336">
        <f>Gasto_o_ing_per_capita!R74*100/Gasto_o_ing_per_capita!$D74</f>
        <v>99.999999999999957</v>
      </c>
      <c r="S74" s="336">
        <f>Gasto_o_ing_per_capita!S74*100/Gasto_o_ing_per_capita!$D74</f>
        <v>100.00000000000001</v>
      </c>
      <c r="T74" s="336">
        <f>Gasto_o_ing_per_capita!T74*100/Gasto_o_ing_per_capita!$D74</f>
        <v>100</v>
      </c>
      <c r="U74" s="336">
        <f>Gasto_o_ing_per_capita!U74*100/Gasto_o_ing_per_capita!$D74</f>
        <v>99.999999999999986</v>
      </c>
      <c r="V74" s="336">
        <f>Gasto_o_ing_per_capita!V74*100/Gasto_o_ing_per_capita!$D74</f>
        <v>99.999999999999986</v>
      </c>
    </row>
    <row r="75" spans="1:22" s="102" customFormat="1" ht="13.15">
      <c r="A75" s="355" t="str">
        <f>IF(B75="","",(IF(ISERROR(MATCH(B75,Tot_res!C:C,0)),"Eliminar!!!","")))</f>
        <v/>
      </c>
      <c r="B75" s="115" t="s">
        <v>178</v>
      </c>
      <c r="C75" s="333" t="str">
        <f>VLOOKUP(B75,Tot_res!C:D,2,FALSE)</f>
        <v>Elecciones y partidos políticos</v>
      </c>
      <c r="D75" s="336">
        <f>Gasto_o_ing_per_capita!D75*100/Gasto_o_ing_per_capita!$D75</f>
        <v>100</v>
      </c>
      <c r="E75" s="336">
        <f>Gasto_o_ing_per_capita!E75*100/Gasto_o_ing_per_capita!$D75</f>
        <v>99.999999999999957</v>
      </c>
      <c r="F75" s="336">
        <f>Gasto_o_ing_per_capita!F75*100/Gasto_o_ing_per_capita!$D75</f>
        <v>99.999999999999957</v>
      </c>
      <c r="G75" s="336">
        <f>Gasto_o_ing_per_capita!G75*100/Gasto_o_ing_per_capita!$D75</f>
        <v>99.999999999999986</v>
      </c>
      <c r="H75" s="336">
        <f>Gasto_o_ing_per_capita!H75*100/Gasto_o_ing_per_capita!$D75</f>
        <v>99.999999999999957</v>
      </c>
      <c r="I75" s="336">
        <f>Gasto_o_ing_per_capita!I75*100/Gasto_o_ing_per_capita!$D75</f>
        <v>99.999999999999986</v>
      </c>
      <c r="J75" s="336">
        <f>Gasto_o_ing_per_capita!J75*100/Gasto_o_ing_per_capita!$D75</f>
        <v>99.999999999999986</v>
      </c>
      <c r="K75" s="336">
        <f>Gasto_o_ing_per_capita!K75*100/Gasto_o_ing_per_capita!$D75</f>
        <v>99.999999999999986</v>
      </c>
      <c r="L75" s="336">
        <f>Gasto_o_ing_per_capita!L75*100/Gasto_o_ing_per_capita!$D75</f>
        <v>100</v>
      </c>
      <c r="M75" s="336">
        <f>Gasto_o_ing_per_capita!M75*100/Gasto_o_ing_per_capita!$D75</f>
        <v>99.999999999999957</v>
      </c>
      <c r="N75" s="336">
        <f>Gasto_o_ing_per_capita!N75*100/Gasto_o_ing_per_capita!$D75</f>
        <v>100</v>
      </c>
      <c r="O75" s="336">
        <f>Gasto_o_ing_per_capita!O75*100/Gasto_o_ing_per_capita!$D75</f>
        <v>99.999999999999986</v>
      </c>
      <c r="P75" s="336">
        <f>Gasto_o_ing_per_capita!P75*100/Gasto_o_ing_per_capita!$D75</f>
        <v>99.999999999999986</v>
      </c>
      <c r="Q75" s="336">
        <f>Gasto_o_ing_per_capita!Q75*100/Gasto_o_ing_per_capita!$D75</f>
        <v>99.999999999999986</v>
      </c>
      <c r="R75" s="336">
        <f>Gasto_o_ing_per_capita!R75*100/Gasto_o_ing_per_capita!$D75</f>
        <v>99.999999999999986</v>
      </c>
      <c r="S75" s="336">
        <f>Gasto_o_ing_per_capita!S75*100/Gasto_o_ing_per_capita!$D75</f>
        <v>99.999999999999986</v>
      </c>
      <c r="T75" s="336">
        <f>Gasto_o_ing_per_capita!T75*100/Gasto_o_ing_per_capita!$D75</f>
        <v>99.999999999999986</v>
      </c>
      <c r="U75" s="336">
        <f>Gasto_o_ing_per_capita!U75*100/Gasto_o_ing_per_capita!$D75</f>
        <v>99.999999999999986</v>
      </c>
      <c r="V75" s="336">
        <f>Gasto_o_ing_per_capita!V75*100/Gasto_o_ing_per_capita!$D75</f>
        <v>99.999999999999986</v>
      </c>
    </row>
    <row r="76" spans="1:22" s="102" customFormat="1" ht="13.15">
      <c r="A76" s="356"/>
      <c r="B76" s="115"/>
      <c r="D76" s="110"/>
      <c r="E76" s="110"/>
      <c r="F76" s="110"/>
      <c r="G76" s="110"/>
      <c r="H76" s="110"/>
      <c r="I76" s="110"/>
      <c r="J76" s="110"/>
      <c r="K76" s="110"/>
      <c r="L76" s="110"/>
      <c r="M76" s="110"/>
      <c r="N76" s="110"/>
      <c r="O76" s="110"/>
      <c r="P76" s="110"/>
      <c r="Q76" s="110"/>
      <c r="R76" s="110"/>
      <c r="S76" s="110"/>
      <c r="T76" s="110"/>
      <c r="U76" s="110"/>
      <c r="V76" s="110"/>
    </row>
    <row r="77" spans="1:22" s="102" customFormat="1" ht="13.15">
      <c r="A77" s="356"/>
      <c r="B77" s="115"/>
      <c r="C77" s="128" t="s">
        <v>25</v>
      </c>
      <c r="D77" s="113">
        <f>Gasto_o_ing_per_capita!D77*100/Gasto_o_ing_per_capita!$D77</f>
        <v>100</v>
      </c>
      <c r="E77" s="113">
        <f>Gasto_o_ing_per_capita!E77*100/Gasto_o_ing_per_capita!$D77</f>
        <v>99.999999999999957</v>
      </c>
      <c r="F77" s="113">
        <f>Gasto_o_ing_per_capita!F77*100/Gasto_o_ing_per_capita!$D77</f>
        <v>99.999999999999957</v>
      </c>
      <c r="G77" s="113">
        <f>Gasto_o_ing_per_capita!G77*100/Gasto_o_ing_per_capita!$D77</f>
        <v>99.999999999999957</v>
      </c>
      <c r="H77" s="113">
        <f>Gasto_o_ing_per_capita!H77*100/Gasto_o_ing_per_capita!$D77</f>
        <v>99.999999999999957</v>
      </c>
      <c r="I77" s="113">
        <f>Gasto_o_ing_per_capita!I77*100/Gasto_o_ing_per_capita!$D77</f>
        <v>99.999999999999957</v>
      </c>
      <c r="J77" s="113">
        <f>Gasto_o_ing_per_capita!J77*100/Gasto_o_ing_per_capita!$D77</f>
        <v>99.999999999999957</v>
      </c>
      <c r="K77" s="113">
        <f>Gasto_o_ing_per_capita!K77*100/Gasto_o_ing_per_capita!$D77</f>
        <v>99.999999999999957</v>
      </c>
      <c r="L77" s="113">
        <f>Gasto_o_ing_per_capita!L77*100/Gasto_o_ing_per_capita!$D77</f>
        <v>100</v>
      </c>
      <c r="M77" s="113">
        <f>Gasto_o_ing_per_capita!M77*100/Gasto_o_ing_per_capita!$D77</f>
        <v>99.999999999999986</v>
      </c>
      <c r="N77" s="113">
        <f>Gasto_o_ing_per_capita!N77*100/Gasto_o_ing_per_capita!$D77</f>
        <v>99.999999999999986</v>
      </c>
      <c r="O77" s="113">
        <f>Gasto_o_ing_per_capita!O77*100/Gasto_o_ing_per_capita!$D77</f>
        <v>99.999999999999986</v>
      </c>
      <c r="P77" s="113">
        <f>Gasto_o_ing_per_capita!P77*100/Gasto_o_ing_per_capita!$D77</f>
        <v>99.999999999999957</v>
      </c>
      <c r="Q77" s="113">
        <f>Gasto_o_ing_per_capita!Q77*100/Gasto_o_ing_per_capita!$D77</f>
        <v>99.999999999999986</v>
      </c>
      <c r="R77" s="113">
        <f>Gasto_o_ing_per_capita!R77*100/Gasto_o_ing_per_capita!$D77</f>
        <v>99.999999999999957</v>
      </c>
      <c r="S77" s="113">
        <f>Gasto_o_ing_per_capita!S77*100/Gasto_o_ing_per_capita!$D77</f>
        <v>99.999999999999986</v>
      </c>
      <c r="T77" s="113">
        <f>Gasto_o_ing_per_capita!T77*100/Gasto_o_ing_per_capita!$D77</f>
        <v>100</v>
      </c>
      <c r="U77" s="113">
        <f>Gasto_o_ing_per_capita!U77*100/Gasto_o_ing_per_capita!$D77</f>
        <v>99.999999999999957</v>
      </c>
      <c r="V77" s="113">
        <f>Gasto_o_ing_per_capita!V77*100/Gasto_o_ing_per_capita!$D77</f>
        <v>99.999999999999957</v>
      </c>
    </row>
    <row r="78" spans="1:22" s="102" customFormat="1" ht="13.15">
      <c r="A78" s="355" t="str">
        <f>IF(B78="","",(IF(ISERROR(MATCH(B78,Tot_res!C:C,0)),"Eliminar!!!","")))</f>
        <v/>
      </c>
      <c r="B78" s="115" t="s">
        <v>179</v>
      </c>
      <c r="C78" s="333" t="str">
        <f>VLOOKUP(B78,Tot_res!C:D,2,FALSE)</f>
        <v>Investigación y estudios sociológicos y constitucionales</v>
      </c>
      <c r="D78" s="336">
        <f>Gasto_o_ing_per_capita!D78*100/Gasto_o_ing_per_capita!$D78</f>
        <v>100</v>
      </c>
      <c r="E78" s="336">
        <f>Gasto_o_ing_per_capita!E78*100/Gasto_o_ing_per_capita!$D78</f>
        <v>99.999999999999943</v>
      </c>
      <c r="F78" s="336">
        <f>Gasto_o_ing_per_capita!F78*100/Gasto_o_ing_per_capita!$D78</f>
        <v>99.999999999999943</v>
      </c>
      <c r="G78" s="336">
        <f>Gasto_o_ing_per_capita!G78*100/Gasto_o_ing_per_capita!$D78</f>
        <v>99.999999999999957</v>
      </c>
      <c r="H78" s="336">
        <f>Gasto_o_ing_per_capita!H78*100/Gasto_o_ing_per_capita!$D78</f>
        <v>99.999999999999943</v>
      </c>
      <c r="I78" s="336">
        <f>Gasto_o_ing_per_capita!I78*100/Gasto_o_ing_per_capita!$D78</f>
        <v>99.999999999999957</v>
      </c>
      <c r="J78" s="336">
        <f>Gasto_o_ing_per_capita!J78*100/Gasto_o_ing_per_capita!$D78</f>
        <v>99.999999999999957</v>
      </c>
      <c r="K78" s="336">
        <f>Gasto_o_ing_per_capita!K78*100/Gasto_o_ing_per_capita!$D78</f>
        <v>99.999999999999957</v>
      </c>
      <c r="L78" s="336">
        <f>Gasto_o_ing_per_capita!L78*100/Gasto_o_ing_per_capita!$D78</f>
        <v>99.999999999999957</v>
      </c>
      <c r="M78" s="336">
        <f>Gasto_o_ing_per_capita!M78*100/Gasto_o_ing_per_capita!$D78</f>
        <v>99.999999999999943</v>
      </c>
      <c r="N78" s="336">
        <f>Gasto_o_ing_per_capita!N78*100/Gasto_o_ing_per_capita!$D78</f>
        <v>99.999999999999943</v>
      </c>
      <c r="O78" s="336">
        <f>Gasto_o_ing_per_capita!O78*100/Gasto_o_ing_per_capita!$D78</f>
        <v>99.999999999999957</v>
      </c>
      <c r="P78" s="336">
        <f>Gasto_o_ing_per_capita!P78*100/Gasto_o_ing_per_capita!$D78</f>
        <v>99.999999999999943</v>
      </c>
      <c r="Q78" s="336">
        <f>Gasto_o_ing_per_capita!Q78*100/Gasto_o_ing_per_capita!$D78</f>
        <v>99.999999999999943</v>
      </c>
      <c r="R78" s="336">
        <f>Gasto_o_ing_per_capita!R78*100/Gasto_o_ing_per_capita!$D78</f>
        <v>99.999999999999943</v>
      </c>
      <c r="S78" s="336">
        <f>Gasto_o_ing_per_capita!S78*100/Gasto_o_ing_per_capita!$D78</f>
        <v>99.999999999999957</v>
      </c>
      <c r="T78" s="336">
        <f>Gasto_o_ing_per_capita!T78*100/Gasto_o_ing_per_capita!$D78</f>
        <v>99.999999999999943</v>
      </c>
      <c r="U78" s="336">
        <f>Gasto_o_ing_per_capita!U78*100/Gasto_o_ing_per_capita!$D78</f>
        <v>99.999999999999943</v>
      </c>
      <c r="V78" s="336">
        <f>Gasto_o_ing_per_capita!V78*100/Gasto_o_ing_per_capita!$D78</f>
        <v>99.999999999999957</v>
      </c>
    </row>
    <row r="79" spans="1:22" s="102" customFormat="1" ht="13.15">
      <c r="A79" s="355" t="str">
        <f>IF(B79="","",(IF(ISERROR(MATCH(B79,Tot_res!C:C,0)),"Eliminar!!!","")))</f>
        <v/>
      </c>
      <c r="B79" s="115" t="s">
        <v>181</v>
      </c>
      <c r="C79" s="333" t="str">
        <f>VLOOKUP(B79,Tot_res!C:D,2,FALSE)</f>
        <v>Investigación y estudios estadísticos y económicos</v>
      </c>
      <c r="D79" s="336">
        <f>Gasto_o_ing_per_capita!D79*100/Gasto_o_ing_per_capita!$D79</f>
        <v>100</v>
      </c>
      <c r="E79" s="336">
        <f>Gasto_o_ing_per_capita!E79*100/Gasto_o_ing_per_capita!$D79</f>
        <v>100</v>
      </c>
      <c r="F79" s="336">
        <f>Gasto_o_ing_per_capita!F79*100/Gasto_o_ing_per_capita!$D79</f>
        <v>100</v>
      </c>
      <c r="G79" s="336">
        <f>Gasto_o_ing_per_capita!G79*100/Gasto_o_ing_per_capita!$D79</f>
        <v>100.00000000000001</v>
      </c>
      <c r="H79" s="336">
        <f>Gasto_o_ing_per_capita!H79*100/Gasto_o_ing_per_capita!$D79</f>
        <v>100</v>
      </c>
      <c r="I79" s="336">
        <f>Gasto_o_ing_per_capita!I79*100/Gasto_o_ing_per_capita!$D79</f>
        <v>100.00000000000001</v>
      </c>
      <c r="J79" s="336">
        <f>Gasto_o_ing_per_capita!J79*100/Gasto_o_ing_per_capita!$D79</f>
        <v>100.00000000000001</v>
      </c>
      <c r="K79" s="336">
        <f>Gasto_o_ing_per_capita!K79*100/Gasto_o_ing_per_capita!$D79</f>
        <v>100.00000000000001</v>
      </c>
      <c r="L79" s="336">
        <f>Gasto_o_ing_per_capita!L79*100/Gasto_o_ing_per_capita!$D79</f>
        <v>100.00000000000001</v>
      </c>
      <c r="M79" s="336">
        <f>Gasto_o_ing_per_capita!M79*100/Gasto_o_ing_per_capita!$D79</f>
        <v>100.00000000000001</v>
      </c>
      <c r="N79" s="336">
        <f>Gasto_o_ing_per_capita!N79*100/Gasto_o_ing_per_capita!$D79</f>
        <v>100.00000000000001</v>
      </c>
      <c r="O79" s="336">
        <f>Gasto_o_ing_per_capita!O79*100/Gasto_o_ing_per_capita!$D79</f>
        <v>100</v>
      </c>
      <c r="P79" s="336">
        <f>Gasto_o_ing_per_capita!P79*100/Gasto_o_ing_per_capita!$D79</f>
        <v>100.00000000000001</v>
      </c>
      <c r="Q79" s="336">
        <f>Gasto_o_ing_per_capita!Q79*100/Gasto_o_ing_per_capita!$D79</f>
        <v>100</v>
      </c>
      <c r="R79" s="336">
        <f>Gasto_o_ing_per_capita!R79*100/Gasto_o_ing_per_capita!$D79</f>
        <v>100</v>
      </c>
      <c r="S79" s="336">
        <f>Gasto_o_ing_per_capita!S79*100/Gasto_o_ing_per_capita!$D79</f>
        <v>100.00000000000001</v>
      </c>
      <c r="T79" s="336">
        <f>Gasto_o_ing_per_capita!T79*100/Gasto_o_ing_per_capita!$D79</f>
        <v>100</v>
      </c>
      <c r="U79" s="336">
        <f>Gasto_o_ing_per_capita!U79*100/Gasto_o_ing_per_capita!$D79</f>
        <v>100.00000000000001</v>
      </c>
      <c r="V79" s="336">
        <f>Gasto_o_ing_per_capita!V79*100/Gasto_o_ing_per_capita!$D79</f>
        <v>100.00000000000001</v>
      </c>
    </row>
    <row r="80" spans="1:22" s="102" customFormat="1" ht="13.15">
      <c r="A80" s="355" t="str">
        <f>IF(B80="","",(IF(ISERROR(MATCH(B80,Tot_res!C:C,0)),"Eliminar!!!","")))</f>
        <v/>
      </c>
      <c r="B80" s="115" t="s">
        <v>183</v>
      </c>
      <c r="C80" s="333" t="str">
        <f>VLOOKUP(B80,Tot_res!C:D,2,FALSE)</f>
        <v>Investigación científica</v>
      </c>
      <c r="D80" s="336">
        <f>Gasto_o_ing_per_capita!D80*100/Gasto_o_ing_per_capita!$D80</f>
        <v>100</v>
      </c>
      <c r="E80" s="336">
        <f>Gasto_o_ing_per_capita!E80*100/Gasto_o_ing_per_capita!$D80</f>
        <v>99.999999999999972</v>
      </c>
      <c r="F80" s="336">
        <f>Gasto_o_ing_per_capita!F80*100/Gasto_o_ing_per_capita!$D80</f>
        <v>99.999999999999972</v>
      </c>
      <c r="G80" s="336">
        <f>Gasto_o_ing_per_capita!G80*100/Gasto_o_ing_per_capita!$D80</f>
        <v>100.00000000000003</v>
      </c>
      <c r="H80" s="336">
        <f>Gasto_o_ing_per_capita!H80*100/Gasto_o_ing_per_capita!$D80</f>
        <v>100</v>
      </c>
      <c r="I80" s="336">
        <f>Gasto_o_ing_per_capita!I80*100/Gasto_o_ing_per_capita!$D80</f>
        <v>100</v>
      </c>
      <c r="J80" s="336">
        <f>Gasto_o_ing_per_capita!J80*100/Gasto_o_ing_per_capita!$D80</f>
        <v>100</v>
      </c>
      <c r="K80" s="336">
        <f>Gasto_o_ing_per_capita!K80*100/Gasto_o_ing_per_capita!$D80</f>
        <v>100</v>
      </c>
      <c r="L80" s="336">
        <f>Gasto_o_ing_per_capita!L80*100/Gasto_o_ing_per_capita!$D80</f>
        <v>100</v>
      </c>
      <c r="M80" s="336">
        <f>Gasto_o_ing_per_capita!M80*100/Gasto_o_ing_per_capita!$D80</f>
        <v>99.999999999999972</v>
      </c>
      <c r="N80" s="336">
        <f>Gasto_o_ing_per_capita!N80*100/Gasto_o_ing_per_capita!$D80</f>
        <v>99.999999999999972</v>
      </c>
      <c r="O80" s="336">
        <f>Gasto_o_ing_per_capita!O80*100/Gasto_o_ing_per_capita!$D80</f>
        <v>100</v>
      </c>
      <c r="P80" s="336">
        <f>Gasto_o_ing_per_capita!P80*100/Gasto_o_ing_per_capita!$D80</f>
        <v>99.999999999999972</v>
      </c>
      <c r="Q80" s="336">
        <f>Gasto_o_ing_per_capita!Q80*100/Gasto_o_ing_per_capita!$D80</f>
        <v>100</v>
      </c>
      <c r="R80" s="336">
        <f>Gasto_o_ing_per_capita!R80*100/Gasto_o_ing_per_capita!$D80</f>
        <v>99.999999999999972</v>
      </c>
      <c r="S80" s="336">
        <f>Gasto_o_ing_per_capita!S80*100/Gasto_o_ing_per_capita!$D80</f>
        <v>99.999999999999972</v>
      </c>
      <c r="T80" s="336">
        <f>Gasto_o_ing_per_capita!T80*100/Gasto_o_ing_per_capita!$D80</f>
        <v>100</v>
      </c>
      <c r="U80" s="336">
        <f>Gasto_o_ing_per_capita!U80*100/Gasto_o_ing_per_capita!$D80</f>
        <v>100</v>
      </c>
      <c r="V80" s="336">
        <f>Gasto_o_ing_per_capita!V80*100/Gasto_o_ing_per_capita!$D80</f>
        <v>99.999999999999972</v>
      </c>
    </row>
    <row r="81" spans="1:22" s="102" customFormat="1" ht="13.15">
      <c r="A81" s="355" t="str">
        <f>IF(B81="","",(IF(ISERROR(MATCH(B81,Tot_res!C:C,0)),"Eliminar!!!","")))</f>
        <v/>
      </c>
      <c r="B81" s="115" t="s">
        <v>185</v>
      </c>
      <c r="C81" s="333" t="str">
        <f>VLOOKUP(B81,Tot_res!C:D,2,FALSE)</f>
        <v>Fomento y coordinación de la investigación científica y técnica</v>
      </c>
      <c r="D81" s="336">
        <f>Gasto_o_ing_per_capita!D81*100/Gasto_o_ing_per_capita!$D81</f>
        <v>100</v>
      </c>
      <c r="E81" s="336">
        <f>Gasto_o_ing_per_capita!E81*100/Gasto_o_ing_per_capita!$D81</f>
        <v>100.00000000000001</v>
      </c>
      <c r="F81" s="336">
        <f>Gasto_o_ing_per_capita!F81*100/Gasto_o_ing_per_capita!$D81</f>
        <v>100</v>
      </c>
      <c r="G81" s="336">
        <f>Gasto_o_ing_per_capita!G81*100/Gasto_o_ing_per_capita!$D81</f>
        <v>100.00000000000001</v>
      </c>
      <c r="H81" s="336">
        <f>Gasto_o_ing_per_capita!H81*100/Gasto_o_ing_per_capita!$D81</f>
        <v>100</v>
      </c>
      <c r="I81" s="336">
        <f>Gasto_o_ing_per_capita!I81*100/Gasto_o_ing_per_capita!$D81</f>
        <v>100.00000000000004</v>
      </c>
      <c r="J81" s="336">
        <f>Gasto_o_ing_per_capita!J81*100/Gasto_o_ing_per_capita!$D81</f>
        <v>100.00000000000001</v>
      </c>
      <c r="K81" s="336">
        <f>Gasto_o_ing_per_capita!K81*100/Gasto_o_ing_per_capita!$D81</f>
        <v>100.00000000000001</v>
      </c>
      <c r="L81" s="336">
        <f>Gasto_o_ing_per_capita!L81*100/Gasto_o_ing_per_capita!$D81</f>
        <v>100.00000000000001</v>
      </c>
      <c r="M81" s="336">
        <f>Gasto_o_ing_per_capita!M81*100/Gasto_o_ing_per_capita!$D81</f>
        <v>100.00000000000004</v>
      </c>
      <c r="N81" s="336">
        <f>Gasto_o_ing_per_capita!N81*100/Gasto_o_ing_per_capita!$D81</f>
        <v>100.00000000000001</v>
      </c>
      <c r="O81" s="336">
        <f>Gasto_o_ing_per_capita!O81*100/Gasto_o_ing_per_capita!$D81</f>
        <v>100.00000000000001</v>
      </c>
      <c r="P81" s="336">
        <f>Gasto_o_ing_per_capita!P81*100/Gasto_o_ing_per_capita!$D81</f>
        <v>100.00000000000001</v>
      </c>
      <c r="Q81" s="336">
        <f>Gasto_o_ing_per_capita!Q81*100/Gasto_o_ing_per_capita!$D81</f>
        <v>100.00000000000001</v>
      </c>
      <c r="R81" s="336">
        <f>Gasto_o_ing_per_capita!R81*100/Gasto_o_ing_per_capita!$D81</f>
        <v>100.00000000000001</v>
      </c>
      <c r="S81" s="336">
        <f>Gasto_o_ing_per_capita!S81*100/Gasto_o_ing_per_capita!$D81</f>
        <v>100.00000000000001</v>
      </c>
      <c r="T81" s="336">
        <f>Gasto_o_ing_per_capita!T81*100/Gasto_o_ing_per_capita!$D81</f>
        <v>100.00000000000001</v>
      </c>
      <c r="U81" s="336">
        <f>Gasto_o_ing_per_capita!U81*100/Gasto_o_ing_per_capita!$D81</f>
        <v>100.00000000000001</v>
      </c>
      <c r="V81" s="336">
        <f>Gasto_o_ing_per_capita!V81*100/Gasto_o_ing_per_capita!$D81</f>
        <v>100</v>
      </c>
    </row>
    <row r="82" spans="1:22" s="102" customFormat="1" ht="13.15">
      <c r="A82" s="355" t="str">
        <f>IF(B82="","",(IF(ISERROR(MATCH(B82,Tot_res!C:C,0)),"Eliminar!!!","")))</f>
        <v/>
      </c>
      <c r="B82" s="115" t="s">
        <v>186</v>
      </c>
      <c r="C82" s="333" t="str">
        <f>VLOOKUP(B82,Tot_res!C:D,2,FALSE)</f>
        <v>Investigación sanitaria</v>
      </c>
      <c r="D82" s="336">
        <f>Gasto_o_ing_per_capita!D82*100/Gasto_o_ing_per_capita!$D82</f>
        <v>99.999999999999986</v>
      </c>
      <c r="E82" s="336">
        <f>Gasto_o_ing_per_capita!E82*100/Gasto_o_ing_per_capita!$D82</f>
        <v>99.999999999999986</v>
      </c>
      <c r="F82" s="336">
        <f>Gasto_o_ing_per_capita!F82*100/Gasto_o_ing_per_capita!$D82</f>
        <v>99.999999999999986</v>
      </c>
      <c r="G82" s="336">
        <f>Gasto_o_ing_per_capita!G82*100/Gasto_o_ing_per_capita!$D82</f>
        <v>100.00000000000001</v>
      </c>
      <c r="H82" s="336">
        <f>Gasto_o_ing_per_capita!H82*100/Gasto_o_ing_per_capita!$D82</f>
        <v>99.999999999999986</v>
      </c>
      <c r="I82" s="336">
        <f>Gasto_o_ing_per_capita!I82*100/Gasto_o_ing_per_capita!$D82</f>
        <v>100.00000000000001</v>
      </c>
      <c r="J82" s="336">
        <f>Gasto_o_ing_per_capita!J82*100/Gasto_o_ing_per_capita!$D82</f>
        <v>100.00000000000001</v>
      </c>
      <c r="K82" s="336">
        <f>Gasto_o_ing_per_capita!K82*100/Gasto_o_ing_per_capita!$D82</f>
        <v>100.00000000000001</v>
      </c>
      <c r="L82" s="336">
        <f>Gasto_o_ing_per_capita!L82*100/Gasto_o_ing_per_capita!$D82</f>
        <v>100.00000000000001</v>
      </c>
      <c r="M82" s="336">
        <f>Gasto_o_ing_per_capita!M82*100/Gasto_o_ing_per_capita!$D82</f>
        <v>100.00000000000001</v>
      </c>
      <c r="N82" s="336">
        <f>Gasto_o_ing_per_capita!N82*100/Gasto_o_ing_per_capita!$D82</f>
        <v>100.00000000000001</v>
      </c>
      <c r="O82" s="336">
        <f>Gasto_o_ing_per_capita!O82*100/Gasto_o_ing_per_capita!$D82</f>
        <v>99.999999999999986</v>
      </c>
      <c r="P82" s="336">
        <f>Gasto_o_ing_per_capita!P82*100/Gasto_o_ing_per_capita!$D82</f>
        <v>100.00000000000001</v>
      </c>
      <c r="Q82" s="336">
        <f>Gasto_o_ing_per_capita!Q82*100/Gasto_o_ing_per_capita!$D82</f>
        <v>100.00000000000001</v>
      </c>
      <c r="R82" s="336">
        <f>Gasto_o_ing_per_capita!R82*100/Gasto_o_ing_per_capita!$D82</f>
        <v>100.00000000000001</v>
      </c>
      <c r="S82" s="336">
        <f>Gasto_o_ing_per_capita!S82*100/Gasto_o_ing_per_capita!$D82</f>
        <v>99.999999999999986</v>
      </c>
      <c r="T82" s="336">
        <f>Gasto_o_ing_per_capita!T82*100/Gasto_o_ing_per_capita!$D82</f>
        <v>100.00000000000001</v>
      </c>
      <c r="U82" s="336">
        <f>Gasto_o_ing_per_capita!U82*100/Gasto_o_ing_per_capita!$D82</f>
        <v>100.00000000000001</v>
      </c>
      <c r="V82" s="336">
        <f>Gasto_o_ing_per_capita!V82*100/Gasto_o_ing_per_capita!$D82</f>
        <v>100.00000000000001</v>
      </c>
    </row>
    <row r="83" spans="1:22" s="102" customFormat="1" ht="13.15">
      <c r="A83" s="355" t="str">
        <f>IF(B83="","",(IF(ISERROR(MATCH(B83,Tot_res!C:C,0)),"Eliminar!!!","")))</f>
        <v/>
      </c>
      <c r="B83" s="115" t="s">
        <v>187</v>
      </c>
      <c r="C83" s="333" t="str">
        <f>VLOOKUP(B83,Tot_res!C:D,2,FALSE)</f>
        <v>Astronomía y astrofísica</v>
      </c>
      <c r="D83" s="336">
        <f>Gasto_o_ing_per_capita!D83*100/Gasto_o_ing_per_capita!$D83</f>
        <v>100</v>
      </c>
      <c r="E83" s="336">
        <f>Gasto_o_ing_per_capita!E83*100/Gasto_o_ing_per_capita!$D83</f>
        <v>99.999999999999986</v>
      </c>
      <c r="F83" s="336">
        <f>Gasto_o_ing_per_capita!F83*100/Gasto_o_ing_per_capita!$D83</f>
        <v>99.999999999999986</v>
      </c>
      <c r="G83" s="336">
        <f>Gasto_o_ing_per_capita!G83*100/Gasto_o_ing_per_capita!$D83</f>
        <v>99.999999999999986</v>
      </c>
      <c r="H83" s="336">
        <f>Gasto_o_ing_per_capita!H83*100/Gasto_o_ing_per_capita!$D83</f>
        <v>99.999999999999986</v>
      </c>
      <c r="I83" s="336">
        <f>Gasto_o_ing_per_capita!I83*100/Gasto_o_ing_per_capita!$D83</f>
        <v>99.999999999999986</v>
      </c>
      <c r="J83" s="336">
        <f>Gasto_o_ing_per_capita!J83*100/Gasto_o_ing_per_capita!$D83</f>
        <v>100</v>
      </c>
      <c r="K83" s="336">
        <f>Gasto_o_ing_per_capita!K83*100/Gasto_o_ing_per_capita!$D83</f>
        <v>100</v>
      </c>
      <c r="L83" s="336">
        <f>Gasto_o_ing_per_capita!L83*100/Gasto_o_ing_per_capita!$D83</f>
        <v>99.999999999999986</v>
      </c>
      <c r="M83" s="336">
        <f>Gasto_o_ing_per_capita!M83*100/Gasto_o_ing_per_capita!$D83</f>
        <v>99.999999999999972</v>
      </c>
      <c r="N83" s="336">
        <f>Gasto_o_ing_per_capita!N83*100/Gasto_o_ing_per_capita!$D83</f>
        <v>99.999999999999986</v>
      </c>
      <c r="O83" s="336">
        <f>Gasto_o_ing_per_capita!O83*100/Gasto_o_ing_per_capita!$D83</f>
        <v>99.999999999999986</v>
      </c>
      <c r="P83" s="336">
        <f>Gasto_o_ing_per_capita!P83*100/Gasto_o_ing_per_capita!$D83</f>
        <v>99.999999999999986</v>
      </c>
      <c r="Q83" s="336">
        <f>Gasto_o_ing_per_capita!Q83*100/Gasto_o_ing_per_capita!$D83</f>
        <v>99.999999999999986</v>
      </c>
      <c r="R83" s="336">
        <f>Gasto_o_ing_per_capita!R83*100/Gasto_o_ing_per_capita!$D83</f>
        <v>99.999999999999986</v>
      </c>
      <c r="S83" s="336">
        <f>Gasto_o_ing_per_capita!S83*100/Gasto_o_ing_per_capita!$D83</f>
        <v>100</v>
      </c>
      <c r="T83" s="336">
        <f>Gasto_o_ing_per_capita!T83*100/Gasto_o_ing_per_capita!$D83</f>
        <v>99.999999999999986</v>
      </c>
      <c r="U83" s="336">
        <f>Gasto_o_ing_per_capita!U83*100/Gasto_o_ing_per_capita!$D83</f>
        <v>99.999999999999986</v>
      </c>
      <c r="V83" s="336">
        <f>Gasto_o_ing_per_capita!V83*100/Gasto_o_ing_per_capita!$D83</f>
        <v>99.999999999999986</v>
      </c>
    </row>
    <row r="84" spans="1:22" s="102" customFormat="1" ht="13.15">
      <c r="A84" s="355" t="str">
        <f>IF(B84="","",(IF(ISERROR(MATCH(B84,Tot_res!C:C,0)),"Eliminar!!!","")))</f>
        <v/>
      </c>
      <c r="B84" s="115" t="s">
        <v>723</v>
      </c>
      <c r="C84" s="333" t="str">
        <f>VLOOKUP(B84,Tot_res!C:D,2,FALSE)</f>
        <v>Investigación y desarrollo tecnológico-industrial</v>
      </c>
      <c r="D84" s="336">
        <f>Gasto_o_ing_per_capita!D84*100/Gasto_o_ing_per_capita!$D84</f>
        <v>100</v>
      </c>
      <c r="E84" s="336">
        <f>Gasto_o_ing_per_capita!E84*100/Gasto_o_ing_per_capita!$D84</f>
        <v>100.00000000000003</v>
      </c>
      <c r="F84" s="336">
        <f>Gasto_o_ing_per_capita!F84*100/Gasto_o_ing_per_capita!$D84</f>
        <v>100.00000000000001</v>
      </c>
      <c r="G84" s="336">
        <f>Gasto_o_ing_per_capita!G84*100/Gasto_o_ing_per_capita!$D84</f>
        <v>100.00000000000003</v>
      </c>
      <c r="H84" s="336">
        <f>Gasto_o_ing_per_capita!H84*100/Gasto_o_ing_per_capita!$D84</f>
        <v>100.00000000000003</v>
      </c>
      <c r="I84" s="336">
        <f>Gasto_o_ing_per_capita!I84*100/Gasto_o_ing_per_capita!$D84</f>
        <v>100.00000000000003</v>
      </c>
      <c r="J84" s="336">
        <f>Gasto_o_ing_per_capita!J84*100/Gasto_o_ing_per_capita!$D84</f>
        <v>100.00000000000003</v>
      </c>
      <c r="K84" s="336">
        <f>Gasto_o_ing_per_capita!K84*100/Gasto_o_ing_per_capita!$D84</f>
        <v>100.00000000000003</v>
      </c>
      <c r="L84" s="336">
        <f>Gasto_o_ing_per_capita!L84*100/Gasto_o_ing_per_capita!$D84</f>
        <v>100.00000000000003</v>
      </c>
      <c r="M84" s="336">
        <f>Gasto_o_ing_per_capita!M84*100/Gasto_o_ing_per_capita!$D84</f>
        <v>100.00000000000003</v>
      </c>
      <c r="N84" s="336">
        <f>Gasto_o_ing_per_capita!N84*100/Gasto_o_ing_per_capita!$D84</f>
        <v>100.00000000000003</v>
      </c>
      <c r="O84" s="336">
        <f>Gasto_o_ing_per_capita!O84*100/Gasto_o_ing_per_capita!$D84</f>
        <v>100.00000000000003</v>
      </c>
      <c r="P84" s="336">
        <f>Gasto_o_ing_per_capita!P84*100/Gasto_o_ing_per_capita!$D84</f>
        <v>100.00000000000001</v>
      </c>
      <c r="Q84" s="336">
        <f>Gasto_o_ing_per_capita!Q84*100/Gasto_o_ing_per_capita!$D84</f>
        <v>100.00000000000001</v>
      </c>
      <c r="R84" s="336">
        <f>Gasto_o_ing_per_capita!R84*100/Gasto_o_ing_per_capita!$D84</f>
        <v>100.00000000000001</v>
      </c>
      <c r="S84" s="336">
        <f>Gasto_o_ing_per_capita!S84*100/Gasto_o_ing_per_capita!$D84</f>
        <v>100.00000000000003</v>
      </c>
      <c r="T84" s="336">
        <f>Gasto_o_ing_per_capita!T84*100/Gasto_o_ing_per_capita!$D84</f>
        <v>100.00000000000001</v>
      </c>
      <c r="U84" s="336">
        <f>Gasto_o_ing_per_capita!U84*100/Gasto_o_ing_per_capita!$D84</f>
        <v>100.00000000000003</v>
      </c>
      <c r="V84" s="336">
        <f>Gasto_o_ing_per_capita!V84*100/Gasto_o_ing_per_capita!$D84</f>
        <v>100.00000000000001</v>
      </c>
    </row>
    <row r="85" spans="1:22" s="102" customFormat="1" ht="13.15">
      <c r="A85" s="355" t="str">
        <f>IF(B85="","",(IF(ISERROR(MATCH(B85,Tot_res!C:C,0)),"Eliminar!!!","")))</f>
        <v/>
      </c>
      <c r="B85" s="115" t="s">
        <v>188</v>
      </c>
      <c r="C85" s="333" t="str">
        <f>VLOOKUP(B85,Tot_res!C:D,2,FALSE)</f>
        <v>Investigación y experimentación agraria</v>
      </c>
      <c r="D85" s="336">
        <f>Gasto_o_ing_per_capita!D85*100/Gasto_o_ing_per_capita!$D85</f>
        <v>100</v>
      </c>
      <c r="E85" s="336">
        <f>Gasto_o_ing_per_capita!E85*100/Gasto_o_ing_per_capita!$D85</f>
        <v>100</v>
      </c>
      <c r="F85" s="336">
        <f>Gasto_o_ing_per_capita!F85*100/Gasto_o_ing_per_capita!$D85</f>
        <v>100</v>
      </c>
      <c r="G85" s="336">
        <f>Gasto_o_ing_per_capita!G85*100/Gasto_o_ing_per_capita!$D85</f>
        <v>100.00000000000001</v>
      </c>
      <c r="H85" s="336">
        <f>Gasto_o_ing_per_capita!H85*100/Gasto_o_ing_per_capita!$D85</f>
        <v>100</v>
      </c>
      <c r="I85" s="336">
        <f>Gasto_o_ing_per_capita!I85*100/Gasto_o_ing_per_capita!$D85</f>
        <v>100</v>
      </c>
      <c r="J85" s="336">
        <f>Gasto_o_ing_per_capita!J85*100/Gasto_o_ing_per_capita!$D85</f>
        <v>100</v>
      </c>
      <c r="K85" s="336">
        <f>Gasto_o_ing_per_capita!K85*100/Gasto_o_ing_per_capita!$D85</f>
        <v>100.00000000000001</v>
      </c>
      <c r="L85" s="336">
        <f>Gasto_o_ing_per_capita!L85*100/Gasto_o_ing_per_capita!$D85</f>
        <v>100.00000000000001</v>
      </c>
      <c r="M85" s="336">
        <f>Gasto_o_ing_per_capita!M85*100/Gasto_o_ing_per_capita!$D85</f>
        <v>100.00000000000001</v>
      </c>
      <c r="N85" s="336">
        <f>Gasto_o_ing_per_capita!N85*100/Gasto_o_ing_per_capita!$D85</f>
        <v>100.00000000000001</v>
      </c>
      <c r="O85" s="336">
        <f>Gasto_o_ing_per_capita!O85*100/Gasto_o_ing_per_capita!$D85</f>
        <v>100</v>
      </c>
      <c r="P85" s="336">
        <f>Gasto_o_ing_per_capita!P85*100/Gasto_o_ing_per_capita!$D85</f>
        <v>100</v>
      </c>
      <c r="Q85" s="336">
        <f>Gasto_o_ing_per_capita!Q85*100/Gasto_o_ing_per_capita!$D85</f>
        <v>100.00000000000001</v>
      </c>
      <c r="R85" s="336">
        <f>Gasto_o_ing_per_capita!R85*100/Gasto_o_ing_per_capita!$D85</f>
        <v>100</v>
      </c>
      <c r="S85" s="336">
        <f>Gasto_o_ing_per_capita!S85*100/Gasto_o_ing_per_capita!$D85</f>
        <v>100</v>
      </c>
      <c r="T85" s="336">
        <f>Gasto_o_ing_per_capita!T85*100/Gasto_o_ing_per_capita!$D85</f>
        <v>100</v>
      </c>
      <c r="U85" s="336">
        <f>Gasto_o_ing_per_capita!U85*100/Gasto_o_ing_per_capita!$D85</f>
        <v>100.00000000000001</v>
      </c>
      <c r="V85" s="336">
        <f>Gasto_o_ing_per_capita!V85*100/Gasto_o_ing_per_capita!$D85</f>
        <v>100</v>
      </c>
    </row>
    <row r="86" spans="1:22" s="102" customFormat="1" ht="13.15">
      <c r="A86" s="355" t="str">
        <f>IF(B86="","",(IF(ISERROR(MATCH(B86,Tot_res!C:C,0)),"Eliminar!!!","")))</f>
        <v/>
      </c>
      <c r="B86" s="115" t="s">
        <v>189</v>
      </c>
      <c r="C86" s="333" t="str">
        <f>VLOOKUP(B86,Tot_res!C:D,2,FALSE)</f>
        <v>Investigación oceanográfica y pesquera</v>
      </c>
      <c r="D86" s="336">
        <f>Gasto_o_ing_per_capita!D86*100/Gasto_o_ing_per_capita!$D86</f>
        <v>100</v>
      </c>
      <c r="E86" s="336">
        <f>Gasto_o_ing_per_capita!E86*100/Gasto_o_ing_per_capita!$D86</f>
        <v>99.999999999999986</v>
      </c>
      <c r="F86" s="336">
        <f>Gasto_o_ing_per_capita!F86*100/Gasto_o_ing_per_capita!$D86</f>
        <v>100</v>
      </c>
      <c r="G86" s="336">
        <f>Gasto_o_ing_per_capita!G86*100/Gasto_o_ing_per_capita!$D86</f>
        <v>100</v>
      </c>
      <c r="H86" s="336">
        <f>Gasto_o_ing_per_capita!H86*100/Gasto_o_ing_per_capita!$D86</f>
        <v>100</v>
      </c>
      <c r="I86" s="336">
        <f>Gasto_o_ing_per_capita!I86*100/Gasto_o_ing_per_capita!$D86</f>
        <v>100</v>
      </c>
      <c r="J86" s="336">
        <f>Gasto_o_ing_per_capita!J86*100/Gasto_o_ing_per_capita!$D86</f>
        <v>100</v>
      </c>
      <c r="K86" s="336">
        <f>Gasto_o_ing_per_capita!K86*100/Gasto_o_ing_per_capita!$D86</f>
        <v>100</v>
      </c>
      <c r="L86" s="336">
        <f>Gasto_o_ing_per_capita!L86*100/Gasto_o_ing_per_capita!$D86</f>
        <v>100</v>
      </c>
      <c r="M86" s="336">
        <f>Gasto_o_ing_per_capita!M86*100/Gasto_o_ing_per_capita!$D86</f>
        <v>100</v>
      </c>
      <c r="N86" s="336">
        <f>Gasto_o_ing_per_capita!N86*100/Gasto_o_ing_per_capita!$D86</f>
        <v>100</v>
      </c>
      <c r="O86" s="336">
        <f>Gasto_o_ing_per_capita!O86*100/Gasto_o_ing_per_capita!$D86</f>
        <v>100</v>
      </c>
      <c r="P86" s="336">
        <f>Gasto_o_ing_per_capita!P86*100/Gasto_o_ing_per_capita!$D86</f>
        <v>100</v>
      </c>
      <c r="Q86" s="336">
        <f>Gasto_o_ing_per_capita!Q86*100/Gasto_o_ing_per_capita!$D86</f>
        <v>100</v>
      </c>
      <c r="R86" s="336">
        <f>Gasto_o_ing_per_capita!R86*100/Gasto_o_ing_per_capita!$D86</f>
        <v>99.999999999999986</v>
      </c>
      <c r="S86" s="336">
        <f>Gasto_o_ing_per_capita!S86*100/Gasto_o_ing_per_capita!$D86</f>
        <v>99.999999999999986</v>
      </c>
      <c r="T86" s="336">
        <f>Gasto_o_ing_per_capita!T86*100/Gasto_o_ing_per_capita!$D86</f>
        <v>100</v>
      </c>
      <c r="U86" s="336">
        <f>Gasto_o_ing_per_capita!U86*100/Gasto_o_ing_per_capita!$D86</f>
        <v>100.00000000000001</v>
      </c>
      <c r="V86" s="336">
        <f>Gasto_o_ing_per_capita!V86*100/Gasto_o_ing_per_capita!$D86</f>
        <v>100</v>
      </c>
    </row>
    <row r="87" spans="1:22" s="102" customFormat="1" ht="13.15">
      <c r="A87" s="355" t="str">
        <f>IF(B87="","",(IF(ISERROR(MATCH(B87,Tot_res!C:C,0)),"Eliminar!!!","")))</f>
        <v/>
      </c>
      <c r="B87" s="115" t="s">
        <v>190</v>
      </c>
      <c r="C87" s="333" t="str">
        <f>VLOOKUP(B87,Tot_res!C:D,2,FALSE)</f>
        <v>Investigación geológico-minera y medioambiental</v>
      </c>
      <c r="D87" s="336">
        <f>Gasto_o_ing_per_capita!D87*100/Gasto_o_ing_per_capita!$D87</f>
        <v>100</v>
      </c>
      <c r="E87" s="336">
        <f>Gasto_o_ing_per_capita!E87*100/Gasto_o_ing_per_capita!$D87</f>
        <v>99.999999999999957</v>
      </c>
      <c r="F87" s="336">
        <f>Gasto_o_ing_per_capita!F87*100/Gasto_o_ing_per_capita!$D87</f>
        <v>99.999999999999957</v>
      </c>
      <c r="G87" s="336">
        <f>Gasto_o_ing_per_capita!G87*100/Gasto_o_ing_per_capita!$D87</f>
        <v>99.999999999999972</v>
      </c>
      <c r="H87" s="336">
        <f>Gasto_o_ing_per_capita!H87*100/Gasto_o_ing_per_capita!$D87</f>
        <v>99.999999999999929</v>
      </c>
      <c r="I87" s="336">
        <f>Gasto_o_ing_per_capita!I87*100/Gasto_o_ing_per_capita!$D87</f>
        <v>99.999999999999972</v>
      </c>
      <c r="J87" s="336">
        <f>Gasto_o_ing_per_capita!J87*100/Gasto_o_ing_per_capita!$D87</f>
        <v>99.999999999999972</v>
      </c>
      <c r="K87" s="336">
        <f>Gasto_o_ing_per_capita!K87*100/Gasto_o_ing_per_capita!$D87</f>
        <v>99.999999999999972</v>
      </c>
      <c r="L87" s="336">
        <f>Gasto_o_ing_per_capita!L87*100/Gasto_o_ing_per_capita!$D87</f>
        <v>99.999999999999972</v>
      </c>
      <c r="M87" s="336">
        <f>Gasto_o_ing_per_capita!M87*100/Gasto_o_ing_per_capita!$D87</f>
        <v>99.999999999999972</v>
      </c>
      <c r="N87" s="336">
        <f>Gasto_o_ing_per_capita!N87*100/Gasto_o_ing_per_capita!$D87</f>
        <v>99.999999999999972</v>
      </c>
      <c r="O87" s="336">
        <f>Gasto_o_ing_per_capita!O87*100/Gasto_o_ing_per_capita!$D87</f>
        <v>99.999999999999972</v>
      </c>
      <c r="P87" s="336">
        <f>Gasto_o_ing_per_capita!P87*100/Gasto_o_ing_per_capita!$D87</f>
        <v>99.999999999999957</v>
      </c>
      <c r="Q87" s="336">
        <f>Gasto_o_ing_per_capita!Q87*100/Gasto_o_ing_per_capita!$D87</f>
        <v>99.999999999999957</v>
      </c>
      <c r="R87" s="336">
        <f>Gasto_o_ing_per_capita!R87*100/Gasto_o_ing_per_capita!$D87</f>
        <v>99.999999999999957</v>
      </c>
      <c r="S87" s="336">
        <f>Gasto_o_ing_per_capita!S87*100/Gasto_o_ing_per_capita!$D87</f>
        <v>99.999999999999972</v>
      </c>
      <c r="T87" s="336">
        <f>Gasto_o_ing_per_capita!T87*100/Gasto_o_ing_per_capita!$D87</f>
        <v>99.999999999999957</v>
      </c>
      <c r="U87" s="336">
        <f>Gasto_o_ing_per_capita!U87*100/Gasto_o_ing_per_capita!$D87</f>
        <v>99.999999999999972</v>
      </c>
      <c r="V87" s="336">
        <f>Gasto_o_ing_per_capita!V87*100/Gasto_o_ing_per_capita!$D87</f>
        <v>99.999999999999972</v>
      </c>
    </row>
    <row r="88" spans="1:22" s="102" customFormat="1" ht="13.15">
      <c r="A88" s="355" t="str">
        <f>IF(B88="","",(IF(ISERROR(MATCH(B88,Tot_res!C:C,0)),"Eliminar!!!","")))</f>
        <v/>
      </c>
      <c r="B88" s="115" t="s">
        <v>192</v>
      </c>
      <c r="C88" s="333" t="str">
        <f>VLOOKUP(B88,Tot_res!C:D,2,FALSE)</f>
        <v>Investigación energética, medioambiental y tecnológica</v>
      </c>
      <c r="D88" s="336">
        <f>Gasto_o_ing_per_capita!D88*100/Gasto_o_ing_per_capita!$D88</f>
        <v>100</v>
      </c>
      <c r="E88" s="336">
        <f>Gasto_o_ing_per_capita!E88*100/Gasto_o_ing_per_capita!$D88</f>
        <v>99.999999999999986</v>
      </c>
      <c r="F88" s="336">
        <f>Gasto_o_ing_per_capita!F88*100/Gasto_o_ing_per_capita!$D88</f>
        <v>99.999999999999972</v>
      </c>
      <c r="G88" s="336">
        <f>Gasto_o_ing_per_capita!G88*100/Gasto_o_ing_per_capita!$D88</f>
        <v>99.999999999999986</v>
      </c>
      <c r="H88" s="336">
        <f>Gasto_o_ing_per_capita!H88*100/Gasto_o_ing_per_capita!$D88</f>
        <v>99.999999999999972</v>
      </c>
      <c r="I88" s="336">
        <f>Gasto_o_ing_per_capita!I88*100/Gasto_o_ing_per_capita!$D88</f>
        <v>99.999999999999986</v>
      </c>
      <c r="J88" s="336">
        <f>Gasto_o_ing_per_capita!J88*100/Gasto_o_ing_per_capita!$D88</f>
        <v>99.999999999999986</v>
      </c>
      <c r="K88" s="336">
        <f>Gasto_o_ing_per_capita!K88*100/Gasto_o_ing_per_capita!$D88</f>
        <v>99.999999999999986</v>
      </c>
      <c r="L88" s="336">
        <f>Gasto_o_ing_per_capita!L88*100/Gasto_o_ing_per_capita!$D88</f>
        <v>99.999999999999986</v>
      </c>
      <c r="M88" s="336">
        <f>Gasto_o_ing_per_capita!M88*100/Gasto_o_ing_per_capita!$D88</f>
        <v>99.999999999999986</v>
      </c>
      <c r="N88" s="336">
        <f>Gasto_o_ing_per_capita!N88*100/Gasto_o_ing_per_capita!$D88</f>
        <v>100</v>
      </c>
      <c r="O88" s="336">
        <f>Gasto_o_ing_per_capita!O88*100/Gasto_o_ing_per_capita!$D88</f>
        <v>99.999999999999986</v>
      </c>
      <c r="P88" s="336">
        <f>Gasto_o_ing_per_capita!P88*100/Gasto_o_ing_per_capita!$D88</f>
        <v>99.999999999999972</v>
      </c>
      <c r="Q88" s="336">
        <f>Gasto_o_ing_per_capita!Q88*100/Gasto_o_ing_per_capita!$D88</f>
        <v>99.999999999999986</v>
      </c>
      <c r="R88" s="336">
        <f>Gasto_o_ing_per_capita!R88*100/Gasto_o_ing_per_capita!$D88</f>
        <v>99.999999999999986</v>
      </c>
      <c r="S88" s="336">
        <f>Gasto_o_ing_per_capita!S88*100/Gasto_o_ing_per_capita!$D88</f>
        <v>100</v>
      </c>
      <c r="T88" s="336">
        <f>Gasto_o_ing_per_capita!T88*100/Gasto_o_ing_per_capita!$D88</f>
        <v>99.999999999999986</v>
      </c>
      <c r="U88" s="336">
        <f>Gasto_o_ing_per_capita!U88*100/Gasto_o_ing_per_capita!$D88</f>
        <v>100</v>
      </c>
      <c r="V88" s="336">
        <f>Gasto_o_ing_per_capita!V88*100/Gasto_o_ing_per_capita!$D88</f>
        <v>100</v>
      </c>
    </row>
    <row r="89" spans="1:22" s="102" customFormat="1" ht="13.15">
      <c r="A89" s="355" t="str">
        <f>IF(B89="","",(IF(ISERROR(MATCH(B89,Tot_res!C:C,0)),"Eliminar!!!","")))</f>
        <v/>
      </c>
      <c r="B89" s="115" t="s">
        <v>193</v>
      </c>
      <c r="C89" s="333" t="str">
        <f>VLOOKUP(B89,Tot_res!C:D,2,FALSE)</f>
        <v>Desarrollo y aplicación de la información geográfica española</v>
      </c>
      <c r="D89" s="336">
        <f>Gasto_o_ing_per_capita!D89*100/Gasto_o_ing_per_capita!$D89</f>
        <v>100</v>
      </c>
      <c r="E89" s="336">
        <f>Gasto_o_ing_per_capita!E89*100/Gasto_o_ing_per_capita!$D89</f>
        <v>100</v>
      </c>
      <c r="F89" s="336">
        <f>Gasto_o_ing_per_capita!F89*100/Gasto_o_ing_per_capita!$D89</f>
        <v>99.999999999999972</v>
      </c>
      <c r="G89" s="336">
        <f>Gasto_o_ing_per_capita!G89*100/Gasto_o_ing_per_capita!$D89</f>
        <v>100</v>
      </c>
      <c r="H89" s="336">
        <f>Gasto_o_ing_per_capita!H89*100/Gasto_o_ing_per_capita!$D89</f>
        <v>99.999999999999972</v>
      </c>
      <c r="I89" s="336">
        <f>Gasto_o_ing_per_capita!I89*100/Gasto_o_ing_per_capita!$D89</f>
        <v>100.00000000000003</v>
      </c>
      <c r="J89" s="336">
        <f>Gasto_o_ing_per_capita!J89*100/Gasto_o_ing_per_capita!$D89</f>
        <v>100</v>
      </c>
      <c r="K89" s="336">
        <f>Gasto_o_ing_per_capita!K89*100/Gasto_o_ing_per_capita!$D89</f>
        <v>100</v>
      </c>
      <c r="L89" s="336">
        <f>Gasto_o_ing_per_capita!L89*100/Gasto_o_ing_per_capita!$D89</f>
        <v>100</v>
      </c>
      <c r="M89" s="336">
        <f>Gasto_o_ing_per_capita!M89*100/Gasto_o_ing_per_capita!$D89</f>
        <v>99.999999999999972</v>
      </c>
      <c r="N89" s="336">
        <f>Gasto_o_ing_per_capita!N89*100/Gasto_o_ing_per_capita!$D89</f>
        <v>100.00000000000003</v>
      </c>
      <c r="O89" s="336">
        <f>Gasto_o_ing_per_capita!O89*100/Gasto_o_ing_per_capita!$D89</f>
        <v>100</v>
      </c>
      <c r="P89" s="336">
        <f>Gasto_o_ing_per_capita!P89*100/Gasto_o_ing_per_capita!$D89</f>
        <v>100</v>
      </c>
      <c r="Q89" s="336">
        <f>Gasto_o_ing_per_capita!Q89*100/Gasto_o_ing_per_capita!$D89</f>
        <v>100</v>
      </c>
      <c r="R89" s="336">
        <f>Gasto_o_ing_per_capita!R89*100/Gasto_o_ing_per_capita!$D89</f>
        <v>99.999999999999972</v>
      </c>
      <c r="S89" s="336">
        <f>Gasto_o_ing_per_capita!S89*100/Gasto_o_ing_per_capita!$D89</f>
        <v>100.00000000000003</v>
      </c>
      <c r="T89" s="336">
        <f>Gasto_o_ing_per_capita!T89*100/Gasto_o_ing_per_capita!$D89</f>
        <v>100</v>
      </c>
      <c r="U89" s="336">
        <f>Gasto_o_ing_per_capita!U89*100/Gasto_o_ing_per_capita!$D89</f>
        <v>100</v>
      </c>
      <c r="V89" s="336">
        <f>Gasto_o_ing_per_capita!V89*100/Gasto_o_ing_per_capita!$D89</f>
        <v>100</v>
      </c>
    </row>
    <row r="90" spans="1:22" s="102" customFormat="1" ht="13.15">
      <c r="A90" s="355" t="str">
        <f>IF(B90="","",(IF(ISERROR(MATCH(B90,Tot_res!C:C,0)),"Eliminar!!!","")))</f>
        <v/>
      </c>
      <c r="B90" s="115" t="s">
        <v>194</v>
      </c>
      <c r="C90" s="333" t="str">
        <f>VLOOKUP(B90,Tot_res!C:D,2,FALSE)</f>
        <v>Elaboración y difusión estadística</v>
      </c>
      <c r="D90" s="336">
        <f>Gasto_o_ing_per_capita!D90*100/Gasto_o_ing_per_capita!$D90</f>
        <v>100</v>
      </c>
      <c r="E90" s="336">
        <f>Gasto_o_ing_per_capita!E90*100/Gasto_o_ing_per_capita!$D90</f>
        <v>100.00000000000001</v>
      </c>
      <c r="F90" s="336">
        <f>Gasto_o_ing_per_capita!F90*100/Gasto_o_ing_per_capita!$D90</f>
        <v>100.00000000000003</v>
      </c>
      <c r="G90" s="336">
        <f>Gasto_o_ing_per_capita!G90*100/Gasto_o_ing_per_capita!$D90</f>
        <v>100.00000000000003</v>
      </c>
      <c r="H90" s="336">
        <f>Gasto_o_ing_per_capita!H90*100/Gasto_o_ing_per_capita!$D90</f>
        <v>100.00000000000003</v>
      </c>
      <c r="I90" s="336">
        <f>Gasto_o_ing_per_capita!I90*100/Gasto_o_ing_per_capita!$D90</f>
        <v>100.00000000000003</v>
      </c>
      <c r="J90" s="336">
        <f>Gasto_o_ing_per_capita!J90*100/Gasto_o_ing_per_capita!$D90</f>
        <v>100.00000000000003</v>
      </c>
      <c r="K90" s="336">
        <f>Gasto_o_ing_per_capita!K90*100/Gasto_o_ing_per_capita!$D90</f>
        <v>100.00000000000003</v>
      </c>
      <c r="L90" s="336">
        <f>Gasto_o_ing_per_capita!L90*100/Gasto_o_ing_per_capita!$D90</f>
        <v>100.00000000000003</v>
      </c>
      <c r="M90" s="336">
        <f>Gasto_o_ing_per_capita!M90*100/Gasto_o_ing_per_capita!$D90</f>
        <v>100.00000000000003</v>
      </c>
      <c r="N90" s="336">
        <f>Gasto_o_ing_per_capita!N90*100/Gasto_o_ing_per_capita!$D90</f>
        <v>100.00000000000003</v>
      </c>
      <c r="O90" s="336">
        <f>Gasto_o_ing_per_capita!O90*100/Gasto_o_ing_per_capita!$D90</f>
        <v>100.00000000000001</v>
      </c>
      <c r="P90" s="336">
        <f>Gasto_o_ing_per_capita!P90*100/Gasto_o_ing_per_capita!$D90</f>
        <v>100.00000000000001</v>
      </c>
      <c r="Q90" s="336">
        <f>Gasto_o_ing_per_capita!Q90*100/Gasto_o_ing_per_capita!$D90</f>
        <v>100.00000000000001</v>
      </c>
      <c r="R90" s="336">
        <f>Gasto_o_ing_per_capita!R90*100/Gasto_o_ing_per_capita!$D90</f>
        <v>100.00000000000001</v>
      </c>
      <c r="S90" s="336">
        <f>Gasto_o_ing_per_capita!S90*100/Gasto_o_ing_per_capita!$D90</f>
        <v>100.00000000000003</v>
      </c>
      <c r="T90" s="336">
        <f>Gasto_o_ing_per_capita!T90*100/Gasto_o_ing_per_capita!$D90</f>
        <v>100.00000000000003</v>
      </c>
      <c r="U90" s="336">
        <f>Gasto_o_ing_per_capita!U90*100/Gasto_o_ing_per_capita!$D90</f>
        <v>100.00000000000003</v>
      </c>
      <c r="V90" s="336">
        <f>Gasto_o_ing_per_capita!V90*100/Gasto_o_ing_per_capita!$D90</f>
        <v>100.00000000000003</v>
      </c>
    </row>
    <row r="91" spans="1:22" s="102" customFormat="1" ht="13.15">
      <c r="A91" s="356"/>
      <c r="B91" s="115"/>
      <c r="C91" s="129"/>
      <c r="D91" s="110"/>
      <c r="E91" s="110"/>
      <c r="F91" s="110"/>
      <c r="G91" s="110"/>
      <c r="H91" s="110"/>
      <c r="I91" s="110"/>
      <c r="J91" s="110"/>
      <c r="K91" s="110"/>
      <c r="L91" s="110"/>
      <c r="M91" s="110"/>
      <c r="N91" s="110"/>
      <c r="O91" s="110"/>
      <c r="P91" s="110"/>
      <c r="Q91" s="110"/>
      <c r="R91" s="110"/>
      <c r="S91" s="110"/>
      <c r="T91" s="110"/>
      <c r="U91" s="110"/>
      <c r="V91" s="110"/>
    </row>
    <row r="92" spans="1:22" s="102" customFormat="1" ht="13.15">
      <c r="A92" s="356"/>
      <c r="B92" s="115"/>
      <c r="C92" s="128" t="s">
        <v>21</v>
      </c>
      <c r="D92" s="113">
        <f>Gasto_o_ing_per_capita!D92*100/Gasto_o_ing_per_capita!$D92</f>
        <v>100</v>
      </c>
      <c r="E92" s="113">
        <f>Gasto_o_ing_per_capita!E92*100/Gasto_o_ing_per_capita!$D92</f>
        <v>100</v>
      </c>
      <c r="F92" s="113">
        <f>Gasto_o_ing_per_capita!F92*100/Gasto_o_ing_per_capita!$D92</f>
        <v>100</v>
      </c>
      <c r="G92" s="113">
        <f>Gasto_o_ing_per_capita!G92*100/Gasto_o_ing_per_capita!$D92</f>
        <v>100.00000000000003</v>
      </c>
      <c r="H92" s="113">
        <f>Gasto_o_ing_per_capita!H92*100/Gasto_o_ing_per_capita!$D92</f>
        <v>100.00000000000003</v>
      </c>
      <c r="I92" s="113">
        <f>Gasto_o_ing_per_capita!I92*100/Gasto_o_ing_per_capita!$D92</f>
        <v>100</v>
      </c>
      <c r="J92" s="113">
        <f>Gasto_o_ing_per_capita!J92*100/Gasto_o_ing_per_capita!$D92</f>
        <v>100</v>
      </c>
      <c r="K92" s="113">
        <f>Gasto_o_ing_per_capita!K92*100/Gasto_o_ing_per_capita!$D92</f>
        <v>100.00000000000003</v>
      </c>
      <c r="L92" s="113">
        <f>Gasto_o_ing_per_capita!L92*100/Gasto_o_ing_per_capita!$D92</f>
        <v>100.00000000000003</v>
      </c>
      <c r="M92" s="113">
        <f>Gasto_o_ing_per_capita!M92*100/Gasto_o_ing_per_capita!$D92</f>
        <v>100.00000000000004</v>
      </c>
      <c r="N92" s="113">
        <f>Gasto_o_ing_per_capita!N92*100/Gasto_o_ing_per_capita!$D92</f>
        <v>100.00000000000003</v>
      </c>
      <c r="O92" s="113">
        <f>Gasto_o_ing_per_capita!O92*100/Gasto_o_ing_per_capita!$D92</f>
        <v>100</v>
      </c>
      <c r="P92" s="113">
        <f>Gasto_o_ing_per_capita!P92*100/Gasto_o_ing_per_capita!$D92</f>
        <v>100</v>
      </c>
      <c r="Q92" s="113">
        <f>Gasto_o_ing_per_capita!Q92*100/Gasto_o_ing_per_capita!$D92</f>
        <v>100</v>
      </c>
      <c r="R92" s="113">
        <f>Gasto_o_ing_per_capita!R92*100/Gasto_o_ing_per_capita!$D92</f>
        <v>100</v>
      </c>
      <c r="S92" s="113">
        <f>Gasto_o_ing_per_capita!S92*100/Gasto_o_ing_per_capita!$D92</f>
        <v>100</v>
      </c>
      <c r="T92" s="113">
        <f>Gasto_o_ing_per_capita!T92*100/Gasto_o_ing_per_capita!$D92</f>
        <v>100</v>
      </c>
      <c r="U92" s="113">
        <f>Gasto_o_ing_per_capita!U92*100/Gasto_o_ing_per_capita!$D92</f>
        <v>100.00000000000003</v>
      </c>
      <c r="V92" s="113">
        <f>Gasto_o_ing_per_capita!V92*100/Gasto_o_ing_per_capita!$D92</f>
        <v>100</v>
      </c>
    </row>
    <row r="93" spans="1:22" s="102" customFormat="1" ht="13.15">
      <c r="A93" s="355" t="str">
        <f>IF(B93="","",(IF(ISERROR(MATCH(B93,Tot_res!C:C,0)),"Eliminar!!!","")))</f>
        <v/>
      </c>
      <c r="B93" s="115" t="s">
        <v>196</v>
      </c>
      <c r="C93" s="333" t="str">
        <f>VLOOKUP(B93,Tot_res!C:D,2,FALSE)</f>
        <v>Dirección, control y gestión de seguros</v>
      </c>
      <c r="D93" s="336">
        <f>Gasto_o_ing_per_capita!D93*100/Gasto_o_ing_per_capita!$D93</f>
        <v>100</v>
      </c>
      <c r="E93" s="336">
        <f>Gasto_o_ing_per_capita!E93*100/Gasto_o_ing_per_capita!$D93</f>
        <v>99.999999999999986</v>
      </c>
      <c r="F93" s="336">
        <f>Gasto_o_ing_per_capita!F93*100/Gasto_o_ing_per_capita!$D93</f>
        <v>99.999999999999972</v>
      </c>
      <c r="G93" s="336">
        <f>Gasto_o_ing_per_capita!G93*100/Gasto_o_ing_per_capita!$D93</f>
        <v>100</v>
      </c>
      <c r="H93" s="336">
        <f>Gasto_o_ing_per_capita!H93*100/Gasto_o_ing_per_capita!$D93</f>
        <v>99.999999999999986</v>
      </c>
      <c r="I93" s="336">
        <f>Gasto_o_ing_per_capita!I93*100/Gasto_o_ing_per_capita!$D93</f>
        <v>99.999999999999986</v>
      </c>
      <c r="J93" s="336">
        <f>Gasto_o_ing_per_capita!J93*100/Gasto_o_ing_per_capita!$D93</f>
        <v>99.999999999999972</v>
      </c>
      <c r="K93" s="336">
        <f>Gasto_o_ing_per_capita!K93*100/Gasto_o_ing_per_capita!$D93</f>
        <v>100</v>
      </c>
      <c r="L93" s="336">
        <f>Gasto_o_ing_per_capita!L93*100/Gasto_o_ing_per_capita!$D93</f>
        <v>100</v>
      </c>
      <c r="M93" s="336">
        <f>Gasto_o_ing_per_capita!M93*100/Gasto_o_ing_per_capita!$D93</f>
        <v>99.999999999999972</v>
      </c>
      <c r="N93" s="336">
        <f>Gasto_o_ing_per_capita!N93*100/Gasto_o_ing_per_capita!$D93</f>
        <v>99.999999999999986</v>
      </c>
      <c r="O93" s="336">
        <f>Gasto_o_ing_per_capita!O93*100/Gasto_o_ing_per_capita!$D93</f>
        <v>99.999999999999986</v>
      </c>
      <c r="P93" s="336">
        <f>Gasto_o_ing_per_capita!P93*100/Gasto_o_ing_per_capita!$D93</f>
        <v>100</v>
      </c>
      <c r="Q93" s="336">
        <f>Gasto_o_ing_per_capita!Q93*100/Gasto_o_ing_per_capita!$D93</f>
        <v>99.999999999999986</v>
      </c>
      <c r="R93" s="336">
        <f>Gasto_o_ing_per_capita!R93*100/Gasto_o_ing_per_capita!$D93</f>
        <v>99.999999999999986</v>
      </c>
      <c r="S93" s="336">
        <f>Gasto_o_ing_per_capita!S93*100/Gasto_o_ing_per_capita!$D93</f>
        <v>99.999999999999986</v>
      </c>
      <c r="T93" s="336">
        <f>Gasto_o_ing_per_capita!T93*100/Gasto_o_ing_per_capita!$D93</f>
        <v>99.999999999999986</v>
      </c>
      <c r="U93" s="336">
        <f>Gasto_o_ing_per_capita!U93*100/Gasto_o_ing_per_capita!$D93</f>
        <v>99.999999999999986</v>
      </c>
      <c r="V93" s="336">
        <f>Gasto_o_ing_per_capita!V93*100/Gasto_o_ing_per_capita!$D93</f>
        <v>99.999999999999986</v>
      </c>
    </row>
    <row r="94" spans="1:22" s="102" customFormat="1" ht="13.15">
      <c r="A94" s="355" t="str">
        <f>IF(B94="","",(IF(ISERROR(MATCH(B94,Tot_res!C:C,0)),"Eliminar!!!","")))</f>
        <v/>
      </c>
      <c r="B94" s="115" t="s">
        <v>198</v>
      </c>
      <c r="C94" s="333" t="str">
        <f>VLOOKUP(B94,Tot_res!C:D,2,FALSE)</f>
        <v>Regulación contable y de auditorias</v>
      </c>
      <c r="D94" s="336">
        <f>Gasto_o_ing_per_capita!D94*100/Gasto_o_ing_per_capita!$D94</f>
        <v>100</v>
      </c>
      <c r="E94" s="336">
        <f>Gasto_o_ing_per_capita!E94*100/Gasto_o_ing_per_capita!$D94</f>
        <v>100</v>
      </c>
      <c r="F94" s="336">
        <f>Gasto_o_ing_per_capita!F94*100/Gasto_o_ing_per_capita!$D94</f>
        <v>99.999999999999986</v>
      </c>
      <c r="G94" s="336">
        <f>Gasto_o_ing_per_capita!G94*100/Gasto_o_ing_per_capita!$D94</f>
        <v>100</v>
      </c>
      <c r="H94" s="336">
        <f>Gasto_o_ing_per_capita!H94*100/Gasto_o_ing_per_capita!$D94</f>
        <v>99.999999999999986</v>
      </c>
      <c r="I94" s="336">
        <f>Gasto_o_ing_per_capita!I94*100/Gasto_o_ing_per_capita!$D94</f>
        <v>100</v>
      </c>
      <c r="J94" s="336">
        <f>Gasto_o_ing_per_capita!J94*100/Gasto_o_ing_per_capita!$D94</f>
        <v>100.00000000000001</v>
      </c>
      <c r="K94" s="336">
        <f>Gasto_o_ing_per_capita!K94*100/Gasto_o_ing_per_capita!$D94</f>
        <v>100</v>
      </c>
      <c r="L94" s="336">
        <f>Gasto_o_ing_per_capita!L94*100/Gasto_o_ing_per_capita!$D94</f>
        <v>100</v>
      </c>
      <c r="M94" s="336">
        <f>Gasto_o_ing_per_capita!M94*100/Gasto_o_ing_per_capita!$D94</f>
        <v>99.999999999999986</v>
      </c>
      <c r="N94" s="336">
        <f>Gasto_o_ing_per_capita!N94*100/Gasto_o_ing_per_capita!$D94</f>
        <v>100</v>
      </c>
      <c r="O94" s="336">
        <f>Gasto_o_ing_per_capita!O94*100/Gasto_o_ing_per_capita!$D94</f>
        <v>100</v>
      </c>
      <c r="P94" s="336">
        <f>Gasto_o_ing_per_capita!P94*100/Gasto_o_ing_per_capita!$D94</f>
        <v>99.999999999999986</v>
      </c>
      <c r="Q94" s="336">
        <f>Gasto_o_ing_per_capita!Q94*100/Gasto_o_ing_per_capita!$D94</f>
        <v>100.00000000000001</v>
      </c>
      <c r="R94" s="336">
        <f>Gasto_o_ing_per_capita!R94*100/Gasto_o_ing_per_capita!$D94</f>
        <v>99.999999999999986</v>
      </c>
      <c r="S94" s="336">
        <f>Gasto_o_ing_per_capita!S94*100/Gasto_o_ing_per_capita!$D94</f>
        <v>100</v>
      </c>
      <c r="T94" s="336">
        <f>Gasto_o_ing_per_capita!T94*100/Gasto_o_ing_per_capita!$D94</f>
        <v>100</v>
      </c>
      <c r="U94" s="336">
        <f>Gasto_o_ing_per_capita!U94*100/Gasto_o_ing_per_capita!$D94</f>
        <v>100.00000000000003</v>
      </c>
      <c r="V94" s="336">
        <f>Gasto_o_ing_per_capita!V94*100/Gasto_o_ing_per_capita!$D94</f>
        <v>100</v>
      </c>
    </row>
    <row r="95" spans="1:22" s="102" customFormat="1" ht="13.15">
      <c r="A95" s="355" t="str">
        <f>IF(B95="","",(IF(ISERROR(MATCH(B95,Tot_res!C:C,0)),"Eliminar!!!","")))</f>
        <v/>
      </c>
      <c r="B95" s="115" t="s">
        <v>481</v>
      </c>
      <c r="C95" s="333" t="str">
        <f>VLOOKUP(B95,Tot_res!C:D,2,FALSE)</f>
        <v>Regulación del juego</v>
      </c>
      <c r="D95" s="336">
        <f>Gasto_o_ing_per_capita!D95*100/Gasto_o_ing_per_capita!$D95</f>
        <v>100</v>
      </c>
      <c r="E95" s="336">
        <f>Gasto_o_ing_per_capita!E95*100/Gasto_o_ing_per_capita!$D95</f>
        <v>100.00000000000003</v>
      </c>
      <c r="F95" s="336">
        <f>Gasto_o_ing_per_capita!F95*100/Gasto_o_ing_per_capita!$D95</f>
        <v>100.00000000000003</v>
      </c>
      <c r="G95" s="336">
        <f>Gasto_o_ing_per_capita!G95*100/Gasto_o_ing_per_capita!$D95</f>
        <v>100.00000000000003</v>
      </c>
      <c r="H95" s="336">
        <f>Gasto_o_ing_per_capita!H95*100/Gasto_o_ing_per_capita!$D95</f>
        <v>100.00000000000003</v>
      </c>
      <c r="I95" s="336">
        <f>Gasto_o_ing_per_capita!I95*100/Gasto_o_ing_per_capita!$D95</f>
        <v>100.00000000000003</v>
      </c>
      <c r="J95" s="336">
        <f>Gasto_o_ing_per_capita!J95*100/Gasto_o_ing_per_capita!$D95</f>
        <v>100.00000000000003</v>
      </c>
      <c r="K95" s="336">
        <f>Gasto_o_ing_per_capita!K95*100/Gasto_o_ing_per_capita!$D95</f>
        <v>100.00000000000003</v>
      </c>
      <c r="L95" s="336">
        <f>Gasto_o_ing_per_capita!L95*100/Gasto_o_ing_per_capita!$D95</f>
        <v>100.00000000000004</v>
      </c>
      <c r="M95" s="336">
        <f>Gasto_o_ing_per_capita!M95*100/Gasto_o_ing_per_capita!$D95</f>
        <v>100.00000000000003</v>
      </c>
      <c r="N95" s="336">
        <f>Gasto_o_ing_per_capita!N95*100/Gasto_o_ing_per_capita!$D95</f>
        <v>100.00000000000003</v>
      </c>
      <c r="O95" s="336">
        <f>Gasto_o_ing_per_capita!O95*100/Gasto_o_ing_per_capita!$D95</f>
        <v>100.00000000000003</v>
      </c>
      <c r="P95" s="336">
        <f>Gasto_o_ing_per_capita!P95*100/Gasto_o_ing_per_capita!$D95</f>
        <v>100.00000000000003</v>
      </c>
      <c r="Q95" s="336">
        <f>Gasto_o_ing_per_capita!Q95*100/Gasto_o_ing_per_capita!$D95</f>
        <v>100.00000000000003</v>
      </c>
      <c r="R95" s="336">
        <f>Gasto_o_ing_per_capita!R95*100/Gasto_o_ing_per_capita!$D95</f>
        <v>100</v>
      </c>
      <c r="S95" s="336">
        <f>Gasto_o_ing_per_capita!S95*100/Gasto_o_ing_per_capita!$D95</f>
        <v>100.00000000000003</v>
      </c>
      <c r="T95" s="336">
        <f>Gasto_o_ing_per_capita!T95*100/Gasto_o_ing_per_capita!$D95</f>
        <v>100.00000000000004</v>
      </c>
      <c r="U95" s="336">
        <f>Gasto_o_ing_per_capita!U95*100/Gasto_o_ing_per_capita!$D95</f>
        <v>100.00000000000003</v>
      </c>
      <c r="V95" s="336">
        <f>Gasto_o_ing_per_capita!V95*100/Gasto_o_ing_per_capita!$D95</f>
        <v>100.00000000000003</v>
      </c>
    </row>
    <row r="96" spans="1:22" s="102" customFormat="1" ht="13.15">
      <c r="A96" s="355" t="str">
        <f>IF(B96="","",(IF(ISERROR(MATCH(B96,Tot_res!C:C,0)),"Eliminar!!!","")))</f>
        <v/>
      </c>
      <c r="B96" s="115" t="s">
        <v>632</v>
      </c>
      <c r="C96" s="333" t="str">
        <f>VLOOKUP(B96,Tot_res!C:D,2,FALSE)</f>
        <v>Comisión Nacional de la Competencia</v>
      </c>
      <c r="D96" s="336">
        <f>Gasto_o_ing_per_capita!D96*100/Gasto_o_ing_per_capita!$D96</f>
        <v>100</v>
      </c>
      <c r="E96" s="336">
        <f>Gasto_o_ing_per_capita!E96*100/Gasto_o_ing_per_capita!$D96</f>
        <v>100</v>
      </c>
      <c r="F96" s="336">
        <f>Gasto_o_ing_per_capita!F96*100/Gasto_o_ing_per_capita!$D96</f>
        <v>100.00000000000001</v>
      </c>
      <c r="G96" s="336">
        <f>Gasto_o_ing_per_capita!G96*100/Gasto_o_ing_per_capita!$D96</f>
        <v>100</v>
      </c>
      <c r="H96" s="336">
        <f>Gasto_o_ing_per_capita!H96*100/Gasto_o_ing_per_capita!$D96</f>
        <v>100</v>
      </c>
      <c r="I96" s="336">
        <f>Gasto_o_ing_per_capita!I96*100/Gasto_o_ing_per_capita!$D96</f>
        <v>100</v>
      </c>
      <c r="J96" s="336">
        <f>Gasto_o_ing_per_capita!J96*100/Gasto_o_ing_per_capita!$D96</f>
        <v>99.999999999999986</v>
      </c>
      <c r="K96" s="336">
        <f>Gasto_o_ing_per_capita!K96*100/Gasto_o_ing_per_capita!$D96</f>
        <v>100</v>
      </c>
      <c r="L96" s="336">
        <f>Gasto_o_ing_per_capita!L96*100/Gasto_o_ing_per_capita!$D96</f>
        <v>100.00000000000001</v>
      </c>
      <c r="M96" s="336">
        <f>Gasto_o_ing_per_capita!M96*100/Gasto_o_ing_per_capita!$D96</f>
        <v>100</v>
      </c>
      <c r="N96" s="336">
        <f>Gasto_o_ing_per_capita!N96*100/Gasto_o_ing_per_capita!$D96</f>
        <v>100.00000000000001</v>
      </c>
      <c r="O96" s="336">
        <f>Gasto_o_ing_per_capita!O96*100/Gasto_o_ing_per_capita!$D96</f>
        <v>100</v>
      </c>
      <c r="P96" s="336">
        <f>Gasto_o_ing_per_capita!P96*100/Gasto_o_ing_per_capita!$D96</f>
        <v>100</v>
      </c>
      <c r="Q96" s="336">
        <f>Gasto_o_ing_per_capita!Q96*100/Gasto_o_ing_per_capita!$D96</f>
        <v>100.00000000000001</v>
      </c>
      <c r="R96" s="336">
        <f>Gasto_o_ing_per_capita!R96*100/Gasto_o_ing_per_capita!$D96</f>
        <v>100</v>
      </c>
      <c r="S96" s="336">
        <f>Gasto_o_ing_per_capita!S96*100/Gasto_o_ing_per_capita!$D96</f>
        <v>100</v>
      </c>
      <c r="T96" s="336">
        <f>Gasto_o_ing_per_capita!T96*100/Gasto_o_ing_per_capita!$D96</f>
        <v>100</v>
      </c>
      <c r="U96" s="336">
        <f>Gasto_o_ing_per_capita!U96*100/Gasto_o_ing_per_capita!$D96</f>
        <v>100</v>
      </c>
      <c r="V96" s="336">
        <f>Gasto_o_ing_per_capita!V96*100/Gasto_o_ing_per_capita!$D96</f>
        <v>100</v>
      </c>
    </row>
    <row r="97" spans="1:22" s="102" customFormat="1" ht="13.15">
      <c r="A97" s="355" t="str">
        <f>IF(B97="","",(IF(ISERROR(MATCH(B97,Tot_res!C:C,0)),"Eliminar!!!","")))</f>
        <v/>
      </c>
      <c r="B97" s="115" t="s">
        <v>199</v>
      </c>
      <c r="C97" s="333" t="str">
        <f>VLOOKUP(B97,Tot_res!C:D,2,FALSE)</f>
        <v>Comisión Nacional del Mercado de las Telecomunicaciones</v>
      </c>
      <c r="D97" s="336">
        <f>Gasto_o_ing_per_capita!D97*100/Gasto_o_ing_per_capita!$D97</f>
        <v>100</v>
      </c>
      <c r="E97" s="336">
        <f>Gasto_o_ing_per_capita!E97*100/Gasto_o_ing_per_capita!$D97</f>
        <v>99.999999999999972</v>
      </c>
      <c r="F97" s="336">
        <f>Gasto_o_ing_per_capita!F97*100/Gasto_o_ing_per_capita!$D97</f>
        <v>99.999999999999972</v>
      </c>
      <c r="G97" s="336">
        <f>Gasto_o_ing_per_capita!G97*100/Gasto_o_ing_per_capita!$D97</f>
        <v>99.999999999999972</v>
      </c>
      <c r="H97" s="336">
        <f>Gasto_o_ing_per_capita!H97*100/Gasto_o_ing_per_capita!$D97</f>
        <v>99.999999999999972</v>
      </c>
      <c r="I97" s="336">
        <f>Gasto_o_ing_per_capita!I97*100/Gasto_o_ing_per_capita!$D97</f>
        <v>99.999999999999972</v>
      </c>
      <c r="J97" s="336">
        <f>Gasto_o_ing_per_capita!J97*100/Gasto_o_ing_per_capita!$D97</f>
        <v>99.999999999999972</v>
      </c>
      <c r="K97" s="336">
        <f>Gasto_o_ing_per_capita!K97*100/Gasto_o_ing_per_capita!$D97</f>
        <v>99.999999999999972</v>
      </c>
      <c r="L97" s="336">
        <f>Gasto_o_ing_per_capita!L97*100/Gasto_o_ing_per_capita!$D97</f>
        <v>99.999999999999972</v>
      </c>
      <c r="M97" s="336">
        <f>Gasto_o_ing_per_capita!M97*100/Gasto_o_ing_per_capita!$D97</f>
        <v>99.999999999999972</v>
      </c>
      <c r="N97" s="336">
        <f>Gasto_o_ing_per_capita!N97*100/Gasto_o_ing_per_capita!$D97</f>
        <v>100</v>
      </c>
      <c r="O97" s="336">
        <f>Gasto_o_ing_per_capita!O97*100/Gasto_o_ing_per_capita!$D97</f>
        <v>99.999999999999972</v>
      </c>
      <c r="P97" s="336">
        <f>Gasto_o_ing_per_capita!P97*100/Gasto_o_ing_per_capita!$D97</f>
        <v>99.999999999999972</v>
      </c>
      <c r="Q97" s="336">
        <f>Gasto_o_ing_per_capita!Q97*100/Gasto_o_ing_per_capita!$D97</f>
        <v>100</v>
      </c>
      <c r="R97" s="336">
        <f>Gasto_o_ing_per_capita!R97*100/Gasto_o_ing_per_capita!$D97</f>
        <v>99.999999999999972</v>
      </c>
      <c r="S97" s="336">
        <f>Gasto_o_ing_per_capita!S97*100/Gasto_o_ing_per_capita!$D97</f>
        <v>99.999999999999972</v>
      </c>
      <c r="T97" s="336">
        <f>Gasto_o_ing_per_capita!T97*100/Gasto_o_ing_per_capita!$D97</f>
        <v>99.999999999999972</v>
      </c>
      <c r="U97" s="336">
        <f>Gasto_o_ing_per_capita!U97*100/Gasto_o_ing_per_capita!$D97</f>
        <v>99.999999999999972</v>
      </c>
      <c r="V97" s="336">
        <f>Gasto_o_ing_per_capita!V97*100/Gasto_o_ing_per_capita!$D97</f>
        <v>99.999999999999972</v>
      </c>
    </row>
    <row r="98" spans="1:22" s="102" customFormat="1" ht="13.15">
      <c r="A98" s="355" t="str">
        <f>IF(B98="","",(IF(ISERROR(MATCH(B98,Tot_res!C:C,0)),"Eliminar!!!","")))</f>
        <v/>
      </c>
      <c r="B98" s="115" t="s">
        <v>201</v>
      </c>
      <c r="C98" s="333" t="str">
        <f>VLOOKUP(B98,Tot_res!C:D,2,FALSE)</f>
        <v>Comisión Nacional de Energía</v>
      </c>
      <c r="D98" s="336">
        <f>Gasto_o_ing_per_capita!D98*100/Gasto_o_ing_per_capita!$D98</f>
        <v>100</v>
      </c>
      <c r="E98" s="336">
        <f>Gasto_o_ing_per_capita!E98*100/Gasto_o_ing_per_capita!$D98</f>
        <v>100.00000000000001</v>
      </c>
      <c r="F98" s="336">
        <f>Gasto_o_ing_per_capita!F98*100/Gasto_o_ing_per_capita!$D98</f>
        <v>100.00000000000001</v>
      </c>
      <c r="G98" s="336">
        <f>Gasto_o_ing_per_capita!G98*100/Gasto_o_ing_per_capita!$D98</f>
        <v>100.00000000000003</v>
      </c>
      <c r="H98" s="336">
        <f>Gasto_o_ing_per_capita!H98*100/Gasto_o_ing_per_capita!$D98</f>
        <v>100.00000000000001</v>
      </c>
      <c r="I98" s="336">
        <f>Gasto_o_ing_per_capita!I98*100/Gasto_o_ing_per_capita!$D98</f>
        <v>100</v>
      </c>
      <c r="J98" s="336">
        <f>Gasto_o_ing_per_capita!J98*100/Gasto_o_ing_per_capita!$D98</f>
        <v>100.00000000000001</v>
      </c>
      <c r="K98" s="336">
        <f>Gasto_o_ing_per_capita!K98*100/Gasto_o_ing_per_capita!$D98</f>
        <v>100.00000000000001</v>
      </c>
      <c r="L98" s="336">
        <f>Gasto_o_ing_per_capita!L98*100/Gasto_o_ing_per_capita!$D98</f>
        <v>100.00000000000001</v>
      </c>
      <c r="M98" s="336">
        <f>Gasto_o_ing_per_capita!M98*100/Gasto_o_ing_per_capita!$D98</f>
        <v>100.00000000000001</v>
      </c>
      <c r="N98" s="336">
        <f>Gasto_o_ing_per_capita!N98*100/Gasto_o_ing_per_capita!$D98</f>
        <v>100.00000000000001</v>
      </c>
      <c r="O98" s="336">
        <f>Gasto_o_ing_per_capita!O98*100/Gasto_o_ing_per_capita!$D98</f>
        <v>100.00000000000001</v>
      </c>
      <c r="P98" s="336">
        <f>Gasto_o_ing_per_capita!P98*100/Gasto_o_ing_per_capita!$D98</f>
        <v>100.00000000000001</v>
      </c>
      <c r="Q98" s="336">
        <f>Gasto_o_ing_per_capita!Q98*100/Gasto_o_ing_per_capita!$D98</f>
        <v>100.00000000000001</v>
      </c>
      <c r="R98" s="336">
        <f>Gasto_o_ing_per_capita!R98*100/Gasto_o_ing_per_capita!$D98</f>
        <v>100.00000000000001</v>
      </c>
      <c r="S98" s="336">
        <f>Gasto_o_ing_per_capita!S98*100/Gasto_o_ing_per_capita!$D98</f>
        <v>100.00000000000001</v>
      </c>
      <c r="T98" s="336">
        <f>Gasto_o_ing_per_capita!T98*100/Gasto_o_ing_per_capita!$D98</f>
        <v>100.00000000000001</v>
      </c>
      <c r="U98" s="336">
        <f>Gasto_o_ing_per_capita!U98*100/Gasto_o_ing_per_capita!$D98</f>
        <v>100.00000000000001</v>
      </c>
      <c r="V98" s="336">
        <f>Gasto_o_ing_per_capita!V98*100/Gasto_o_ing_per_capita!$D98</f>
        <v>100.00000000000001</v>
      </c>
    </row>
    <row r="99" spans="1:22" s="102" customFormat="1" ht="13.15">
      <c r="A99" s="355" t="str">
        <f>IF(B99="","",(IF(ISERROR(MATCH(B99,Tot_res!C:C,0)),"Eliminar!!!","")))</f>
        <v/>
      </c>
      <c r="B99" s="115" t="s">
        <v>203</v>
      </c>
      <c r="C99" s="333" t="str">
        <f>VLOOKUP(B99,Tot_res!C:D,2,FALSE)</f>
        <v>Comisión Nacional del Mercado de Valores</v>
      </c>
      <c r="D99" s="336">
        <f>Gasto_o_ing_per_capita!D99*100/Gasto_o_ing_per_capita!$D99</f>
        <v>100</v>
      </c>
      <c r="E99" s="336">
        <f>Gasto_o_ing_per_capita!E99*100/Gasto_o_ing_per_capita!$D99</f>
        <v>100</v>
      </c>
      <c r="F99" s="336">
        <f>Gasto_o_ing_per_capita!F99*100/Gasto_o_ing_per_capita!$D99</f>
        <v>100.00000000000001</v>
      </c>
      <c r="G99" s="336">
        <f>Gasto_o_ing_per_capita!G99*100/Gasto_o_ing_per_capita!$D99</f>
        <v>100</v>
      </c>
      <c r="H99" s="336">
        <f>Gasto_o_ing_per_capita!H99*100/Gasto_o_ing_per_capita!$D99</f>
        <v>99.999999999999986</v>
      </c>
      <c r="I99" s="336">
        <f>Gasto_o_ing_per_capita!I99*100/Gasto_o_ing_per_capita!$D99</f>
        <v>100.00000000000001</v>
      </c>
      <c r="J99" s="336">
        <f>Gasto_o_ing_per_capita!J99*100/Gasto_o_ing_per_capita!$D99</f>
        <v>100.00000000000001</v>
      </c>
      <c r="K99" s="336">
        <f>Gasto_o_ing_per_capita!K99*100/Gasto_o_ing_per_capita!$D99</f>
        <v>100.00000000000001</v>
      </c>
      <c r="L99" s="336">
        <f>Gasto_o_ing_per_capita!L99*100/Gasto_o_ing_per_capita!$D99</f>
        <v>100.00000000000003</v>
      </c>
      <c r="M99" s="336">
        <f>Gasto_o_ing_per_capita!M99*100/Gasto_o_ing_per_capita!$D99</f>
        <v>100</v>
      </c>
      <c r="N99" s="336">
        <f>Gasto_o_ing_per_capita!N99*100/Gasto_o_ing_per_capita!$D99</f>
        <v>100.00000000000001</v>
      </c>
      <c r="O99" s="336">
        <f>Gasto_o_ing_per_capita!O99*100/Gasto_o_ing_per_capita!$D99</f>
        <v>100</v>
      </c>
      <c r="P99" s="336">
        <f>Gasto_o_ing_per_capita!P99*100/Gasto_o_ing_per_capita!$D99</f>
        <v>100.00000000000001</v>
      </c>
      <c r="Q99" s="336">
        <f>Gasto_o_ing_per_capita!Q99*100/Gasto_o_ing_per_capita!$D99</f>
        <v>100.00000000000001</v>
      </c>
      <c r="R99" s="336">
        <f>Gasto_o_ing_per_capita!R99*100/Gasto_o_ing_per_capita!$D99</f>
        <v>99.999999999999986</v>
      </c>
      <c r="S99" s="336">
        <f>Gasto_o_ing_per_capita!S99*100/Gasto_o_ing_per_capita!$D99</f>
        <v>100.00000000000001</v>
      </c>
      <c r="T99" s="336">
        <f>Gasto_o_ing_per_capita!T99*100/Gasto_o_ing_per_capita!$D99</f>
        <v>100.00000000000001</v>
      </c>
      <c r="U99" s="336">
        <f>Gasto_o_ing_per_capita!U99*100/Gasto_o_ing_per_capita!$D99</f>
        <v>100.00000000000001</v>
      </c>
      <c r="V99" s="336">
        <f>Gasto_o_ing_per_capita!V99*100/Gasto_o_ing_per_capita!$D99</f>
        <v>100.00000000000001</v>
      </c>
    </row>
    <row r="100" spans="1:22" s="102" customFormat="1" ht="13.15">
      <c r="A100" s="355" t="str">
        <f>IF(B100="","",(IF(ISERROR(MATCH(B100,Tot_res!C:C,0)),"Eliminar!!!","")))</f>
        <v/>
      </c>
      <c r="B100" s="115" t="s">
        <v>205</v>
      </c>
      <c r="C100" s="333" t="str">
        <f>VLOOKUP(B100,Tot_res!C:D,2,FALSE)</f>
        <v>Banco de España</v>
      </c>
      <c r="D100" s="336">
        <f>Gasto_o_ing_per_capita!D100*100/Gasto_o_ing_per_capita!$D100</f>
        <v>100</v>
      </c>
      <c r="E100" s="336">
        <f>Gasto_o_ing_per_capita!E100*100/Gasto_o_ing_per_capita!$D100</f>
        <v>100</v>
      </c>
      <c r="F100" s="336">
        <f>Gasto_o_ing_per_capita!F100*100/Gasto_o_ing_per_capita!$D100</f>
        <v>100</v>
      </c>
      <c r="G100" s="336">
        <f>Gasto_o_ing_per_capita!G100*100/Gasto_o_ing_per_capita!$D100</f>
        <v>100.00000000000003</v>
      </c>
      <c r="H100" s="336">
        <f>Gasto_o_ing_per_capita!H100*100/Gasto_o_ing_per_capita!$D100</f>
        <v>100</v>
      </c>
      <c r="I100" s="336">
        <f>Gasto_o_ing_per_capita!I100*100/Gasto_o_ing_per_capita!$D100</f>
        <v>100.00000000000003</v>
      </c>
      <c r="J100" s="336">
        <f>Gasto_o_ing_per_capita!J100*100/Gasto_o_ing_per_capita!$D100</f>
        <v>100</v>
      </c>
      <c r="K100" s="336">
        <f>Gasto_o_ing_per_capita!K100*100/Gasto_o_ing_per_capita!$D100</f>
        <v>100</v>
      </c>
      <c r="L100" s="336">
        <f>Gasto_o_ing_per_capita!L100*100/Gasto_o_ing_per_capita!$D100</f>
        <v>100.00000000000003</v>
      </c>
      <c r="M100" s="336">
        <f>Gasto_o_ing_per_capita!M100*100/Gasto_o_ing_per_capita!$D100</f>
        <v>100.00000000000003</v>
      </c>
      <c r="N100" s="336">
        <f>Gasto_o_ing_per_capita!N100*100/Gasto_o_ing_per_capita!$D100</f>
        <v>100.00000000000003</v>
      </c>
      <c r="O100" s="336">
        <f>Gasto_o_ing_per_capita!O100*100/Gasto_o_ing_per_capita!$D100</f>
        <v>100</v>
      </c>
      <c r="P100" s="336">
        <f>Gasto_o_ing_per_capita!P100*100/Gasto_o_ing_per_capita!$D100</f>
        <v>100</v>
      </c>
      <c r="Q100" s="336">
        <f>Gasto_o_ing_per_capita!Q100*100/Gasto_o_ing_per_capita!$D100</f>
        <v>100</v>
      </c>
      <c r="R100" s="336">
        <f>Gasto_o_ing_per_capita!R100*100/Gasto_o_ing_per_capita!$D100</f>
        <v>100</v>
      </c>
      <c r="S100" s="336">
        <f>Gasto_o_ing_per_capita!S100*100/Gasto_o_ing_per_capita!$D100</f>
        <v>100</v>
      </c>
      <c r="T100" s="336">
        <f>Gasto_o_ing_per_capita!T100*100/Gasto_o_ing_per_capita!$D100</f>
        <v>100</v>
      </c>
      <c r="U100" s="336">
        <f>Gasto_o_ing_per_capita!U100*100/Gasto_o_ing_per_capita!$D100</f>
        <v>100</v>
      </c>
      <c r="V100" s="336">
        <f>Gasto_o_ing_per_capita!V100*100/Gasto_o_ing_per_capita!$D100</f>
        <v>100</v>
      </c>
    </row>
    <row r="101" spans="1:22" s="102" customFormat="1" ht="13.15">
      <c r="A101" s="356"/>
      <c r="B101" s="115"/>
      <c r="D101" s="110"/>
      <c r="E101" s="110"/>
      <c r="F101" s="110"/>
      <c r="G101" s="110"/>
      <c r="H101" s="110"/>
      <c r="I101" s="110"/>
      <c r="J101" s="110"/>
      <c r="K101" s="110"/>
      <c r="L101" s="110"/>
      <c r="M101" s="110"/>
      <c r="N101" s="110"/>
      <c r="O101" s="110"/>
      <c r="P101" s="110"/>
      <c r="Q101" s="110"/>
      <c r="R101" s="110"/>
      <c r="S101" s="110"/>
      <c r="T101" s="110"/>
      <c r="U101" s="110"/>
      <c r="V101" s="110"/>
    </row>
    <row r="102" spans="1:22" s="102" customFormat="1" ht="13.15">
      <c r="A102" s="356"/>
      <c r="B102" s="115"/>
      <c r="D102" s="110"/>
      <c r="E102" s="110"/>
      <c r="F102" s="110"/>
      <c r="G102" s="110"/>
      <c r="H102" s="110"/>
      <c r="I102" s="110"/>
      <c r="J102" s="110"/>
      <c r="K102" s="110"/>
      <c r="L102" s="110"/>
      <c r="M102" s="110"/>
      <c r="N102" s="110"/>
      <c r="O102" s="110"/>
      <c r="P102" s="110"/>
      <c r="Q102" s="110"/>
      <c r="R102" s="110"/>
      <c r="S102" s="110"/>
      <c r="T102" s="110"/>
      <c r="U102" s="110"/>
      <c r="V102" s="110"/>
    </row>
    <row r="103" spans="1:22" s="102" customFormat="1" ht="13.15">
      <c r="A103" s="356"/>
      <c r="B103" s="115"/>
      <c r="C103" s="134" t="s">
        <v>77</v>
      </c>
      <c r="D103" s="110">
        <f>Gasto_o_ing_per_capita!D103*100/Gasto_o_ing_per_capita!$D103</f>
        <v>100.00000000000001</v>
      </c>
      <c r="E103" s="110">
        <f>Gasto_o_ing_per_capita!E103*100/Gasto_o_ing_per_capita!$D103</f>
        <v>92.443192678613826</v>
      </c>
      <c r="F103" s="110">
        <f>Gasto_o_ing_per_capita!F103*100/Gasto_o_ing_per_capita!$D103</f>
        <v>109.71658438910478</v>
      </c>
      <c r="G103" s="110">
        <f>Gasto_o_ing_per_capita!G103*100/Gasto_o_ing_per_capita!$D103</f>
        <v>108.41204014124077</v>
      </c>
      <c r="H103" s="110">
        <f>Gasto_o_ing_per_capita!H103*100/Gasto_o_ing_per_capita!$D103</f>
        <v>101.64549453096612</v>
      </c>
      <c r="I103" s="110">
        <f>Gasto_o_ing_per_capita!I103*100/Gasto_o_ing_per_capita!$D103</f>
        <v>110.49865302050837</v>
      </c>
      <c r="J103" s="110">
        <f>Gasto_o_ing_per_capita!J103*100/Gasto_o_ing_per_capita!$D103</f>
        <v>113.0136681937506</v>
      </c>
      <c r="K103" s="110">
        <f>Gasto_o_ing_per_capita!K103*100/Gasto_o_ing_per_capita!$D103</f>
        <v>113.16415518254527</v>
      </c>
      <c r="L103" s="110">
        <f>Gasto_o_ing_per_capita!L103*100/Gasto_o_ing_per_capita!$D103</f>
        <v>96.143549652774055</v>
      </c>
      <c r="M103" s="110">
        <f>Gasto_o_ing_per_capita!M103*100/Gasto_o_ing_per_capita!$D103</f>
        <v>99.398673809018661</v>
      </c>
      <c r="N103" s="110">
        <f>Gasto_o_ing_per_capita!N103*100/Gasto_o_ing_per_capita!$D103</f>
        <v>85.13620565220512</v>
      </c>
      <c r="O103" s="110">
        <f>Gasto_o_ing_per_capita!O103*100/Gasto_o_ing_per_capita!$D103</f>
        <v>114.16241239231931</v>
      </c>
      <c r="P103" s="110">
        <f>Gasto_o_ing_per_capita!P103*100/Gasto_o_ing_per_capita!$D103</f>
        <v>101.97311615002954</v>
      </c>
      <c r="Q103" s="110">
        <f>Gasto_o_ing_per_capita!Q103*100/Gasto_o_ing_per_capita!$D103</f>
        <v>92.026817711605688</v>
      </c>
      <c r="R103" s="110">
        <f>Gasto_o_ing_per_capita!R103*100/Gasto_o_ing_per_capita!$D103</f>
        <v>85.983964027569613</v>
      </c>
      <c r="S103" s="110">
        <f>Gasto_o_ing_per_capita!S103*100/Gasto_o_ing_per_capita!$D103</f>
        <v>110.18753853383619</v>
      </c>
      <c r="T103" s="110">
        <f>Gasto_o_ing_per_capita!T103*100/Gasto_o_ing_per_capita!$D103</f>
        <v>144.24374762860765</v>
      </c>
      <c r="U103" s="110">
        <f>Gasto_o_ing_per_capita!U103*100/Gasto_o_ing_per_capita!$D103</f>
        <v>108.7197196914892</v>
      </c>
      <c r="V103" s="110">
        <f>Gasto_o_ing_per_capita!V103*100/Gasto_o_ing_per_capita!$D103</f>
        <v>157.70515084415479</v>
      </c>
    </row>
    <row r="104" spans="1:22" s="102" customFormat="1" ht="13.15">
      <c r="A104" s="356"/>
      <c r="B104" s="115"/>
      <c r="C104" s="134" t="s">
        <v>44</v>
      </c>
      <c r="D104" s="110">
        <f>Gasto_o_ing_per_capita!D104*100/Gasto_o_ing_per_capita!$D104</f>
        <v>100</v>
      </c>
      <c r="E104" s="110">
        <f>Gasto_o_ing_per_capita!E104*100/Gasto_o_ing_per_capita!$D104</f>
        <v>91.279228904238281</v>
      </c>
      <c r="F104" s="110">
        <f>Gasto_o_ing_per_capita!F104*100/Gasto_o_ing_per_capita!$D104</f>
        <v>108.99403957510721</v>
      </c>
      <c r="G104" s="110">
        <f>Gasto_o_ing_per_capita!G104*100/Gasto_o_ing_per_capita!$D104</f>
        <v>105.20129106860742</v>
      </c>
      <c r="H104" s="110">
        <f>Gasto_o_ing_per_capita!H104*100/Gasto_o_ing_per_capita!$D104</f>
        <v>98.748640853676051</v>
      </c>
      <c r="I104" s="110">
        <f>Gasto_o_ing_per_capita!I104*100/Gasto_o_ing_per_capita!$D104</f>
        <v>111.27272789073415</v>
      </c>
      <c r="J104" s="110">
        <f>Gasto_o_ing_per_capita!J104*100/Gasto_o_ing_per_capita!$D104</f>
        <v>110.9314511982533</v>
      </c>
      <c r="K104" s="110">
        <f>Gasto_o_ing_per_capita!K104*100/Gasto_o_ing_per_capita!$D104</f>
        <v>113.00737666941755</v>
      </c>
      <c r="L104" s="110">
        <f>Gasto_o_ing_per_capita!L104*100/Gasto_o_ing_per_capita!$D104</f>
        <v>98.636156686922533</v>
      </c>
      <c r="M104" s="110">
        <f>Gasto_o_ing_per_capita!M104*100/Gasto_o_ing_per_capita!$D104</f>
        <v>95.891443447045248</v>
      </c>
      <c r="N104" s="110">
        <f>Gasto_o_ing_per_capita!N104*100/Gasto_o_ing_per_capita!$D104</f>
        <v>84.011013301675845</v>
      </c>
      <c r="O104" s="110">
        <f>Gasto_o_ing_per_capita!O104*100/Gasto_o_ing_per_capita!$D104</f>
        <v>110.04047326425557</v>
      </c>
      <c r="P104" s="110">
        <f>Gasto_o_ing_per_capita!P104*100/Gasto_o_ing_per_capita!$D104</f>
        <v>101.97259636673884</v>
      </c>
      <c r="Q104" s="110">
        <f>Gasto_o_ing_per_capita!Q104*100/Gasto_o_ing_per_capita!$D104</f>
        <v>94.136282991451552</v>
      </c>
      <c r="R104" s="110">
        <f>Gasto_o_ing_per_capita!R104*100/Gasto_o_ing_per_capita!$D104</f>
        <v>84.701497317966215</v>
      </c>
      <c r="S104" s="110">
        <f>Gasto_o_ing_per_capita!S104*100/Gasto_o_ing_per_capita!$D104</f>
        <v>126.1914326604806</v>
      </c>
      <c r="T104" s="110">
        <f>Gasto_o_ing_per_capita!T104*100/Gasto_o_ing_per_capita!$D104</f>
        <v>156.31254965223127</v>
      </c>
      <c r="U104" s="110">
        <f>Gasto_o_ing_per_capita!U104*100/Gasto_o_ing_per_capita!$D104</f>
        <v>108.64422941022393</v>
      </c>
      <c r="V104" s="110">
        <f>Gasto_o_ing_per_capita!V104*100/Gasto_o_ing_per_capita!$D104</f>
        <v>159.90851145298029</v>
      </c>
    </row>
    <row r="105" spans="1:22" s="102" customFormat="1" ht="13.15">
      <c r="A105" s="356"/>
      <c r="B105" s="115"/>
      <c r="C105" s="129"/>
      <c r="D105" s="110"/>
      <c r="E105" s="110"/>
      <c r="F105" s="110"/>
      <c r="G105" s="110"/>
      <c r="H105" s="110"/>
      <c r="I105" s="110"/>
      <c r="J105" s="110"/>
      <c r="K105" s="110"/>
      <c r="L105" s="110"/>
      <c r="M105" s="110"/>
      <c r="N105" s="110"/>
      <c r="O105" s="110"/>
      <c r="P105" s="110"/>
      <c r="Q105" s="110"/>
      <c r="R105" s="110"/>
      <c r="S105" s="110"/>
      <c r="T105" s="110"/>
      <c r="U105" s="110"/>
      <c r="V105" s="110"/>
    </row>
    <row r="106" spans="1:22" s="102" customFormat="1" ht="13.15">
      <c r="A106" s="356"/>
      <c r="B106" s="115"/>
      <c r="C106" s="128" t="s">
        <v>43</v>
      </c>
      <c r="D106" s="113">
        <f>Gasto_o_ing_per_capita!D106*100/Gasto_o_ing_per_capita!$D106</f>
        <v>100</v>
      </c>
      <c r="E106" s="113">
        <f>Gasto_o_ing_per_capita!E106*100/Gasto_o_ing_per_capita!$D106</f>
        <v>90.173488789151534</v>
      </c>
      <c r="F106" s="113">
        <f>Gasto_o_ing_per_capita!F106*100/Gasto_o_ing_per_capita!$D106</f>
        <v>108.27573774044802</v>
      </c>
      <c r="G106" s="113">
        <f>Gasto_o_ing_per_capita!G106*100/Gasto_o_ing_per_capita!$D106</f>
        <v>111.4427952106317</v>
      </c>
      <c r="H106" s="113">
        <f>Gasto_o_ing_per_capita!H106*100/Gasto_o_ing_per_capita!$D106</f>
        <v>100.35260670245647</v>
      </c>
      <c r="I106" s="113">
        <f>Gasto_o_ing_per_capita!I106*100/Gasto_o_ing_per_capita!$D106</f>
        <v>97.786902335378088</v>
      </c>
      <c r="J106" s="113">
        <f>Gasto_o_ing_per_capita!J106*100/Gasto_o_ing_per_capita!$D106</f>
        <v>121.60976863753359</v>
      </c>
      <c r="K106" s="113">
        <f>Gasto_o_ing_per_capita!K106*100/Gasto_o_ing_per_capita!$D106</f>
        <v>112.63191745669553</v>
      </c>
      <c r="L106" s="113">
        <f>Gasto_o_ing_per_capita!L106*100/Gasto_o_ing_per_capita!$D106</f>
        <v>96.322136187856074</v>
      </c>
      <c r="M106" s="113">
        <f>Gasto_o_ing_per_capita!M106*100/Gasto_o_ing_per_capita!$D106</f>
        <v>97.726653106435535</v>
      </c>
      <c r="N106" s="113">
        <f>Gasto_o_ing_per_capita!N106*100/Gasto_o_ing_per_capita!$D106</f>
        <v>86.578633114768138</v>
      </c>
      <c r="O106" s="113">
        <f>Gasto_o_ing_per_capita!O106*100/Gasto_o_ing_per_capita!$D106</f>
        <v>118.15125996433048</v>
      </c>
      <c r="P106" s="113">
        <f>Gasto_o_ing_per_capita!P106*100/Gasto_o_ing_per_capita!$D106</f>
        <v>108.05030598102252</v>
      </c>
      <c r="Q106" s="113">
        <f>Gasto_o_ing_per_capita!Q106*100/Gasto_o_ing_per_capita!$D106</f>
        <v>83.553722235205697</v>
      </c>
      <c r="R106" s="113">
        <f>Gasto_o_ing_per_capita!R106*100/Gasto_o_ing_per_capita!$D106</f>
        <v>89.401070936530971</v>
      </c>
      <c r="S106" s="113">
        <f>Gasto_o_ing_per_capita!S106*100/Gasto_o_ing_per_capita!$D106</f>
        <v>123.42094912931246</v>
      </c>
      <c r="T106" s="113">
        <f>Gasto_o_ing_per_capita!T106*100/Gasto_o_ing_per_capita!$D106</f>
        <v>171.86879059087647</v>
      </c>
      <c r="U106" s="113">
        <f>Gasto_o_ing_per_capita!U106*100/Gasto_o_ing_per_capita!$D106</f>
        <v>115.13361620629821</v>
      </c>
      <c r="V106" s="113">
        <f>Gasto_o_ing_per_capita!V106*100/Gasto_o_ing_per_capita!$D106</f>
        <v>186.75767700243372</v>
      </c>
    </row>
    <row r="107" spans="1:22" s="102" customFormat="1" ht="13.15">
      <c r="A107" s="356"/>
      <c r="B107" s="115"/>
      <c r="C107" s="129"/>
      <c r="D107" s="110"/>
      <c r="E107" s="110"/>
      <c r="F107" s="110"/>
      <c r="G107" s="110"/>
      <c r="H107" s="110"/>
      <c r="I107" s="110"/>
      <c r="J107" s="110"/>
      <c r="K107" s="110"/>
      <c r="L107" s="110"/>
      <c r="M107" s="110"/>
      <c r="N107" s="110"/>
      <c r="O107" s="110"/>
      <c r="P107" s="110"/>
      <c r="Q107" s="110"/>
      <c r="R107" s="110"/>
      <c r="S107" s="110"/>
      <c r="T107" s="110"/>
      <c r="U107" s="110"/>
      <c r="V107" s="110"/>
    </row>
    <row r="108" spans="1:22" s="102" customFormat="1" ht="26.3">
      <c r="A108" s="356"/>
      <c r="B108" s="137"/>
      <c r="C108" s="128" t="s">
        <v>207</v>
      </c>
      <c r="D108" s="113">
        <f>Gasto_o_ing_per_capita!D108*100/Gasto_o_ing_per_capita!$D108</f>
        <v>100</v>
      </c>
      <c r="E108" s="113">
        <f>Gasto_o_ing_per_capita!E108*100/Gasto_o_ing_per_capita!$D108</f>
        <v>99.165444813579811</v>
      </c>
      <c r="F108" s="113">
        <f>Gasto_o_ing_per_capita!F108*100/Gasto_o_ing_per_capita!$D108</f>
        <v>117.72975491240871</v>
      </c>
      <c r="G108" s="113">
        <f>Gasto_o_ing_per_capita!G108*100/Gasto_o_ing_per_capita!$D108</f>
        <v>116.91018981217525</v>
      </c>
      <c r="H108" s="113">
        <f>Gasto_o_ing_per_capita!H108*100/Gasto_o_ing_per_capita!$D108</f>
        <v>104.55111827614191</v>
      </c>
      <c r="I108" s="113">
        <f>Gasto_o_ing_per_capita!I108*100/Gasto_o_ing_per_capita!$D108</f>
        <v>112.01788056653582</v>
      </c>
      <c r="J108" s="113">
        <f>Gasto_o_ing_per_capita!J108*100/Gasto_o_ing_per_capita!$D108</f>
        <v>137.28836523262189</v>
      </c>
      <c r="K108" s="113">
        <f>Gasto_o_ing_per_capita!K108*100/Gasto_o_ing_per_capita!$D108</f>
        <v>120.58048691910938</v>
      </c>
      <c r="L108" s="113">
        <f>Gasto_o_ing_per_capita!L108*100/Gasto_o_ing_per_capita!$D108</f>
        <v>108.02961664994601</v>
      </c>
      <c r="M108" s="113">
        <f>Gasto_o_ing_per_capita!M108*100/Gasto_o_ing_per_capita!$D108</f>
        <v>112.47917989114725</v>
      </c>
      <c r="N108" s="113">
        <f>Gasto_o_ing_per_capita!N108*100/Gasto_o_ing_per_capita!$D108</f>
        <v>92.734915829428829</v>
      </c>
      <c r="O108" s="113">
        <f>Gasto_o_ing_per_capita!O108*100/Gasto_o_ing_per_capita!$D108</f>
        <v>119.26286479493757</v>
      </c>
      <c r="P108" s="113">
        <f>Gasto_o_ing_per_capita!P108*100/Gasto_o_ing_per_capita!$D108</f>
        <v>119.8864081708019</v>
      </c>
      <c r="Q108" s="113">
        <f>Gasto_o_ing_per_capita!Q108*100/Gasto_o_ing_per_capita!$D108</f>
        <v>100.85800863129867</v>
      </c>
      <c r="R108" s="113">
        <f>Gasto_o_ing_per_capita!R108*100/Gasto_o_ing_per_capita!$D108</f>
        <v>94.032165539989123</v>
      </c>
      <c r="S108" s="113">
        <f>Gasto_o_ing_per_capita!S108*100/Gasto_o_ing_per_capita!$D108</f>
        <v>0</v>
      </c>
      <c r="T108" s="113">
        <f>Gasto_o_ing_per_capita!T108*100/Gasto_o_ing_per_capita!$D108</f>
        <v>0</v>
      </c>
      <c r="U108" s="113">
        <f>Gasto_o_ing_per_capita!U108*100/Gasto_o_ing_per_capita!$D108</f>
        <v>134.04244678404601</v>
      </c>
      <c r="V108" s="113">
        <f>Gasto_o_ing_per_capita!V108*100/Gasto_o_ing_per_capita!$D108</f>
        <v>21.545953376114177</v>
      </c>
    </row>
    <row r="109" spans="1:22" s="102" customFormat="1" ht="13.15">
      <c r="A109" s="355" t="str">
        <f>IF(B109="","",(IF(ISERROR(MATCH(B109,Tot_res!C:C,0)),"Eliminar!!!","")))</f>
        <v/>
      </c>
      <c r="B109" s="102" t="s">
        <v>1006</v>
      </c>
      <c r="C109" s="333" t="str">
        <f>VLOOKUP(B109,Tot_res!C:D,2,FALSE)</f>
        <v>Transferencias a Comunidades Autónomas por participación en ingresos del Estado</v>
      </c>
      <c r="D109" s="336">
        <f>Gasto_o_ing_per_capita!D109*100/Gasto_o_ing_per_capita!$D109</f>
        <v>100</v>
      </c>
      <c r="E109" s="336">
        <f>Gasto_o_ing_per_capita!E109*100/Gasto_o_ing_per_capita!$D109</f>
        <v>149.21453053301127</v>
      </c>
      <c r="F109" s="336">
        <f>Gasto_o_ing_per_capita!F109*100/Gasto_o_ing_per_capita!$D109</f>
        <v>99.911804828874637</v>
      </c>
      <c r="G109" s="336">
        <f>Gasto_o_ing_per_capita!G109*100/Gasto_o_ing_per_capita!$D109</f>
        <v>114.90796316551499</v>
      </c>
      <c r="H109" s="336">
        <f>Gasto_o_ing_per_capita!H109*100/Gasto_o_ing_per_capita!$D109</f>
        <v>111.17510311056158</v>
      </c>
      <c r="I109" s="336">
        <f>Gasto_o_ing_per_capita!I109*100/Gasto_o_ing_per_capita!$D109</f>
        <v>305.24499661278719</v>
      </c>
      <c r="J109" s="336">
        <f>Gasto_o_ing_per_capita!J109*100/Gasto_o_ing_per_capita!$D109</f>
        <v>203.21094558638254</v>
      </c>
      <c r="K109" s="336">
        <f>Gasto_o_ing_per_capita!K109*100/Gasto_o_ing_per_capita!$D109</f>
        <v>139.31161811934984</v>
      </c>
      <c r="L109" s="336">
        <f>Gasto_o_ing_per_capita!L109*100/Gasto_o_ing_per_capita!$D109</f>
        <v>145.20590116165354</v>
      </c>
      <c r="M109" s="336">
        <f>Gasto_o_ing_per_capita!M109*100/Gasto_o_ing_per_capita!$D109</f>
        <v>43.032236123500738</v>
      </c>
      <c r="N109" s="336">
        <f>Gasto_o_ing_per_capita!N109*100/Gasto_o_ing_per_capita!$D109</f>
        <v>124.89294060341433</v>
      </c>
      <c r="O109" s="336">
        <f>Gasto_o_ing_per_capita!O109*100/Gasto_o_ing_per_capita!$D109</f>
        <v>252.31392400250061</v>
      </c>
      <c r="P109" s="336">
        <f>Gasto_o_ing_per_capita!P109*100/Gasto_o_ing_per_capita!$D109</f>
        <v>181.14285335944822</v>
      </c>
      <c r="Q109" s="336">
        <f>Gasto_o_ing_per_capita!Q109*100/Gasto_o_ing_per_capita!$D109</f>
        <v>-57.31838843079975</v>
      </c>
      <c r="R109" s="336">
        <f>Gasto_o_ing_per_capita!R109*100/Gasto_o_ing_per_capita!$D109</f>
        <v>124.28744151298886</v>
      </c>
      <c r="S109" s="336">
        <f>Gasto_o_ing_per_capita!S109*100/Gasto_o_ing_per_capita!$D109</f>
        <v>0</v>
      </c>
      <c r="T109" s="336">
        <f>Gasto_o_ing_per_capita!T109*100/Gasto_o_ing_per_capita!$D109</f>
        <v>0</v>
      </c>
      <c r="U109" s="336">
        <f>Gasto_o_ing_per_capita!U109*100/Gasto_o_ing_per_capita!$D109</f>
        <v>246.56832872252861</v>
      </c>
      <c r="V109" s="336">
        <f>Gasto_o_ing_per_capita!V109*100/Gasto_o_ing_per_capita!$D109</f>
        <v>106.62854663406553</v>
      </c>
    </row>
    <row r="110" spans="1:22" s="102" customFormat="1" ht="13.15">
      <c r="A110" s="355" t="str">
        <f>IF(B110="","",(IF(ISERROR(MATCH(B110,Tot_res!C:C,0)),"Eliminar!!!","")))</f>
        <v/>
      </c>
      <c r="B110" s="115" t="s">
        <v>208</v>
      </c>
      <c r="C110" s="333" t="str">
        <f>VLOOKUP(B110,Tot_res!C:D,2,FALSE)</f>
        <v>Transferencias al Estado por Fondos de Suficiencia negativos</v>
      </c>
      <c r="D110" s="336">
        <f>Gasto_o_ing_per_capita!D110*100/Gasto_o_ing_per_capita!$D110</f>
        <v>100</v>
      </c>
      <c r="E110" s="336">
        <f>Gasto_o_ing_per_capita!E110*100/Gasto_o_ing_per_capita!$D110</f>
        <v>13.404418664069809</v>
      </c>
      <c r="F110" s="336">
        <f>Gasto_o_ing_per_capita!F110*100/Gasto_o_ing_per_capita!$D110</f>
        <v>32.549408519235328</v>
      </c>
      <c r="G110" s="336">
        <f>Gasto_o_ing_per_capita!G110*100/Gasto_o_ing_per_capita!$D110</f>
        <v>22.305457737386437</v>
      </c>
      <c r="H110" s="336">
        <f>Gasto_o_ing_per_capita!H110*100/Gasto_o_ing_per_capita!$D110</f>
        <v>815.6367565245198</v>
      </c>
      <c r="I110" s="336">
        <f>Gasto_o_ing_per_capita!I110*100/Gasto_o_ing_per_capita!$D110</f>
        <v>28.594532932546379</v>
      </c>
      <c r="J110" s="336">
        <f>Gasto_o_ing_per_capita!J110*100/Gasto_o_ing_per_capita!$D110</f>
        <v>0</v>
      </c>
      <c r="K110" s="336">
        <f>Gasto_o_ing_per_capita!K110*100/Gasto_o_ing_per_capita!$D110</f>
        <v>17.477919012560168</v>
      </c>
      <c r="L110" s="336">
        <f>Gasto_o_ing_per_capita!L110*100/Gasto_o_ing_per_capita!$D110</f>
        <v>0</v>
      </c>
      <c r="M110" s="336">
        <f>Gasto_o_ing_per_capita!M110*100/Gasto_o_ing_per_capita!$D110</f>
        <v>29.266594780623276</v>
      </c>
      <c r="N110" s="336">
        <f>Gasto_o_ing_per_capita!N110*100/Gasto_o_ing_per_capita!$D110</f>
        <v>377.13056204856662</v>
      </c>
      <c r="O110" s="336">
        <f>Gasto_o_ing_per_capita!O110*100/Gasto_o_ing_per_capita!$D110</f>
        <v>15.600681921436312</v>
      </c>
      <c r="P110" s="336">
        <f>Gasto_o_ing_per_capita!P110*100/Gasto_o_ing_per_capita!$D110</f>
        <v>24.409588279681127</v>
      </c>
      <c r="Q110" s="336">
        <f>Gasto_o_ing_per_capita!Q110*100/Gasto_o_ing_per_capita!$D110</f>
        <v>161.88358500170085</v>
      </c>
      <c r="R110" s="336">
        <f>Gasto_o_ing_per_capita!R110*100/Gasto_o_ing_per_capita!$D110</f>
        <v>148.23187969722332</v>
      </c>
      <c r="S110" s="336">
        <f>Gasto_o_ing_per_capita!S110*100/Gasto_o_ing_per_capita!$D110</f>
        <v>0</v>
      </c>
      <c r="T110" s="336">
        <f>Gasto_o_ing_per_capita!T110*100/Gasto_o_ing_per_capita!$D110</f>
        <v>0</v>
      </c>
      <c r="U110" s="336">
        <f>Gasto_o_ing_per_capita!U110*100/Gasto_o_ing_per_capita!$D110</f>
        <v>81.760788497662915</v>
      </c>
      <c r="V110" s="336">
        <f>Gasto_o_ing_per_capita!V110*100/Gasto_o_ing_per_capita!$D110</f>
        <v>12.160644525853504</v>
      </c>
    </row>
    <row r="111" spans="1:22" s="102" customFormat="1" ht="13.15">
      <c r="A111" s="355" t="str">
        <f>IF(B111="","",(IF(ISERROR(MATCH(B111,Tot_res!C:C,0)),"Eliminar!!!","")))</f>
        <v/>
      </c>
      <c r="B111" s="115" t="s">
        <v>209</v>
      </c>
      <c r="C111" s="333" t="str">
        <f>VLOOKUP(B111,Tot_res!C:D,2,FALSE)</f>
        <v>Otros Flujos de financiación regional, en parte extrapresupuestarios</v>
      </c>
      <c r="D111" s="336">
        <f>Gasto_o_ing_per_capita!D111*100/Gasto_o_ing_per_capita!$D111</f>
        <v>100</v>
      </c>
      <c r="E111" s="336">
        <f>Gasto_o_ing_per_capita!E111*100/Gasto_o_ing_per_capita!$D111</f>
        <v>138.70370697714174</v>
      </c>
      <c r="F111" s="336">
        <f>Gasto_o_ing_per_capita!F111*100/Gasto_o_ing_per_capita!$D111</f>
        <v>129.80395662662613</v>
      </c>
      <c r="G111" s="336">
        <f>Gasto_o_ing_per_capita!G111*100/Gasto_o_ing_per_capita!$D111</f>
        <v>136.89773095559195</v>
      </c>
      <c r="H111" s="336">
        <f>Gasto_o_ing_per_capita!H111*100/Gasto_o_ing_per_capita!$D111</f>
        <v>57.72143030733195</v>
      </c>
      <c r="I111" s="336">
        <f>Gasto_o_ing_per_capita!I111*100/Gasto_o_ing_per_capita!$D111</f>
        <v>130.78226831246729</v>
      </c>
      <c r="J111" s="336">
        <f>Gasto_o_ing_per_capita!J111*100/Gasto_o_ing_per_capita!$D111</f>
        <v>154.52970117127168</v>
      </c>
      <c r="K111" s="336">
        <f>Gasto_o_ing_per_capita!K111*100/Gasto_o_ing_per_capita!$D111</f>
        <v>143.60358413865725</v>
      </c>
      <c r="L111" s="336">
        <f>Gasto_o_ing_per_capita!L111*100/Gasto_o_ing_per_capita!$D111</f>
        <v>119.79413978959643</v>
      </c>
      <c r="M111" s="336">
        <f>Gasto_o_ing_per_capita!M111*100/Gasto_o_ing_per_capita!$D111</f>
        <v>82.434031596966662</v>
      </c>
      <c r="N111" s="336">
        <f>Gasto_o_ing_per_capita!N111*100/Gasto_o_ing_per_capita!$D111</f>
        <v>87.952952089285503</v>
      </c>
      <c r="O111" s="336">
        <f>Gasto_o_ing_per_capita!O111*100/Gasto_o_ing_per_capita!$D111</f>
        <v>175.97302227060487</v>
      </c>
      <c r="P111" s="336">
        <f>Gasto_o_ing_per_capita!P111*100/Gasto_o_ing_per_capita!$D111</f>
        <v>150.00647744644817</v>
      </c>
      <c r="Q111" s="336">
        <f>Gasto_o_ing_per_capita!Q111*100/Gasto_o_ing_per_capita!$D111</f>
        <v>45.75811272093118</v>
      </c>
      <c r="R111" s="336">
        <f>Gasto_o_ing_per_capita!R111*100/Gasto_o_ing_per_capita!$D111</f>
        <v>99.003828285128378</v>
      </c>
      <c r="S111" s="336">
        <f>Gasto_o_ing_per_capita!S111*100/Gasto_o_ing_per_capita!$D111</f>
        <v>0</v>
      </c>
      <c r="T111" s="336">
        <f>Gasto_o_ing_per_capita!T111*100/Gasto_o_ing_per_capita!$D111</f>
        <v>0</v>
      </c>
      <c r="U111" s="336">
        <f>Gasto_o_ing_per_capita!U111*100/Gasto_o_ing_per_capita!$D111</f>
        <v>150.26971063657035</v>
      </c>
      <c r="V111" s="336">
        <f>Gasto_o_ing_per_capita!V111*100/Gasto_o_ing_per_capita!$D111</f>
        <v>13.956846388654986</v>
      </c>
    </row>
    <row r="112" spans="1:22" s="102" customFormat="1" ht="13.15">
      <c r="A112" s="355" t="str">
        <f>IF(B112="","",(IF(ISERROR(MATCH(B112,Tot_res!C:C,0)),"Eliminar!!!","")))</f>
        <v/>
      </c>
      <c r="B112" s="115" t="s">
        <v>959</v>
      </c>
      <c r="C112" s="333" t="str">
        <f>VLOOKUP(B112,Tot_res!C:D,2,FALSE)</f>
        <v>Participación CCAARC en IRPF, sin ejercicio de la capacidad normativa</v>
      </c>
      <c r="D112" s="336">
        <f>Gasto_o_ing_per_capita!D112*100/Gasto_o_ing_per_capita!$D112</f>
        <v>99.999999999999986</v>
      </c>
      <c r="E112" s="336">
        <f>Gasto_o_ing_per_capita!E112*100/Gasto_o_ing_per_capita!$D112</f>
        <v>68.378821757941424</v>
      </c>
      <c r="F112" s="336">
        <f>Gasto_o_ing_per_capita!F112*100/Gasto_o_ing_per_capita!$D112</f>
        <v>114.87444340755007</v>
      </c>
      <c r="G112" s="336">
        <f>Gasto_o_ing_per_capita!G112*100/Gasto_o_ing_per_capita!$D112</f>
        <v>117.96035151655367</v>
      </c>
      <c r="H112" s="336">
        <f>Gasto_o_ing_per_capita!H112*100/Gasto_o_ing_per_capita!$D112</f>
        <v>95.963285552592509</v>
      </c>
      <c r="I112" s="336">
        <f>Gasto_o_ing_per_capita!I112*100/Gasto_o_ing_per_capita!$D112</f>
        <v>72.599391717578996</v>
      </c>
      <c r="J112" s="336">
        <f>Gasto_o_ing_per_capita!J112*100/Gasto_o_ing_per_capita!$D112</f>
        <v>110.01186115438513</v>
      </c>
      <c r="K112" s="336">
        <f>Gasto_o_ing_per_capita!K112*100/Gasto_o_ing_per_capita!$D112</f>
        <v>102.48930262439741</v>
      </c>
      <c r="L112" s="336">
        <f>Gasto_o_ing_per_capita!L112*100/Gasto_o_ing_per_capita!$D112</f>
        <v>76.485312214278565</v>
      </c>
      <c r="M112" s="336">
        <f>Gasto_o_ing_per_capita!M112*100/Gasto_o_ing_per_capita!$D112</f>
        <v>136.04136271717624</v>
      </c>
      <c r="N112" s="336">
        <f>Gasto_o_ing_per_capita!N112*100/Gasto_o_ing_per_capita!$D112</f>
        <v>81.685677195040668</v>
      </c>
      <c r="O112" s="336">
        <f>Gasto_o_ing_per_capita!O112*100/Gasto_o_ing_per_capita!$D112</f>
        <v>65.453119254842662</v>
      </c>
      <c r="P112" s="336">
        <f>Gasto_o_ing_per_capita!P112*100/Gasto_o_ing_per_capita!$D112</f>
        <v>94.026573127624815</v>
      </c>
      <c r="Q112" s="336">
        <f>Gasto_o_ing_per_capita!Q112*100/Gasto_o_ing_per_capita!$D112</f>
        <v>184.11248531959956</v>
      </c>
      <c r="R112" s="336">
        <f>Gasto_o_ing_per_capita!R112*100/Gasto_o_ing_per_capita!$D112</f>
        <v>71.826607207308399</v>
      </c>
      <c r="S112" s="336">
        <f>Gasto_o_ing_per_capita!S112*100/Gasto_o_ing_per_capita!$D112</f>
        <v>0</v>
      </c>
      <c r="T112" s="336">
        <f>Gasto_o_ing_per_capita!T112*100/Gasto_o_ing_per_capita!$D112</f>
        <v>0</v>
      </c>
      <c r="U112" s="336">
        <f>Gasto_o_ing_per_capita!U112*100/Gasto_o_ing_per_capita!$D112</f>
        <v>97.260236401579306</v>
      </c>
      <c r="V112" s="336">
        <f>Gasto_o_ing_per_capita!V112*100/Gasto_o_ing_per_capita!$D112</f>
        <v>0</v>
      </c>
    </row>
    <row r="113" spans="1:22" s="102" customFormat="1" ht="13.15">
      <c r="A113" s="355" t="str">
        <f>IF(B113="","",(IF(ISERROR(MATCH(B113,Tot_res!C:C,0)),"Eliminar!!!","")))</f>
        <v/>
      </c>
      <c r="B113" s="115" t="s">
        <v>210</v>
      </c>
      <c r="C113" s="333" t="str">
        <f>VLOOKUP(B113,Tot_res!C:D,2,FALSE)</f>
        <v>Participación CCAARC en el IVA</v>
      </c>
      <c r="D113" s="336">
        <f>Gasto_o_ing_per_capita!D113*100/Gasto_o_ing_per_capita!$D113</f>
        <v>100</v>
      </c>
      <c r="E113" s="336">
        <f>Gasto_o_ing_per_capita!E113*100/Gasto_o_ing_per_capita!$D113</f>
        <v>99.362589315578916</v>
      </c>
      <c r="F113" s="336">
        <f>Gasto_o_ing_per_capita!F113*100/Gasto_o_ing_per_capita!$D113</f>
        <v>121.5739990590172</v>
      </c>
      <c r="G113" s="336">
        <f>Gasto_o_ing_per_capita!G113*100/Gasto_o_ing_per_capita!$D113</f>
        <v>117.55533850648449</v>
      </c>
      <c r="H113" s="336">
        <f>Gasto_o_ing_per_capita!H113*100/Gasto_o_ing_per_capita!$D113</f>
        <v>162.65594642258264</v>
      </c>
      <c r="I113" s="336">
        <f>Gasto_o_ing_per_capita!I113*100/Gasto_o_ing_per_capita!$D113</f>
        <v>0</v>
      </c>
      <c r="J113" s="336">
        <f>Gasto_o_ing_per_capita!J113*100/Gasto_o_ing_per_capita!$D113</f>
        <v>118.16878345779803</v>
      </c>
      <c r="K113" s="336">
        <f>Gasto_o_ing_per_capita!K113*100/Gasto_o_ing_per_capita!$D113</f>
        <v>116.74693921455568</v>
      </c>
      <c r="L113" s="336">
        <f>Gasto_o_ing_per_capita!L113*100/Gasto_o_ing_per_capita!$D113</f>
        <v>103.37654323438052</v>
      </c>
      <c r="M113" s="336">
        <f>Gasto_o_ing_per_capita!M113*100/Gasto_o_ing_per_capita!$D113</f>
        <v>122.08027331146521</v>
      </c>
      <c r="N113" s="336">
        <f>Gasto_o_ing_per_capita!N113*100/Gasto_o_ing_per_capita!$D113</f>
        <v>107.21369136469109</v>
      </c>
      <c r="O113" s="336">
        <f>Gasto_o_ing_per_capita!O113*100/Gasto_o_ing_per_capita!$D113</f>
        <v>97.050782782163182</v>
      </c>
      <c r="P113" s="336">
        <f>Gasto_o_ing_per_capita!P113*100/Gasto_o_ing_per_capita!$D113</f>
        <v>112.02904308822896</v>
      </c>
      <c r="Q113" s="336">
        <f>Gasto_o_ing_per_capita!Q113*100/Gasto_o_ing_per_capita!$D113</f>
        <v>116.35111711532956</v>
      </c>
      <c r="R113" s="336">
        <f>Gasto_o_ing_per_capita!R113*100/Gasto_o_ing_per_capita!$D113</f>
        <v>98.103406641169343</v>
      </c>
      <c r="S113" s="336">
        <f>Gasto_o_ing_per_capita!S113*100/Gasto_o_ing_per_capita!$D113</f>
        <v>0</v>
      </c>
      <c r="T113" s="336">
        <f>Gasto_o_ing_per_capita!T113*100/Gasto_o_ing_per_capita!$D113</f>
        <v>0</v>
      </c>
      <c r="U113" s="336">
        <f>Gasto_o_ing_per_capita!U113*100/Gasto_o_ing_per_capita!$D113</f>
        <v>112.82611095233243</v>
      </c>
      <c r="V113" s="336">
        <f>Gasto_o_ing_per_capita!V113*100/Gasto_o_ing_per_capita!$D113</f>
        <v>0</v>
      </c>
    </row>
    <row r="114" spans="1:22" s="102" customFormat="1" ht="13.15">
      <c r="A114" s="355" t="str">
        <f>IF(B114="","",(IF(ISERROR(MATCH(B114,Tot_res!C:C,0)),"Eliminar!!!","")))</f>
        <v/>
      </c>
      <c r="B114" s="115" t="s">
        <v>1117</v>
      </c>
      <c r="C114" s="333" t="str">
        <f>VLOOKUP(B114,Tot_res!C:D,2,FALSE)</f>
        <v>Participación de las CCAARC en los impuestos especiales (excluyendo electricidad), sin ejercicio de la capacidad normativa en el IH</v>
      </c>
      <c r="D114" s="336">
        <f>Gasto_o_ing_per_capita!D114*100/Gasto_o_ing_per_capita!$D114</f>
        <v>100</v>
      </c>
      <c r="E114" s="336">
        <f>Gasto_o_ing_per_capita!E114*100/Gasto_o_ing_per_capita!$D114</f>
        <v>94.404802157823767</v>
      </c>
      <c r="F114" s="336">
        <f>Gasto_o_ing_per_capita!F114*100/Gasto_o_ing_per_capita!$D114</f>
        <v>137.88256358486069</v>
      </c>
      <c r="G114" s="336">
        <f>Gasto_o_ing_per_capita!G114*100/Gasto_o_ing_per_capita!$D114</f>
        <v>108.6459473060695</v>
      </c>
      <c r="H114" s="336">
        <f>Gasto_o_ing_per_capita!H114*100/Gasto_o_ing_per_capita!$D114</f>
        <v>131.49039390468016</v>
      </c>
      <c r="I114" s="336">
        <f>Gasto_o_ing_per_capita!I114*100/Gasto_o_ing_per_capita!$D114</f>
        <v>6.1315913745941657</v>
      </c>
      <c r="J114" s="336">
        <f>Gasto_o_ing_per_capita!J114*100/Gasto_o_ing_per_capita!$D114</f>
        <v>129.4236478701394</v>
      </c>
      <c r="K114" s="336">
        <f>Gasto_o_ing_per_capita!K114*100/Gasto_o_ing_per_capita!$D114</f>
        <v>153.47437888835063</v>
      </c>
      <c r="L114" s="336">
        <f>Gasto_o_ing_per_capita!L114*100/Gasto_o_ing_per_capita!$D114</f>
        <v>133.15586294274149</v>
      </c>
      <c r="M114" s="336">
        <f>Gasto_o_ing_per_capita!M114*100/Gasto_o_ing_per_capita!$D114</f>
        <v>118.25784027064479</v>
      </c>
      <c r="N114" s="336">
        <f>Gasto_o_ing_per_capita!N114*100/Gasto_o_ing_per_capita!$D114</f>
        <v>107.55697596802543</v>
      </c>
      <c r="O114" s="336">
        <f>Gasto_o_ing_per_capita!O114*100/Gasto_o_ing_per_capita!$D114</f>
        <v>127.35813553645433</v>
      </c>
      <c r="P114" s="336">
        <f>Gasto_o_ing_per_capita!P114*100/Gasto_o_ing_per_capita!$D114</f>
        <v>114.91238878083894</v>
      </c>
      <c r="Q114" s="336">
        <f>Gasto_o_ing_per_capita!Q114*100/Gasto_o_ing_per_capita!$D114</f>
        <v>90.780548142027257</v>
      </c>
      <c r="R114" s="336">
        <f>Gasto_o_ing_per_capita!R114*100/Gasto_o_ing_per_capita!$D114</f>
        <v>126.12841133548658</v>
      </c>
      <c r="S114" s="336">
        <f>Gasto_o_ing_per_capita!S114*100/Gasto_o_ing_per_capita!$D114</f>
        <v>0</v>
      </c>
      <c r="T114" s="336">
        <f>Gasto_o_ing_per_capita!T114*100/Gasto_o_ing_per_capita!$D114</f>
        <v>0</v>
      </c>
      <c r="U114" s="336">
        <f>Gasto_o_ing_per_capita!U114*100/Gasto_o_ing_per_capita!$D114</f>
        <v>113.34602882949618</v>
      </c>
      <c r="V114" s="336">
        <f>Gasto_o_ing_per_capita!V114*100/Gasto_o_ing_per_capita!$D114</f>
        <v>0</v>
      </c>
    </row>
    <row r="115" spans="1:22" s="102" customFormat="1" ht="13.15">
      <c r="A115" s="355" t="str">
        <f>IF(B115="","",(IF(ISERROR(MATCH(B115,Tot_res!C:C,0)),"Eliminar!!!","")))</f>
        <v/>
      </c>
      <c r="B115" s="115" t="s">
        <v>211</v>
      </c>
      <c r="C115" s="333" t="str">
        <f>VLOOKUP(B115,Tot_res!C:D,2,FALSE)</f>
        <v>Participación de las CCAARC en el impuesto sobre la electricidad</v>
      </c>
      <c r="D115" s="336">
        <f>Gasto_o_ing_per_capita!D115*100/Gasto_o_ing_per_capita!$D115</f>
        <v>100</v>
      </c>
      <c r="E115" s="336">
        <f>Gasto_o_ing_per_capita!E115*100/Gasto_o_ing_per_capita!$D115</f>
        <v>87.139541157045116</v>
      </c>
      <c r="F115" s="336">
        <f>Gasto_o_ing_per_capita!F115*100/Gasto_o_ing_per_capita!$D115</f>
        <v>166.31874942690649</v>
      </c>
      <c r="G115" s="336">
        <f>Gasto_o_ing_per_capita!G115*100/Gasto_o_ing_per_capita!$D115</f>
        <v>194.21376584086923</v>
      </c>
      <c r="H115" s="336">
        <f>Gasto_o_ing_per_capita!H115*100/Gasto_o_ing_per_capita!$D115</f>
        <v>99.234745094820326</v>
      </c>
      <c r="I115" s="336">
        <f>Gasto_o_ing_per_capita!I115*100/Gasto_o_ing_per_capita!$D115</f>
        <v>73.575354156644607</v>
      </c>
      <c r="J115" s="336">
        <f>Gasto_o_ing_per_capita!J115*100/Gasto_o_ing_per_capita!$D115</f>
        <v>150.66392258632587</v>
      </c>
      <c r="K115" s="336">
        <f>Gasto_o_ing_per_capita!K115*100/Gasto_o_ing_per_capita!$D115</f>
        <v>105.86608562379205</v>
      </c>
      <c r="L115" s="336">
        <f>Gasto_o_ing_per_capita!L115*100/Gasto_o_ing_per_capita!$D115</f>
        <v>114.62277547215614</v>
      </c>
      <c r="M115" s="336">
        <f>Gasto_o_ing_per_capita!M115*100/Gasto_o_ing_per_capita!$D115</f>
        <v>120.39628100759514</v>
      </c>
      <c r="N115" s="336">
        <f>Gasto_o_ing_per_capita!N115*100/Gasto_o_ing_per_capita!$D115</f>
        <v>98.82807935994208</v>
      </c>
      <c r="O115" s="336">
        <f>Gasto_o_ing_per_capita!O115*100/Gasto_o_ing_per_capita!$D115</f>
        <v>91.601101846220047</v>
      </c>
      <c r="P115" s="336">
        <f>Gasto_o_ing_per_capita!P115*100/Gasto_o_ing_per_capita!$D115</f>
        <v>136.93488900644482</v>
      </c>
      <c r="Q115" s="336">
        <f>Gasto_o_ing_per_capita!Q115*100/Gasto_o_ing_per_capita!$D115</f>
        <v>92.980764694331782</v>
      </c>
      <c r="R115" s="336">
        <f>Gasto_o_ing_per_capita!R115*100/Gasto_o_ing_per_capita!$D115</f>
        <v>103.73591183310535</v>
      </c>
      <c r="S115" s="336">
        <f>Gasto_o_ing_per_capita!S115*100/Gasto_o_ing_per_capita!$D115</f>
        <v>0</v>
      </c>
      <c r="T115" s="336">
        <f>Gasto_o_ing_per_capita!T115*100/Gasto_o_ing_per_capita!$D115</f>
        <v>0</v>
      </c>
      <c r="U115" s="336">
        <f>Gasto_o_ing_per_capita!U115*100/Gasto_o_ing_per_capita!$D115</f>
        <v>101.80524145817802</v>
      </c>
      <c r="V115" s="336">
        <f>Gasto_o_ing_per_capita!V115*100/Gasto_o_ing_per_capita!$D115</f>
        <v>0</v>
      </c>
    </row>
    <row r="116" spans="1:22" s="102" customFormat="1" ht="13.15">
      <c r="A116" s="355" t="str">
        <f>IF(B116="","",(IF(ISERROR(MATCH(B116,Tot_res!C:C,0)),"Eliminar!!!","")))</f>
        <v/>
      </c>
      <c r="B116" s="115" t="s">
        <v>960</v>
      </c>
      <c r="C116" s="333" t="str">
        <f>VLOOKUP(B116,Tot_res!C:D,2,FALSE)</f>
        <v>Sucesiones y donaciones, ingresos homogeneizados de las CCAARC</v>
      </c>
      <c r="D116" s="336">
        <f>Gasto_o_ing_per_capita!D116*100/Gasto_o_ing_per_capita!$D116</f>
        <v>100</v>
      </c>
      <c r="E116" s="336">
        <f>Gasto_o_ing_per_capita!E116*100/Gasto_o_ing_per_capita!$D116</f>
        <v>63.704251892327527</v>
      </c>
      <c r="F116" s="336">
        <f>Gasto_o_ing_per_capita!F116*100/Gasto_o_ing_per_capita!$D116</f>
        <v>155.96982566998832</v>
      </c>
      <c r="G116" s="336">
        <f>Gasto_o_ing_per_capita!G116*100/Gasto_o_ing_per_capita!$D116</f>
        <v>154.05094172990579</v>
      </c>
      <c r="H116" s="336">
        <f>Gasto_o_ing_per_capita!H116*100/Gasto_o_ing_per_capita!$D116</f>
        <v>86.783774940865158</v>
      </c>
      <c r="I116" s="336">
        <f>Gasto_o_ing_per_capita!I116*100/Gasto_o_ing_per_capita!$D116</f>
        <v>57.673810470494772</v>
      </c>
      <c r="J116" s="336">
        <f>Gasto_o_ing_per_capita!J116*100/Gasto_o_ing_per_capita!$D116</f>
        <v>162.90959849423714</v>
      </c>
      <c r="K116" s="336">
        <f>Gasto_o_ing_per_capita!K116*100/Gasto_o_ing_per_capita!$D116</f>
        <v>139.86893424858897</v>
      </c>
      <c r="L116" s="336">
        <f>Gasto_o_ing_per_capita!L116*100/Gasto_o_ing_per_capita!$D116</f>
        <v>74.238426377998962</v>
      </c>
      <c r="M116" s="336">
        <f>Gasto_o_ing_per_capita!M116*100/Gasto_o_ing_per_capita!$D116</f>
        <v>126.15422037889047</v>
      </c>
      <c r="N116" s="336">
        <f>Gasto_o_ing_per_capita!N116*100/Gasto_o_ing_per_capita!$D116</f>
        <v>98.08672573703744</v>
      </c>
      <c r="O116" s="336">
        <f>Gasto_o_ing_per_capita!O116*100/Gasto_o_ing_per_capita!$D116</f>
        <v>75.219918961259708</v>
      </c>
      <c r="P116" s="336">
        <f>Gasto_o_ing_per_capita!P116*100/Gasto_o_ing_per_capita!$D116</f>
        <v>141.828865587964</v>
      </c>
      <c r="Q116" s="336">
        <f>Gasto_o_ing_per_capita!Q116*100/Gasto_o_ing_per_capita!$D116</f>
        <v>140.09023299190227</v>
      </c>
      <c r="R116" s="336">
        <f>Gasto_o_ing_per_capita!R116*100/Gasto_o_ing_per_capita!$D116</f>
        <v>63.013809535196664</v>
      </c>
      <c r="S116" s="336">
        <f>Gasto_o_ing_per_capita!S116*100/Gasto_o_ing_per_capita!$D116</f>
        <v>0</v>
      </c>
      <c r="T116" s="336">
        <f>Gasto_o_ing_per_capita!T116*100/Gasto_o_ing_per_capita!$D116</f>
        <v>0</v>
      </c>
      <c r="U116" s="336">
        <f>Gasto_o_ing_per_capita!U116*100/Gasto_o_ing_per_capita!$D116</f>
        <v>142.22237711332508</v>
      </c>
      <c r="V116" s="336">
        <f>Gasto_o_ing_per_capita!V116*100/Gasto_o_ing_per_capita!$D116</f>
        <v>0</v>
      </c>
    </row>
    <row r="117" spans="1:22" s="102" customFormat="1" ht="13.15">
      <c r="A117" s="355" t="str">
        <f>IF(B117="","",(IF(ISERROR(MATCH(B117,Tot_res!C:C,0)),"Eliminar!!!","")))</f>
        <v/>
      </c>
      <c r="B117" s="115" t="s">
        <v>961</v>
      </c>
      <c r="C117" s="333" t="str">
        <f>VLOOKUP(B117,Tot_res!C:D,2,FALSE)</f>
        <v>ITP y AJD, ingresos homogeneizados de las CCAARC</v>
      </c>
      <c r="D117" s="336">
        <f>Gasto_o_ing_per_capita!D117*100/Gasto_o_ing_per_capita!$D117</f>
        <v>100</v>
      </c>
      <c r="E117" s="336">
        <f>Gasto_o_ing_per_capita!E117*100/Gasto_o_ing_per_capita!$D117</f>
        <v>108.89416498807556</v>
      </c>
      <c r="F117" s="336">
        <f>Gasto_o_ing_per_capita!F117*100/Gasto_o_ing_per_capita!$D117</f>
        <v>86.474388084762495</v>
      </c>
      <c r="G117" s="336">
        <f>Gasto_o_ing_per_capita!G117*100/Gasto_o_ing_per_capita!$D117</f>
        <v>64.793588090144723</v>
      </c>
      <c r="H117" s="336">
        <f>Gasto_o_ing_per_capita!H117*100/Gasto_o_ing_per_capita!$D117</f>
        <v>230.74460234443825</v>
      </c>
      <c r="I117" s="336">
        <f>Gasto_o_ing_per_capita!I117*100/Gasto_o_ing_per_capita!$D117</f>
        <v>97.322692766198685</v>
      </c>
      <c r="J117" s="336">
        <f>Gasto_o_ing_per_capita!J117*100/Gasto_o_ing_per_capita!$D117</f>
        <v>103.88453162807578</v>
      </c>
      <c r="K117" s="336">
        <f>Gasto_o_ing_per_capita!K117*100/Gasto_o_ing_per_capita!$D117</f>
        <v>77.551420186714878</v>
      </c>
      <c r="L117" s="336">
        <f>Gasto_o_ing_per_capita!L117*100/Gasto_o_ing_per_capita!$D117</f>
        <v>106.59676342354025</v>
      </c>
      <c r="M117" s="336">
        <f>Gasto_o_ing_per_capita!M117*100/Gasto_o_ing_per_capita!$D117</f>
        <v>116.36393635618018</v>
      </c>
      <c r="N117" s="336">
        <f>Gasto_o_ing_per_capita!N117*100/Gasto_o_ing_per_capita!$D117</f>
        <v>120.07505238196637</v>
      </c>
      <c r="O117" s="336">
        <f>Gasto_o_ing_per_capita!O117*100/Gasto_o_ing_per_capita!$D117</f>
        <v>59.438826993109046</v>
      </c>
      <c r="P117" s="336">
        <f>Gasto_o_ing_per_capita!P117*100/Gasto_o_ing_per_capita!$D117</f>
        <v>61.142843442482757</v>
      </c>
      <c r="Q117" s="336">
        <f>Gasto_o_ing_per_capita!Q117*100/Gasto_o_ing_per_capita!$D117</f>
        <v>116.89216433116906</v>
      </c>
      <c r="R117" s="336">
        <f>Gasto_o_ing_per_capita!R117*100/Gasto_o_ing_per_capita!$D117</f>
        <v>100.07617439018603</v>
      </c>
      <c r="S117" s="336">
        <f>Gasto_o_ing_per_capita!S117*100/Gasto_o_ing_per_capita!$D117</f>
        <v>0</v>
      </c>
      <c r="T117" s="336">
        <f>Gasto_o_ing_per_capita!T117*100/Gasto_o_ing_per_capita!$D117</f>
        <v>0</v>
      </c>
      <c r="U117" s="336">
        <f>Gasto_o_ing_per_capita!U117*100/Gasto_o_ing_per_capita!$D117</f>
        <v>97.935463037499019</v>
      </c>
      <c r="V117" s="336">
        <f>Gasto_o_ing_per_capita!V117*100/Gasto_o_ing_per_capita!$D117</f>
        <v>0</v>
      </c>
    </row>
    <row r="118" spans="1:22" s="102" customFormat="1" ht="13.15">
      <c r="A118" s="355" t="str">
        <f>IF(B118="","",(IF(ISERROR(MATCH(B118,Tot_res!C:C,0)),"Eliminar!!!","")))</f>
        <v/>
      </c>
      <c r="B118" s="115" t="s">
        <v>962</v>
      </c>
      <c r="C118" s="333" t="str">
        <f>VLOOKUP(B118,Tot_res!C:D,2,FALSE)</f>
        <v>Tasas sobre el juego, ingresos homogeneizados de las CCAARC</v>
      </c>
      <c r="D118" s="336">
        <f>Gasto_o_ing_per_capita!D118*100/Gasto_o_ing_per_capita!$D118</f>
        <v>100.00000000000001</v>
      </c>
      <c r="E118" s="336">
        <f>Gasto_o_ing_per_capita!E118*100/Gasto_o_ing_per_capita!$D118</f>
        <v>83.176466004483245</v>
      </c>
      <c r="F118" s="336">
        <f>Gasto_o_ing_per_capita!F118*100/Gasto_o_ing_per_capita!$D118</f>
        <v>99.349107472717392</v>
      </c>
      <c r="G118" s="336">
        <f>Gasto_o_ing_per_capita!G118*100/Gasto_o_ing_per_capita!$D118</f>
        <v>90.508131335360716</v>
      </c>
      <c r="H118" s="336">
        <f>Gasto_o_ing_per_capita!H118*100/Gasto_o_ing_per_capita!$D118</f>
        <v>156.47858567113752</v>
      </c>
      <c r="I118" s="336">
        <f>Gasto_o_ing_per_capita!I118*100/Gasto_o_ing_per_capita!$D118</f>
        <v>83.747062440682157</v>
      </c>
      <c r="J118" s="336">
        <f>Gasto_o_ing_per_capita!J118*100/Gasto_o_ing_per_capita!$D118</f>
        <v>108.19821976941671</v>
      </c>
      <c r="K118" s="336">
        <f>Gasto_o_ing_per_capita!K118*100/Gasto_o_ing_per_capita!$D118</f>
        <v>112.42245269788684</v>
      </c>
      <c r="L118" s="336">
        <f>Gasto_o_ing_per_capita!L118*100/Gasto_o_ing_per_capita!$D118</f>
        <v>94.096756165201128</v>
      </c>
      <c r="M118" s="336">
        <f>Gasto_o_ing_per_capita!M118*100/Gasto_o_ing_per_capita!$D118</f>
        <v>88.35858005671119</v>
      </c>
      <c r="N118" s="336">
        <f>Gasto_o_ing_per_capita!N118*100/Gasto_o_ing_per_capita!$D118</f>
        <v>128.54918572018116</v>
      </c>
      <c r="O118" s="336">
        <f>Gasto_o_ing_per_capita!O118*100/Gasto_o_ing_per_capita!$D118</f>
        <v>75.567007731968644</v>
      </c>
      <c r="P118" s="336">
        <f>Gasto_o_ing_per_capita!P118*100/Gasto_o_ing_per_capita!$D118</f>
        <v>82.369072734889826</v>
      </c>
      <c r="Q118" s="336">
        <f>Gasto_o_ing_per_capita!Q118*100/Gasto_o_ing_per_capita!$D118</f>
        <v>173.13500167337776</v>
      </c>
      <c r="R118" s="336">
        <f>Gasto_o_ing_per_capita!R118*100/Gasto_o_ing_per_capita!$D118</f>
        <v>69.650133598204079</v>
      </c>
      <c r="S118" s="336">
        <f>Gasto_o_ing_per_capita!S118*100/Gasto_o_ing_per_capita!$D118</f>
        <v>0</v>
      </c>
      <c r="T118" s="336">
        <f>Gasto_o_ing_per_capita!T118*100/Gasto_o_ing_per_capita!$D118</f>
        <v>0</v>
      </c>
      <c r="U118" s="336">
        <f>Gasto_o_ing_per_capita!U118*100/Gasto_o_ing_per_capita!$D118</f>
        <v>71.336275324472552</v>
      </c>
      <c r="V118" s="336">
        <f>Gasto_o_ing_per_capita!V118*100/Gasto_o_ing_per_capita!$D118</f>
        <v>0</v>
      </c>
    </row>
    <row r="119" spans="1:22" s="102" customFormat="1" ht="13.15">
      <c r="A119" s="355" t="str">
        <f>IF(B119="","",(IF(ISERROR(MATCH(B119,Tot_res!C:C,0)),"Eliminar!!!","")))</f>
        <v/>
      </c>
      <c r="B119" s="115" t="s">
        <v>963</v>
      </c>
      <c r="C119" s="333" t="str">
        <f>VLOOKUP(B119,Tot_res!C:D,2,FALSE)</f>
        <v>Impuesto sobre la venta minorista de hidrocarburos (IVMH),  sin ejercicio capacidad normativa</v>
      </c>
      <c r="D119" s="336">
        <f>Gasto_o_ing_per_capita!D119*100/Gasto_o_ing_per_capita!$D119</f>
        <v>100</v>
      </c>
      <c r="E119" s="336">
        <f>Gasto_o_ing_per_capita!E119*100/Gasto_o_ing_per_capita!$D119</f>
        <v>94.998468521306918</v>
      </c>
      <c r="F119" s="336">
        <f>Gasto_o_ing_per_capita!F119*100/Gasto_o_ing_per_capita!$D119</f>
        <v>167.72772676715019</v>
      </c>
      <c r="G119" s="336">
        <f>Gasto_o_ing_per_capita!G119*100/Gasto_o_ing_per_capita!$D119</f>
        <v>110.06635270899213</v>
      </c>
      <c r="H119" s="336">
        <f>Gasto_o_ing_per_capita!H119*100/Gasto_o_ing_per_capita!$D119</f>
        <v>90.808376477846764</v>
      </c>
      <c r="I119" s="336">
        <f>Gasto_o_ing_per_capita!I119*100/Gasto_o_ing_per_capita!$D119</f>
        <v>0</v>
      </c>
      <c r="J119" s="336">
        <f>Gasto_o_ing_per_capita!J119*100/Gasto_o_ing_per_capita!$D119</f>
        <v>125.7776603823494</v>
      </c>
      <c r="K119" s="336">
        <f>Gasto_o_ing_per_capita!K119*100/Gasto_o_ing_per_capita!$D119</f>
        <v>156.4816526030138</v>
      </c>
      <c r="L119" s="336">
        <f>Gasto_o_ing_per_capita!L119*100/Gasto_o_ing_per_capita!$D119</f>
        <v>146.56359066626308</v>
      </c>
      <c r="M119" s="336">
        <f>Gasto_o_ing_per_capita!M119*100/Gasto_o_ing_per_capita!$D119</f>
        <v>108.35944583873722</v>
      </c>
      <c r="N119" s="336">
        <f>Gasto_o_ing_per_capita!N119*100/Gasto_o_ing_per_capita!$D119</f>
        <v>101.15019598104875</v>
      </c>
      <c r="O119" s="336">
        <f>Gasto_o_ing_per_capita!O119*100/Gasto_o_ing_per_capita!$D119</f>
        <v>131.47846425800529</v>
      </c>
      <c r="P119" s="336">
        <f>Gasto_o_ing_per_capita!P119*100/Gasto_o_ing_per_capita!$D119</f>
        <v>131.66436256269972</v>
      </c>
      <c r="Q119" s="336">
        <f>Gasto_o_ing_per_capita!Q119*100/Gasto_o_ing_per_capita!$D119</f>
        <v>93.74178724148743</v>
      </c>
      <c r="R119" s="336">
        <f>Gasto_o_ing_per_capita!R119*100/Gasto_o_ing_per_capita!$D119</f>
        <v>131.85848988793208</v>
      </c>
      <c r="S119" s="336">
        <f>Gasto_o_ing_per_capita!S119*100/Gasto_o_ing_per_capita!$D119</f>
        <v>0</v>
      </c>
      <c r="T119" s="336">
        <f>Gasto_o_ing_per_capita!T119*100/Gasto_o_ing_per_capita!$D119</f>
        <v>0</v>
      </c>
      <c r="U119" s="336">
        <f>Gasto_o_ing_per_capita!U119*100/Gasto_o_ing_per_capita!$D119</f>
        <v>134.8486068322251</v>
      </c>
      <c r="V119" s="336">
        <f>Gasto_o_ing_per_capita!V119*100/Gasto_o_ing_per_capita!$D119</f>
        <v>0</v>
      </c>
    </row>
    <row r="120" spans="1:22" s="102" customFormat="1" ht="13.15">
      <c r="A120" s="355" t="str">
        <f>IF(B120="","",(IF(ISERROR(MATCH(B120,Tot_res!C:C,0)),"Eliminar!!!","")))</f>
        <v/>
      </c>
      <c r="B120" s="115" t="s">
        <v>964</v>
      </c>
      <c r="C120" s="333" t="str">
        <f>VLOOKUP(B120,Tot_res!C:D,2,FALSE)</f>
        <v>Impuesto de matriculación, ingresos de las CCAARC sin ej cap normativa</v>
      </c>
      <c r="D120" s="336">
        <f>Gasto_o_ing_per_capita!D120*100/Gasto_o_ing_per_capita!$D120</f>
        <v>100</v>
      </c>
      <c r="E120" s="336">
        <f>Gasto_o_ing_per_capita!E120*100/Gasto_o_ing_per_capita!$D120</f>
        <v>60.593822753264845</v>
      </c>
      <c r="F120" s="336">
        <f>Gasto_o_ing_per_capita!F120*100/Gasto_o_ing_per_capita!$D120</f>
        <v>67.722225364928079</v>
      </c>
      <c r="G120" s="336">
        <f>Gasto_o_ing_per_capita!G120*100/Gasto_o_ing_per_capita!$D120</f>
        <v>70.675660638820503</v>
      </c>
      <c r="H120" s="336">
        <f>Gasto_o_ing_per_capita!H120*100/Gasto_o_ing_per_capita!$D120</f>
        <v>192.31643629979527</v>
      </c>
      <c r="I120" s="336">
        <f>Gasto_o_ing_per_capita!I120*100/Gasto_o_ing_per_capita!$D120</f>
        <v>0</v>
      </c>
      <c r="J120" s="336">
        <f>Gasto_o_ing_per_capita!J120*100/Gasto_o_ing_per_capita!$D120</f>
        <v>94.575842729767942</v>
      </c>
      <c r="K120" s="336">
        <f>Gasto_o_ing_per_capita!K120*100/Gasto_o_ing_per_capita!$D120</f>
        <v>66.608160816152918</v>
      </c>
      <c r="L120" s="336">
        <f>Gasto_o_ing_per_capita!L120*100/Gasto_o_ing_per_capita!$D120</f>
        <v>54.978043309084519</v>
      </c>
      <c r="M120" s="336">
        <f>Gasto_o_ing_per_capita!M120*100/Gasto_o_ing_per_capita!$D120</f>
        <v>104.93689080303319</v>
      </c>
      <c r="N120" s="336">
        <f>Gasto_o_ing_per_capita!N120*100/Gasto_o_ing_per_capita!$D120</f>
        <v>99.418537715269494</v>
      </c>
      <c r="O120" s="336">
        <f>Gasto_o_ing_per_capita!O120*100/Gasto_o_ing_per_capita!$D120</f>
        <v>45.353276392781595</v>
      </c>
      <c r="P120" s="336">
        <f>Gasto_o_ing_per_capita!P120*100/Gasto_o_ing_per_capita!$D120</f>
        <v>67.660535314234323</v>
      </c>
      <c r="Q120" s="336">
        <f>Gasto_o_ing_per_capita!Q120*100/Gasto_o_ing_per_capita!$D120</f>
        <v>277.66636377445121</v>
      </c>
      <c r="R120" s="336">
        <f>Gasto_o_ing_per_capita!R120*100/Gasto_o_ing_per_capita!$D120</f>
        <v>75.921386416687682</v>
      </c>
      <c r="S120" s="336">
        <f>Gasto_o_ing_per_capita!S120*100/Gasto_o_ing_per_capita!$D120</f>
        <v>0</v>
      </c>
      <c r="T120" s="336">
        <f>Gasto_o_ing_per_capita!T120*100/Gasto_o_ing_per_capita!$D120</f>
        <v>0</v>
      </c>
      <c r="U120" s="336">
        <f>Gasto_o_ing_per_capita!U120*100/Gasto_o_ing_per_capita!$D120</f>
        <v>88.854518207434623</v>
      </c>
      <c r="V120" s="336">
        <f>Gasto_o_ing_per_capita!V120*100/Gasto_o_ing_per_capita!$D120</f>
        <v>0</v>
      </c>
    </row>
    <row r="121" spans="1:22" s="102" customFormat="1" ht="26.3">
      <c r="A121" s="355" t="str">
        <f>IF(B121="","",(IF(ISERROR(MATCH(B121,Tot_res!C:C,0)),"Eliminar!!!","")))</f>
        <v/>
      </c>
      <c r="B121" s="115" t="s">
        <v>965</v>
      </c>
      <c r="C121" s="334" t="str">
        <f>VLOOKUP(B121,Tot_res!C:D,2,FALSE)</f>
        <v>Recursos REF de la comunidad autónoma de Canarias, neto de compensación por supresión del IGTE</v>
      </c>
      <c r="D121" s="336">
        <f>Gasto_o_ing_per_capita!D121*100/Gasto_o_ing_per_capita!$D121</f>
        <v>100</v>
      </c>
      <c r="E121" s="336">
        <f>Gasto_o_ing_per_capita!E121*100/Gasto_o_ing_per_capita!$D121</f>
        <v>0</v>
      </c>
      <c r="F121" s="336">
        <f>Gasto_o_ing_per_capita!F121*100/Gasto_o_ing_per_capita!$D121</f>
        <v>0</v>
      </c>
      <c r="G121" s="336">
        <f>Gasto_o_ing_per_capita!G121*100/Gasto_o_ing_per_capita!$D121</f>
        <v>0</v>
      </c>
      <c r="H121" s="336">
        <f>Gasto_o_ing_per_capita!H121*100/Gasto_o_ing_per_capita!$D121</f>
        <v>0</v>
      </c>
      <c r="I121" s="336">
        <f>Gasto_o_ing_per_capita!I121*100/Gasto_o_ing_per_capita!$D121</f>
        <v>2223.3043068132688</v>
      </c>
      <c r="J121" s="336">
        <f>Gasto_o_ing_per_capita!J121*100/Gasto_o_ing_per_capita!$D121</f>
        <v>0</v>
      </c>
      <c r="K121" s="336">
        <f>Gasto_o_ing_per_capita!K121*100/Gasto_o_ing_per_capita!$D121</f>
        <v>0</v>
      </c>
      <c r="L121" s="336">
        <f>Gasto_o_ing_per_capita!L121*100/Gasto_o_ing_per_capita!$D121</f>
        <v>0</v>
      </c>
      <c r="M121" s="336">
        <f>Gasto_o_ing_per_capita!M121*100/Gasto_o_ing_per_capita!$D121</f>
        <v>0</v>
      </c>
      <c r="N121" s="336">
        <f>Gasto_o_ing_per_capita!N121*100/Gasto_o_ing_per_capita!$D121</f>
        <v>0</v>
      </c>
      <c r="O121" s="336">
        <f>Gasto_o_ing_per_capita!O121*100/Gasto_o_ing_per_capita!$D121</f>
        <v>0</v>
      </c>
      <c r="P121" s="336">
        <f>Gasto_o_ing_per_capita!P121*100/Gasto_o_ing_per_capita!$D121</f>
        <v>0</v>
      </c>
      <c r="Q121" s="336">
        <f>Gasto_o_ing_per_capita!Q121*100/Gasto_o_ing_per_capita!$D121</f>
        <v>0</v>
      </c>
      <c r="R121" s="336">
        <f>Gasto_o_ing_per_capita!R121*100/Gasto_o_ing_per_capita!$D121</f>
        <v>0</v>
      </c>
      <c r="S121" s="336">
        <f>Gasto_o_ing_per_capita!S121*100/Gasto_o_ing_per_capita!$D121</f>
        <v>0</v>
      </c>
      <c r="T121" s="336">
        <f>Gasto_o_ing_per_capita!T121*100/Gasto_o_ing_per_capita!$D121</f>
        <v>0</v>
      </c>
      <c r="U121" s="336">
        <f>Gasto_o_ing_per_capita!U121*100/Gasto_o_ing_per_capita!$D121</f>
        <v>0</v>
      </c>
      <c r="V121" s="336">
        <f>Gasto_o_ing_per_capita!V121*100/Gasto_o_ing_per_capita!$D121</f>
        <v>0</v>
      </c>
    </row>
    <row r="122" spans="1:22" s="102" customFormat="1" ht="13.15">
      <c r="A122" s="356"/>
      <c r="B122" s="115"/>
      <c r="C122" s="138"/>
      <c r="D122" s="110"/>
      <c r="E122" s="110"/>
      <c r="F122" s="110"/>
      <c r="G122" s="110"/>
      <c r="H122" s="110"/>
      <c r="I122" s="110"/>
      <c r="J122" s="110"/>
      <c r="K122" s="110"/>
      <c r="L122" s="110"/>
      <c r="M122" s="110"/>
      <c r="N122" s="110"/>
      <c r="O122" s="110"/>
      <c r="P122" s="110"/>
      <c r="Q122" s="110"/>
      <c r="R122" s="110"/>
      <c r="S122" s="110"/>
      <c r="T122" s="110"/>
      <c r="U122" s="110"/>
      <c r="V122" s="110"/>
    </row>
    <row r="123" spans="1:22" s="102" customFormat="1" ht="13.15">
      <c r="A123" s="356"/>
      <c r="B123" s="137"/>
      <c r="C123" s="128" t="s">
        <v>36</v>
      </c>
      <c r="D123" s="113">
        <f>Gasto_o_ing_per_capita!D123*100/Gasto_o_ing_per_capita!$D123</f>
        <v>100</v>
      </c>
      <c r="E123" s="113">
        <f>Gasto_o_ing_per_capita!E123*100/Gasto_o_ing_per_capita!$D123</f>
        <v>88.457377317534835</v>
      </c>
      <c r="F123" s="113">
        <f>Gasto_o_ing_per_capita!F123*100/Gasto_o_ing_per_capita!$D123</f>
        <v>58.262448614000547</v>
      </c>
      <c r="G123" s="113">
        <f>Gasto_o_ing_per_capita!G123*100/Gasto_o_ing_per_capita!$D123</f>
        <v>63.806606908851812</v>
      </c>
      <c r="H123" s="113">
        <f>Gasto_o_ing_per_capita!H123*100/Gasto_o_ing_per_capita!$D123</f>
        <v>46.351203605633074</v>
      </c>
      <c r="I123" s="113">
        <f>Gasto_o_ing_per_capita!I123*100/Gasto_o_ing_per_capita!$D123</f>
        <v>113.34992939172795</v>
      </c>
      <c r="J123" s="113">
        <f>Gasto_o_ing_per_capita!J123*100/Gasto_o_ing_per_capita!$D123</f>
        <v>195.83698907233475</v>
      </c>
      <c r="K123" s="113">
        <f>Gasto_o_ing_per_capita!K123*100/Gasto_o_ing_per_capita!$D123</f>
        <v>5.6393709538605972</v>
      </c>
      <c r="L123" s="113">
        <f>Gasto_o_ing_per_capita!L123*100/Gasto_o_ing_per_capita!$D123</f>
        <v>4.9144550702271443</v>
      </c>
      <c r="M123" s="113">
        <f>Gasto_o_ing_per_capita!M123*100/Gasto_o_ing_per_capita!$D123</f>
        <v>262.81749736907915</v>
      </c>
      <c r="N123" s="113">
        <f>Gasto_o_ing_per_capita!N123*100/Gasto_o_ing_per_capita!$D123</f>
        <v>38.356391663952266</v>
      </c>
      <c r="O123" s="113">
        <f>Gasto_o_ing_per_capita!O123*100/Gasto_o_ing_per_capita!$D123</f>
        <v>6.2868152596514042</v>
      </c>
      <c r="P123" s="113">
        <f>Gasto_o_ing_per_capita!P123*100/Gasto_o_ing_per_capita!$D123</f>
        <v>73.903669113858186</v>
      </c>
      <c r="Q123" s="113">
        <f>Gasto_o_ing_per_capita!Q123*100/Gasto_o_ing_per_capita!$D123</f>
        <v>140.33861049647953</v>
      </c>
      <c r="R123" s="113">
        <f>Gasto_o_ing_per_capita!R123*100/Gasto_o_ing_per_capita!$D123</f>
        <v>11.347483561671508</v>
      </c>
      <c r="S123" s="113">
        <f>Gasto_o_ing_per_capita!S123*100/Gasto_o_ing_per_capita!$D123</f>
        <v>0</v>
      </c>
      <c r="T123" s="113">
        <f>Gasto_o_ing_per_capita!T123*100/Gasto_o_ing_per_capita!$D123</f>
        <v>0</v>
      </c>
      <c r="U123" s="113">
        <f>Gasto_o_ing_per_capita!U123*100/Gasto_o_ing_per_capita!$D123</f>
        <v>196.00358802498539</v>
      </c>
      <c r="V123" s="113">
        <f>Gasto_o_ing_per_capita!V123*100/Gasto_o_ing_per_capita!$D123</f>
        <v>0</v>
      </c>
    </row>
    <row r="124" spans="1:22" s="102" customFormat="1" ht="26.3">
      <c r="A124" s="355" t="str">
        <f>IF(B124="","",(IF(ISERROR(MATCH(B124,Tot_res!C:C,0)),"Eliminar!!!","")))</f>
        <v/>
      </c>
      <c r="B124" s="115" t="s">
        <v>966</v>
      </c>
      <c r="C124" s="334" t="str">
        <f>VLOOKUP(B124,Tot_res!C:D,2,FALSE)</f>
        <v>Financiación para competencias no homogéneas de las comunidades de régimen común (caja)</v>
      </c>
      <c r="D124" s="337">
        <f>Gasto_o_ing_per_capita!D124*100/Gasto_o_ing_per_capita!$D124</f>
        <v>100</v>
      </c>
      <c r="E124" s="337">
        <f>Gasto_o_ing_per_capita!E124*100/Gasto_o_ing_per_capita!$D124</f>
        <v>88.457377317534835</v>
      </c>
      <c r="F124" s="337">
        <f>Gasto_o_ing_per_capita!F124*100/Gasto_o_ing_per_capita!$D124</f>
        <v>58.262448614000547</v>
      </c>
      <c r="G124" s="337">
        <f>Gasto_o_ing_per_capita!G124*100/Gasto_o_ing_per_capita!$D124</f>
        <v>63.806606908851812</v>
      </c>
      <c r="H124" s="337">
        <f>Gasto_o_ing_per_capita!H124*100/Gasto_o_ing_per_capita!$D124</f>
        <v>46.351203605633074</v>
      </c>
      <c r="I124" s="337">
        <f>Gasto_o_ing_per_capita!I124*100/Gasto_o_ing_per_capita!$D124</f>
        <v>113.34992939172795</v>
      </c>
      <c r="J124" s="337">
        <f>Gasto_o_ing_per_capita!J124*100/Gasto_o_ing_per_capita!$D124</f>
        <v>195.83698907233475</v>
      </c>
      <c r="K124" s="337">
        <f>Gasto_o_ing_per_capita!K124*100/Gasto_o_ing_per_capita!$D124</f>
        <v>5.6393709538605972</v>
      </c>
      <c r="L124" s="337">
        <f>Gasto_o_ing_per_capita!L124*100/Gasto_o_ing_per_capita!$D124</f>
        <v>4.9144550702271443</v>
      </c>
      <c r="M124" s="337">
        <f>Gasto_o_ing_per_capita!M124*100/Gasto_o_ing_per_capita!$D124</f>
        <v>262.81749736907915</v>
      </c>
      <c r="N124" s="337">
        <f>Gasto_o_ing_per_capita!N124*100/Gasto_o_ing_per_capita!$D124</f>
        <v>38.356391663952266</v>
      </c>
      <c r="O124" s="337">
        <f>Gasto_o_ing_per_capita!O124*100/Gasto_o_ing_per_capita!$D124</f>
        <v>6.2868152596514042</v>
      </c>
      <c r="P124" s="337">
        <f>Gasto_o_ing_per_capita!P124*100/Gasto_o_ing_per_capita!$D124</f>
        <v>73.903669113858186</v>
      </c>
      <c r="Q124" s="337">
        <f>Gasto_o_ing_per_capita!Q124*100/Gasto_o_ing_per_capita!$D124</f>
        <v>140.33861049647953</v>
      </c>
      <c r="R124" s="337">
        <f>Gasto_o_ing_per_capita!R124*100/Gasto_o_ing_per_capita!$D124</f>
        <v>11.347483561671508</v>
      </c>
      <c r="S124" s="337">
        <f>Gasto_o_ing_per_capita!S124*100/Gasto_o_ing_per_capita!$D124</f>
        <v>0</v>
      </c>
      <c r="T124" s="337">
        <f>Gasto_o_ing_per_capita!T124*100/Gasto_o_ing_per_capita!$D124</f>
        <v>0</v>
      </c>
      <c r="U124" s="337">
        <f>Gasto_o_ing_per_capita!U124*100/Gasto_o_ing_per_capita!$D124</f>
        <v>196.00358802498539</v>
      </c>
      <c r="V124" s="337">
        <f>Gasto_o_ing_per_capita!V124*100/Gasto_o_ing_per_capita!$D124</f>
        <v>0</v>
      </c>
    </row>
    <row r="125" spans="1:22" s="102" customFormat="1" ht="13.15">
      <c r="A125" s="356"/>
      <c r="B125" s="115"/>
      <c r="C125" s="129"/>
      <c r="D125" s="110"/>
      <c r="E125" s="110"/>
      <c r="F125" s="110"/>
      <c r="G125" s="110"/>
      <c r="H125" s="110"/>
      <c r="I125" s="110"/>
      <c r="J125" s="110"/>
      <c r="K125" s="110"/>
      <c r="L125" s="110"/>
      <c r="M125" s="110"/>
      <c r="N125" s="110"/>
      <c r="O125" s="110"/>
      <c r="P125" s="110"/>
      <c r="Q125" s="110"/>
      <c r="R125" s="110"/>
      <c r="S125" s="110"/>
      <c r="T125" s="110"/>
      <c r="U125" s="110"/>
      <c r="V125" s="110"/>
    </row>
    <row r="126" spans="1:22" s="102" customFormat="1" ht="13.15">
      <c r="A126" s="356"/>
      <c r="B126" s="137"/>
      <c r="C126" s="128" t="s">
        <v>70</v>
      </c>
      <c r="D126" s="113">
        <f>Gasto_o_ing_per_capita!D126*100/Gasto_o_ing_per_capita!$D126</f>
        <v>99.999999999999986</v>
      </c>
      <c r="E126" s="113">
        <f>Gasto_o_ing_per_capita!E126*100/Gasto_o_ing_per_capita!$D126</f>
        <v>0</v>
      </c>
      <c r="F126" s="113">
        <f>Gasto_o_ing_per_capita!F126*100/Gasto_o_ing_per_capita!$D126</f>
        <v>0</v>
      </c>
      <c r="G126" s="113">
        <f>Gasto_o_ing_per_capita!G126*100/Gasto_o_ing_per_capita!$D126</f>
        <v>0</v>
      </c>
      <c r="H126" s="113">
        <f>Gasto_o_ing_per_capita!H126*100/Gasto_o_ing_per_capita!$D126</f>
        <v>0</v>
      </c>
      <c r="I126" s="113">
        <f>Gasto_o_ing_per_capita!I126*100/Gasto_o_ing_per_capita!$D126</f>
        <v>0</v>
      </c>
      <c r="J126" s="113">
        <f>Gasto_o_ing_per_capita!J126*100/Gasto_o_ing_per_capita!$D126</f>
        <v>0</v>
      </c>
      <c r="K126" s="113">
        <f>Gasto_o_ing_per_capita!K126*100/Gasto_o_ing_per_capita!$D126</f>
        <v>0</v>
      </c>
      <c r="L126" s="113">
        <f>Gasto_o_ing_per_capita!L126*100/Gasto_o_ing_per_capita!$D126</f>
        <v>0</v>
      </c>
      <c r="M126" s="113">
        <f>Gasto_o_ing_per_capita!M126*100/Gasto_o_ing_per_capita!$D126</f>
        <v>0</v>
      </c>
      <c r="N126" s="113">
        <f>Gasto_o_ing_per_capita!N126*100/Gasto_o_ing_per_capita!$D126</f>
        <v>0</v>
      </c>
      <c r="O126" s="113">
        <f>Gasto_o_ing_per_capita!O126*100/Gasto_o_ing_per_capita!$D126</f>
        <v>0</v>
      </c>
      <c r="P126" s="113">
        <f>Gasto_o_ing_per_capita!P126*100/Gasto_o_ing_per_capita!$D126</f>
        <v>0</v>
      </c>
      <c r="Q126" s="113">
        <f>Gasto_o_ing_per_capita!Q126*100/Gasto_o_ing_per_capita!$D126</f>
        <v>0</v>
      </c>
      <c r="R126" s="113">
        <f>Gasto_o_ing_per_capita!R126*100/Gasto_o_ing_per_capita!$D126</f>
        <v>0</v>
      </c>
      <c r="S126" s="113">
        <f>Gasto_o_ing_per_capita!S126*100/Gasto_o_ing_per_capita!$D126</f>
        <v>0</v>
      </c>
      <c r="T126" s="113">
        <f>Gasto_o_ing_per_capita!T126*100/Gasto_o_ing_per_capita!$D126</f>
        <v>0</v>
      </c>
      <c r="U126" s="113">
        <f>Gasto_o_ing_per_capita!U126*100/Gasto_o_ing_per_capita!$D126</f>
        <v>0</v>
      </c>
      <c r="V126" s="113">
        <f>Gasto_o_ing_per_capita!V126*100/Gasto_o_ing_per_capita!$D126</f>
        <v>27836.494125947509</v>
      </c>
    </row>
    <row r="127" spans="1:22" s="102" customFormat="1" ht="13.15">
      <c r="A127" s="355" t="str">
        <f>IF(B127="","",(IF(ISERROR(MATCH(B127,Tot_res!C:C,0)),"Eliminar!!!","")))</f>
        <v/>
      </c>
      <c r="B127" s="115" t="s">
        <v>967</v>
      </c>
      <c r="C127" s="334" t="str">
        <f>VLOOKUP(B127,Tot_res!C:D,2,FALSE)</f>
        <v>Dirección y Servicios Generales de la Educación, gasto directo en Ceuta y Melilla</v>
      </c>
      <c r="D127" s="336">
        <f>Gasto_o_ing_per_capita!D127*100/Gasto_o_ing_per_capita!$D127</f>
        <v>100</v>
      </c>
      <c r="E127" s="336">
        <f>Gasto_o_ing_per_capita!E127*100/Gasto_o_ing_per_capita!$D127</f>
        <v>0</v>
      </c>
      <c r="F127" s="336">
        <f>Gasto_o_ing_per_capita!F127*100/Gasto_o_ing_per_capita!$D127</f>
        <v>0</v>
      </c>
      <c r="G127" s="336">
        <f>Gasto_o_ing_per_capita!G127*100/Gasto_o_ing_per_capita!$D127</f>
        <v>0</v>
      </c>
      <c r="H127" s="336">
        <f>Gasto_o_ing_per_capita!H127*100/Gasto_o_ing_per_capita!$D127</f>
        <v>0</v>
      </c>
      <c r="I127" s="336">
        <f>Gasto_o_ing_per_capita!I127*100/Gasto_o_ing_per_capita!$D127</f>
        <v>0</v>
      </c>
      <c r="J127" s="336">
        <f>Gasto_o_ing_per_capita!J127*100/Gasto_o_ing_per_capita!$D127</f>
        <v>0</v>
      </c>
      <c r="K127" s="336">
        <f>Gasto_o_ing_per_capita!K127*100/Gasto_o_ing_per_capita!$D127</f>
        <v>0</v>
      </c>
      <c r="L127" s="336">
        <f>Gasto_o_ing_per_capita!L127*100/Gasto_o_ing_per_capita!$D127</f>
        <v>0</v>
      </c>
      <c r="M127" s="336">
        <f>Gasto_o_ing_per_capita!M127*100/Gasto_o_ing_per_capita!$D127</f>
        <v>0</v>
      </c>
      <c r="N127" s="336">
        <f>Gasto_o_ing_per_capita!N127*100/Gasto_o_ing_per_capita!$D127</f>
        <v>0</v>
      </c>
      <c r="O127" s="336">
        <f>Gasto_o_ing_per_capita!O127*100/Gasto_o_ing_per_capita!$D127</f>
        <v>0</v>
      </c>
      <c r="P127" s="336">
        <f>Gasto_o_ing_per_capita!P127*100/Gasto_o_ing_per_capita!$D127</f>
        <v>0</v>
      </c>
      <c r="Q127" s="336">
        <f>Gasto_o_ing_per_capita!Q127*100/Gasto_o_ing_per_capita!$D127</f>
        <v>0</v>
      </c>
      <c r="R127" s="336">
        <f>Gasto_o_ing_per_capita!R127*100/Gasto_o_ing_per_capita!$D127</f>
        <v>0</v>
      </c>
      <c r="S127" s="336">
        <f>Gasto_o_ing_per_capita!S127*100/Gasto_o_ing_per_capita!$D127</f>
        <v>0</v>
      </c>
      <c r="T127" s="336">
        <f>Gasto_o_ing_per_capita!T127*100/Gasto_o_ing_per_capita!$D127</f>
        <v>0</v>
      </c>
      <c r="U127" s="336">
        <f>Gasto_o_ing_per_capita!U127*100/Gasto_o_ing_per_capita!$D127</f>
        <v>0</v>
      </c>
      <c r="V127" s="336">
        <f>Gasto_o_ing_per_capita!V127*100/Gasto_o_ing_per_capita!$D127</f>
        <v>27836.494125947513</v>
      </c>
    </row>
    <row r="128" spans="1:22" s="102" customFormat="1" ht="26.3">
      <c r="A128" s="355" t="str">
        <f>IF(B128="","",(IF(ISERROR(MATCH(B128,Tot_res!C:C,0)),"Eliminar!!!","")))</f>
        <v/>
      </c>
      <c r="B128" s="115" t="s">
        <v>968</v>
      </c>
      <c r="C128" s="334" t="str">
        <f>VLOOKUP(B128,Tot_res!C:D,2,FALSE)</f>
        <v>Formación permanente del profesorado de Educación, gasto directo del Estado en Ceuta y Melilla</v>
      </c>
      <c r="D128" s="336">
        <f>Gasto_o_ing_per_capita!D128*100/Gasto_o_ing_per_capita!$D128</f>
        <v>100</v>
      </c>
      <c r="E128" s="336">
        <f>Gasto_o_ing_per_capita!E128*100/Gasto_o_ing_per_capita!$D128</f>
        <v>0</v>
      </c>
      <c r="F128" s="336">
        <f>Gasto_o_ing_per_capita!F128*100/Gasto_o_ing_per_capita!$D128</f>
        <v>0</v>
      </c>
      <c r="G128" s="336">
        <f>Gasto_o_ing_per_capita!G128*100/Gasto_o_ing_per_capita!$D128</f>
        <v>0</v>
      </c>
      <c r="H128" s="336">
        <f>Gasto_o_ing_per_capita!H128*100/Gasto_o_ing_per_capita!$D128</f>
        <v>0</v>
      </c>
      <c r="I128" s="336">
        <f>Gasto_o_ing_per_capita!I128*100/Gasto_o_ing_per_capita!$D128</f>
        <v>0</v>
      </c>
      <c r="J128" s="336">
        <f>Gasto_o_ing_per_capita!J128*100/Gasto_o_ing_per_capita!$D128</f>
        <v>0</v>
      </c>
      <c r="K128" s="336">
        <f>Gasto_o_ing_per_capita!K128*100/Gasto_o_ing_per_capita!$D128</f>
        <v>0</v>
      </c>
      <c r="L128" s="336">
        <f>Gasto_o_ing_per_capita!L128*100/Gasto_o_ing_per_capita!$D128</f>
        <v>0</v>
      </c>
      <c r="M128" s="336">
        <f>Gasto_o_ing_per_capita!M128*100/Gasto_o_ing_per_capita!$D128</f>
        <v>0</v>
      </c>
      <c r="N128" s="336">
        <f>Gasto_o_ing_per_capita!N128*100/Gasto_o_ing_per_capita!$D128</f>
        <v>0</v>
      </c>
      <c r="O128" s="336">
        <f>Gasto_o_ing_per_capita!O128*100/Gasto_o_ing_per_capita!$D128</f>
        <v>0</v>
      </c>
      <c r="P128" s="336">
        <f>Gasto_o_ing_per_capita!P128*100/Gasto_o_ing_per_capita!$D128</f>
        <v>0</v>
      </c>
      <c r="Q128" s="336">
        <f>Gasto_o_ing_per_capita!Q128*100/Gasto_o_ing_per_capita!$D128</f>
        <v>0</v>
      </c>
      <c r="R128" s="336">
        <f>Gasto_o_ing_per_capita!R128*100/Gasto_o_ing_per_capita!$D128</f>
        <v>0</v>
      </c>
      <c r="S128" s="336">
        <f>Gasto_o_ing_per_capita!S128*100/Gasto_o_ing_per_capita!$D128</f>
        <v>0</v>
      </c>
      <c r="T128" s="336">
        <f>Gasto_o_ing_per_capita!T128*100/Gasto_o_ing_per_capita!$D128</f>
        <v>0</v>
      </c>
      <c r="U128" s="336">
        <f>Gasto_o_ing_per_capita!U128*100/Gasto_o_ing_per_capita!$D128</f>
        <v>0</v>
      </c>
      <c r="V128" s="336">
        <f>Gasto_o_ing_per_capita!V128*100/Gasto_o_ing_per_capita!$D128</f>
        <v>27836.494125947509</v>
      </c>
    </row>
    <row r="129" spans="1:22" s="102" customFormat="1" ht="13.15">
      <c r="A129" s="355" t="str">
        <f>IF(B129="","",(IF(ISERROR(MATCH(B129,Tot_res!C:C,0)),"Eliminar!!!","")))</f>
        <v/>
      </c>
      <c r="B129" s="115" t="s">
        <v>969</v>
      </c>
      <c r="C129" s="334" t="str">
        <f>VLOOKUP(B129,Tot_res!C:D,2,FALSE)</f>
        <v xml:space="preserve">Educación infantil y primaria, gasto directo del Estado en Ceuta y Melilla  </v>
      </c>
      <c r="D129" s="336">
        <f>Gasto_o_ing_per_capita!D129*100/Gasto_o_ing_per_capita!$D129</f>
        <v>100</v>
      </c>
      <c r="E129" s="336">
        <f>Gasto_o_ing_per_capita!E129*100/Gasto_o_ing_per_capita!$D129</f>
        <v>0</v>
      </c>
      <c r="F129" s="336">
        <f>Gasto_o_ing_per_capita!F129*100/Gasto_o_ing_per_capita!$D129</f>
        <v>0</v>
      </c>
      <c r="G129" s="336">
        <f>Gasto_o_ing_per_capita!G129*100/Gasto_o_ing_per_capita!$D129</f>
        <v>0</v>
      </c>
      <c r="H129" s="336">
        <f>Gasto_o_ing_per_capita!H129*100/Gasto_o_ing_per_capita!$D129</f>
        <v>0</v>
      </c>
      <c r="I129" s="336">
        <f>Gasto_o_ing_per_capita!I129*100/Gasto_o_ing_per_capita!$D129</f>
        <v>0</v>
      </c>
      <c r="J129" s="336">
        <f>Gasto_o_ing_per_capita!J129*100/Gasto_o_ing_per_capita!$D129</f>
        <v>0</v>
      </c>
      <c r="K129" s="336">
        <f>Gasto_o_ing_per_capita!K129*100/Gasto_o_ing_per_capita!$D129</f>
        <v>0</v>
      </c>
      <c r="L129" s="336">
        <f>Gasto_o_ing_per_capita!L129*100/Gasto_o_ing_per_capita!$D129</f>
        <v>0</v>
      </c>
      <c r="M129" s="336">
        <f>Gasto_o_ing_per_capita!M129*100/Gasto_o_ing_per_capita!$D129</f>
        <v>0</v>
      </c>
      <c r="N129" s="336">
        <f>Gasto_o_ing_per_capita!N129*100/Gasto_o_ing_per_capita!$D129</f>
        <v>0</v>
      </c>
      <c r="O129" s="336">
        <f>Gasto_o_ing_per_capita!O129*100/Gasto_o_ing_per_capita!$D129</f>
        <v>0</v>
      </c>
      <c r="P129" s="336">
        <f>Gasto_o_ing_per_capita!P129*100/Gasto_o_ing_per_capita!$D129</f>
        <v>0</v>
      </c>
      <c r="Q129" s="336">
        <f>Gasto_o_ing_per_capita!Q129*100/Gasto_o_ing_per_capita!$D129</f>
        <v>0</v>
      </c>
      <c r="R129" s="336">
        <f>Gasto_o_ing_per_capita!R129*100/Gasto_o_ing_per_capita!$D129</f>
        <v>0</v>
      </c>
      <c r="S129" s="336">
        <f>Gasto_o_ing_per_capita!S129*100/Gasto_o_ing_per_capita!$D129</f>
        <v>0</v>
      </c>
      <c r="T129" s="336">
        <f>Gasto_o_ing_per_capita!T129*100/Gasto_o_ing_per_capita!$D129</f>
        <v>0</v>
      </c>
      <c r="U129" s="336">
        <f>Gasto_o_ing_per_capita!U129*100/Gasto_o_ing_per_capita!$D129</f>
        <v>0</v>
      </c>
      <c r="V129" s="336">
        <f>Gasto_o_ing_per_capita!V129*100/Gasto_o_ing_per_capita!$D129</f>
        <v>27836.494125947516</v>
      </c>
    </row>
    <row r="130" spans="1:22" s="102" customFormat="1" ht="26.3">
      <c r="A130" s="355" t="str">
        <f>IF(B130="","",(IF(ISERROR(MATCH(B130,Tot_res!C:C,0)),"Eliminar!!!","")))</f>
        <v/>
      </c>
      <c r="B130" s="115" t="s">
        <v>970</v>
      </c>
      <c r="C130" s="334" t="str">
        <f>VLOOKUP(B130,Tot_res!C:D,2,FALSE)</f>
        <v>Educ. secundaria, formación profesional y EE.OO de Idiomas, gasto directo del Estado en Ceuta y Melilla</v>
      </c>
      <c r="D130" s="336">
        <f>Gasto_o_ing_per_capita!D130*100/Gasto_o_ing_per_capita!$D130</f>
        <v>100</v>
      </c>
      <c r="E130" s="336">
        <f>Gasto_o_ing_per_capita!E130*100/Gasto_o_ing_per_capita!$D130</f>
        <v>0</v>
      </c>
      <c r="F130" s="336">
        <f>Gasto_o_ing_per_capita!F130*100/Gasto_o_ing_per_capita!$D130</f>
        <v>0</v>
      </c>
      <c r="G130" s="336">
        <f>Gasto_o_ing_per_capita!G130*100/Gasto_o_ing_per_capita!$D130</f>
        <v>0</v>
      </c>
      <c r="H130" s="336">
        <f>Gasto_o_ing_per_capita!H130*100/Gasto_o_ing_per_capita!$D130</f>
        <v>0</v>
      </c>
      <c r="I130" s="336">
        <f>Gasto_o_ing_per_capita!I130*100/Gasto_o_ing_per_capita!$D130</f>
        <v>0</v>
      </c>
      <c r="J130" s="336">
        <f>Gasto_o_ing_per_capita!J130*100/Gasto_o_ing_per_capita!$D130</f>
        <v>0</v>
      </c>
      <c r="K130" s="336">
        <f>Gasto_o_ing_per_capita!K130*100/Gasto_o_ing_per_capita!$D130</f>
        <v>0</v>
      </c>
      <c r="L130" s="336">
        <f>Gasto_o_ing_per_capita!L130*100/Gasto_o_ing_per_capita!$D130</f>
        <v>0</v>
      </c>
      <c r="M130" s="336">
        <f>Gasto_o_ing_per_capita!M130*100/Gasto_o_ing_per_capita!$D130</f>
        <v>0</v>
      </c>
      <c r="N130" s="336">
        <f>Gasto_o_ing_per_capita!N130*100/Gasto_o_ing_per_capita!$D130</f>
        <v>0</v>
      </c>
      <c r="O130" s="336">
        <f>Gasto_o_ing_per_capita!O130*100/Gasto_o_ing_per_capita!$D130</f>
        <v>0</v>
      </c>
      <c r="P130" s="336">
        <f>Gasto_o_ing_per_capita!P130*100/Gasto_o_ing_per_capita!$D130</f>
        <v>0</v>
      </c>
      <c r="Q130" s="336">
        <f>Gasto_o_ing_per_capita!Q130*100/Gasto_o_ing_per_capita!$D130</f>
        <v>0</v>
      </c>
      <c r="R130" s="336">
        <f>Gasto_o_ing_per_capita!R130*100/Gasto_o_ing_per_capita!$D130</f>
        <v>0</v>
      </c>
      <c r="S130" s="336">
        <f>Gasto_o_ing_per_capita!S130*100/Gasto_o_ing_per_capita!$D130</f>
        <v>0</v>
      </c>
      <c r="T130" s="336">
        <f>Gasto_o_ing_per_capita!T130*100/Gasto_o_ing_per_capita!$D130</f>
        <v>0</v>
      </c>
      <c r="U130" s="336">
        <f>Gasto_o_ing_per_capita!U130*100/Gasto_o_ing_per_capita!$D130</f>
        <v>0</v>
      </c>
      <c r="V130" s="336">
        <f>Gasto_o_ing_per_capita!V130*100/Gasto_o_ing_per_capita!$D130</f>
        <v>27836.494125947509</v>
      </c>
    </row>
    <row r="131" spans="1:22" s="102" customFormat="1" ht="13.15">
      <c r="A131" s="355" t="str">
        <f>IF(B131="","",(IF(ISERROR(MATCH(B131,Tot_res!C:C,0)),"Eliminar!!!","")))</f>
        <v/>
      </c>
      <c r="B131" s="115" t="s">
        <v>971</v>
      </c>
      <c r="C131" s="334" t="str">
        <f>VLOOKUP(B131,Tot_res!C:D,2,FALSE)</f>
        <v>Enseñanzas universitarias, gasto directo del Estado en Ceuta y Melilla</v>
      </c>
      <c r="D131" s="336">
        <f>Gasto_o_ing_per_capita!D131*100/Gasto_o_ing_per_capita!$D131</f>
        <v>100.00000000000001</v>
      </c>
      <c r="E131" s="336">
        <f>Gasto_o_ing_per_capita!E131*100/Gasto_o_ing_per_capita!$D131</f>
        <v>0</v>
      </c>
      <c r="F131" s="336">
        <f>Gasto_o_ing_per_capita!F131*100/Gasto_o_ing_per_capita!$D131</f>
        <v>0</v>
      </c>
      <c r="G131" s="336">
        <f>Gasto_o_ing_per_capita!G131*100/Gasto_o_ing_per_capita!$D131</f>
        <v>0</v>
      </c>
      <c r="H131" s="336">
        <f>Gasto_o_ing_per_capita!H131*100/Gasto_o_ing_per_capita!$D131</f>
        <v>0</v>
      </c>
      <c r="I131" s="336">
        <f>Gasto_o_ing_per_capita!I131*100/Gasto_o_ing_per_capita!$D131</f>
        <v>0</v>
      </c>
      <c r="J131" s="336">
        <f>Gasto_o_ing_per_capita!J131*100/Gasto_o_ing_per_capita!$D131</f>
        <v>0</v>
      </c>
      <c r="K131" s="336">
        <f>Gasto_o_ing_per_capita!K131*100/Gasto_o_ing_per_capita!$D131</f>
        <v>0</v>
      </c>
      <c r="L131" s="336">
        <f>Gasto_o_ing_per_capita!L131*100/Gasto_o_ing_per_capita!$D131</f>
        <v>0</v>
      </c>
      <c r="M131" s="336">
        <f>Gasto_o_ing_per_capita!M131*100/Gasto_o_ing_per_capita!$D131</f>
        <v>0</v>
      </c>
      <c r="N131" s="336">
        <f>Gasto_o_ing_per_capita!N131*100/Gasto_o_ing_per_capita!$D131</f>
        <v>0</v>
      </c>
      <c r="O131" s="336">
        <f>Gasto_o_ing_per_capita!O131*100/Gasto_o_ing_per_capita!$D131</f>
        <v>0</v>
      </c>
      <c r="P131" s="336">
        <f>Gasto_o_ing_per_capita!P131*100/Gasto_o_ing_per_capita!$D131</f>
        <v>0</v>
      </c>
      <c r="Q131" s="336">
        <f>Gasto_o_ing_per_capita!Q131*100/Gasto_o_ing_per_capita!$D131</f>
        <v>0</v>
      </c>
      <c r="R131" s="336">
        <f>Gasto_o_ing_per_capita!R131*100/Gasto_o_ing_per_capita!$D131</f>
        <v>0</v>
      </c>
      <c r="S131" s="336">
        <f>Gasto_o_ing_per_capita!S131*100/Gasto_o_ing_per_capita!$D131</f>
        <v>0</v>
      </c>
      <c r="T131" s="336">
        <f>Gasto_o_ing_per_capita!T131*100/Gasto_o_ing_per_capita!$D131</f>
        <v>0</v>
      </c>
      <c r="U131" s="336">
        <f>Gasto_o_ing_per_capita!U131*100/Gasto_o_ing_per_capita!$D131</f>
        <v>0</v>
      </c>
      <c r="V131" s="336">
        <f>Gasto_o_ing_per_capita!V131*100/Gasto_o_ing_per_capita!$D131</f>
        <v>27836.494125947513</v>
      </c>
    </row>
    <row r="132" spans="1:22" s="102" customFormat="1" ht="13.15">
      <c r="A132" s="355" t="str">
        <f>IF(B132="","",(IF(ISERROR(MATCH(B132,Tot_res!C:C,0)),"Eliminar!!!","")))</f>
        <v/>
      </c>
      <c r="B132" s="115" t="s">
        <v>972</v>
      </c>
      <c r="C132" s="334" t="str">
        <f>VLOOKUP(B132,Tot_res!C:D,2,FALSE)</f>
        <v>Enseñanzas artísticas, gasto directo del Estado en Ceuta y Melilla</v>
      </c>
      <c r="D132" s="336">
        <f>Gasto_o_ing_per_capita!D132*100/Gasto_o_ing_per_capita!$D132</f>
        <v>100</v>
      </c>
      <c r="E132" s="336">
        <f>Gasto_o_ing_per_capita!E132*100/Gasto_o_ing_per_capita!$D132</f>
        <v>0</v>
      </c>
      <c r="F132" s="336">
        <f>Gasto_o_ing_per_capita!F132*100/Gasto_o_ing_per_capita!$D132</f>
        <v>0</v>
      </c>
      <c r="G132" s="336">
        <f>Gasto_o_ing_per_capita!G132*100/Gasto_o_ing_per_capita!$D132</f>
        <v>0</v>
      </c>
      <c r="H132" s="336">
        <f>Gasto_o_ing_per_capita!H132*100/Gasto_o_ing_per_capita!$D132</f>
        <v>0</v>
      </c>
      <c r="I132" s="336">
        <f>Gasto_o_ing_per_capita!I132*100/Gasto_o_ing_per_capita!$D132</f>
        <v>0</v>
      </c>
      <c r="J132" s="336">
        <f>Gasto_o_ing_per_capita!J132*100/Gasto_o_ing_per_capita!$D132</f>
        <v>0</v>
      </c>
      <c r="K132" s="336">
        <f>Gasto_o_ing_per_capita!K132*100/Gasto_o_ing_per_capita!$D132</f>
        <v>0</v>
      </c>
      <c r="L132" s="336">
        <f>Gasto_o_ing_per_capita!L132*100/Gasto_o_ing_per_capita!$D132</f>
        <v>0</v>
      </c>
      <c r="M132" s="336">
        <f>Gasto_o_ing_per_capita!M132*100/Gasto_o_ing_per_capita!$D132</f>
        <v>0</v>
      </c>
      <c r="N132" s="336">
        <f>Gasto_o_ing_per_capita!N132*100/Gasto_o_ing_per_capita!$D132</f>
        <v>0</v>
      </c>
      <c r="O132" s="336">
        <f>Gasto_o_ing_per_capita!O132*100/Gasto_o_ing_per_capita!$D132</f>
        <v>0</v>
      </c>
      <c r="P132" s="336">
        <f>Gasto_o_ing_per_capita!P132*100/Gasto_o_ing_per_capita!$D132</f>
        <v>0</v>
      </c>
      <c r="Q132" s="336">
        <f>Gasto_o_ing_per_capita!Q132*100/Gasto_o_ing_per_capita!$D132</f>
        <v>0</v>
      </c>
      <c r="R132" s="336">
        <f>Gasto_o_ing_per_capita!R132*100/Gasto_o_ing_per_capita!$D132</f>
        <v>0</v>
      </c>
      <c r="S132" s="336">
        <f>Gasto_o_ing_per_capita!S132*100/Gasto_o_ing_per_capita!$D132</f>
        <v>0</v>
      </c>
      <c r="T132" s="336">
        <f>Gasto_o_ing_per_capita!T132*100/Gasto_o_ing_per_capita!$D132</f>
        <v>0</v>
      </c>
      <c r="U132" s="336">
        <f>Gasto_o_ing_per_capita!U132*100/Gasto_o_ing_per_capita!$D132</f>
        <v>0</v>
      </c>
      <c r="V132" s="336">
        <f>Gasto_o_ing_per_capita!V132*100/Gasto_o_ing_per_capita!$D132</f>
        <v>27836.494125947509</v>
      </c>
    </row>
    <row r="133" spans="1:22" s="102" customFormat="1" ht="13.15">
      <c r="A133" s="355" t="str">
        <f>IF(B133="","",(IF(ISERROR(MATCH(B133,Tot_res!C:C,0)),"Eliminar!!!","")))</f>
        <v/>
      </c>
      <c r="B133" s="115" t="s">
        <v>973</v>
      </c>
      <c r="C133" s="334" t="str">
        <f>VLOOKUP(B133,Tot_res!C:D,2,FALSE)</f>
        <v>Educación compensatoria, gasto directo del Estado en Ceuta y Melilla</v>
      </c>
      <c r="D133" s="336">
        <f>Gasto_o_ing_per_capita!D133*100/Gasto_o_ing_per_capita!$D133</f>
        <v>100</v>
      </c>
      <c r="E133" s="336">
        <f>Gasto_o_ing_per_capita!E133*100/Gasto_o_ing_per_capita!$D133</f>
        <v>0</v>
      </c>
      <c r="F133" s="336">
        <f>Gasto_o_ing_per_capita!F133*100/Gasto_o_ing_per_capita!$D133</f>
        <v>0</v>
      </c>
      <c r="G133" s="336">
        <f>Gasto_o_ing_per_capita!G133*100/Gasto_o_ing_per_capita!$D133</f>
        <v>0</v>
      </c>
      <c r="H133" s="336">
        <f>Gasto_o_ing_per_capita!H133*100/Gasto_o_ing_per_capita!$D133</f>
        <v>0</v>
      </c>
      <c r="I133" s="336">
        <f>Gasto_o_ing_per_capita!I133*100/Gasto_o_ing_per_capita!$D133</f>
        <v>0</v>
      </c>
      <c r="J133" s="336">
        <f>Gasto_o_ing_per_capita!J133*100/Gasto_o_ing_per_capita!$D133</f>
        <v>0</v>
      </c>
      <c r="K133" s="336">
        <f>Gasto_o_ing_per_capita!K133*100/Gasto_o_ing_per_capita!$D133</f>
        <v>0</v>
      </c>
      <c r="L133" s="336">
        <f>Gasto_o_ing_per_capita!L133*100/Gasto_o_ing_per_capita!$D133</f>
        <v>0</v>
      </c>
      <c r="M133" s="336">
        <f>Gasto_o_ing_per_capita!M133*100/Gasto_o_ing_per_capita!$D133</f>
        <v>0</v>
      </c>
      <c r="N133" s="336">
        <f>Gasto_o_ing_per_capita!N133*100/Gasto_o_ing_per_capita!$D133</f>
        <v>0</v>
      </c>
      <c r="O133" s="336">
        <f>Gasto_o_ing_per_capita!O133*100/Gasto_o_ing_per_capita!$D133</f>
        <v>0</v>
      </c>
      <c r="P133" s="336">
        <f>Gasto_o_ing_per_capita!P133*100/Gasto_o_ing_per_capita!$D133</f>
        <v>0</v>
      </c>
      <c r="Q133" s="336">
        <f>Gasto_o_ing_per_capita!Q133*100/Gasto_o_ing_per_capita!$D133</f>
        <v>0</v>
      </c>
      <c r="R133" s="336">
        <f>Gasto_o_ing_per_capita!R133*100/Gasto_o_ing_per_capita!$D133</f>
        <v>0</v>
      </c>
      <c r="S133" s="336">
        <f>Gasto_o_ing_per_capita!S133*100/Gasto_o_ing_per_capita!$D133</f>
        <v>0</v>
      </c>
      <c r="T133" s="336">
        <f>Gasto_o_ing_per_capita!T133*100/Gasto_o_ing_per_capita!$D133</f>
        <v>0</v>
      </c>
      <c r="U133" s="336">
        <f>Gasto_o_ing_per_capita!U133*100/Gasto_o_ing_per_capita!$D133</f>
        <v>0</v>
      </c>
      <c r="V133" s="336">
        <f>Gasto_o_ing_per_capita!V133*100/Gasto_o_ing_per_capita!$D133</f>
        <v>27836.494125947513</v>
      </c>
    </row>
    <row r="134" spans="1:22" s="102" customFormat="1" ht="26.3">
      <c r="A134" s="355" t="str">
        <f>IF(B134="","",(IF(ISERROR(MATCH(B134,Tot_res!C:C,0)),"Eliminar!!!","")))</f>
        <v/>
      </c>
      <c r="B134" s="102" t="s">
        <v>974</v>
      </c>
      <c r="C134" s="334" t="str">
        <f>VLOOKUP(B134,Tot_res!C:D,2,FALSE)</f>
        <v xml:space="preserve">Deporte en edad escolar y en la universidad, gasto directo del Estado en Ceuta y Melilla  </v>
      </c>
      <c r="D134" s="336">
        <f>Gasto_o_ing_per_capita!D134*100/Gasto_o_ing_per_capita!$D134</f>
        <v>100</v>
      </c>
      <c r="E134" s="336">
        <f>Gasto_o_ing_per_capita!E134*100/Gasto_o_ing_per_capita!$D134</f>
        <v>0</v>
      </c>
      <c r="F134" s="336">
        <f>Gasto_o_ing_per_capita!F134*100/Gasto_o_ing_per_capita!$D134</f>
        <v>0</v>
      </c>
      <c r="G134" s="336">
        <f>Gasto_o_ing_per_capita!G134*100/Gasto_o_ing_per_capita!$D134</f>
        <v>0</v>
      </c>
      <c r="H134" s="336">
        <f>Gasto_o_ing_per_capita!H134*100/Gasto_o_ing_per_capita!$D134</f>
        <v>0</v>
      </c>
      <c r="I134" s="336">
        <f>Gasto_o_ing_per_capita!I134*100/Gasto_o_ing_per_capita!$D134</f>
        <v>0</v>
      </c>
      <c r="J134" s="336">
        <f>Gasto_o_ing_per_capita!J134*100/Gasto_o_ing_per_capita!$D134</f>
        <v>0</v>
      </c>
      <c r="K134" s="336">
        <f>Gasto_o_ing_per_capita!K134*100/Gasto_o_ing_per_capita!$D134</f>
        <v>0</v>
      </c>
      <c r="L134" s="336">
        <f>Gasto_o_ing_per_capita!L134*100/Gasto_o_ing_per_capita!$D134</f>
        <v>0</v>
      </c>
      <c r="M134" s="336">
        <f>Gasto_o_ing_per_capita!M134*100/Gasto_o_ing_per_capita!$D134</f>
        <v>0</v>
      </c>
      <c r="N134" s="336">
        <f>Gasto_o_ing_per_capita!N134*100/Gasto_o_ing_per_capita!$D134</f>
        <v>0</v>
      </c>
      <c r="O134" s="336">
        <f>Gasto_o_ing_per_capita!O134*100/Gasto_o_ing_per_capita!$D134</f>
        <v>0</v>
      </c>
      <c r="P134" s="336">
        <f>Gasto_o_ing_per_capita!P134*100/Gasto_o_ing_per_capita!$D134</f>
        <v>0</v>
      </c>
      <c r="Q134" s="336">
        <f>Gasto_o_ing_per_capita!Q134*100/Gasto_o_ing_per_capita!$D134</f>
        <v>0</v>
      </c>
      <c r="R134" s="336">
        <f>Gasto_o_ing_per_capita!R134*100/Gasto_o_ing_per_capita!$D134</f>
        <v>0</v>
      </c>
      <c r="S134" s="336">
        <f>Gasto_o_ing_per_capita!S134*100/Gasto_o_ing_per_capita!$D134</f>
        <v>0</v>
      </c>
      <c r="T134" s="336">
        <f>Gasto_o_ing_per_capita!T134*100/Gasto_o_ing_per_capita!$D134</f>
        <v>0</v>
      </c>
      <c r="U134" s="336">
        <f>Gasto_o_ing_per_capita!U134*100/Gasto_o_ing_per_capita!$D134</f>
        <v>0</v>
      </c>
      <c r="V134" s="336">
        <f>Gasto_o_ing_per_capita!V134*100/Gasto_o_ing_per_capita!$D134</f>
        <v>27836.494125947509</v>
      </c>
    </row>
    <row r="135" spans="1:22" s="102" customFormat="1" ht="13.15">
      <c r="A135" s="355" t="str">
        <f>IF(B135="","",(IF(ISERROR(MATCH(B135,Tot_res!C:C,0)),"Eliminar!!!","")))</f>
        <v/>
      </c>
      <c r="B135" s="102" t="s">
        <v>975</v>
      </c>
      <c r="C135" s="334" t="str">
        <f>VLOOKUP(B135,Tot_res!C:D,2,FALSE)</f>
        <v>Otras enseñanzas y actividades educativas, gasto directo en Ceuta y Melilla</v>
      </c>
      <c r="D135" s="336">
        <f>Gasto_o_ing_per_capita!D135*100/Gasto_o_ing_per_capita!$D135</f>
        <v>99.999999999999986</v>
      </c>
      <c r="E135" s="336">
        <f>Gasto_o_ing_per_capita!E135*100/Gasto_o_ing_per_capita!$D135</f>
        <v>0</v>
      </c>
      <c r="F135" s="336">
        <f>Gasto_o_ing_per_capita!F135*100/Gasto_o_ing_per_capita!$D135</f>
        <v>0</v>
      </c>
      <c r="G135" s="336">
        <f>Gasto_o_ing_per_capita!G135*100/Gasto_o_ing_per_capita!$D135</f>
        <v>0</v>
      </c>
      <c r="H135" s="336">
        <f>Gasto_o_ing_per_capita!H135*100/Gasto_o_ing_per_capita!$D135</f>
        <v>0</v>
      </c>
      <c r="I135" s="336">
        <f>Gasto_o_ing_per_capita!I135*100/Gasto_o_ing_per_capita!$D135</f>
        <v>0</v>
      </c>
      <c r="J135" s="336">
        <f>Gasto_o_ing_per_capita!J135*100/Gasto_o_ing_per_capita!$D135</f>
        <v>0</v>
      </c>
      <c r="K135" s="336">
        <f>Gasto_o_ing_per_capita!K135*100/Gasto_o_ing_per_capita!$D135</f>
        <v>0</v>
      </c>
      <c r="L135" s="336">
        <f>Gasto_o_ing_per_capita!L135*100/Gasto_o_ing_per_capita!$D135</f>
        <v>0</v>
      </c>
      <c r="M135" s="336">
        <f>Gasto_o_ing_per_capita!M135*100/Gasto_o_ing_per_capita!$D135</f>
        <v>0</v>
      </c>
      <c r="N135" s="336">
        <f>Gasto_o_ing_per_capita!N135*100/Gasto_o_ing_per_capita!$D135</f>
        <v>0</v>
      </c>
      <c r="O135" s="336">
        <f>Gasto_o_ing_per_capita!O135*100/Gasto_o_ing_per_capita!$D135</f>
        <v>0</v>
      </c>
      <c r="P135" s="336">
        <f>Gasto_o_ing_per_capita!P135*100/Gasto_o_ing_per_capita!$D135</f>
        <v>0</v>
      </c>
      <c r="Q135" s="336">
        <f>Gasto_o_ing_per_capita!Q135*100/Gasto_o_ing_per_capita!$D135</f>
        <v>0</v>
      </c>
      <c r="R135" s="336">
        <f>Gasto_o_ing_per_capita!R135*100/Gasto_o_ing_per_capita!$D135</f>
        <v>0</v>
      </c>
      <c r="S135" s="336">
        <f>Gasto_o_ing_per_capita!S135*100/Gasto_o_ing_per_capita!$D135</f>
        <v>0</v>
      </c>
      <c r="T135" s="336">
        <f>Gasto_o_ing_per_capita!T135*100/Gasto_o_ing_per_capita!$D135</f>
        <v>0</v>
      </c>
      <c r="U135" s="336">
        <f>Gasto_o_ing_per_capita!U135*100/Gasto_o_ing_per_capita!$D135</f>
        <v>0</v>
      </c>
      <c r="V135" s="336">
        <f>Gasto_o_ing_per_capita!V135*100/Gasto_o_ing_per_capita!$D135</f>
        <v>27836.494125947509</v>
      </c>
    </row>
    <row r="136" spans="1:22" s="102" customFormat="1" ht="26.3">
      <c r="A136" s="355" t="str">
        <f>IF(B136="","",(IF(ISERROR(MATCH(B136,Tot_res!C:C,0)),"Eliminar!!!","")))</f>
        <v/>
      </c>
      <c r="B136" s="115" t="s">
        <v>976</v>
      </c>
      <c r="C136" s="334" t="str">
        <f>VLOOKUP(B136,Tot_res!C:D,2,FALSE)</f>
        <v>Servicios complementarios de la enseñanza, gasto directo del Estado en Ceuta y Melilla</v>
      </c>
      <c r="D136" s="336">
        <f>Gasto_o_ing_per_capita!D136*100/Gasto_o_ing_per_capita!$D136</f>
        <v>100</v>
      </c>
      <c r="E136" s="336">
        <f>Gasto_o_ing_per_capita!E136*100/Gasto_o_ing_per_capita!$D136</f>
        <v>0</v>
      </c>
      <c r="F136" s="336">
        <f>Gasto_o_ing_per_capita!F136*100/Gasto_o_ing_per_capita!$D136</f>
        <v>0</v>
      </c>
      <c r="G136" s="336">
        <f>Gasto_o_ing_per_capita!G136*100/Gasto_o_ing_per_capita!$D136</f>
        <v>0</v>
      </c>
      <c r="H136" s="336">
        <f>Gasto_o_ing_per_capita!H136*100/Gasto_o_ing_per_capita!$D136</f>
        <v>0</v>
      </c>
      <c r="I136" s="336">
        <f>Gasto_o_ing_per_capita!I136*100/Gasto_o_ing_per_capita!$D136</f>
        <v>0</v>
      </c>
      <c r="J136" s="336">
        <f>Gasto_o_ing_per_capita!J136*100/Gasto_o_ing_per_capita!$D136</f>
        <v>0</v>
      </c>
      <c r="K136" s="336">
        <f>Gasto_o_ing_per_capita!K136*100/Gasto_o_ing_per_capita!$D136</f>
        <v>0</v>
      </c>
      <c r="L136" s="336">
        <f>Gasto_o_ing_per_capita!L136*100/Gasto_o_ing_per_capita!$D136</f>
        <v>0</v>
      </c>
      <c r="M136" s="336">
        <f>Gasto_o_ing_per_capita!M136*100/Gasto_o_ing_per_capita!$D136</f>
        <v>0</v>
      </c>
      <c r="N136" s="336">
        <f>Gasto_o_ing_per_capita!N136*100/Gasto_o_ing_per_capita!$D136</f>
        <v>0</v>
      </c>
      <c r="O136" s="336">
        <f>Gasto_o_ing_per_capita!O136*100/Gasto_o_ing_per_capita!$D136</f>
        <v>0</v>
      </c>
      <c r="P136" s="336">
        <f>Gasto_o_ing_per_capita!P136*100/Gasto_o_ing_per_capita!$D136</f>
        <v>0</v>
      </c>
      <c r="Q136" s="336">
        <f>Gasto_o_ing_per_capita!Q136*100/Gasto_o_ing_per_capita!$D136</f>
        <v>0</v>
      </c>
      <c r="R136" s="336">
        <f>Gasto_o_ing_per_capita!R136*100/Gasto_o_ing_per_capita!$D136</f>
        <v>0</v>
      </c>
      <c r="S136" s="336">
        <f>Gasto_o_ing_per_capita!S136*100/Gasto_o_ing_per_capita!$D136</f>
        <v>0</v>
      </c>
      <c r="T136" s="336">
        <f>Gasto_o_ing_per_capita!T136*100/Gasto_o_ing_per_capita!$D136</f>
        <v>0</v>
      </c>
      <c r="U136" s="336">
        <f>Gasto_o_ing_per_capita!U136*100/Gasto_o_ing_per_capita!$D136</f>
        <v>0</v>
      </c>
      <c r="V136" s="336">
        <f>Gasto_o_ing_per_capita!V136*100/Gasto_o_ing_per_capita!$D136</f>
        <v>27836.494125947509</v>
      </c>
    </row>
    <row r="137" spans="1:22" s="102" customFormat="1" ht="13.15">
      <c r="A137" s="355" t="str">
        <f>IF(B137="","",(IF(ISERROR(MATCH(B137,Tot_res!C:C,0)),"Eliminar!!!","")))</f>
        <v/>
      </c>
      <c r="B137" s="115" t="s">
        <v>1007</v>
      </c>
      <c r="C137" s="334" t="str">
        <f>VLOOKUP(B137,Tot_res!C:D,2,FALSE)</f>
        <v xml:space="preserve">Atención Primaria de Salud, INGESA, Ceuta y Melilla </v>
      </c>
      <c r="D137" s="336">
        <f>Gasto_o_ing_per_capita!D137*100/Gasto_o_ing_per_capita!$D137</f>
        <v>100</v>
      </c>
      <c r="E137" s="336">
        <f>Gasto_o_ing_per_capita!E137*100/Gasto_o_ing_per_capita!$D137</f>
        <v>0</v>
      </c>
      <c r="F137" s="336">
        <f>Gasto_o_ing_per_capita!F137*100/Gasto_o_ing_per_capita!$D137</f>
        <v>0</v>
      </c>
      <c r="G137" s="336">
        <f>Gasto_o_ing_per_capita!G137*100/Gasto_o_ing_per_capita!$D137</f>
        <v>0</v>
      </c>
      <c r="H137" s="336">
        <f>Gasto_o_ing_per_capita!H137*100/Gasto_o_ing_per_capita!$D137</f>
        <v>0</v>
      </c>
      <c r="I137" s="336">
        <f>Gasto_o_ing_per_capita!I137*100/Gasto_o_ing_per_capita!$D137</f>
        <v>0</v>
      </c>
      <c r="J137" s="336">
        <f>Gasto_o_ing_per_capita!J137*100/Gasto_o_ing_per_capita!$D137</f>
        <v>0</v>
      </c>
      <c r="K137" s="336">
        <f>Gasto_o_ing_per_capita!K137*100/Gasto_o_ing_per_capita!$D137</f>
        <v>0</v>
      </c>
      <c r="L137" s="336">
        <f>Gasto_o_ing_per_capita!L137*100/Gasto_o_ing_per_capita!$D137</f>
        <v>0</v>
      </c>
      <c r="M137" s="336">
        <f>Gasto_o_ing_per_capita!M137*100/Gasto_o_ing_per_capita!$D137</f>
        <v>0</v>
      </c>
      <c r="N137" s="336">
        <f>Gasto_o_ing_per_capita!N137*100/Gasto_o_ing_per_capita!$D137</f>
        <v>0</v>
      </c>
      <c r="O137" s="336">
        <f>Gasto_o_ing_per_capita!O137*100/Gasto_o_ing_per_capita!$D137</f>
        <v>0</v>
      </c>
      <c r="P137" s="336">
        <f>Gasto_o_ing_per_capita!P137*100/Gasto_o_ing_per_capita!$D137</f>
        <v>0</v>
      </c>
      <c r="Q137" s="336">
        <f>Gasto_o_ing_per_capita!Q137*100/Gasto_o_ing_per_capita!$D137</f>
        <v>0</v>
      </c>
      <c r="R137" s="336">
        <f>Gasto_o_ing_per_capita!R137*100/Gasto_o_ing_per_capita!$D137</f>
        <v>0</v>
      </c>
      <c r="S137" s="336">
        <f>Gasto_o_ing_per_capita!S137*100/Gasto_o_ing_per_capita!$D137</f>
        <v>0</v>
      </c>
      <c r="T137" s="336">
        <f>Gasto_o_ing_per_capita!T137*100/Gasto_o_ing_per_capita!$D137</f>
        <v>0</v>
      </c>
      <c r="U137" s="336">
        <f>Gasto_o_ing_per_capita!U137*100/Gasto_o_ing_per_capita!$D137</f>
        <v>0</v>
      </c>
      <c r="V137" s="336">
        <f>Gasto_o_ing_per_capita!V137*100/Gasto_o_ing_per_capita!$D137</f>
        <v>27836.494125947513</v>
      </c>
    </row>
    <row r="138" spans="1:22" s="102" customFormat="1" ht="13.15">
      <c r="A138" s="355" t="str">
        <f>IF(B138="","",(IF(ISERROR(MATCH(B138,Tot_res!C:C,0)),"Eliminar!!!","")))</f>
        <v/>
      </c>
      <c r="B138" s="115" t="s">
        <v>1008</v>
      </c>
      <c r="C138" s="334" t="str">
        <f>VLOOKUP(B138,Tot_res!C:D,2,FALSE)</f>
        <v>Atención Especializada, gasto directo del INGESA en Ceuta y Melilla</v>
      </c>
      <c r="D138" s="336">
        <f>Gasto_o_ing_per_capita!D138*100/Gasto_o_ing_per_capita!$D138</f>
        <v>100</v>
      </c>
      <c r="E138" s="336">
        <f>Gasto_o_ing_per_capita!E138*100/Gasto_o_ing_per_capita!$D138</f>
        <v>0</v>
      </c>
      <c r="F138" s="336">
        <f>Gasto_o_ing_per_capita!F138*100/Gasto_o_ing_per_capita!$D138</f>
        <v>0</v>
      </c>
      <c r="G138" s="336">
        <f>Gasto_o_ing_per_capita!G138*100/Gasto_o_ing_per_capita!$D138</f>
        <v>0</v>
      </c>
      <c r="H138" s="336">
        <f>Gasto_o_ing_per_capita!H138*100/Gasto_o_ing_per_capita!$D138</f>
        <v>0</v>
      </c>
      <c r="I138" s="336">
        <f>Gasto_o_ing_per_capita!I138*100/Gasto_o_ing_per_capita!$D138</f>
        <v>0</v>
      </c>
      <c r="J138" s="336">
        <f>Gasto_o_ing_per_capita!J138*100/Gasto_o_ing_per_capita!$D138</f>
        <v>0</v>
      </c>
      <c r="K138" s="336">
        <f>Gasto_o_ing_per_capita!K138*100/Gasto_o_ing_per_capita!$D138</f>
        <v>0</v>
      </c>
      <c r="L138" s="336">
        <f>Gasto_o_ing_per_capita!L138*100/Gasto_o_ing_per_capita!$D138</f>
        <v>0</v>
      </c>
      <c r="M138" s="336">
        <f>Gasto_o_ing_per_capita!M138*100/Gasto_o_ing_per_capita!$D138</f>
        <v>0</v>
      </c>
      <c r="N138" s="336">
        <f>Gasto_o_ing_per_capita!N138*100/Gasto_o_ing_per_capita!$D138</f>
        <v>0</v>
      </c>
      <c r="O138" s="336">
        <f>Gasto_o_ing_per_capita!O138*100/Gasto_o_ing_per_capita!$D138</f>
        <v>0</v>
      </c>
      <c r="P138" s="336">
        <f>Gasto_o_ing_per_capita!P138*100/Gasto_o_ing_per_capita!$D138</f>
        <v>0</v>
      </c>
      <c r="Q138" s="336">
        <f>Gasto_o_ing_per_capita!Q138*100/Gasto_o_ing_per_capita!$D138</f>
        <v>0</v>
      </c>
      <c r="R138" s="336">
        <f>Gasto_o_ing_per_capita!R138*100/Gasto_o_ing_per_capita!$D138</f>
        <v>0</v>
      </c>
      <c r="S138" s="336">
        <f>Gasto_o_ing_per_capita!S138*100/Gasto_o_ing_per_capita!$D138</f>
        <v>0</v>
      </c>
      <c r="T138" s="336">
        <f>Gasto_o_ing_per_capita!T138*100/Gasto_o_ing_per_capita!$D138</f>
        <v>0</v>
      </c>
      <c r="U138" s="336">
        <f>Gasto_o_ing_per_capita!U138*100/Gasto_o_ing_per_capita!$D138</f>
        <v>0</v>
      </c>
      <c r="V138" s="336">
        <f>Gasto_o_ing_per_capita!V138*100/Gasto_o_ing_per_capita!$D138</f>
        <v>27836.494125947513</v>
      </c>
    </row>
    <row r="139" spans="1:22" s="102" customFormat="1" ht="26.3">
      <c r="A139" s="355" t="str">
        <f>IF(B139="","",(IF(ISERROR(MATCH(B139,Tot_res!C:C,0)),"Eliminar!!!","")))</f>
        <v/>
      </c>
      <c r="B139" s="115" t="s">
        <v>977</v>
      </c>
      <c r="C139" s="334" t="str">
        <f>VLOOKUP(B139,Tot_res!C:D,2,FALSE)</f>
        <v>Admón.,Ser.Grales.y Cont.Int.Asist.San, gasto directo del INGESA en Ceuta y Melila</v>
      </c>
      <c r="D139" s="336">
        <f>Gasto_o_ing_per_capita!D139*100/Gasto_o_ing_per_capita!$D139</f>
        <v>100</v>
      </c>
      <c r="E139" s="336">
        <f>Gasto_o_ing_per_capita!E139*100/Gasto_o_ing_per_capita!$D139</f>
        <v>0</v>
      </c>
      <c r="F139" s="336">
        <f>Gasto_o_ing_per_capita!F139*100/Gasto_o_ing_per_capita!$D139</f>
        <v>0</v>
      </c>
      <c r="G139" s="336">
        <f>Gasto_o_ing_per_capita!G139*100/Gasto_o_ing_per_capita!$D139</f>
        <v>0</v>
      </c>
      <c r="H139" s="336">
        <f>Gasto_o_ing_per_capita!H139*100/Gasto_o_ing_per_capita!$D139</f>
        <v>0</v>
      </c>
      <c r="I139" s="336">
        <f>Gasto_o_ing_per_capita!I139*100/Gasto_o_ing_per_capita!$D139</f>
        <v>0</v>
      </c>
      <c r="J139" s="336">
        <f>Gasto_o_ing_per_capita!J139*100/Gasto_o_ing_per_capita!$D139</f>
        <v>0</v>
      </c>
      <c r="K139" s="336">
        <f>Gasto_o_ing_per_capita!K139*100/Gasto_o_ing_per_capita!$D139</f>
        <v>0</v>
      </c>
      <c r="L139" s="336">
        <f>Gasto_o_ing_per_capita!L139*100/Gasto_o_ing_per_capita!$D139</f>
        <v>0</v>
      </c>
      <c r="M139" s="336">
        <f>Gasto_o_ing_per_capita!M139*100/Gasto_o_ing_per_capita!$D139</f>
        <v>0</v>
      </c>
      <c r="N139" s="336">
        <f>Gasto_o_ing_per_capita!N139*100/Gasto_o_ing_per_capita!$D139</f>
        <v>0</v>
      </c>
      <c r="O139" s="336">
        <f>Gasto_o_ing_per_capita!O139*100/Gasto_o_ing_per_capita!$D139</f>
        <v>0</v>
      </c>
      <c r="P139" s="336">
        <f>Gasto_o_ing_per_capita!P139*100/Gasto_o_ing_per_capita!$D139</f>
        <v>0</v>
      </c>
      <c r="Q139" s="336">
        <f>Gasto_o_ing_per_capita!Q139*100/Gasto_o_ing_per_capita!$D139</f>
        <v>0</v>
      </c>
      <c r="R139" s="336">
        <f>Gasto_o_ing_per_capita!R139*100/Gasto_o_ing_per_capita!$D139</f>
        <v>0</v>
      </c>
      <c r="S139" s="336">
        <f>Gasto_o_ing_per_capita!S139*100/Gasto_o_ing_per_capita!$D139</f>
        <v>0</v>
      </c>
      <c r="T139" s="336">
        <f>Gasto_o_ing_per_capita!T139*100/Gasto_o_ing_per_capita!$D139</f>
        <v>0</v>
      </c>
      <c r="U139" s="336">
        <f>Gasto_o_ing_per_capita!U139*100/Gasto_o_ing_per_capita!$D139</f>
        <v>0</v>
      </c>
      <c r="V139" s="336">
        <f>Gasto_o_ing_per_capita!V139*100/Gasto_o_ing_per_capita!$D139</f>
        <v>27836.494125947516</v>
      </c>
    </row>
    <row r="140" spans="1:22" s="102" customFormat="1" ht="13.15">
      <c r="A140" s="355" t="str">
        <f>IF(B140="","",(IF(ISERROR(MATCH(B140,Tot_res!C:C,0)),"Eliminar!!!","")))</f>
        <v/>
      </c>
      <c r="B140" s="115" t="s">
        <v>978</v>
      </c>
      <c r="C140" s="334" t="str">
        <f>VLOOKUP(B140,Tot_res!C:D,2,FALSE)</f>
        <v>Formación del Personal Sanitario, gasto directo del INGESA en Ceuta y Melilla</v>
      </c>
      <c r="D140" s="336">
        <f>Gasto_o_ing_per_capita!D140*100/Gasto_o_ing_per_capita!$D140</f>
        <v>100</v>
      </c>
      <c r="E140" s="336">
        <f>Gasto_o_ing_per_capita!E140*100/Gasto_o_ing_per_capita!$D140</f>
        <v>0</v>
      </c>
      <c r="F140" s="336">
        <f>Gasto_o_ing_per_capita!F140*100/Gasto_o_ing_per_capita!$D140</f>
        <v>0</v>
      </c>
      <c r="G140" s="336">
        <f>Gasto_o_ing_per_capita!G140*100/Gasto_o_ing_per_capita!$D140</f>
        <v>0</v>
      </c>
      <c r="H140" s="336">
        <f>Gasto_o_ing_per_capita!H140*100/Gasto_o_ing_per_capita!$D140</f>
        <v>0</v>
      </c>
      <c r="I140" s="336">
        <f>Gasto_o_ing_per_capita!I140*100/Gasto_o_ing_per_capita!$D140</f>
        <v>0</v>
      </c>
      <c r="J140" s="336">
        <f>Gasto_o_ing_per_capita!J140*100/Gasto_o_ing_per_capita!$D140</f>
        <v>0</v>
      </c>
      <c r="K140" s="336">
        <f>Gasto_o_ing_per_capita!K140*100/Gasto_o_ing_per_capita!$D140</f>
        <v>0</v>
      </c>
      <c r="L140" s="336">
        <f>Gasto_o_ing_per_capita!L140*100/Gasto_o_ing_per_capita!$D140</f>
        <v>0</v>
      </c>
      <c r="M140" s="336">
        <f>Gasto_o_ing_per_capita!M140*100/Gasto_o_ing_per_capita!$D140</f>
        <v>0</v>
      </c>
      <c r="N140" s="336">
        <f>Gasto_o_ing_per_capita!N140*100/Gasto_o_ing_per_capita!$D140</f>
        <v>0</v>
      </c>
      <c r="O140" s="336">
        <f>Gasto_o_ing_per_capita!O140*100/Gasto_o_ing_per_capita!$D140</f>
        <v>0</v>
      </c>
      <c r="P140" s="336">
        <f>Gasto_o_ing_per_capita!P140*100/Gasto_o_ing_per_capita!$D140</f>
        <v>0</v>
      </c>
      <c r="Q140" s="336">
        <f>Gasto_o_ing_per_capita!Q140*100/Gasto_o_ing_per_capita!$D140</f>
        <v>0</v>
      </c>
      <c r="R140" s="336">
        <f>Gasto_o_ing_per_capita!R140*100/Gasto_o_ing_per_capita!$D140</f>
        <v>0</v>
      </c>
      <c r="S140" s="336">
        <f>Gasto_o_ing_per_capita!S140*100/Gasto_o_ing_per_capita!$D140</f>
        <v>0</v>
      </c>
      <c r="T140" s="336">
        <f>Gasto_o_ing_per_capita!T140*100/Gasto_o_ing_per_capita!$D140</f>
        <v>0</v>
      </c>
      <c r="U140" s="336">
        <f>Gasto_o_ing_per_capita!U140*100/Gasto_o_ing_per_capita!$D140</f>
        <v>0</v>
      </c>
      <c r="V140" s="336">
        <f>Gasto_o_ing_per_capita!V140*100/Gasto_o_ing_per_capita!$D140</f>
        <v>27836.494125947509</v>
      </c>
    </row>
    <row r="141" spans="1:22" s="102" customFormat="1" ht="13.15">
      <c r="A141" s="355" t="str">
        <f>IF(B141="","",(IF(ISERROR(MATCH(B141,Tot_res!C:C,0)),"Eliminar!!!","")))</f>
        <v/>
      </c>
      <c r="B141" s="115" t="s">
        <v>979</v>
      </c>
      <c r="C141" s="334" t="str">
        <f>VLOOKUP(B141,Tot_res!C:D,2,FALSE)</f>
        <v>Servicios Sociales Generales, gasto directo del IMSERSO en Ceuta y Melilla</v>
      </c>
      <c r="D141" s="336">
        <f>Gasto_o_ing_per_capita!D141*100/Gasto_o_ing_per_capita!$D141</f>
        <v>100</v>
      </c>
      <c r="E141" s="336">
        <f>Gasto_o_ing_per_capita!E141*100/Gasto_o_ing_per_capita!$D141</f>
        <v>0</v>
      </c>
      <c r="F141" s="336">
        <f>Gasto_o_ing_per_capita!F141*100/Gasto_o_ing_per_capita!$D141</f>
        <v>0</v>
      </c>
      <c r="G141" s="336">
        <f>Gasto_o_ing_per_capita!G141*100/Gasto_o_ing_per_capita!$D141</f>
        <v>0</v>
      </c>
      <c r="H141" s="336">
        <f>Gasto_o_ing_per_capita!H141*100/Gasto_o_ing_per_capita!$D141</f>
        <v>0</v>
      </c>
      <c r="I141" s="336">
        <f>Gasto_o_ing_per_capita!I141*100/Gasto_o_ing_per_capita!$D141</f>
        <v>0</v>
      </c>
      <c r="J141" s="336">
        <f>Gasto_o_ing_per_capita!J141*100/Gasto_o_ing_per_capita!$D141</f>
        <v>0</v>
      </c>
      <c r="K141" s="336">
        <f>Gasto_o_ing_per_capita!K141*100/Gasto_o_ing_per_capita!$D141</f>
        <v>0</v>
      </c>
      <c r="L141" s="336">
        <f>Gasto_o_ing_per_capita!L141*100/Gasto_o_ing_per_capita!$D141</f>
        <v>0</v>
      </c>
      <c r="M141" s="336">
        <f>Gasto_o_ing_per_capita!M141*100/Gasto_o_ing_per_capita!$D141</f>
        <v>0</v>
      </c>
      <c r="N141" s="336">
        <f>Gasto_o_ing_per_capita!N141*100/Gasto_o_ing_per_capita!$D141</f>
        <v>0</v>
      </c>
      <c r="O141" s="336">
        <f>Gasto_o_ing_per_capita!O141*100/Gasto_o_ing_per_capita!$D141</f>
        <v>0</v>
      </c>
      <c r="P141" s="336">
        <f>Gasto_o_ing_per_capita!P141*100/Gasto_o_ing_per_capita!$D141</f>
        <v>0</v>
      </c>
      <c r="Q141" s="336">
        <f>Gasto_o_ing_per_capita!Q141*100/Gasto_o_ing_per_capita!$D141</f>
        <v>0</v>
      </c>
      <c r="R141" s="336">
        <f>Gasto_o_ing_per_capita!R141*100/Gasto_o_ing_per_capita!$D141</f>
        <v>0</v>
      </c>
      <c r="S141" s="336">
        <f>Gasto_o_ing_per_capita!S141*100/Gasto_o_ing_per_capita!$D141</f>
        <v>0</v>
      </c>
      <c r="T141" s="336">
        <f>Gasto_o_ing_per_capita!T141*100/Gasto_o_ing_per_capita!$D141</f>
        <v>0</v>
      </c>
      <c r="U141" s="336">
        <f>Gasto_o_ing_per_capita!U141*100/Gasto_o_ing_per_capita!$D141</f>
        <v>0</v>
      </c>
      <c r="V141" s="336">
        <f>Gasto_o_ing_per_capita!V141*100/Gasto_o_ing_per_capita!$D141</f>
        <v>27836.494125947513</v>
      </c>
    </row>
    <row r="142" spans="1:22" s="102" customFormat="1" ht="26.3">
      <c r="A142" s="355" t="str">
        <f>IF(B142="","",(IF(ISERROR(MATCH(B142,Tot_res!C:C,0)),"Eliminar!!!","")))</f>
        <v/>
      </c>
      <c r="B142" s="115" t="s">
        <v>980</v>
      </c>
      <c r="C142" s="334" t="str">
        <f>VLOOKUP(B142,Tot_res!C:D,2,FALSE)</f>
        <v>Administración y Servicios Generales de Servicios Sociales, gasto directo del IMSERSO en Ceuta y Melilla</v>
      </c>
      <c r="D142" s="336">
        <f>Gasto_o_ing_per_capita!D142*100/Gasto_o_ing_per_capita!$D142</f>
        <v>99.999999999999986</v>
      </c>
      <c r="E142" s="336">
        <f>Gasto_o_ing_per_capita!E142*100/Gasto_o_ing_per_capita!$D142</f>
        <v>0</v>
      </c>
      <c r="F142" s="336">
        <f>Gasto_o_ing_per_capita!F142*100/Gasto_o_ing_per_capita!$D142</f>
        <v>0</v>
      </c>
      <c r="G142" s="336">
        <f>Gasto_o_ing_per_capita!G142*100/Gasto_o_ing_per_capita!$D142</f>
        <v>0</v>
      </c>
      <c r="H142" s="336">
        <f>Gasto_o_ing_per_capita!H142*100/Gasto_o_ing_per_capita!$D142</f>
        <v>0</v>
      </c>
      <c r="I142" s="336">
        <f>Gasto_o_ing_per_capita!I142*100/Gasto_o_ing_per_capita!$D142</f>
        <v>0</v>
      </c>
      <c r="J142" s="336">
        <f>Gasto_o_ing_per_capita!J142*100/Gasto_o_ing_per_capita!$D142</f>
        <v>0</v>
      </c>
      <c r="K142" s="336">
        <f>Gasto_o_ing_per_capita!K142*100/Gasto_o_ing_per_capita!$D142</f>
        <v>0</v>
      </c>
      <c r="L142" s="336">
        <f>Gasto_o_ing_per_capita!L142*100/Gasto_o_ing_per_capita!$D142</f>
        <v>0</v>
      </c>
      <c r="M142" s="336">
        <f>Gasto_o_ing_per_capita!M142*100/Gasto_o_ing_per_capita!$D142</f>
        <v>0</v>
      </c>
      <c r="N142" s="336">
        <f>Gasto_o_ing_per_capita!N142*100/Gasto_o_ing_per_capita!$D142</f>
        <v>0</v>
      </c>
      <c r="O142" s="336">
        <f>Gasto_o_ing_per_capita!O142*100/Gasto_o_ing_per_capita!$D142</f>
        <v>0</v>
      </c>
      <c r="P142" s="336">
        <f>Gasto_o_ing_per_capita!P142*100/Gasto_o_ing_per_capita!$D142</f>
        <v>0</v>
      </c>
      <c r="Q142" s="336">
        <f>Gasto_o_ing_per_capita!Q142*100/Gasto_o_ing_per_capita!$D142</f>
        <v>0</v>
      </c>
      <c r="R142" s="336">
        <f>Gasto_o_ing_per_capita!R142*100/Gasto_o_ing_per_capita!$D142</f>
        <v>0</v>
      </c>
      <c r="S142" s="336">
        <f>Gasto_o_ing_per_capita!S142*100/Gasto_o_ing_per_capita!$D142</f>
        <v>0</v>
      </c>
      <c r="T142" s="336">
        <f>Gasto_o_ing_per_capita!T142*100/Gasto_o_ing_per_capita!$D142</f>
        <v>0</v>
      </c>
      <c r="U142" s="336">
        <f>Gasto_o_ing_per_capita!U142*100/Gasto_o_ing_per_capita!$D142</f>
        <v>0</v>
      </c>
      <c r="V142" s="336">
        <f>Gasto_o_ing_per_capita!V142*100/Gasto_o_ing_per_capita!$D142</f>
        <v>27836.494125947509</v>
      </c>
    </row>
    <row r="143" spans="1:22" s="102" customFormat="1" ht="13.15">
      <c r="A143" s="355" t="str">
        <f>IF(B143="","",(IF(ISERROR(MATCH(B143,Tot_res!C:C,0)),"Eliminar!!!","")))</f>
        <v/>
      </c>
      <c r="B143" s="115" t="s">
        <v>219</v>
      </c>
      <c r="C143" s="334" t="str">
        <f>VLOOKUP(B143,Tot_res!C:D,2,FALSE)</f>
        <v>Recaudación IPSI</v>
      </c>
      <c r="D143" s="336">
        <f>Gasto_o_ing_per_capita!D143*100/Gasto_o_ing_per_capita!$D143</f>
        <v>99.999999999999986</v>
      </c>
      <c r="E143" s="336">
        <f>Gasto_o_ing_per_capita!E143*100/Gasto_o_ing_per_capita!$D143</f>
        <v>0</v>
      </c>
      <c r="F143" s="336">
        <f>Gasto_o_ing_per_capita!F143*100/Gasto_o_ing_per_capita!$D143</f>
        <v>0</v>
      </c>
      <c r="G143" s="336">
        <f>Gasto_o_ing_per_capita!G143*100/Gasto_o_ing_per_capita!$D143</f>
        <v>0</v>
      </c>
      <c r="H143" s="336">
        <f>Gasto_o_ing_per_capita!H143*100/Gasto_o_ing_per_capita!$D143</f>
        <v>0</v>
      </c>
      <c r="I143" s="336">
        <f>Gasto_o_ing_per_capita!I143*100/Gasto_o_ing_per_capita!$D143</f>
        <v>0</v>
      </c>
      <c r="J143" s="336">
        <f>Gasto_o_ing_per_capita!J143*100/Gasto_o_ing_per_capita!$D143</f>
        <v>0</v>
      </c>
      <c r="K143" s="336">
        <f>Gasto_o_ing_per_capita!K143*100/Gasto_o_ing_per_capita!$D143</f>
        <v>0</v>
      </c>
      <c r="L143" s="336">
        <f>Gasto_o_ing_per_capita!L143*100/Gasto_o_ing_per_capita!$D143</f>
        <v>0</v>
      </c>
      <c r="M143" s="336">
        <f>Gasto_o_ing_per_capita!M143*100/Gasto_o_ing_per_capita!$D143</f>
        <v>0</v>
      </c>
      <c r="N143" s="336">
        <f>Gasto_o_ing_per_capita!N143*100/Gasto_o_ing_per_capita!$D143</f>
        <v>0</v>
      </c>
      <c r="O143" s="336">
        <f>Gasto_o_ing_per_capita!O143*100/Gasto_o_ing_per_capita!$D143</f>
        <v>0</v>
      </c>
      <c r="P143" s="336">
        <f>Gasto_o_ing_per_capita!P143*100/Gasto_o_ing_per_capita!$D143</f>
        <v>0</v>
      </c>
      <c r="Q143" s="336">
        <f>Gasto_o_ing_per_capita!Q143*100/Gasto_o_ing_per_capita!$D143</f>
        <v>0</v>
      </c>
      <c r="R143" s="336">
        <f>Gasto_o_ing_per_capita!R143*100/Gasto_o_ing_per_capita!$D143</f>
        <v>0</v>
      </c>
      <c r="S143" s="336">
        <f>Gasto_o_ing_per_capita!S143*100/Gasto_o_ing_per_capita!$D143</f>
        <v>0</v>
      </c>
      <c r="T143" s="336">
        <f>Gasto_o_ing_per_capita!T143*100/Gasto_o_ing_per_capita!$D143</f>
        <v>0</v>
      </c>
      <c r="U143" s="336">
        <f>Gasto_o_ing_per_capita!U143*100/Gasto_o_ing_per_capita!$D143</f>
        <v>0</v>
      </c>
      <c r="V143" s="336">
        <f>Gasto_o_ing_per_capita!V143*100/Gasto_o_ing_per_capita!$D143</f>
        <v>27836.494125947513</v>
      </c>
    </row>
    <row r="144" spans="1:22" s="102" customFormat="1" ht="13.15">
      <c r="A144" s="355" t="str">
        <f>IF(B144="","",(IF(ISERROR(MATCH(B144,Tot_res!C:C,0)),"Eliminar!!!","")))</f>
        <v/>
      </c>
      <c r="B144" s="115" t="s">
        <v>981</v>
      </c>
      <c r="C144" s="334" t="str">
        <f>VLOOKUP(B144,Tot_res!C:D,2,FALSE)</f>
        <v xml:space="preserve">Otras aportaciones a Corporaciones Locales, compensaciones IPSI Ceuta y Melilla </v>
      </c>
      <c r="D144" s="336">
        <f>Gasto_o_ing_per_capita!D144*100/Gasto_o_ing_per_capita!$D144</f>
        <v>99.999999999999986</v>
      </c>
      <c r="E144" s="336">
        <f>Gasto_o_ing_per_capita!E144*100/Gasto_o_ing_per_capita!$D144</f>
        <v>0</v>
      </c>
      <c r="F144" s="336">
        <f>Gasto_o_ing_per_capita!F144*100/Gasto_o_ing_per_capita!$D144</f>
        <v>0</v>
      </c>
      <c r="G144" s="336">
        <f>Gasto_o_ing_per_capita!G144*100/Gasto_o_ing_per_capita!$D144</f>
        <v>0</v>
      </c>
      <c r="H144" s="336">
        <f>Gasto_o_ing_per_capita!H144*100/Gasto_o_ing_per_capita!$D144</f>
        <v>0</v>
      </c>
      <c r="I144" s="336">
        <f>Gasto_o_ing_per_capita!I144*100/Gasto_o_ing_per_capita!$D144</f>
        <v>0</v>
      </c>
      <c r="J144" s="336">
        <f>Gasto_o_ing_per_capita!J144*100/Gasto_o_ing_per_capita!$D144</f>
        <v>0</v>
      </c>
      <c r="K144" s="336">
        <f>Gasto_o_ing_per_capita!K144*100/Gasto_o_ing_per_capita!$D144</f>
        <v>0</v>
      </c>
      <c r="L144" s="336">
        <f>Gasto_o_ing_per_capita!L144*100/Gasto_o_ing_per_capita!$D144</f>
        <v>0</v>
      </c>
      <c r="M144" s="336">
        <f>Gasto_o_ing_per_capita!M144*100/Gasto_o_ing_per_capita!$D144</f>
        <v>0</v>
      </c>
      <c r="N144" s="336">
        <f>Gasto_o_ing_per_capita!N144*100/Gasto_o_ing_per_capita!$D144</f>
        <v>0</v>
      </c>
      <c r="O144" s="336">
        <f>Gasto_o_ing_per_capita!O144*100/Gasto_o_ing_per_capita!$D144</f>
        <v>0</v>
      </c>
      <c r="P144" s="336">
        <f>Gasto_o_ing_per_capita!P144*100/Gasto_o_ing_per_capita!$D144</f>
        <v>0</v>
      </c>
      <c r="Q144" s="336">
        <f>Gasto_o_ing_per_capita!Q144*100/Gasto_o_ing_per_capita!$D144</f>
        <v>0</v>
      </c>
      <c r="R144" s="336">
        <f>Gasto_o_ing_per_capita!R144*100/Gasto_o_ing_per_capita!$D144</f>
        <v>0</v>
      </c>
      <c r="S144" s="336">
        <f>Gasto_o_ing_per_capita!S144*100/Gasto_o_ing_per_capita!$D144</f>
        <v>0</v>
      </c>
      <c r="T144" s="336">
        <f>Gasto_o_ing_per_capita!T144*100/Gasto_o_ing_per_capita!$D144</f>
        <v>0</v>
      </c>
      <c r="U144" s="336">
        <f>Gasto_o_ing_per_capita!U144*100/Gasto_o_ing_per_capita!$D144</f>
        <v>0</v>
      </c>
      <c r="V144" s="336">
        <f>Gasto_o_ing_per_capita!V144*100/Gasto_o_ing_per_capita!$D144</f>
        <v>27836.494125947513</v>
      </c>
    </row>
    <row r="145" spans="1:22" s="102" customFormat="1" ht="13.15">
      <c r="A145" s="356"/>
      <c r="B145" s="115"/>
      <c r="C145" s="140"/>
      <c r="D145" s="110"/>
      <c r="E145" s="110"/>
      <c r="F145" s="110"/>
      <c r="G145" s="110"/>
      <c r="H145" s="110"/>
      <c r="I145" s="110"/>
      <c r="J145" s="110"/>
      <c r="K145" s="110"/>
      <c r="L145" s="110"/>
      <c r="M145" s="110"/>
      <c r="N145" s="110"/>
      <c r="O145" s="110"/>
      <c r="P145" s="110"/>
      <c r="Q145" s="110"/>
      <c r="R145" s="110"/>
      <c r="S145" s="110"/>
      <c r="T145" s="110"/>
      <c r="U145" s="110"/>
      <c r="V145" s="110"/>
    </row>
    <row r="146" spans="1:22" s="102" customFormat="1" ht="26.3">
      <c r="A146" s="356"/>
      <c r="B146" s="137"/>
      <c r="C146" s="117" t="s">
        <v>220</v>
      </c>
      <c r="D146" s="113">
        <f>Gasto_o_ing_per_capita!D146*100/Gasto_o_ing_per_capita!$D146</f>
        <v>99.999999999999986</v>
      </c>
      <c r="E146" s="113">
        <f>Gasto_o_ing_per_capita!E146*100/Gasto_o_ing_per_capita!$D146</f>
        <v>0</v>
      </c>
      <c r="F146" s="113">
        <f>Gasto_o_ing_per_capita!F146*100/Gasto_o_ing_per_capita!$D146</f>
        <v>0</v>
      </c>
      <c r="G146" s="113">
        <f>Gasto_o_ing_per_capita!G146*100/Gasto_o_ing_per_capita!$D146</f>
        <v>0</v>
      </c>
      <c r="H146" s="113">
        <f>Gasto_o_ing_per_capita!H146*100/Gasto_o_ing_per_capita!$D146</f>
        <v>0</v>
      </c>
      <c r="I146" s="113">
        <f>Gasto_o_ing_per_capita!I146*100/Gasto_o_ing_per_capita!$D146</f>
        <v>0</v>
      </c>
      <c r="J146" s="113">
        <f>Gasto_o_ing_per_capita!J146*100/Gasto_o_ing_per_capita!$D146</f>
        <v>0</v>
      </c>
      <c r="K146" s="113">
        <f>Gasto_o_ing_per_capita!K146*100/Gasto_o_ing_per_capita!$D146</f>
        <v>0</v>
      </c>
      <c r="L146" s="113">
        <f>Gasto_o_ing_per_capita!L146*100/Gasto_o_ing_per_capita!$D146</f>
        <v>0</v>
      </c>
      <c r="M146" s="113">
        <f>Gasto_o_ing_per_capita!M146*100/Gasto_o_ing_per_capita!$D146</f>
        <v>0</v>
      </c>
      <c r="N146" s="113">
        <f>Gasto_o_ing_per_capita!N146*100/Gasto_o_ing_per_capita!$D146</f>
        <v>0</v>
      </c>
      <c r="O146" s="113">
        <f>Gasto_o_ing_per_capita!O146*100/Gasto_o_ing_per_capita!$D146</f>
        <v>0</v>
      </c>
      <c r="P146" s="113">
        <f>Gasto_o_ing_per_capita!P146*100/Gasto_o_ing_per_capita!$D146</f>
        <v>0</v>
      </c>
      <c r="Q146" s="113">
        <f>Gasto_o_ing_per_capita!Q146*100/Gasto_o_ing_per_capita!$D146</f>
        <v>0</v>
      </c>
      <c r="R146" s="113">
        <f>Gasto_o_ing_per_capita!R146*100/Gasto_o_ing_per_capita!$D146</f>
        <v>0</v>
      </c>
      <c r="S146" s="113">
        <f>Gasto_o_ing_per_capita!S146*100/Gasto_o_ing_per_capita!$D146</f>
        <v>1492.5006870207972</v>
      </c>
      <c r="T146" s="113">
        <f>Gasto_o_ing_per_capita!T146*100/Gasto_o_ing_per_capita!$D146</f>
        <v>1705.6422045991717</v>
      </c>
      <c r="U146" s="113">
        <f>Gasto_o_ing_per_capita!U146*100/Gasto_o_ing_per_capita!$D146</f>
        <v>0</v>
      </c>
      <c r="V146" s="113">
        <f>Gasto_o_ing_per_capita!V146*100/Gasto_o_ing_per_capita!$D146</f>
        <v>0</v>
      </c>
    </row>
    <row r="147" spans="1:22" s="102" customFormat="1" ht="13.15">
      <c r="A147" s="355" t="str">
        <f>IF(B147="","",(IF(ISERROR(MATCH(B147,Tot_res!C:C,0)),"Eliminar!!!","")))</f>
        <v/>
      </c>
      <c r="B147" s="115" t="s">
        <v>982</v>
      </c>
      <c r="C147" s="334" t="str">
        <f>VLOOKUP(B147,Tot_res!C:D,2,FALSE)</f>
        <v>IRPF, ingresos homogeneizados de las comunidades forales</v>
      </c>
      <c r="D147" s="336">
        <f>Gasto_o_ing_per_capita!D147*100/Gasto_o_ing_per_capita!$D147</f>
        <v>100</v>
      </c>
      <c r="E147" s="336">
        <f>Gasto_o_ing_per_capita!E147*100/Gasto_o_ing_per_capita!$D147</f>
        <v>0</v>
      </c>
      <c r="F147" s="336">
        <f>Gasto_o_ing_per_capita!F147*100/Gasto_o_ing_per_capita!$D147</f>
        <v>0</v>
      </c>
      <c r="G147" s="336">
        <f>Gasto_o_ing_per_capita!G147*100/Gasto_o_ing_per_capita!$D147</f>
        <v>0</v>
      </c>
      <c r="H147" s="336">
        <f>Gasto_o_ing_per_capita!H147*100/Gasto_o_ing_per_capita!$D147</f>
        <v>0</v>
      </c>
      <c r="I147" s="336">
        <f>Gasto_o_ing_per_capita!I147*100/Gasto_o_ing_per_capita!$D147</f>
        <v>0</v>
      </c>
      <c r="J147" s="336">
        <f>Gasto_o_ing_per_capita!J147*100/Gasto_o_ing_per_capita!$D147</f>
        <v>0</v>
      </c>
      <c r="K147" s="336">
        <f>Gasto_o_ing_per_capita!K147*100/Gasto_o_ing_per_capita!$D147</f>
        <v>0</v>
      </c>
      <c r="L147" s="336">
        <f>Gasto_o_ing_per_capita!L147*100/Gasto_o_ing_per_capita!$D147</f>
        <v>0</v>
      </c>
      <c r="M147" s="336">
        <f>Gasto_o_ing_per_capita!M147*100/Gasto_o_ing_per_capita!$D147</f>
        <v>0</v>
      </c>
      <c r="N147" s="336">
        <f>Gasto_o_ing_per_capita!N147*100/Gasto_o_ing_per_capita!$D147</f>
        <v>0</v>
      </c>
      <c r="O147" s="336">
        <f>Gasto_o_ing_per_capita!O147*100/Gasto_o_ing_per_capita!$D147</f>
        <v>0</v>
      </c>
      <c r="P147" s="336">
        <f>Gasto_o_ing_per_capita!P147*100/Gasto_o_ing_per_capita!$D147</f>
        <v>0</v>
      </c>
      <c r="Q147" s="336">
        <f>Gasto_o_ing_per_capita!Q147*100/Gasto_o_ing_per_capita!$D147</f>
        <v>0</v>
      </c>
      <c r="R147" s="336">
        <f>Gasto_o_ing_per_capita!R147*100/Gasto_o_ing_per_capita!$D147</f>
        <v>0</v>
      </c>
      <c r="S147" s="336">
        <f>Gasto_o_ing_per_capita!S147*100/Gasto_o_ing_per_capita!$D147</f>
        <v>1529.4309463210072</v>
      </c>
      <c r="T147" s="336">
        <f>Gasto_o_ing_per_capita!T147*100/Gasto_o_ing_per_capita!$D147</f>
        <v>1694.8070410087864</v>
      </c>
      <c r="U147" s="336">
        <f>Gasto_o_ing_per_capita!U147*100/Gasto_o_ing_per_capita!$D147</f>
        <v>0</v>
      </c>
      <c r="V147" s="336">
        <f>Gasto_o_ing_per_capita!V147*100/Gasto_o_ing_per_capita!$D147</f>
        <v>0</v>
      </c>
    </row>
    <row r="148" spans="1:22" s="102" customFormat="1" ht="13.15">
      <c r="A148" s="355" t="str">
        <f>IF(B148="","",(IF(ISERROR(MATCH(B148,Tot_res!C:C,0)),"Eliminar!!!","")))</f>
        <v/>
      </c>
      <c r="B148" s="115" t="s">
        <v>983</v>
      </c>
      <c r="C148" s="334" t="str">
        <f>VLOOKUP(B148,Tot_res!C:D,2,FALSE)</f>
        <v>Sociedades, ingresos homogeneizados de las comunidades forales</v>
      </c>
      <c r="D148" s="336">
        <f>Gasto_o_ing_per_capita!D148*100/Gasto_o_ing_per_capita!$D148</f>
        <v>100</v>
      </c>
      <c r="E148" s="336">
        <f>Gasto_o_ing_per_capita!E148*100/Gasto_o_ing_per_capita!$D148</f>
        <v>0</v>
      </c>
      <c r="F148" s="336">
        <f>Gasto_o_ing_per_capita!F148*100/Gasto_o_ing_per_capita!$D148</f>
        <v>0</v>
      </c>
      <c r="G148" s="336">
        <f>Gasto_o_ing_per_capita!G148*100/Gasto_o_ing_per_capita!$D148</f>
        <v>0</v>
      </c>
      <c r="H148" s="336">
        <f>Gasto_o_ing_per_capita!H148*100/Gasto_o_ing_per_capita!$D148</f>
        <v>0</v>
      </c>
      <c r="I148" s="336">
        <f>Gasto_o_ing_per_capita!I148*100/Gasto_o_ing_per_capita!$D148</f>
        <v>0</v>
      </c>
      <c r="J148" s="336">
        <f>Gasto_o_ing_per_capita!J148*100/Gasto_o_ing_per_capita!$D148</f>
        <v>0</v>
      </c>
      <c r="K148" s="336">
        <f>Gasto_o_ing_per_capita!K148*100/Gasto_o_ing_per_capita!$D148</f>
        <v>0</v>
      </c>
      <c r="L148" s="336">
        <f>Gasto_o_ing_per_capita!L148*100/Gasto_o_ing_per_capita!$D148</f>
        <v>0</v>
      </c>
      <c r="M148" s="336">
        <f>Gasto_o_ing_per_capita!M148*100/Gasto_o_ing_per_capita!$D148</f>
        <v>0</v>
      </c>
      <c r="N148" s="336">
        <f>Gasto_o_ing_per_capita!N148*100/Gasto_o_ing_per_capita!$D148</f>
        <v>0</v>
      </c>
      <c r="O148" s="336">
        <f>Gasto_o_ing_per_capita!O148*100/Gasto_o_ing_per_capita!$D148</f>
        <v>0</v>
      </c>
      <c r="P148" s="336">
        <f>Gasto_o_ing_per_capita!P148*100/Gasto_o_ing_per_capita!$D148</f>
        <v>0</v>
      </c>
      <c r="Q148" s="336">
        <f>Gasto_o_ing_per_capita!Q148*100/Gasto_o_ing_per_capita!$D148</f>
        <v>0</v>
      </c>
      <c r="R148" s="336">
        <f>Gasto_o_ing_per_capita!R148*100/Gasto_o_ing_per_capita!$D148</f>
        <v>0</v>
      </c>
      <c r="S148" s="336">
        <f>Gasto_o_ing_per_capita!S148*100/Gasto_o_ing_per_capita!$D148</f>
        <v>1621.8903573957416</v>
      </c>
      <c r="T148" s="336">
        <f>Gasto_o_ing_per_capita!T148*100/Gasto_o_ing_per_capita!$D148</f>
        <v>1667.6798866522029</v>
      </c>
      <c r="U148" s="336">
        <f>Gasto_o_ing_per_capita!U148*100/Gasto_o_ing_per_capita!$D148</f>
        <v>0</v>
      </c>
      <c r="V148" s="336">
        <f>Gasto_o_ing_per_capita!V148*100/Gasto_o_ing_per_capita!$D148</f>
        <v>0</v>
      </c>
    </row>
    <row r="149" spans="1:22" s="102" customFormat="1" ht="13.15">
      <c r="A149" s="355" t="str">
        <f>IF(B149="","",(IF(ISERROR(MATCH(B149,Tot_res!C:C,0)),"Eliminar!!!","")))</f>
        <v/>
      </c>
      <c r="B149" s="115" t="s">
        <v>221</v>
      </c>
      <c r="C149" s="334" t="str">
        <f>VLOOKUP(B149,Tot_res!C:D,2,FALSE)</f>
        <v>No residentes, ingresos comunidades forales</v>
      </c>
      <c r="D149" s="336">
        <f>Gasto_o_ing_per_capita!D149*100/Gasto_o_ing_per_capita!$D149</f>
        <v>100</v>
      </c>
      <c r="E149" s="336">
        <f>Gasto_o_ing_per_capita!E149*100/Gasto_o_ing_per_capita!$D149</f>
        <v>0</v>
      </c>
      <c r="F149" s="336">
        <f>Gasto_o_ing_per_capita!F149*100/Gasto_o_ing_per_capita!$D149</f>
        <v>0</v>
      </c>
      <c r="G149" s="336">
        <f>Gasto_o_ing_per_capita!G149*100/Gasto_o_ing_per_capita!$D149</f>
        <v>0</v>
      </c>
      <c r="H149" s="336">
        <f>Gasto_o_ing_per_capita!H149*100/Gasto_o_ing_per_capita!$D149</f>
        <v>0</v>
      </c>
      <c r="I149" s="336">
        <f>Gasto_o_ing_per_capita!I149*100/Gasto_o_ing_per_capita!$D149</f>
        <v>0</v>
      </c>
      <c r="J149" s="336">
        <f>Gasto_o_ing_per_capita!J149*100/Gasto_o_ing_per_capita!$D149</f>
        <v>0</v>
      </c>
      <c r="K149" s="336">
        <f>Gasto_o_ing_per_capita!K149*100/Gasto_o_ing_per_capita!$D149</f>
        <v>0</v>
      </c>
      <c r="L149" s="336">
        <f>Gasto_o_ing_per_capita!L149*100/Gasto_o_ing_per_capita!$D149</f>
        <v>0</v>
      </c>
      <c r="M149" s="336">
        <f>Gasto_o_ing_per_capita!M149*100/Gasto_o_ing_per_capita!$D149</f>
        <v>0</v>
      </c>
      <c r="N149" s="336">
        <f>Gasto_o_ing_per_capita!N149*100/Gasto_o_ing_per_capita!$D149</f>
        <v>0</v>
      </c>
      <c r="O149" s="336">
        <f>Gasto_o_ing_per_capita!O149*100/Gasto_o_ing_per_capita!$D149</f>
        <v>0</v>
      </c>
      <c r="P149" s="336">
        <f>Gasto_o_ing_per_capita!P149*100/Gasto_o_ing_per_capita!$D149</f>
        <v>0</v>
      </c>
      <c r="Q149" s="336">
        <f>Gasto_o_ing_per_capita!Q149*100/Gasto_o_ing_per_capita!$D149</f>
        <v>0</v>
      </c>
      <c r="R149" s="336">
        <f>Gasto_o_ing_per_capita!R149*100/Gasto_o_ing_per_capita!$D149</f>
        <v>0</v>
      </c>
      <c r="S149" s="336">
        <f>Gasto_o_ing_per_capita!S149*100/Gasto_o_ing_per_capita!$D149</f>
        <v>982.87475957881327</v>
      </c>
      <c r="T149" s="336">
        <f>Gasto_o_ing_per_capita!T149*100/Gasto_o_ing_per_capita!$D149</f>
        <v>1855.1640438272111</v>
      </c>
      <c r="U149" s="336">
        <f>Gasto_o_ing_per_capita!U149*100/Gasto_o_ing_per_capita!$D149</f>
        <v>0</v>
      </c>
      <c r="V149" s="336">
        <f>Gasto_o_ing_per_capita!V149*100/Gasto_o_ing_per_capita!$D149</f>
        <v>0</v>
      </c>
    </row>
    <row r="150" spans="1:22" s="102" customFormat="1" ht="13.15">
      <c r="A150" s="355" t="str">
        <f>IF(B150="","",(IF(ISERROR(MATCH(B150,Tot_res!C:C,0)),"Eliminar!!!","")))</f>
        <v/>
      </c>
      <c r="B150" s="115" t="s">
        <v>222</v>
      </c>
      <c r="C150" s="334" t="str">
        <f>VLOOKUP(B150,Tot_res!C:D,2,FALSE)</f>
        <v xml:space="preserve"> IVA, ingresos comunidades forales</v>
      </c>
      <c r="D150" s="336">
        <f>Gasto_o_ing_per_capita!D150*100/Gasto_o_ing_per_capita!$D150</f>
        <v>100</v>
      </c>
      <c r="E150" s="336">
        <f>Gasto_o_ing_per_capita!E150*100/Gasto_o_ing_per_capita!$D150</f>
        <v>0</v>
      </c>
      <c r="F150" s="336">
        <f>Gasto_o_ing_per_capita!F150*100/Gasto_o_ing_per_capita!$D150</f>
        <v>0</v>
      </c>
      <c r="G150" s="336">
        <f>Gasto_o_ing_per_capita!G150*100/Gasto_o_ing_per_capita!$D150</f>
        <v>0</v>
      </c>
      <c r="H150" s="336">
        <f>Gasto_o_ing_per_capita!H150*100/Gasto_o_ing_per_capita!$D150</f>
        <v>0</v>
      </c>
      <c r="I150" s="336">
        <f>Gasto_o_ing_per_capita!I150*100/Gasto_o_ing_per_capita!$D150</f>
        <v>0</v>
      </c>
      <c r="J150" s="336">
        <f>Gasto_o_ing_per_capita!J150*100/Gasto_o_ing_per_capita!$D150</f>
        <v>0</v>
      </c>
      <c r="K150" s="336">
        <f>Gasto_o_ing_per_capita!K150*100/Gasto_o_ing_per_capita!$D150</f>
        <v>0</v>
      </c>
      <c r="L150" s="336">
        <f>Gasto_o_ing_per_capita!L150*100/Gasto_o_ing_per_capita!$D150</f>
        <v>0</v>
      </c>
      <c r="M150" s="336">
        <f>Gasto_o_ing_per_capita!M150*100/Gasto_o_ing_per_capita!$D150</f>
        <v>0</v>
      </c>
      <c r="N150" s="336">
        <f>Gasto_o_ing_per_capita!N150*100/Gasto_o_ing_per_capita!$D150</f>
        <v>0</v>
      </c>
      <c r="O150" s="336">
        <f>Gasto_o_ing_per_capita!O150*100/Gasto_o_ing_per_capita!$D150</f>
        <v>0</v>
      </c>
      <c r="P150" s="336">
        <f>Gasto_o_ing_per_capita!P150*100/Gasto_o_ing_per_capita!$D150</f>
        <v>0</v>
      </c>
      <c r="Q150" s="336">
        <f>Gasto_o_ing_per_capita!Q150*100/Gasto_o_ing_per_capita!$D150</f>
        <v>0</v>
      </c>
      <c r="R150" s="336">
        <f>Gasto_o_ing_per_capita!R150*100/Gasto_o_ing_per_capita!$D150</f>
        <v>0</v>
      </c>
      <c r="S150" s="336">
        <f>Gasto_o_ing_per_capita!S150*100/Gasto_o_ing_per_capita!$D150</f>
        <v>1292.3078850407924</v>
      </c>
      <c r="T150" s="336">
        <f>Gasto_o_ing_per_capita!T150*100/Gasto_o_ing_per_capita!$D150</f>
        <v>1764.3778268280323</v>
      </c>
      <c r="U150" s="336">
        <f>Gasto_o_ing_per_capita!U150*100/Gasto_o_ing_per_capita!$D150</f>
        <v>0</v>
      </c>
      <c r="V150" s="336">
        <f>Gasto_o_ing_per_capita!V150*100/Gasto_o_ing_per_capita!$D150</f>
        <v>0</v>
      </c>
    </row>
    <row r="151" spans="1:22" s="102" customFormat="1" ht="26.3">
      <c r="A151" s="355" t="str">
        <f>IF(B151="","",(IF(ISERROR(MATCH(B151,Tot_res!C:C,0)),"Eliminar!!!","")))</f>
        <v/>
      </c>
      <c r="B151" s="115" t="s">
        <v>1119</v>
      </c>
      <c r="C151" s="334" t="str">
        <f>VLOOKUP(B151,Tot_res!C:D,2,FALSE)</f>
        <v>Imp. Especiales (incl. Matriculación y electricidad),  sin ejercicio de la capacidad normativa en el IH</v>
      </c>
      <c r="D151" s="336">
        <f>Gasto_o_ing_per_capita!D151*100/Gasto_o_ing_per_capita!$D151</f>
        <v>100</v>
      </c>
      <c r="E151" s="336">
        <f>Gasto_o_ing_per_capita!E151*100/Gasto_o_ing_per_capita!$D151</f>
        <v>0</v>
      </c>
      <c r="F151" s="336">
        <f>Gasto_o_ing_per_capita!F151*100/Gasto_o_ing_per_capita!$D151</f>
        <v>0</v>
      </c>
      <c r="G151" s="336">
        <f>Gasto_o_ing_per_capita!G151*100/Gasto_o_ing_per_capita!$D151</f>
        <v>0</v>
      </c>
      <c r="H151" s="336">
        <f>Gasto_o_ing_per_capita!H151*100/Gasto_o_ing_per_capita!$D151</f>
        <v>0</v>
      </c>
      <c r="I151" s="336">
        <f>Gasto_o_ing_per_capita!I151*100/Gasto_o_ing_per_capita!$D151</f>
        <v>0</v>
      </c>
      <c r="J151" s="336">
        <f>Gasto_o_ing_per_capita!J151*100/Gasto_o_ing_per_capita!$D151</f>
        <v>0</v>
      </c>
      <c r="K151" s="336">
        <f>Gasto_o_ing_per_capita!K151*100/Gasto_o_ing_per_capita!$D151</f>
        <v>0</v>
      </c>
      <c r="L151" s="336">
        <f>Gasto_o_ing_per_capita!L151*100/Gasto_o_ing_per_capita!$D151</f>
        <v>0</v>
      </c>
      <c r="M151" s="336">
        <f>Gasto_o_ing_per_capita!M151*100/Gasto_o_ing_per_capita!$D151</f>
        <v>0</v>
      </c>
      <c r="N151" s="336">
        <f>Gasto_o_ing_per_capita!N151*100/Gasto_o_ing_per_capita!$D151</f>
        <v>0</v>
      </c>
      <c r="O151" s="336">
        <f>Gasto_o_ing_per_capita!O151*100/Gasto_o_ing_per_capita!$D151</f>
        <v>0</v>
      </c>
      <c r="P151" s="336">
        <f>Gasto_o_ing_per_capita!P151*100/Gasto_o_ing_per_capita!$D151</f>
        <v>0</v>
      </c>
      <c r="Q151" s="336">
        <f>Gasto_o_ing_per_capita!Q151*100/Gasto_o_ing_per_capita!$D151</f>
        <v>0</v>
      </c>
      <c r="R151" s="336">
        <f>Gasto_o_ing_per_capita!R151*100/Gasto_o_ing_per_capita!$D151</f>
        <v>0</v>
      </c>
      <c r="S151" s="336">
        <f>Gasto_o_ing_per_capita!S151*100/Gasto_o_ing_per_capita!$D151</f>
        <v>1799.0954612517501</v>
      </c>
      <c r="T151" s="336">
        <f>Gasto_o_ing_per_capita!T151*100/Gasto_o_ing_per_capita!$D151</f>
        <v>1615.6887464405183</v>
      </c>
      <c r="U151" s="336">
        <f>Gasto_o_ing_per_capita!U151*100/Gasto_o_ing_per_capita!$D151</f>
        <v>0</v>
      </c>
      <c r="V151" s="336">
        <f>Gasto_o_ing_per_capita!V151*100/Gasto_o_ing_per_capita!$D151</f>
        <v>0</v>
      </c>
    </row>
    <row r="152" spans="1:22" s="102" customFormat="1" ht="13.15">
      <c r="A152" s="355" t="str">
        <f>IF(B152="","",(IF(ISERROR(MATCH(B152,Tot_res!C:C,0)),"Eliminar!!!","")))</f>
        <v/>
      </c>
      <c r="B152" s="115" t="s">
        <v>223</v>
      </c>
      <c r="C152" s="334" t="str">
        <f>VLOOKUP(B152,Tot_res!C:D,2,FALSE)</f>
        <v>Primas de seguross, ingresos comunidades forales</v>
      </c>
      <c r="D152" s="336">
        <f>Gasto_o_ing_per_capita!D152*100/Gasto_o_ing_per_capita!$D152</f>
        <v>100</v>
      </c>
      <c r="E152" s="336">
        <f>Gasto_o_ing_per_capita!E152*100/Gasto_o_ing_per_capita!$D152</f>
        <v>0</v>
      </c>
      <c r="F152" s="336">
        <f>Gasto_o_ing_per_capita!F152*100/Gasto_o_ing_per_capita!$D152</f>
        <v>0</v>
      </c>
      <c r="G152" s="336">
        <f>Gasto_o_ing_per_capita!G152*100/Gasto_o_ing_per_capita!$D152</f>
        <v>0</v>
      </c>
      <c r="H152" s="336">
        <f>Gasto_o_ing_per_capita!H152*100/Gasto_o_ing_per_capita!$D152</f>
        <v>0</v>
      </c>
      <c r="I152" s="336">
        <f>Gasto_o_ing_per_capita!I152*100/Gasto_o_ing_per_capita!$D152</f>
        <v>0</v>
      </c>
      <c r="J152" s="336">
        <f>Gasto_o_ing_per_capita!J152*100/Gasto_o_ing_per_capita!$D152</f>
        <v>0</v>
      </c>
      <c r="K152" s="336">
        <f>Gasto_o_ing_per_capita!K152*100/Gasto_o_ing_per_capita!$D152</f>
        <v>0</v>
      </c>
      <c r="L152" s="336">
        <f>Gasto_o_ing_per_capita!L152*100/Gasto_o_ing_per_capita!$D152</f>
        <v>0</v>
      </c>
      <c r="M152" s="336">
        <f>Gasto_o_ing_per_capita!M152*100/Gasto_o_ing_per_capita!$D152</f>
        <v>0</v>
      </c>
      <c r="N152" s="336">
        <f>Gasto_o_ing_per_capita!N152*100/Gasto_o_ing_per_capita!$D152</f>
        <v>0</v>
      </c>
      <c r="O152" s="336">
        <f>Gasto_o_ing_per_capita!O152*100/Gasto_o_ing_per_capita!$D152</f>
        <v>0</v>
      </c>
      <c r="P152" s="336">
        <f>Gasto_o_ing_per_capita!P152*100/Gasto_o_ing_per_capita!$D152</f>
        <v>0</v>
      </c>
      <c r="Q152" s="336">
        <f>Gasto_o_ing_per_capita!Q152*100/Gasto_o_ing_per_capita!$D152</f>
        <v>0</v>
      </c>
      <c r="R152" s="336">
        <f>Gasto_o_ing_per_capita!R152*100/Gasto_o_ing_per_capita!$D152</f>
        <v>0</v>
      </c>
      <c r="S152" s="336">
        <f>Gasto_o_ing_per_capita!S152*100/Gasto_o_ing_per_capita!$D152</f>
        <v>1689.2339225907847</v>
      </c>
      <c r="T152" s="336">
        <f>Gasto_o_ing_per_capita!T152*100/Gasto_o_ing_per_capita!$D152</f>
        <v>1647.9216028092319</v>
      </c>
      <c r="U152" s="336">
        <f>Gasto_o_ing_per_capita!U152*100/Gasto_o_ing_per_capita!$D152</f>
        <v>0</v>
      </c>
      <c r="V152" s="336">
        <f>Gasto_o_ing_per_capita!V152*100/Gasto_o_ing_per_capita!$D152</f>
        <v>0</v>
      </c>
    </row>
    <row r="153" spans="1:22" s="102" customFormat="1" ht="13.15">
      <c r="A153" s="355" t="str">
        <f>IF(B153="","",(IF(ISERROR(MATCH(B153,Tot_res!C:C,0)),"Eliminar!!!","")))</f>
        <v/>
      </c>
      <c r="B153" s="115" t="s">
        <v>984</v>
      </c>
      <c r="C153" s="334" t="str">
        <f>VLOOKUP(B153,Tot_res!C:D,2,FALSE)</f>
        <v>Sucesiones y donaciones, ingresos homogeneizados de las comunidades forales</v>
      </c>
      <c r="D153" s="336">
        <f>Gasto_o_ing_per_capita!D153*100/Gasto_o_ing_per_capita!$D153</f>
        <v>100</v>
      </c>
      <c r="E153" s="336">
        <f>Gasto_o_ing_per_capita!E153*100/Gasto_o_ing_per_capita!$D153</f>
        <v>0</v>
      </c>
      <c r="F153" s="336">
        <f>Gasto_o_ing_per_capita!F153*100/Gasto_o_ing_per_capita!$D153</f>
        <v>0</v>
      </c>
      <c r="G153" s="336">
        <f>Gasto_o_ing_per_capita!G153*100/Gasto_o_ing_per_capita!$D153</f>
        <v>0</v>
      </c>
      <c r="H153" s="336">
        <f>Gasto_o_ing_per_capita!H153*100/Gasto_o_ing_per_capita!$D153</f>
        <v>0</v>
      </c>
      <c r="I153" s="336">
        <f>Gasto_o_ing_per_capita!I153*100/Gasto_o_ing_per_capita!$D153</f>
        <v>0</v>
      </c>
      <c r="J153" s="336">
        <f>Gasto_o_ing_per_capita!J153*100/Gasto_o_ing_per_capita!$D153</f>
        <v>0</v>
      </c>
      <c r="K153" s="336">
        <f>Gasto_o_ing_per_capita!K153*100/Gasto_o_ing_per_capita!$D153</f>
        <v>0</v>
      </c>
      <c r="L153" s="336">
        <f>Gasto_o_ing_per_capita!L153*100/Gasto_o_ing_per_capita!$D153</f>
        <v>0</v>
      </c>
      <c r="M153" s="336">
        <f>Gasto_o_ing_per_capita!M153*100/Gasto_o_ing_per_capita!$D153</f>
        <v>0</v>
      </c>
      <c r="N153" s="336">
        <f>Gasto_o_ing_per_capita!N153*100/Gasto_o_ing_per_capita!$D153</f>
        <v>0</v>
      </c>
      <c r="O153" s="336">
        <f>Gasto_o_ing_per_capita!O153*100/Gasto_o_ing_per_capita!$D153</f>
        <v>0</v>
      </c>
      <c r="P153" s="336">
        <f>Gasto_o_ing_per_capita!P153*100/Gasto_o_ing_per_capita!$D153</f>
        <v>0</v>
      </c>
      <c r="Q153" s="336">
        <f>Gasto_o_ing_per_capita!Q153*100/Gasto_o_ing_per_capita!$D153</f>
        <v>0</v>
      </c>
      <c r="R153" s="336">
        <f>Gasto_o_ing_per_capita!R153*100/Gasto_o_ing_per_capita!$D153</f>
        <v>0</v>
      </c>
      <c r="S153" s="336">
        <f>Gasto_o_ing_per_capita!S153*100/Gasto_o_ing_per_capita!$D153</f>
        <v>1424.2426068733541</v>
      </c>
      <c r="T153" s="336">
        <f>Gasto_o_ing_per_capita!T153*100/Gasto_o_ing_per_capita!$D153</f>
        <v>1725.6688028082722</v>
      </c>
      <c r="U153" s="336">
        <f>Gasto_o_ing_per_capita!U153*100/Gasto_o_ing_per_capita!$D153</f>
        <v>0</v>
      </c>
      <c r="V153" s="336">
        <f>Gasto_o_ing_per_capita!V153*100/Gasto_o_ing_per_capita!$D153</f>
        <v>0</v>
      </c>
    </row>
    <row r="154" spans="1:22" s="102" customFormat="1" ht="13.15">
      <c r="A154" s="355" t="str">
        <f>IF(B154="","",(IF(ISERROR(MATCH(B154,Tot_res!C:C,0)),"Eliminar!!!","")))</f>
        <v/>
      </c>
      <c r="B154" s="115" t="s">
        <v>1109</v>
      </c>
      <c r="C154" s="334" t="str">
        <f>VLOOKUP(B154,Tot_res!C:D,2,FALSE)</f>
        <v>Venta minorista de hidrocarburos, ingresos de las comunidades forales</v>
      </c>
      <c r="D154" s="336">
        <f>Gasto_o_ing_per_capita!D154*100/Gasto_o_ing_per_capita!$D154</f>
        <v>99.999999999999986</v>
      </c>
      <c r="E154" s="336">
        <f>Gasto_o_ing_per_capita!E154*100/Gasto_o_ing_per_capita!$D154</f>
        <v>0</v>
      </c>
      <c r="F154" s="336">
        <f>Gasto_o_ing_per_capita!F154*100/Gasto_o_ing_per_capita!$D154</f>
        <v>0</v>
      </c>
      <c r="G154" s="336">
        <f>Gasto_o_ing_per_capita!G154*100/Gasto_o_ing_per_capita!$D154</f>
        <v>0</v>
      </c>
      <c r="H154" s="336">
        <f>Gasto_o_ing_per_capita!H154*100/Gasto_o_ing_per_capita!$D154</f>
        <v>0</v>
      </c>
      <c r="I154" s="336">
        <f>Gasto_o_ing_per_capita!I154*100/Gasto_o_ing_per_capita!$D154</f>
        <v>0</v>
      </c>
      <c r="J154" s="336">
        <f>Gasto_o_ing_per_capita!J154*100/Gasto_o_ing_per_capita!$D154</f>
        <v>0</v>
      </c>
      <c r="K154" s="336">
        <f>Gasto_o_ing_per_capita!K154*100/Gasto_o_ing_per_capita!$D154</f>
        <v>0</v>
      </c>
      <c r="L154" s="336">
        <f>Gasto_o_ing_per_capita!L154*100/Gasto_o_ing_per_capita!$D154</f>
        <v>0</v>
      </c>
      <c r="M154" s="336">
        <f>Gasto_o_ing_per_capita!M154*100/Gasto_o_ing_per_capita!$D154</f>
        <v>0</v>
      </c>
      <c r="N154" s="336">
        <f>Gasto_o_ing_per_capita!N154*100/Gasto_o_ing_per_capita!$D154</f>
        <v>0</v>
      </c>
      <c r="O154" s="336">
        <f>Gasto_o_ing_per_capita!O154*100/Gasto_o_ing_per_capita!$D154</f>
        <v>0</v>
      </c>
      <c r="P154" s="336">
        <f>Gasto_o_ing_per_capita!P154*100/Gasto_o_ing_per_capita!$D154</f>
        <v>0</v>
      </c>
      <c r="Q154" s="336">
        <f>Gasto_o_ing_per_capita!Q154*100/Gasto_o_ing_per_capita!$D154</f>
        <v>0</v>
      </c>
      <c r="R154" s="336">
        <f>Gasto_o_ing_per_capita!R154*100/Gasto_o_ing_per_capita!$D154</f>
        <v>0</v>
      </c>
      <c r="S154" s="336">
        <f>Gasto_o_ing_per_capita!S154*100/Gasto_o_ing_per_capita!$D154</f>
        <v>2400.6858779649988</v>
      </c>
      <c r="T154" s="336">
        <f>Gasto_o_ing_per_capita!T154*100/Gasto_o_ing_per_capita!$D154</f>
        <v>1439.1849605746249</v>
      </c>
      <c r="U154" s="336">
        <f>Gasto_o_ing_per_capita!U154*100/Gasto_o_ing_per_capita!$D154</f>
        <v>0</v>
      </c>
      <c r="V154" s="336">
        <f>Gasto_o_ing_per_capita!V154*100/Gasto_o_ing_per_capita!$D154</f>
        <v>0</v>
      </c>
    </row>
    <row r="155" spans="1:22" s="102" customFormat="1" ht="13.15">
      <c r="A155" s="355" t="str">
        <f>IF(B155="","",(IF(ISERROR(MATCH(B155,Tot_res!C:C,0)),"Eliminar!!!","")))</f>
        <v/>
      </c>
      <c r="B155" s="115" t="s">
        <v>985</v>
      </c>
      <c r="C155" s="334" t="str">
        <f>VLOOKUP(B155,Tot_res!C:D,2,FALSE)</f>
        <v>ITP y AJD, ingresos homogeneizados de las comunidades forales</v>
      </c>
      <c r="D155" s="336">
        <f>Gasto_o_ing_per_capita!D155*100/Gasto_o_ing_per_capita!$D155</f>
        <v>100</v>
      </c>
      <c r="E155" s="336">
        <f>Gasto_o_ing_per_capita!E155*100/Gasto_o_ing_per_capita!$D155</f>
        <v>0</v>
      </c>
      <c r="F155" s="336">
        <f>Gasto_o_ing_per_capita!F155*100/Gasto_o_ing_per_capita!$D155</f>
        <v>0</v>
      </c>
      <c r="G155" s="336">
        <f>Gasto_o_ing_per_capita!G155*100/Gasto_o_ing_per_capita!$D155</f>
        <v>0</v>
      </c>
      <c r="H155" s="336">
        <f>Gasto_o_ing_per_capita!H155*100/Gasto_o_ing_per_capita!$D155</f>
        <v>0</v>
      </c>
      <c r="I155" s="336">
        <f>Gasto_o_ing_per_capita!I155*100/Gasto_o_ing_per_capita!$D155</f>
        <v>0</v>
      </c>
      <c r="J155" s="336">
        <f>Gasto_o_ing_per_capita!J155*100/Gasto_o_ing_per_capita!$D155</f>
        <v>0</v>
      </c>
      <c r="K155" s="336">
        <f>Gasto_o_ing_per_capita!K155*100/Gasto_o_ing_per_capita!$D155</f>
        <v>0</v>
      </c>
      <c r="L155" s="336">
        <f>Gasto_o_ing_per_capita!L155*100/Gasto_o_ing_per_capita!$D155</f>
        <v>0</v>
      </c>
      <c r="M155" s="336">
        <f>Gasto_o_ing_per_capita!M155*100/Gasto_o_ing_per_capita!$D155</f>
        <v>0</v>
      </c>
      <c r="N155" s="336">
        <f>Gasto_o_ing_per_capita!N155*100/Gasto_o_ing_per_capita!$D155</f>
        <v>0</v>
      </c>
      <c r="O155" s="336">
        <f>Gasto_o_ing_per_capita!O155*100/Gasto_o_ing_per_capita!$D155</f>
        <v>0</v>
      </c>
      <c r="P155" s="336">
        <f>Gasto_o_ing_per_capita!P155*100/Gasto_o_ing_per_capita!$D155</f>
        <v>0</v>
      </c>
      <c r="Q155" s="336">
        <f>Gasto_o_ing_per_capita!Q155*100/Gasto_o_ing_per_capita!$D155</f>
        <v>0</v>
      </c>
      <c r="R155" s="336">
        <f>Gasto_o_ing_per_capita!R155*100/Gasto_o_ing_per_capita!$D155</f>
        <v>0</v>
      </c>
      <c r="S155" s="336">
        <f>Gasto_o_ing_per_capita!S155*100/Gasto_o_ing_per_capita!$D155</f>
        <v>1610.861622300022</v>
      </c>
      <c r="T155" s="336">
        <f>Gasto_o_ing_per_capita!T155*100/Gasto_o_ing_per_capita!$D155</f>
        <v>1670.9156654206581</v>
      </c>
      <c r="U155" s="336">
        <f>Gasto_o_ing_per_capita!U155*100/Gasto_o_ing_per_capita!$D155</f>
        <v>0</v>
      </c>
      <c r="V155" s="336">
        <f>Gasto_o_ing_per_capita!V155*100/Gasto_o_ing_per_capita!$D155</f>
        <v>0</v>
      </c>
    </row>
    <row r="156" spans="1:22" s="102" customFormat="1" ht="13.15">
      <c r="A156" s="355" t="str">
        <f>IF(B156="","",(IF(ISERROR(MATCH(B156,Tot_res!C:C,0)),"Eliminar!!!","")))</f>
        <v/>
      </c>
      <c r="B156" s="115" t="s">
        <v>986</v>
      </c>
      <c r="C156" s="334" t="str">
        <f>VLOOKUP(B156,Tot_res!C:D,2,FALSE)</f>
        <v>Tasas juego, ingresos homogeneizados de las comunidades forales</v>
      </c>
      <c r="D156" s="336">
        <f>Gasto_o_ing_per_capita!D156*100/Gasto_o_ing_per_capita!$D156</f>
        <v>100</v>
      </c>
      <c r="E156" s="336">
        <f>Gasto_o_ing_per_capita!E156*100/Gasto_o_ing_per_capita!$D156</f>
        <v>0</v>
      </c>
      <c r="F156" s="336">
        <f>Gasto_o_ing_per_capita!F156*100/Gasto_o_ing_per_capita!$D156</f>
        <v>0</v>
      </c>
      <c r="G156" s="336">
        <f>Gasto_o_ing_per_capita!G156*100/Gasto_o_ing_per_capita!$D156</f>
        <v>0</v>
      </c>
      <c r="H156" s="336">
        <f>Gasto_o_ing_per_capita!H156*100/Gasto_o_ing_per_capita!$D156</f>
        <v>0</v>
      </c>
      <c r="I156" s="336">
        <f>Gasto_o_ing_per_capita!I156*100/Gasto_o_ing_per_capita!$D156</f>
        <v>0</v>
      </c>
      <c r="J156" s="336">
        <f>Gasto_o_ing_per_capita!J156*100/Gasto_o_ing_per_capita!$D156</f>
        <v>0</v>
      </c>
      <c r="K156" s="336">
        <f>Gasto_o_ing_per_capita!K156*100/Gasto_o_ing_per_capita!$D156</f>
        <v>0</v>
      </c>
      <c r="L156" s="336">
        <f>Gasto_o_ing_per_capita!L156*100/Gasto_o_ing_per_capita!$D156</f>
        <v>0</v>
      </c>
      <c r="M156" s="336">
        <f>Gasto_o_ing_per_capita!M156*100/Gasto_o_ing_per_capita!$D156</f>
        <v>0</v>
      </c>
      <c r="N156" s="336">
        <f>Gasto_o_ing_per_capita!N156*100/Gasto_o_ing_per_capita!$D156</f>
        <v>0</v>
      </c>
      <c r="O156" s="336">
        <f>Gasto_o_ing_per_capita!O156*100/Gasto_o_ing_per_capita!$D156</f>
        <v>0</v>
      </c>
      <c r="P156" s="336">
        <f>Gasto_o_ing_per_capita!P156*100/Gasto_o_ing_per_capita!$D156</f>
        <v>0</v>
      </c>
      <c r="Q156" s="336">
        <f>Gasto_o_ing_per_capita!Q156*100/Gasto_o_ing_per_capita!$D156</f>
        <v>0</v>
      </c>
      <c r="R156" s="336">
        <f>Gasto_o_ing_per_capita!R156*100/Gasto_o_ing_per_capita!$D156</f>
        <v>0</v>
      </c>
      <c r="S156" s="336">
        <f>Gasto_o_ing_per_capita!S156*100/Gasto_o_ing_per_capita!$D156</f>
        <v>1913.8132518902084</v>
      </c>
      <c r="T156" s="336">
        <f>Gasto_o_ing_per_capita!T156*100/Gasto_o_ing_per_capita!$D156</f>
        <v>1582.031088686455</v>
      </c>
      <c r="U156" s="336">
        <f>Gasto_o_ing_per_capita!U156*100/Gasto_o_ing_per_capita!$D156</f>
        <v>0</v>
      </c>
      <c r="V156" s="336">
        <f>Gasto_o_ing_per_capita!V156*100/Gasto_o_ing_per_capita!$D156</f>
        <v>0</v>
      </c>
    </row>
    <row r="157" spans="1:22" s="102" customFormat="1" ht="13.15">
      <c r="A157" s="356"/>
      <c r="B157" s="115"/>
      <c r="C157" s="140"/>
      <c r="D157" s="110"/>
      <c r="E157" s="110"/>
      <c r="F157" s="110"/>
      <c r="G157" s="110"/>
      <c r="H157" s="110"/>
      <c r="I157" s="110"/>
      <c r="J157" s="110"/>
      <c r="K157" s="110"/>
      <c r="L157" s="110"/>
      <c r="M157" s="110"/>
      <c r="N157" s="110"/>
      <c r="O157" s="110"/>
      <c r="P157" s="110"/>
      <c r="Q157" s="110"/>
      <c r="R157" s="110"/>
      <c r="S157" s="110"/>
      <c r="T157" s="110"/>
      <c r="U157" s="110"/>
      <c r="V157" s="110"/>
    </row>
    <row r="158" spans="1:22" s="102" customFormat="1" ht="13.15">
      <c r="A158" s="356"/>
      <c r="B158" s="137"/>
      <c r="C158" s="117" t="s">
        <v>5</v>
      </c>
      <c r="D158" s="113">
        <f>Gasto_o_ing_per_capita!D158*100/Gasto_o_ing_per_capita!$D158</f>
        <v>100</v>
      </c>
      <c r="E158" s="113">
        <f>Gasto_o_ing_per_capita!E158*100/Gasto_o_ing_per_capita!$D158</f>
        <v>0</v>
      </c>
      <c r="F158" s="113">
        <f>Gasto_o_ing_per_capita!F158*100/Gasto_o_ing_per_capita!$D158</f>
        <v>0</v>
      </c>
      <c r="G158" s="113">
        <f>Gasto_o_ing_per_capita!G158*100/Gasto_o_ing_per_capita!$D158</f>
        <v>0</v>
      </c>
      <c r="H158" s="113">
        <f>Gasto_o_ing_per_capita!H158*100/Gasto_o_ing_per_capita!$D158</f>
        <v>0</v>
      </c>
      <c r="I158" s="113">
        <f>Gasto_o_ing_per_capita!I158*100/Gasto_o_ing_per_capita!$D158</f>
        <v>0</v>
      </c>
      <c r="J158" s="113">
        <f>Gasto_o_ing_per_capita!J158*100/Gasto_o_ing_per_capita!$D158</f>
        <v>0</v>
      </c>
      <c r="K158" s="113">
        <f>Gasto_o_ing_per_capita!K158*100/Gasto_o_ing_per_capita!$D158</f>
        <v>0</v>
      </c>
      <c r="L158" s="113">
        <f>Gasto_o_ing_per_capita!L158*100/Gasto_o_ing_per_capita!$D158</f>
        <v>0</v>
      </c>
      <c r="M158" s="113">
        <f>Gasto_o_ing_per_capita!M158*100/Gasto_o_ing_per_capita!$D158</f>
        <v>0</v>
      </c>
      <c r="N158" s="113">
        <f>Gasto_o_ing_per_capita!N158*100/Gasto_o_ing_per_capita!$D158</f>
        <v>0</v>
      </c>
      <c r="O158" s="113">
        <f>Gasto_o_ing_per_capita!O158*100/Gasto_o_ing_per_capita!$D158</f>
        <v>0</v>
      </c>
      <c r="P158" s="113">
        <f>Gasto_o_ing_per_capita!P158*100/Gasto_o_ing_per_capita!$D158</f>
        <v>0</v>
      </c>
      <c r="Q158" s="113">
        <f>Gasto_o_ing_per_capita!Q158*100/Gasto_o_ing_per_capita!$D158</f>
        <v>0</v>
      </c>
      <c r="R158" s="113">
        <f>Gasto_o_ing_per_capita!R158*100/Gasto_o_ing_per_capita!$D158</f>
        <v>0</v>
      </c>
      <c r="S158" s="113">
        <f>Gasto_o_ing_per_capita!S158*100/Gasto_o_ing_per_capita!$D158</f>
        <v>2488.1154655500522</v>
      </c>
      <c r="T158" s="113">
        <f>Gasto_o_ing_per_capita!T158*100/Gasto_o_ing_per_capita!$D158</f>
        <v>1413.5335326649758</v>
      </c>
      <c r="U158" s="113">
        <f>Gasto_o_ing_per_capita!U158*100/Gasto_o_ing_per_capita!$D158</f>
        <v>0</v>
      </c>
      <c r="V158" s="113">
        <f>Gasto_o_ing_per_capita!V158*100/Gasto_o_ing_per_capita!$D158</f>
        <v>0</v>
      </c>
    </row>
    <row r="159" spans="1:22" s="102" customFormat="1" ht="13.15">
      <c r="A159" s="355" t="str">
        <f>IF(B159="","",(IF(ISERROR(MATCH(B159,Tot_res!C:C,0)),"Eliminar!!!","")))</f>
        <v/>
      </c>
      <c r="B159" s="115" t="s">
        <v>1009</v>
      </c>
      <c r="C159" s="334" t="str">
        <f>VLOOKUP(B159,Tot_res!C:D,2,FALSE)</f>
        <v xml:space="preserve"> Cupo y aportación, antes descuento por Y vasca</v>
      </c>
      <c r="D159" s="336">
        <f>Gasto_o_ing_per_capita!D159*100/Gasto_o_ing_per_capita!$D159</f>
        <v>100</v>
      </c>
      <c r="E159" s="336">
        <f>Gasto_o_ing_per_capita!E159*100/Gasto_o_ing_per_capita!$D159</f>
        <v>0</v>
      </c>
      <c r="F159" s="336">
        <f>Gasto_o_ing_per_capita!F159*100/Gasto_o_ing_per_capita!$D159</f>
        <v>0</v>
      </c>
      <c r="G159" s="336">
        <f>Gasto_o_ing_per_capita!G159*100/Gasto_o_ing_per_capita!$D159</f>
        <v>0</v>
      </c>
      <c r="H159" s="336">
        <f>Gasto_o_ing_per_capita!H159*100/Gasto_o_ing_per_capita!$D159</f>
        <v>0</v>
      </c>
      <c r="I159" s="336">
        <f>Gasto_o_ing_per_capita!I159*100/Gasto_o_ing_per_capita!$D159</f>
        <v>0</v>
      </c>
      <c r="J159" s="336">
        <f>Gasto_o_ing_per_capita!J159*100/Gasto_o_ing_per_capita!$D159</f>
        <v>0</v>
      </c>
      <c r="K159" s="336">
        <f>Gasto_o_ing_per_capita!K159*100/Gasto_o_ing_per_capita!$D159</f>
        <v>0</v>
      </c>
      <c r="L159" s="336">
        <f>Gasto_o_ing_per_capita!L159*100/Gasto_o_ing_per_capita!$D159</f>
        <v>0</v>
      </c>
      <c r="M159" s="336">
        <f>Gasto_o_ing_per_capita!M159*100/Gasto_o_ing_per_capita!$D159</f>
        <v>0</v>
      </c>
      <c r="N159" s="336">
        <f>Gasto_o_ing_per_capita!N159*100/Gasto_o_ing_per_capita!$D159</f>
        <v>0</v>
      </c>
      <c r="O159" s="336">
        <f>Gasto_o_ing_per_capita!O159*100/Gasto_o_ing_per_capita!$D159</f>
        <v>0</v>
      </c>
      <c r="P159" s="336">
        <f>Gasto_o_ing_per_capita!P159*100/Gasto_o_ing_per_capita!$D159</f>
        <v>0</v>
      </c>
      <c r="Q159" s="336">
        <f>Gasto_o_ing_per_capita!Q159*100/Gasto_o_ing_per_capita!$D159</f>
        <v>0</v>
      </c>
      <c r="R159" s="336">
        <f>Gasto_o_ing_per_capita!R159*100/Gasto_o_ing_per_capita!$D159</f>
        <v>0</v>
      </c>
      <c r="S159" s="336">
        <f>Gasto_o_ing_per_capita!S159*100/Gasto_o_ing_per_capita!$D159</f>
        <v>2352.0287561717114</v>
      </c>
      <c r="T159" s="336">
        <f>Gasto_o_ing_per_capita!T159*100/Gasto_o_ing_per_capita!$D159</f>
        <v>1453.4607302133334</v>
      </c>
      <c r="U159" s="336">
        <f>Gasto_o_ing_per_capita!U159*100/Gasto_o_ing_per_capita!$D159</f>
        <v>0</v>
      </c>
      <c r="V159" s="336">
        <f>Gasto_o_ing_per_capita!V159*100/Gasto_o_ing_per_capita!$D159</f>
        <v>0</v>
      </c>
    </row>
    <row r="160" spans="1:22" s="102" customFormat="1" ht="26.3">
      <c r="A160" s="355" t="str">
        <f>IF(B160="","",(IF(ISERROR(MATCH(B160,Tot_res!C:C,0)),"Eliminar!!!","")))</f>
        <v/>
      </c>
      <c r="B160" s="115" t="s">
        <v>987</v>
      </c>
      <c r="C160" s="334" t="str">
        <f>VLOOKUP(B160,Tot_res!C:D,2,FALSE)</f>
        <v>Otras transferencias a CCAA: Compensaciones financieras al País Vasco por IE sobre las labores de tabaco</v>
      </c>
      <c r="D160" s="336">
        <f>Gasto_o_ing_per_capita!D160*100/Gasto_o_ing_per_capita!$D160</f>
        <v>100</v>
      </c>
      <c r="E160" s="336">
        <f>Gasto_o_ing_per_capita!E160*100/Gasto_o_ing_per_capita!$D160</f>
        <v>0</v>
      </c>
      <c r="F160" s="336">
        <f>Gasto_o_ing_per_capita!F160*100/Gasto_o_ing_per_capita!$D160</f>
        <v>0</v>
      </c>
      <c r="G160" s="336">
        <f>Gasto_o_ing_per_capita!G160*100/Gasto_o_ing_per_capita!$D160</f>
        <v>0</v>
      </c>
      <c r="H160" s="336">
        <f>Gasto_o_ing_per_capita!H160*100/Gasto_o_ing_per_capita!$D160</f>
        <v>0</v>
      </c>
      <c r="I160" s="336">
        <f>Gasto_o_ing_per_capita!I160*100/Gasto_o_ing_per_capita!$D160</f>
        <v>0</v>
      </c>
      <c r="J160" s="336">
        <f>Gasto_o_ing_per_capita!J160*100/Gasto_o_ing_per_capita!$D160</f>
        <v>0</v>
      </c>
      <c r="K160" s="336">
        <f>Gasto_o_ing_per_capita!K160*100/Gasto_o_ing_per_capita!$D160</f>
        <v>0</v>
      </c>
      <c r="L160" s="336">
        <f>Gasto_o_ing_per_capita!L160*100/Gasto_o_ing_per_capita!$D160</f>
        <v>0</v>
      </c>
      <c r="M160" s="336">
        <f>Gasto_o_ing_per_capita!M160*100/Gasto_o_ing_per_capita!$D160</f>
        <v>0</v>
      </c>
      <c r="N160" s="336">
        <f>Gasto_o_ing_per_capita!N160*100/Gasto_o_ing_per_capita!$D160</f>
        <v>0</v>
      </c>
      <c r="O160" s="336">
        <f>Gasto_o_ing_per_capita!O160*100/Gasto_o_ing_per_capita!$D160</f>
        <v>0</v>
      </c>
      <c r="P160" s="336">
        <f>Gasto_o_ing_per_capita!P160*100/Gasto_o_ing_per_capita!$D160</f>
        <v>0</v>
      </c>
      <c r="Q160" s="336">
        <f>Gasto_o_ing_per_capita!Q160*100/Gasto_o_ing_per_capita!$D160</f>
        <v>0</v>
      </c>
      <c r="R160" s="336">
        <f>Gasto_o_ing_per_capita!R160*100/Gasto_o_ing_per_capita!$D160</f>
        <v>0</v>
      </c>
      <c r="S160" s="336">
        <f>Gasto_o_ing_per_capita!S160*100/Gasto_o_ing_per_capita!$D160</f>
        <v>0</v>
      </c>
      <c r="T160" s="336">
        <f>Gasto_o_ing_per_capita!T160*100/Gasto_o_ing_per_capita!$D160</f>
        <v>2143.5348543954606</v>
      </c>
      <c r="U160" s="336">
        <f>Gasto_o_ing_per_capita!U160*100/Gasto_o_ing_per_capita!$D160</f>
        <v>0</v>
      </c>
      <c r="V160" s="336">
        <f>Gasto_o_ing_per_capita!V160*100/Gasto_o_ing_per_capita!$D160</f>
        <v>0</v>
      </c>
    </row>
    <row r="161" spans="1:22" s="102" customFormat="1" ht="13.15">
      <c r="A161" s="355" t="str">
        <f>IF(B161="","",(IF(ISERROR(MATCH(B161,Tot_res!C:C,0)),"Eliminar!!!","")))</f>
        <v/>
      </c>
      <c r="B161" s="115" t="s">
        <v>225</v>
      </c>
      <c r="C161" s="334" t="str">
        <f>VLOOKUP(B161,Tot_res!C:D,2,FALSE)</f>
        <v>compensaciones financieras IE bebidas alcohólicas e hidrocarburos</v>
      </c>
      <c r="D161" s="336">
        <f>Gasto_o_ing_per_capita!D161*100/Gasto_o_ing_per_capita!$D161</f>
        <v>100</v>
      </c>
      <c r="E161" s="336">
        <f>Gasto_o_ing_per_capita!E161*100/Gasto_o_ing_per_capita!$D161</f>
        <v>0</v>
      </c>
      <c r="F161" s="336">
        <f>Gasto_o_ing_per_capita!F161*100/Gasto_o_ing_per_capita!$D161</f>
        <v>0</v>
      </c>
      <c r="G161" s="336">
        <f>Gasto_o_ing_per_capita!G161*100/Gasto_o_ing_per_capita!$D161</f>
        <v>0</v>
      </c>
      <c r="H161" s="336">
        <f>Gasto_o_ing_per_capita!H161*100/Gasto_o_ing_per_capita!$D161</f>
        <v>0</v>
      </c>
      <c r="I161" s="336">
        <f>Gasto_o_ing_per_capita!I161*100/Gasto_o_ing_per_capita!$D161</f>
        <v>0</v>
      </c>
      <c r="J161" s="336">
        <f>Gasto_o_ing_per_capita!J161*100/Gasto_o_ing_per_capita!$D161</f>
        <v>0</v>
      </c>
      <c r="K161" s="336">
        <f>Gasto_o_ing_per_capita!K161*100/Gasto_o_ing_per_capita!$D161</f>
        <v>0</v>
      </c>
      <c r="L161" s="336">
        <f>Gasto_o_ing_per_capita!L161*100/Gasto_o_ing_per_capita!$D161</f>
        <v>0</v>
      </c>
      <c r="M161" s="336">
        <f>Gasto_o_ing_per_capita!M161*100/Gasto_o_ing_per_capita!$D161</f>
        <v>0</v>
      </c>
      <c r="N161" s="336">
        <f>Gasto_o_ing_per_capita!N161*100/Gasto_o_ing_per_capita!$D161</f>
        <v>0</v>
      </c>
      <c r="O161" s="336">
        <f>Gasto_o_ing_per_capita!O161*100/Gasto_o_ing_per_capita!$D161</f>
        <v>0</v>
      </c>
      <c r="P161" s="336">
        <f>Gasto_o_ing_per_capita!P161*100/Gasto_o_ing_per_capita!$D161</f>
        <v>0</v>
      </c>
      <c r="Q161" s="336">
        <f>Gasto_o_ing_per_capita!Q161*100/Gasto_o_ing_per_capita!$D161</f>
        <v>0</v>
      </c>
      <c r="R161" s="336">
        <f>Gasto_o_ing_per_capita!R161*100/Gasto_o_ing_per_capita!$D161</f>
        <v>0</v>
      </c>
      <c r="S161" s="336">
        <f>Gasto_o_ing_per_capita!S161*100/Gasto_o_ing_per_capita!$D161</f>
        <v>0</v>
      </c>
      <c r="T161" s="336">
        <f>Gasto_o_ing_per_capita!T161*100/Gasto_o_ing_per_capita!$D161</f>
        <v>2143.534854395461</v>
      </c>
      <c r="U161" s="336">
        <f>Gasto_o_ing_per_capita!U161*100/Gasto_o_ing_per_capita!$D161</f>
        <v>0</v>
      </c>
      <c r="V161" s="336">
        <f>Gasto_o_ing_per_capita!V161*100/Gasto_o_ing_per_capita!$D161</f>
        <v>0</v>
      </c>
    </row>
    <row r="162" spans="1:22" s="102" customFormat="1" ht="13.15">
      <c r="A162" s="356"/>
      <c r="B162" s="115"/>
      <c r="C162" s="140"/>
      <c r="D162" s="110"/>
      <c r="E162" s="110"/>
      <c r="F162" s="110"/>
      <c r="G162" s="110"/>
      <c r="H162" s="110"/>
      <c r="I162" s="110"/>
      <c r="J162" s="110"/>
      <c r="K162" s="110"/>
      <c r="L162" s="110"/>
      <c r="M162" s="110"/>
      <c r="N162" s="110"/>
      <c r="O162" s="110"/>
      <c r="P162" s="110"/>
      <c r="Q162" s="110"/>
      <c r="R162" s="110"/>
      <c r="S162" s="110"/>
      <c r="T162" s="110"/>
      <c r="U162" s="110"/>
      <c r="V162" s="110"/>
    </row>
    <row r="163" spans="1:22" s="102" customFormat="1" ht="13.15">
      <c r="A163" s="356"/>
      <c r="B163" s="137"/>
      <c r="C163" s="117" t="s">
        <v>52</v>
      </c>
      <c r="D163" s="113">
        <f>Gasto_o_ing_per_capita!D163*100/Gasto_o_ing_per_capita!$D163</f>
        <v>100</v>
      </c>
      <c r="E163" s="113">
        <f>Gasto_o_ing_per_capita!E163*100/Gasto_o_ing_per_capita!$D163</f>
        <v>0</v>
      </c>
      <c r="F163" s="113">
        <f>Gasto_o_ing_per_capita!F163*100/Gasto_o_ing_per_capita!$D163</f>
        <v>0</v>
      </c>
      <c r="G163" s="113">
        <f>Gasto_o_ing_per_capita!G163*100/Gasto_o_ing_per_capita!$D163</f>
        <v>0</v>
      </c>
      <c r="H163" s="113">
        <f>Gasto_o_ing_per_capita!H163*100/Gasto_o_ing_per_capita!$D163</f>
        <v>0</v>
      </c>
      <c r="I163" s="113">
        <f>Gasto_o_ing_per_capita!I163*100/Gasto_o_ing_per_capita!$D163</f>
        <v>0</v>
      </c>
      <c r="J163" s="113">
        <f>Gasto_o_ing_per_capita!J163*100/Gasto_o_ing_per_capita!$D163</f>
        <v>0</v>
      </c>
      <c r="K163" s="113">
        <f>Gasto_o_ing_per_capita!K163*100/Gasto_o_ing_per_capita!$D163</f>
        <v>0</v>
      </c>
      <c r="L163" s="113">
        <f>Gasto_o_ing_per_capita!L163*100/Gasto_o_ing_per_capita!$D163</f>
        <v>0</v>
      </c>
      <c r="M163" s="113">
        <f>Gasto_o_ing_per_capita!M163*100/Gasto_o_ing_per_capita!$D163</f>
        <v>0</v>
      </c>
      <c r="N163" s="113">
        <f>Gasto_o_ing_per_capita!N163*100/Gasto_o_ing_per_capita!$D163</f>
        <v>0</v>
      </c>
      <c r="O163" s="113">
        <f>Gasto_o_ing_per_capita!O163*100/Gasto_o_ing_per_capita!$D163</f>
        <v>0</v>
      </c>
      <c r="P163" s="113">
        <f>Gasto_o_ing_per_capita!P163*100/Gasto_o_ing_per_capita!$D163</f>
        <v>0</v>
      </c>
      <c r="Q163" s="113">
        <f>Gasto_o_ing_per_capita!Q163*100/Gasto_o_ing_per_capita!$D163</f>
        <v>0</v>
      </c>
      <c r="R163" s="113">
        <f>Gasto_o_ing_per_capita!R163*100/Gasto_o_ing_per_capita!$D163</f>
        <v>0</v>
      </c>
      <c r="S163" s="113">
        <f>Gasto_o_ing_per_capita!S163*100/Gasto_o_ing_per_capita!$D163</f>
        <v>1403.6217927540165</v>
      </c>
      <c r="T163" s="113">
        <f>Gasto_o_ing_per_capita!T163*100/Gasto_o_ing_per_capita!$D163</f>
        <v>1731.7188522415481</v>
      </c>
      <c r="U163" s="113">
        <f>Gasto_o_ing_per_capita!U163*100/Gasto_o_ing_per_capita!$D163</f>
        <v>0</v>
      </c>
      <c r="V163" s="113">
        <f>Gasto_o_ing_per_capita!V163*100/Gasto_o_ing_per_capita!$D163</f>
        <v>0</v>
      </c>
    </row>
    <row r="164" spans="1:22" s="102" customFormat="1" ht="13.15">
      <c r="A164" s="356"/>
      <c r="B164" s="115" t="s">
        <v>1127</v>
      </c>
      <c r="C164" s="339" t="str">
        <f>VLOOKUP(B164,Tot_res!C:D,2,FALSE)</f>
        <v>gestión tributaria (prog. 932A)</v>
      </c>
      <c r="D164" s="338">
        <f>Gasto_o_ing_per_capita!D164*100/Gasto_o_ing_per_capita!$D164</f>
        <v>100</v>
      </c>
      <c r="E164" s="338">
        <f>Gasto_o_ing_per_capita!E164*100/Gasto_o_ing_per_capita!$D164</f>
        <v>0</v>
      </c>
      <c r="F164" s="338">
        <f>Gasto_o_ing_per_capita!F164*100/Gasto_o_ing_per_capita!$D164</f>
        <v>0</v>
      </c>
      <c r="G164" s="338">
        <f>Gasto_o_ing_per_capita!G164*100/Gasto_o_ing_per_capita!$D164</f>
        <v>0</v>
      </c>
      <c r="H164" s="338">
        <f>Gasto_o_ing_per_capita!H164*100/Gasto_o_ing_per_capita!$D164</f>
        <v>0</v>
      </c>
      <c r="I164" s="338">
        <f>Gasto_o_ing_per_capita!I164*100/Gasto_o_ing_per_capita!$D164</f>
        <v>0</v>
      </c>
      <c r="J164" s="338">
        <f>Gasto_o_ing_per_capita!J164*100/Gasto_o_ing_per_capita!$D164</f>
        <v>0</v>
      </c>
      <c r="K164" s="338">
        <f>Gasto_o_ing_per_capita!K164*100/Gasto_o_ing_per_capita!$D164</f>
        <v>0</v>
      </c>
      <c r="L164" s="338">
        <f>Gasto_o_ing_per_capita!L164*100/Gasto_o_ing_per_capita!$D164</f>
        <v>0</v>
      </c>
      <c r="M164" s="338">
        <f>Gasto_o_ing_per_capita!M164*100/Gasto_o_ing_per_capita!$D164</f>
        <v>0</v>
      </c>
      <c r="N164" s="338">
        <f>Gasto_o_ing_per_capita!N164*100/Gasto_o_ing_per_capita!$D164</f>
        <v>0</v>
      </c>
      <c r="O164" s="338">
        <f>Gasto_o_ing_per_capita!O164*100/Gasto_o_ing_per_capita!$D164</f>
        <v>0</v>
      </c>
      <c r="P164" s="338">
        <f>Gasto_o_ing_per_capita!P164*100/Gasto_o_ing_per_capita!$D164</f>
        <v>0</v>
      </c>
      <c r="Q164" s="338">
        <f>Gasto_o_ing_per_capita!Q164*100/Gasto_o_ing_per_capita!$D164</f>
        <v>0</v>
      </c>
      <c r="R164" s="338">
        <f>Gasto_o_ing_per_capita!R164*100/Gasto_o_ing_per_capita!$D164</f>
        <v>0</v>
      </c>
      <c r="S164" s="338">
        <f>Gasto_o_ing_per_capita!S164*100/Gasto_o_ing_per_capita!$D164</f>
        <v>1657.2929370515083</v>
      </c>
      <c r="T164" s="338">
        <f>Gasto_o_ing_per_capita!T164*100/Gasto_o_ing_per_capita!$D164</f>
        <v>1657.2929370515083</v>
      </c>
      <c r="U164" s="338">
        <f>Gasto_o_ing_per_capita!U164*100/Gasto_o_ing_per_capita!$D164</f>
        <v>0</v>
      </c>
      <c r="V164" s="338">
        <f>Gasto_o_ing_per_capita!V164*100/Gasto_o_ing_per_capita!$D164</f>
        <v>0</v>
      </c>
    </row>
    <row r="165" spans="1:22" s="102" customFormat="1" ht="13.15">
      <c r="A165" s="356"/>
      <c r="B165" s="115" t="s">
        <v>1128</v>
      </c>
      <c r="C165" s="339" t="str">
        <f>VLOOKUP(B165,Tot_res!C:D,2,FALSE)</f>
        <v>Gestión del catastro inmobiliario (programa 932M)</v>
      </c>
      <c r="D165" s="338">
        <f>Gasto_o_ing_per_capita!D165*100/Gasto_o_ing_per_capita!$D165</f>
        <v>100</v>
      </c>
      <c r="E165" s="338">
        <f>Gasto_o_ing_per_capita!E165*100/Gasto_o_ing_per_capita!$D165</f>
        <v>0</v>
      </c>
      <c r="F165" s="338">
        <f>Gasto_o_ing_per_capita!F165*100/Gasto_o_ing_per_capita!$D165</f>
        <v>0</v>
      </c>
      <c r="G165" s="338">
        <f>Gasto_o_ing_per_capita!G165*100/Gasto_o_ing_per_capita!$D165</f>
        <v>0</v>
      </c>
      <c r="H165" s="338">
        <f>Gasto_o_ing_per_capita!H165*100/Gasto_o_ing_per_capita!$D165</f>
        <v>0</v>
      </c>
      <c r="I165" s="338">
        <f>Gasto_o_ing_per_capita!I165*100/Gasto_o_ing_per_capita!$D165</f>
        <v>0</v>
      </c>
      <c r="J165" s="338">
        <f>Gasto_o_ing_per_capita!J165*100/Gasto_o_ing_per_capita!$D165</f>
        <v>0</v>
      </c>
      <c r="K165" s="338">
        <f>Gasto_o_ing_per_capita!K165*100/Gasto_o_ing_per_capita!$D165</f>
        <v>0</v>
      </c>
      <c r="L165" s="338">
        <f>Gasto_o_ing_per_capita!L165*100/Gasto_o_ing_per_capita!$D165</f>
        <v>0</v>
      </c>
      <c r="M165" s="338">
        <f>Gasto_o_ing_per_capita!M165*100/Gasto_o_ing_per_capita!$D165</f>
        <v>0</v>
      </c>
      <c r="N165" s="338">
        <f>Gasto_o_ing_per_capita!N165*100/Gasto_o_ing_per_capita!$D165</f>
        <v>0</v>
      </c>
      <c r="O165" s="338">
        <f>Gasto_o_ing_per_capita!O165*100/Gasto_o_ing_per_capita!$D165</f>
        <v>0</v>
      </c>
      <c r="P165" s="338">
        <f>Gasto_o_ing_per_capita!P165*100/Gasto_o_ing_per_capita!$D165</f>
        <v>0</v>
      </c>
      <c r="Q165" s="338">
        <f>Gasto_o_ing_per_capita!Q165*100/Gasto_o_ing_per_capita!$D165</f>
        <v>0</v>
      </c>
      <c r="R165" s="338">
        <f>Gasto_o_ing_per_capita!R165*100/Gasto_o_ing_per_capita!$D165</f>
        <v>0</v>
      </c>
      <c r="S165" s="338">
        <f>Gasto_o_ing_per_capita!S165*100/Gasto_o_ing_per_capita!$D165</f>
        <v>1657.292937051508</v>
      </c>
      <c r="T165" s="338">
        <f>Gasto_o_ing_per_capita!T165*100/Gasto_o_ing_per_capita!$D165</f>
        <v>1657.292937051508</v>
      </c>
      <c r="U165" s="338">
        <f>Gasto_o_ing_per_capita!U165*100/Gasto_o_ing_per_capita!$D165</f>
        <v>0</v>
      </c>
      <c r="V165" s="338">
        <f>Gasto_o_ing_per_capita!V165*100/Gasto_o_ing_per_capita!$D165</f>
        <v>0</v>
      </c>
    </row>
    <row r="166" spans="1:22" s="102" customFormat="1" ht="13.15">
      <c r="A166" s="356"/>
      <c r="B166" s="115" t="s">
        <v>1129</v>
      </c>
      <c r="C166" s="339" t="str">
        <f>VLOOKUP(B166,Tot_res!C:D,2,FALSE)</f>
        <v>Pensiones no contributivas y otras prestaciones económicas (sección 3.1)</v>
      </c>
      <c r="D166" s="338">
        <f>Gasto_o_ing_per_capita!D166*100/Gasto_o_ing_per_capita!$D166</f>
        <v>99.999999999999986</v>
      </c>
      <c r="E166" s="338">
        <f>Gasto_o_ing_per_capita!E166*100/Gasto_o_ing_per_capita!$D166</f>
        <v>0</v>
      </c>
      <c r="F166" s="338">
        <f>Gasto_o_ing_per_capita!F166*100/Gasto_o_ing_per_capita!$D166</f>
        <v>0</v>
      </c>
      <c r="G166" s="338">
        <f>Gasto_o_ing_per_capita!G166*100/Gasto_o_ing_per_capita!$D166</f>
        <v>0</v>
      </c>
      <c r="H166" s="338">
        <f>Gasto_o_ing_per_capita!H166*100/Gasto_o_ing_per_capita!$D166</f>
        <v>0</v>
      </c>
      <c r="I166" s="338">
        <f>Gasto_o_ing_per_capita!I166*100/Gasto_o_ing_per_capita!$D166</f>
        <v>0</v>
      </c>
      <c r="J166" s="338">
        <f>Gasto_o_ing_per_capita!J166*100/Gasto_o_ing_per_capita!$D166</f>
        <v>0</v>
      </c>
      <c r="K166" s="338">
        <f>Gasto_o_ing_per_capita!K166*100/Gasto_o_ing_per_capita!$D166</f>
        <v>0</v>
      </c>
      <c r="L166" s="338">
        <f>Gasto_o_ing_per_capita!L166*100/Gasto_o_ing_per_capita!$D166</f>
        <v>0</v>
      </c>
      <c r="M166" s="338">
        <f>Gasto_o_ing_per_capita!M166*100/Gasto_o_ing_per_capita!$D166</f>
        <v>0</v>
      </c>
      <c r="N166" s="338">
        <f>Gasto_o_ing_per_capita!N166*100/Gasto_o_ing_per_capita!$D166</f>
        <v>0</v>
      </c>
      <c r="O166" s="338">
        <f>Gasto_o_ing_per_capita!O166*100/Gasto_o_ing_per_capita!$D166</f>
        <v>0</v>
      </c>
      <c r="P166" s="338">
        <f>Gasto_o_ing_per_capita!P166*100/Gasto_o_ing_per_capita!$D166</f>
        <v>0</v>
      </c>
      <c r="Q166" s="338">
        <f>Gasto_o_ing_per_capita!Q166*100/Gasto_o_ing_per_capita!$D166</f>
        <v>0</v>
      </c>
      <c r="R166" s="338">
        <f>Gasto_o_ing_per_capita!R166*100/Gasto_o_ing_per_capita!$D166</f>
        <v>0</v>
      </c>
      <c r="S166" s="338">
        <f>Gasto_o_ing_per_capita!S166*100/Gasto_o_ing_per_capita!$D166</f>
        <v>1238.2532409424198</v>
      </c>
      <c r="T166" s="338">
        <f>Gasto_o_ing_per_capita!T166*100/Gasto_o_ing_per_capita!$D166</f>
        <v>1780.2372040088096</v>
      </c>
      <c r="U166" s="338">
        <f>Gasto_o_ing_per_capita!U166*100/Gasto_o_ing_per_capita!$D166</f>
        <v>0</v>
      </c>
      <c r="V166" s="338">
        <f>Gasto_o_ing_per_capita!V166*100/Gasto_o_ing_per_capita!$D166</f>
        <v>0</v>
      </c>
    </row>
    <row r="167" spans="1:22" s="102" customFormat="1" ht="13.15">
      <c r="A167" s="356"/>
      <c r="B167" s="115" t="s">
        <v>1130</v>
      </c>
      <c r="C167" s="339" t="str">
        <f>VLOOKUP(B167,Tot_res!C:D,2,FALSE)</f>
        <v>Financiación provincias</v>
      </c>
      <c r="D167" s="338">
        <f>Gasto_o_ing_per_capita!D167*100/Gasto_o_ing_per_capita!$D167</f>
        <v>100</v>
      </c>
      <c r="E167" s="338">
        <f>Gasto_o_ing_per_capita!E167*100/Gasto_o_ing_per_capita!$D167</f>
        <v>0</v>
      </c>
      <c r="F167" s="338">
        <f>Gasto_o_ing_per_capita!F167*100/Gasto_o_ing_per_capita!$D167</f>
        <v>0</v>
      </c>
      <c r="G167" s="338">
        <f>Gasto_o_ing_per_capita!G167*100/Gasto_o_ing_per_capita!$D167</f>
        <v>0</v>
      </c>
      <c r="H167" s="338">
        <f>Gasto_o_ing_per_capita!H167*100/Gasto_o_ing_per_capita!$D167</f>
        <v>0</v>
      </c>
      <c r="I167" s="338">
        <f>Gasto_o_ing_per_capita!I167*100/Gasto_o_ing_per_capita!$D167</f>
        <v>0</v>
      </c>
      <c r="J167" s="338">
        <f>Gasto_o_ing_per_capita!J167*100/Gasto_o_ing_per_capita!$D167</f>
        <v>0</v>
      </c>
      <c r="K167" s="338">
        <f>Gasto_o_ing_per_capita!K167*100/Gasto_o_ing_per_capita!$D167</f>
        <v>0</v>
      </c>
      <c r="L167" s="338">
        <f>Gasto_o_ing_per_capita!L167*100/Gasto_o_ing_per_capita!$D167</f>
        <v>0</v>
      </c>
      <c r="M167" s="338">
        <f>Gasto_o_ing_per_capita!M167*100/Gasto_o_ing_per_capita!$D167</f>
        <v>0</v>
      </c>
      <c r="N167" s="338">
        <f>Gasto_o_ing_per_capita!N167*100/Gasto_o_ing_per_capita!$D167</f>
        <v>0</v>
      </c>
      <c r="O167" s="338">
        <f>Gasto_o_ing_per_capita!O167*100/Gasto_o_ing_per_capita!$D167</f>
        <v>0</v>
      </c>
      <c r="P167" s="338">
        <f>Gasto_o_ing_per_capita!P167*100/Gasto_o_ing_per_capita!$D167</f>
        <v>0</v>
      </c>
      <c r="Q167" s="338">
        <f>Gasto_o_ing_per_capita!Q167*100/Gasto_o_ing_per_capita!$D167</f>
        <v>0</v>
      </c>
      <c r="R167" s="338">
        <f>Gasto_o_ing_per_capita!R167*100/Gasto_o_ing_per_capita!$D167</f>
        <v>0</v>
      </c>
      <c r="S167" s="338">
        <f>Gasto_o_ing_per_capita!S167*100/Gasto_o_ing_per_capita!$D167</f>
        <v>1657.1321011303069</v>
      </c>
      <c r="T167" s="338">
        <f>Gasto_o_ing_per_capita!T167*100/Gasto_o_ing_per_capita!$D167</f>
        <v>1657.34012555087</v>
      </c>
      <c r="U167" s="338">
        <f>Gasto_o_ing_per_capita!U167*100/Gasto_o_ing_per_capita!$D167</f>
        <v>0</v>
      </c>
      <c r="V167" s="338">
        <f>Gasto_o_ing_per_capita!V167*100/Gasto_o_ing_per_capita!$D167</f>
        <v>0</v>
      </c>
    </row>
    <row r="168" spans="1:22" s="102" customFormat="1" ht="13.15">
      <c r="A168" s="356"/>
      <c r="B168" s="115" t="s">
        <v>1131</v>
      </c>
      <c r="C168" s="339" t="str">
        <f>VLOOKUP(B168,Tot_res!C:D,2,FALSE)</f>
        <v>Financiación municipios</v>
      </c>
      <c r="D168" s="338">
        <f>Gasto_o_ing_per_capita!D168*100/Gasto_o_ing_per_capita!$D168</f>
        <v>100.00000000000001</v>
      </c>
      <c r="E168" s="338">
        <f>Gasto_o_ing_per_capita!E168*100/Gasto_o_ing_per_capita!$D168</f>
        <v>0</v>
      </c>
      <c r="F168" s="338">
        <f>Gasto_o_ing_per_capita!F168*100/Gasto_o_ing_per_capita!$D168</f>
        <v>0</v>
      </c>
      <c r="G168" s="338">
        <f>Gasto_o_ing_per_capita!G168*100/Gasto_o_ing_per_capita!$D168</f>
        <v>0</v>
      </c>
      <c r="H168" s="338">
        <f>Gasto_o_ing_per_capita!H168*100/Gasto_o_ing_per_capita!$D168</f>
        <v>0</v>
      </c>
      <c r="I168" s="338">
        <f>Gasto_o_ing_per_capita!I168*100/Gasto_o_ing_per_capita!$D168</f>
        <v>0</v>
      </c>
      <c r="J168" s="338">
        <f>Gasto_o_ing_per_capita!J168*100/Gasto_o_ing_per_capita!$D168</f>
        <v>0</v>
      </c>
      <c r="K168" s="338">
        <f>Gasto_o_ing_per_capita!K168*100/Gasto_o_ing_per_capita!$D168</f>
        <v>0</v>
      </c>
      <c r="L168" s="338">
        <f>Gasto_o_ing_per_capita!L168*100/Gasto_o_ing_per_capita!$D168</f>
        <v>0</v>
      </c>
      <c r="M168" s="338">
        <f>Gasto_o_ing_per_capita!M168*100/Gasto_o_ing_per_capita!$D168</f>
        <v>0</v>
      </c>
      <c r="N168" s="338">
        <f>Gasto_o_ing_per_capita!N168*100/Gasto_o_ing_per_capita!$D168</f>
        <v>0</v>
      </c>
      <c r="O168" s="338">
        <f>Gasto_o_ing_per_capita!O168*100/Gasto_o_ing_per_capita!$D168</f>
        <v>0</v>
      </c>
      <c r="P168" s="338">
        <f>Gasto_o_ing_per_capita!P168*100/Gasto_o_ing_per_capita!$D168</f>
        <v>0</v>
      </c>
      <c r="Q168" s="338">
        <f>Gasto_o_ing_per_capita!Q168*100/Gasto_o_ing_per_capita!$D168</f>
        <v>0</v>
      </c>
      <c r="R168" s="338">
        <f>Gasto_o_ing_per_capita!R168*100/Gasto_o_ing_per_capita!$D168</f>
        <v>0</v>
      </c>
      <c r="S168" s="338">
        <f>Gasto_o_ing_per_capita!S168*100/Gasto_o_ing_per_capita!$D168</f>
        <v>1657.7467203633605</v>
      </c>
      <c r="T168" s="338">
        <f>Gasto_o_ing_per_capita!T168*100/Gasto_o_ing_per_capita!$D168</f>
        <v>1657.1597991718486</v>
      </c>
      <c r="U168" s="338">
        <f>Gasto_o_ing_per_capita!U168*100/Gasto_o_ing_per_capita!$D168</f>
        <v>0</v>
      </c>
      <c r="V168" s="338">
        <f>Gasto_o_ing_per_capita!V168*100/Gasto_o_ing_per_capita!$D168</f>
        <v>0</v>
      </c>
    </row>
    <row r="169" spans="1:22" s="102" customFormat="1" ht="13.15">
      <c r="A169" s="356"/>
      <c r="B169" s="115" t="s">
        <v>1132</v>
      </c>
      <c r="C169" s="339" t="str">
        <f>VLOOKUP(B169,Tot_res!C:D,2,FALSE)</f>
        <v xml:space="preserve">construcción de carreteras </v>
      </c>
      <c r="D169" s="338">
        <f>Gasto_o_ing_per_capita!D169*100/Gasto_o_ing_per_capita!$D169</f>
        <v>100</v>
      </c>
      <c r="E169" s="338">
        <f>Gasto_o_ing_per_capita!E169*100/Gasto_o_ing_per_capita!$D169</f>
        <v>0</v>
      </c>
      <c r="F169" s="338">
        <f>Gasto_o_ing_per_capita!F169*100/Gasto_o_ing_per_capita!$D169</f>
        <v>0</v>
      </c>
      <c r="G169" s="338">
        <f>Gasto_o_ing_per_capita!G169*100/Gasto_o_ing_per_capita!$D169</f>
        <v>0</v>
      </c>
      <c r="H169" s="338">
        <f>Gasto_o_ing_per_capita!H169*100/Gasto_o_ing_per_capita!$D169</f>
        <v>0</v>
      </c>
      <c r="I169" s="338">
        <f>Gasto_o_ing_per_capita!I169*100/Gasto_o_ing_per_capita!$D169</f>
        <v>0</v>
      </c>
      <c r="J169" s="338">
        <f>Gasto_o_ing_per_capita!J169*100/Gasto_o_ing_per_capita!$D169</f>
        <v>0</v>
      </c>
      <c r="K169" s="338">
        <f>Gasto_o_ing_per_capita!K169*100/Gasto_o_ing_per_capita!$D169</f>
        <v>0</v>
      </c>
      <c r="L169" s="338">
        <f>Gasto_o_ing_per_capita!L169*100/Gasto_o_ing_per_capita!$D169</f>
        <v>0</v>
      </c>
      <c r="M169" s="338">
        <f>Gasto_o_ing_per_capita!M169*100/Gasto_o_ing_per_capita!$D169</f>
        <v>0</v>
      </c>
      <c r="N169" s="338">
        <f>Gasto_o_ing_per_capita!N169*100/Gasto_o_ing_per_capita!$D169</f>
        <v>0</v>
      </c>
      <c r="O169" s="338">
        <f>Gasto_o_ing_per_capita!O169*100/Gasto_o_ing_per_capita!$D169</f>
        <v>0</v>
      </c>
      <c r="P169" s="338">
        <f>Gasto_o_ing_per_capita!P169*100/Gasto_o_ing_per_capita!$D169</f>
        <v>0</v>
      </c>
      <c r="Q169" s="338">
        <f>Gasto_o_ing_per_capita!Q169*100/Gasto_o_ing_per_capita!$D169</f>
        <v>0</v>
      </c>
      <c r="R169" s="338">
        <f>Gasto_o_ing_per_capita!R169*100/Gasto_o_ing_per_capita!$D169</f>
        <v>0</v>
      </c>
      <c r="S169" s="338">
        <f>Gasto_o_ing_per_capita!S169*100/Gasto_o_ing_per_capita!$D169</f>
        <v>1657.2929370515085</v>
      </c>
      <c r="T169" s="338">
        <f>Gasto_o_ing_per_capita!T169*100/Gasto_o_ing_per_capita!$D169</f>
        <v>1657.2929370515085</v>
      </c>
      <c r="U169" s="338">
        <f>Gasto_o_ing_per_capita!U169*100/Gasto_o_ing_per_capita!$D169</f>
        <v>0</v>
      </c>
      <c r="V169" s="338">
        <f>Gasto_o_ing_per_capita!V169*100/Gasto_o_ing_per_capita!$D169</f>
        <v>0</v>
      </c>
    </row>
    <row r="170" spans="1:22" s="102" customFormat="1" ht="13.15">
      <c r="A170" s="356"/>
      <c r="B170" s="115" t="s">
        <v>1133</v>
      </c>
      <c r="C170" s="339" t="str">
        <f>VLOOKUP(B170,Tot_res!C:D,2,FALSE)</f>
        <v>conservación de carreteras (programa 453C)</v>
      </c>
      <c r="D170" s="338">
        <f>Gasto_o_ing_per_capita!D170*100/Gasto_o_ing_per_capita!$D170</f>
        <v>100</v>
      </c>
      <c r="E170" s="338">
        <f>Gasto_o_ing_per_capita!E170*100/Gasto_o_ing_per_capita!$D170</f>
        <v>0</v>
      </c>
      <c r="F170" s="338">
        <f>Gasto_o_ing_per_capita!F170*100/Gasto_o_ing_per_capita!$D170</f>
        <v>0</v>
      </c>
      <c r="G170" s="338">
        <f>Gasto_o_ing_per_capita!G170*100/Gasto_o_ing_per_capita!$D170</f>
        <v>0</v>
      </c>
      <c r="H170" s="338">
        <f>Gasto_o_ing_per_capita!H170*100/Gasto_o_ing_per_capita!$D170</f>
        <v>0</v>
      </c>
      <c r="I170" s="338">
        <f>Gasto_o_ing_per_capita!I170*100/Gasto_o_ing_per_capita!$D170</f>
        <v>0</v>
      </c>
      <c r="J170" s="338">
        <f>Gasto_o_ing_per_capita!J170*100/Gasto_o_ing_per_capita!$D170</f>
        <v>0</v>
      </c>
      <c r="K170" s="338">
        <f>Gasto_o_ing_per_capita!K170*100/Gasto_o_ing_per_capita!$D170</f>
        <v>0</v>
      </c>
      <c r="L170" s="338">
        <f>Gasto_o_ing_per_capita!L170*100/Gasto_o_ing_per_capita!$D170</f>
        <v>0</v>
      </c>
      <c r="M170" s="338">
        <f>Gasto_o_ing_per_capita!M170*100/Gasto_o_ing_per_capita!$D170</f>
        <v>0</v>
      </c>
      <c r="N170" s="338">
        <f>Gasto_o_ing_per_capita!N170*100/Gasto_o_ing_per_capita!$D170</f>
        <v>0</v>
      </c>
      <c r="O170" s="338">
        <f>Gasto_o_ing_per_capita!O170*100/Gasto_o_ing_per_capita!$D170</f>
        <v>0</v>
      </c>
      <c r="P170" s="338">
        <f>Gasto_o_ing_per_capita!P170*100/Gasto_o_ing_per_capita!$D170</f>
        <v>0</v>
      </c>
      <c r="Q170" s="338">
        <f>Gasto_o_ing_per_capita!Q170*100/Gasto_o_ing_per_capita!$D170</f>
        <v>0</v>
      </c>
      <c r="R170" s="338">
        <f>Gasto_o_ing_per_capita!R170*100/Gasto_o_ing_per_capita!$D170</f>
        <v>0</v>
      </c>
      <c r="S170" s="338">
        <f>Gasto_o_ing_per_capita!S170*100/Gasto_o_ing_per_capita!$D170</f>
        <v>1657.2929370515085</v>
      </c>
      <c r="T170" s="338">
        <f>Gasto_o_ing_per_capita!T170*100/Gasto_o_ing_per_capita!$D170</f>
        <v>1657.2929370515085</v>
      </c>
      <c r="U170" s="338">
        <f>Gasto_o_ing_per_capita!U170*100/Gasto_o_ing_per_capita!$D170</f>
        <v>0</v>
      </c>
      <c r="V170" s="338">
        <f>Gasto_o_ing_per_capita!V170*100/Gasto_o_ing_per_capita!$D170</f>
        <v>0</v>
      </c>
    </row>
    <row r="171" spans="1:22" s="102" customFormat="1" ht="13.15">
      <c r="A171" s="356"/>
      <c r="B171" s="115" t="s">
        <v>1134</v>
      </c>
      <c r="C171" s="339" t="str">
        <f>VLOOKUP(B171,Tot_res!C:D,2,FALSE)</f>
        <v>"Normalización" lingüística (programa CS06)</v>
      </c>
      <c r="D171" s="338">
        <f>Gasto_o_ing_per_capita!D171*100/Gasto_o_ing_per_capita!$D171</f>
        <v>100</v>
      </c>
      <c r="E171" s="338">
        <f>Gasto_o_ing_per_capita!E171*100/Gasto_o_ing_per_capita!$D171</f>
        <v>0</v>
      </c>
      <c r="F171" s="338">
        <f>Gasto_o_ing_per_capita!F171*100/Gasto_o_ing_per_capita!$D171</f>
        <v>0</v>
      </c>
      <c r="G171" s="338">
        <f>Gasto_o_ing_per_capita!G171*100/Gasto_o_ing_per_capita!$D171</f>
        <v>0</v>
      </c>
      <c r="H171" s="338">
        <f>Gasto_o_ing_per_capita!H171*100/Gasto_o_ing_per_capita!$D171</f>
        <v>0</v>
      </c>
      <c r="I171" s="338">
        <f>Gasto_o_ing_per_capita!I171*100/Gasto_o_ing_per_capita!$D171</f>
        <v>0</v>
      </c>
      <c r="J171" s="338">
        <f>Gasto_o_ing_per_capita!J171*100/Gasto_o_ing_per_capita!$D171</f>
        <v>0</v>
      </c>
      <c r="K171" s="338">
        <f>Gasto_o_ing_per_capita!K171*100/Gasto_o_ing_per_capita!$D171</f>
        <v>0</v>
      </c>
      <c r="L171" s="338">
        <f>Gasto_o_ing_per_capita!L171*100/Gasto_o_ing_per_capita!$D171</f>
        <v>0</v>
      </c>
      <c r="M171" s="338">
        <f>Gasto_o_ing_per_capita!M171*100/Gasto_o_ing_per_capita!$D171</f>
        <v>0</v>
      </c>
      <c r="N171" s="338">
        <f>Gasto_o_ing_per_capita!N171*100/Gasto_o_ing_per_capita!$D171</f>
        <v>0</v>
      </c>
      <c r="O171" s="338">
        <f>Gasto_o_ing_per_capita!O171*100/Gasto_o_ing_per_capita!$D171</f>
        <v>0</v>
      </c>
      <c r="P171" s="338">
        <f>Gasto_o_ing_per_capita!P171*100/Gasto_o_ing_per_capita!$D171</f>
        <v>0</v>
      </c>
      <c r="Q171" s="338">
        <f>Gasto_o_ing_per_capita!Q171*100/Gasto_o_ing_per_capita!$D171</f>
        <v>0</v>
      </c>
      <c r="R171" s="338">
        <f>Gasto_o_ing_per_capita!R171*100/Gasto_o_ing_per_capita!$D171</f>
        <v>0</v>
      </c>
      <c r="S171" s="338">
        <f>Gasto_o_ing_per_capita!S171*100/Gasto_o_ing_per_capita!$D171</f>
        <v>1657.2929370515085</v>
      </c>
      <c r="T171" s="338">
        <f>Gasto_o_ing_per_capita!T171*100/Gasto_o_ing_per_capita!$D171</f>
        <v>1657.2929370515085</v>
      </c>
      <c r="U171" s="338">
        <f>Gasto_o_ing_per_capita!U171*100/Gasto_o_ing_per_capita!$D171</f>
        <v>0</v>
      </c>
      <c r="V171" s="338">
        <f>Gasto_o_ing_per_capita!V171*100/Gasto_o_ing_per_capita!$D171</f>
        <v>0</v>
      </c>
    </row>
    <row r="172" spans="1:22" s="102" customFormat="1" ht="13.15">
      <c r="A172" s="356"/>
      <c r="B172" s="115" t="s">
        <v>1135</v>
      </c>
      <c r="C172" s="339" t="str">
        <f>VLOOKUP(B172,Tot_res!C:D,2,FALSE)</f>
        <v>medio ambiente</v>
      </c>
      <c r="D172" s="338">
        <f>Gasto_o_ing_per_capita!D172*100/Gasto_o_ing_per_capita!$D172</f>
        <v>100</v>
      </c>
      <c r="E172" s="338">
        <f>Gasto_o_ing_per_capita!E172*100/Gasto_o_ing_per_capita!$D172</f>
        <v>0</v>
      </c>
      <c r="F172" s="338">
        <f>Gasto_o_ing_per_capita!F172*100/Gasto_o_ing_per_capita!$D172</f>
        <v>0</v>
      </c>
      <c r="G172" s="338">
        <f>Gasto_o_ing_per_capita!G172*100/Gasto_o_ing_per_capita!$D172</f>
        <v>0</v>
      </c>
      <c r="H172" s="338">
        <f>Gasto_o_ing_per_capita!H172*100/Gasto_o_ing_per_capita!$D172</f>
        <v>0</v>
      </c>
      <c r="I172" s="338">
        <f>Gasto_o_ing_per_capita!I172*100/Gasto_o_ing_per_capita!$D172</f>
        <v>0</v>
      </c>
      <c r="J172" s="338">
        <f>Gasto_o_ing_per_capita!J172*100/Gasto_o_ing_per_capita!$D172</f>
        <v>0</v>
      </c>
      <c r="K172" s="338">
        <f>Gasto_o_ing_per_capita!K172*100/Gasto_o_ing_per_capita!$D172</f>
        <v>0</v>
      </c>
      <c r="L172" s="338">
        <f>Gasto_o_ing_per_capita!L172*100/Gasto_o_ing_per_capita!$D172</f>
        <v>0</v>
      </c>
      <c r="M172" s="338">
        <f>Gasto_o_ing_per_capita!M172*100/Gasto_o_ing_per_capita!$D172</f>
        <v>0</v>
      </c>
      <c r="N172" s="338">
        <f>Gasto_o_ing_per_capita!N172*100/Gasto_o_ing_per_capita!$D172</f>
        <v>0</v>
      </c>
      <c r="O172" s="338">
        <f>Gasto_o_ing_per_capita!O172*100/Gasto_o_ing_per_capita!$D172</f>
        <v>0</v>
      </c>
      <c r="P172" s="338">
        <f>Gasto_o_ing_per_capita!P172*100/Gasto_o_ing_per_capita!$D172</f>
        <v>0</v>
      </c>
      <c r="Q172" s="338">
        <f>Gasto_o_ing_per_capita!Q172*100/Gasto_o_ing_per_capita!$D172</f>
        <v>0</v>
      </c>
      <c r="R172" s="338">
        <f>Gasto_o_ing_per_capita!R172*100/Gasto_o_ing_per_capita!$D172</f>
        <v>0</v>
      </c>
      <c r="S172" s="338">
        <f>Gasto_o_ing_per_capita!S172*100/Gasto_o_ing_per_capita!$D172</f>
        <v>933.30782328205873</v>
      </c>
      <c r="T172" s="338">
        <f>Gasto_o_ing_per_capita!T172*100/Gasto_o_ing_per_capita!$D172</f>
        <v>1869.7067487425404</v>
      </c>
      <c r="U172" s="338">
        <f>Gasto_o_ing_per_capita!U172*100/Gasto_o_ing_per_capita!$D172</f>
        <v>0</v>
      </c>
      <c r="V172" s="338">
        <f>Gasto_o_ing_per_capita!V172*100/Gasto_o_ing_per_capita!$D172</f>
        <v>0</v>
      </c>
    </row>
    <row r="173" spans="1:22" s="102" customFormat="1" ht="13.15">
      <c r="A173" s="356"/>
      <c r="B173" s="115" t="s">
        <v>1147</v>
      </c>
      <c r="C173" s="339" t="e">
        <f>VLOOKUP(B173,Tot_res!C:D,2,FALSE)</f>
        <v>#N/A</v>
      </c>
      <c r="D173" s="338" t="e">
        <f>Gasto_o_ing_per_capita!D173*100/Gasto_o_ing_per_capita!$D173</f>
        <v>#DIV/0!</v>
      </c>
      <c r="E173" s="338" t="e">
        <f>Gasto_o_ing_per_capita!E173*100/Gasto_o_ing_per_capita!$D173</f>
        <v>#VALUE!</v>
      </c>
      <c r="F173" s="338" t="e">
        <f>Gasto_o_ing_per_capita!F173*100/Gasto_o_ing_per_capita!$D173</f>
        <v>#VALUE!</v>
      </c>
      <c r="G173" s="338" t="e">
        <f>Gasto_o_ing_per_capita!G173*100/Gasto_o_ing_per_capita!$D173</f>
        <v>#VALUE!</v>
      </c>
      <c r="H173" s="338" t="e">
        <f>Gasto_o_ing_per_capita!H173*100/Gasto_o_ing_per_capita!$D173</f>
        <v>#VALUE!</v>
      </c>
      <c r="I173" s="338" t="e">
        <f>Gasto_o_ing_per_capita!I173*100/Gasto_o_ing_per_capita!$D173</f>
        <v>#VALUE!</v>
      </c>
      <c r="J173" s="338" t="e">
        <f>Gasto_o_ing_per_capita!J173*100/Gasto_o_ing_per_capita!$D173</f>
        <v>#VALUE!</v>
      </c>
      <c r="K173" s="338" t="e">
        <f>Gasto_o_ing_per_capita!K173*100/Gasto_o_ing_per_capita!$D173</f>
        <v>#VALUE!</v>
      </c>
      <c r="L173" s="338" t="e">
        <f>Gasto_o_ing_per_capita!L173*100/Gasto_o_ing_per_capita!$D173</f>
        <v>#VALUE!</v>
      </c>
      <c r="M173" s="338" t="e">
        <f>Gasto_o_ing_per_capita!M173*100/Gasto_o_ing_per_capita!$D173</f>
        <v>#VALUE!</v>
      </c>
      <c r="N173" s="338" t="e">
        <f>Gasto_o_ing_per_capita!N173*100/Gasto_o_ing_per_capita!$D173</f>
        <v>#VALUE!</v>
      </c>
      <c r="O173" s="338" t="e">
        <f>Gasto_o_ing_per_capita!O173*100/Gasto_o_ing_per_capita!$D173</f>
        <v>#VALUE!</v>
      </c>
      <c r="P173" s="338" t="e">
        <f>Gasto_o_ing_per_capita!P173*100/Gasto_o_ing_per_capita!$D173</f>
        <v>#VALUE!</v>
      </c>
      <c r="Q173" s="338" t="e">
        <f>Gasto_o_ing_per_capita!Q173*100/Gasto_o_ing_per_capita!$D173</f>
        <v>#VALUE!</v>
      </c>
      <c r="R173" s="338" t="e">
        <f>Gasto_o_ing_per_capita!R173*100/Gasto_o_ing_per_capita!$D173</f>
        <v>#VALUE!</v>
      </c>
      <c r="S173" s="338" t="e">
        <f>Gasto_o_ing_per_capita!S173*100/Gasto_o_ing_per_capita!$D173</f>
        <v>#VALUE!</v>
      </c>
      <c r="T173" s="338" t="e">
        <f>Gasto_o_ing_per_capita!T173*100/Gasto_o_ing_per_capita!$D173</f>
        <v>#VALUE!</v>
      </c>
      <c r="U173" s="338" t="e">
        <f>Gasto_o_ing_per_capita!U173*100/Gasto_o_ing_per_capita!$D173</f>
        <v>#VALUE!</v>
      </c>
      <c r="V173" s="338" t="e">
        <f>Gasto_o_ing_per_capita!V173*100/Gasto_o_ing_per_capita!$D173</f>
        <v>#VALUE!</v>
      </c>
    </row>
    <row r="174" spans="1:22" s="102" customFormat="1" ht="13.15">
      <c r="A174" s="356"/>
      <c r="B174" s="115" t="s">
        <v>1136</v>
      </c>
      <c r="C174" s="339" t="str">
        <f>VLOOKUP(B174,Tot_res!C:D,2,FALSE)</f>
        <v>sanidad y consumo</v>
      </c>
      <c r="D174" s="338">
        <f>Gasto_o_ing_per_capita!D174*100/Gasto_o_ing_per_capita!$D174</f>
        <v>100</v>
      </c>
      <c r="E174" s="338">
        <f>Gasto_o_ing_per_capita!E174*100/Gasto_o_ing_per_capita!$D174</f>
        <v>0</v>
      </c>
      <c r="F174" s="338">
        <f>Gasto_o_ing_per_capita!F174*100/Gasto_o_ing_per_capita!$D174</f>
        <v>0</v>
      </c>
      <c r="G174" s="338">
        <f>Gasto_o_ing_per_capita!G174*100/Gasto_o_ing_per_capita!$D174</f>
        <v>0</v>
      </c>
      <c r="H174" s="338">
        <f>Gasto_o_ing_per_capita!H174*100/Gasto_o_ing_per_capita!$D174</f>
        <v>0</v>
      </c>
      <c r="I174" s="338">
        <f>Gasto_o_ing_per_capita!I174*100/Gasto_o_ing_per_capita!$D174</f>
        <v>0</v>
      </c>
      <c r="J174" s="338">
        <f>Gasto_o_ing_per_capita!J174*100/Gasto_o_ing_per_capita!$D174</f>
        <v>0</v>
      </c>
      <c r="K174" s="338">
        <f>Gasto_o_ing_per_capita!K174*100/Gasto_o_ing_per_capita!$D174</f>
        <v>0</v>
      </c>
      <c r="L174" s="338">
        <f>Gasto_o_ing_per_capita!L174*100/Gasto_o_ing_per_capita!$D174</f>
        <v>0</v>
      </c>
      <c r="M174" s="338">
        <f>Gasto_o_ing_per_capita!M174*100/Gasto_o_ing_per_capita!$D174</f>
        <v>0</v>
      </c>
      <c r="N174" s="338">
        <f>Gasto_o_ing_per_capita!N174*100/Gasto_o_ing_per_capita!$D174</f>
        <v>0</v>
      </c>
      <c r="O174" s="338">
        <f>Gasto_o_ing_per_capita!O174*100/Gasto_o_ing_per_capita!$D174</f>
        <v>0</v>
      </c>
      <c r="P174" s="338">
        <f>Gasto_o_ing_per_capita!P174*100/Gasto_o_ing_per_capita!$D174</f>
        <v>0</v>
      </c>
      <c r="Q174" s="338">
        <f>Gasto_o_ing_per_capita!Q174*100/Gasto_o_ing_per_capita!$D174</f>
        <v>0</v>
      </c>
      <c r="R174" s="338">
        <f>Gasto_o_ing_per_capita!R174*100/Gasto_o_ing_per_capita!$D174</f>
        <v>0</v>
      </c>
      <c r="S174" s="338">
        <f>Gasto_o_ing_per_capita!S174*100/Gasto_o_ing_per_capita!$D174</f>
        <v>1738.1408043483805</v>
      </c>
      <c r="T174" s="338">
        <f>Gasto_o_ing_per_capita!T174*100/Gasto_o_ing_per_capita!$D174</f>
        <v>1633.5725547770624</v>
      </c>
      <c r="U174" s="338">
        <f>Gasto_o_ing_per_capita!U174*100/Gasto_o_ing_per_capita!$D174</f>
        <v>0</v>
      </c>
      <c r="V174" s="338">
        <f>Gasto_o_ing_per_capita!V174*100/Gasto_o_ing_per_capita!$D174</f>
        <v>0</v>
      </c>
    </row>
    <row r="175" spans="1:22" s="102" customFormat="1" ht="13.15">
      <c r="A175" s="356"/>
      <c r="B175" s="115" t="s">
        <v>1137</v>
      </c>
      <c r="C175" s="339" t="str">
        <f>VLOOKUP(B175,Tot_res!C:D,2,FALSE)</f>
        <v>Educación y formación</v>
      </c>
      <c r="D175" s="338">
        <f>Gasto_o_ing_per_capita!D175*100/Gasto_o_ing_per_capita!$D175</f>
        <v>99.999999999999986</v>
      </c>
      <c r="E175" s="338">
        <f>Gasto_o_ing_per_capita!E175*100/Gasto_o_ing_per_capita!$D175</f>
        <v>0</v>
      </c>
      <c r="F175" s="338">
        <f>Gasto_o_ing_per_capita!F175*100/Gasto_o_ing_per_capita!$D175</f>
        <v>0</v>
      </c>
      <c r="G175" s="338">
        <f>Gasto_o_ing_per_capita!G175*100/Gasto_o_ing_per_capita!$D175</f>
        <v>0</v>
      </c>
      <c r="H175" s="338">
        <f>Gasto_o_ing_per_capita!H175*100/Gasto_o_ing_per_capita!$D175</f>
        <v>0</v>
      </c>
      <c r="I175" s="338">
        <f>Gasto_o_ing_per_capita!I175*100/Gasto_o_ing_per_capita!$D175</f>
        <v>0</v>
      </c>
      <c r="J175" s="338">
        <f>Gasto_o_ing_per_capita!J175*100/Gasto_o_ing_per_capita!$D175</f>
        <v>0</v>
      </c>
      <c r="K175" s="338">
        <f>Gasto_o_ing_per_capita!K175*100/Gasto_o_ing_per_capita!$D175</f>
        <v>0</v>
      </c>
      <c r="L175" s="338">
        <f>Gasto_o_ing_per_capita!L175*100/Gasto_o_ing_per_capita!$D175</f>
        <v>0</v>
      </c>
      <c r="M175" s="338">
        <f>Gasto_o_ing_per_capita!M175*100/Gasto_o_ing_per_capita!$D175</f>
        <v>0</v>
      </c>
      <c r="N175" s="338">
        <f>Gasto_o_ing_per_capita!N175*100/Gasto_o_ing_per_capita!$D175</f>
        <v>0</v>
      </c>
      <c r="O175" s="338">
        <f>Gasto_o_ing_per_capita!O175*100/Gasto_o_ing_per_capita!$D175</f>
        <v>0</v>
      </c>
      <c r="P175" s="338">
        <f>Gasto_o_ing_per_capita!P175*100/Gasto_o_ing_per_capita!$D175</f>
        <v>0</v>
      </c>
      <c r="Q175" s="338">
        <f>Gasto_o_ing_per_capita!Q175*100/Gasto_o_ing_per_capita!$D175</f>
        <v>0</v>
      </c>
      <c r="R175" s="338">
        <f>Gasto_o_ing_per_capita!R175*100/Gasto_o_ing_per_capita!$D175</f>
        <v>0</v>
      </c>
      <c r="S175" s="338">
        <f>Gasto_o_ing_per_capita!S175*100/Gasto_o_ing_per_capita!$D175</f>
        <v>1499.3560630705636</v>
      </c>
      <c r="T175" s="338">
        <f>Gasto_o_ing_per_capita!T175*100/Gasto_o_ing_per_capita!$D175</f>
        <v>1703.6308696564902</v>
      </c>
      <c r="U175" s="338">
        <f>Gasto_o_ing_per_capita!U175*100/Gasto_o_ing_per_capita!$D175</f>
        <v>0</v>
      </c>
      <c r="V175" s="338">
        <f>Gasto_o_ing_per_capita!V175*100/Gasto_o_ing_per_capita!$D175</f>
        <v>0</v>
      </c>
    </row>
    <row r="176" spans="1:22" s="102" customFormat="1" ht="13.15">
      <c r="A176" s="356"/>
      <c r="B176" s="115" t="s">
        <v>1138</v>
      </c>
      <c r="C176" s="339" t="str">
        <f>VLOOKUP(B176,Tot_res!C:D,2,FALSE)</f>
        <v>Administración de Justicia</v>
      </c>
      <c r="D176" s="338">
        <f>Gasto_o_ing_per_capita!D176*100/Gasto_o_ing_per_capita!$D176</f>
        <v>100</v>
      </c>
      <c r="E176" s="338">
        <f>Gasto_o_ing_per_capita!E176*100/Gasto_o_ing_per_capita!$D176</f>
        <v>0</v>
      </c>
      <c r="F176" s="338">
        <f>Gasto_o_ing_per_capita!F176*100/Gasto_o_ing_per_capita!$D176</f>
        <v>0</v>
      </c>
      <c r="G176" s="338">
        <f>Gasto_o_ing_per_capita!G176*100/Gasto_o_ing_per_capita!$D176</f>
        <v>0</v>
      </c>
      <c r="H176" s="338">
        <f>Gasto_o_ing_per_capita!H176*100/Gasto_o_ing_per_capita!$D176</f>
        <v>0</v>
      </c>
      <c r="I176" s="338">
        <f>Gasto_o_ing_per_capita!I176*100/Gasto_o_ing_per_capita!$D176</f>
        <v>0</v>
      </c>
      <c r="J176" s="338">
        <f>Gasto_o_ing_per_capita!J176*100/Gasto_o_ing_per_capita!$D176</f>
        <v>0</v>
      </c>
      <c r="K176" s="338">
        <f>Gasto_o_ing_per_capita!K176*100/Gasto_o_ing_per_capita!$D176</f>
        <v>0</v>
      </c>
      <c r="L176" s="338">
        <f>Gasto_o_ing_per_capita!L176*100/Gasto_o_ing_per_capita!$D176</f>
        <v>0</v>
      </c>
      <c r="M176" s="338">
        <f>Gasto_o_ing_per_capita!M176*100/Gasto_o_ing_per_capita!$D176</f>
        <v>0</v>
      </c>
      <c r="N176" s="338">
        <f>Gasto_o_ing_per_capita!N176*100/Gasto_o_ing_per_capita!$D176</f>
        <v>0</v>
      </c>
      <c r="O176" s="338">
        <f>Gasto_o_ing_per_capita!O176*100/Gasto_o_ing_per_capita!$D176</f>
        <v>0</v>
      </c>
      <c r="P176" s="338">
        <f>Gasto_o_ing_per_capita!P176*100/Gasto_o_ing_per_capita!$D176</f>
        <v>0</v>
      </c>
      <c r="Q176" s="338">
        <f>Gasto_o_ing_per_capita!Q176*100/Gasto_o_ing_per_capita!$D176</f>
        <v>0</v>
      </c>
      <c r="R176" s="338">
        <f>Gasto_o_ing_per_capita!R176*100/Gasto_o_ing_per_capita!$D176</f>
        <v>0</v>
      </c>
      <c r="S176" s="338">
        <f>Gasto_o_ing_per_capita!S176*100/Gasto_o_ing_per_capita!$D176</f>
        <v>1659.8522747985617</v>
      </c>
      <c r="T176" s="338">
        <f>Gasto_o_ing_per_capita!T176*100/Gasto_o_ing_per_capita!$D176</f>
        <v>1656.542039448896</v>
      </c>
      <c r="U176" s="338">
        <f>Gasto_o_ing_per_capita!U176*100/Gasto_o_ing_per_capita!$D176</f>
        <v>0</v>
      </c>
      <c r="V176" s="338">
        <f>Gasto_o_ing_per_capita!V176*100/Gasto_o_ing_per_capita!$D176</f>
        <v>0</v>
      </c>
    </row>
    <row r="177" spans="1:22" s="102" customFormat="1" ht="13.15">
      <c r="A177" s="356"/>
      <c r="B177" s="115" t="s">
        <v>1139</v>
      </c>
      <c r="C177" s="339" t="str">
        <f>VLOOKUP(B177,Tot_res!C:D,2,FALSE)</f>
        <v>Seguridad Ciudadana y Vial</v>
      </c>
      <c r="D177" s="338">
        <f>Gasto_o_ing_per_capita!D177*100/Gasto_o_ing_per_capita!$D177</f>
        <v>100</v>
      </c>
      <c r="E177" s="338">
        <f>Gasto_o_ing_per_capita!E177*100/Gasto_o_ing_per_capita!$D177</f>
        <v>0</v>
      </c>
      <c r="F177" s="338">
        <f>Gasto_o_ing_per_capita!F177*100/Gasto_o_ing_per_capita!$D177</f>
        <v>0</v>
      </c>
      <c r="G177" s="338">
        <f>Gasto_o_ing_per_capita!G177*100/Gasto_o_ing_per_capita!$D177</f>
        <v>0</v>
      </c>
      <c r="H177" s="338">
        <f>Gasto_o_ing_per_capita!H177*100/Gasto_o_ing_per_capita!$D177</f>
        <v>0</v>
      </c>
      <c r="I177" s="338">
        <f>Gasto_o_ing_per_capita!I177*100/Gasto_o_ing_per_capita!$D177</f>
        <v>0</v>
      </c>
      <c r="J177" s="338">
        <f>Gasto_o_ing_per_capita!J177*100/Gasto_o_ing_per_capita!$D177</f>
        <v>0</v>
      </c>
      <c r="K177" s="338">
        <f>Gasto_o_ing_per_capita!K177*100/Gasto_o_ing_per_capita!$D177</f>
        <v>0</v>
      </c>
      <c r="L177" s="338">
        <f>Gasto_o_ing_per_capita!L177*100/Gasto_o_ing_per_capita!$D177</f>
        <v>0</v>
      </c>
      <c r="M177" s="338">
        <f>Gasto_o_ing_per_capita!M177*100/Gasto_o_ing_per_capita!$D177</f>
        <v>0</v>
      </c>
      <c r="N177" s="338">
        <f>Gasto_o_ing_per_capita!N177*100/Gasto_o_ing_per_capita!$D177</f>
        <v>0</v>
      </c>
      <c r="O177" s="338">
        <f>Gasto_o_ing_per_capita!O177*100/Gasto_o_ing_per_capita!$D177</f>
        <v>0</v>
      </c>
      <c r="P177" s="338">
        <f>Gasto_o_ing_per_capita!P177*100/Gasto_o_ing_per_capita!$D177</f>
        <v>0</v>
      </c>
      <c r="Q177" s="338">
        <f>Gasto_o_ing_per_capita!Q177*100/Gasto_o_ing_per_capita!$D177</f>
        <v>0</v>
      </c>
      <c r="R177" s="338">
        <f>Gasto_o_ing_per_capita!R177*100/Gasto_o_ing_per_capita!$D177</f>
        <v>0</v>
      </c>
      <c r="S177" s="338">
        <f>Gasto_o_ing_per_capita!S177*100/Gasto_o_ing_per_capita!$D177</f>
        <v>876.04787012037013</v>
      </c>
      <c r="T177" s="338">
        <f>Gasto_o_ing_per_capita!T177*100/Gasto_o_ing_per_capita!$D177</f>
        <v>1886.5065484580325</v>
      </c>
      <c r="U177" s="338">
        <f>Gasto_o_ing_per_capita!U177*100/Gasto_o_ing_per_capita!$D177</f>
        <v>0</v>
      </c>
      <c r="V177" s="338">
        <f>Gasto_o_ing_per_capita!V177*100/Gasto_o_ing_per_capita!$D177</f>
        <v>0</v>
      </c>
    </row>
    <row r="178" spans="1:22" s="102" customFormat="1" ht="13.15">
      <c r="A178" s="356"/>
      <c r="B178" s="115" t="s">
        <v>1140</v>
      </c>
      <c r="C178" s="339" t="str">
        <f>VLOOKUP(B178,Tot_res!C:D,2,FALSE)</f>
        <v>Ayudas a la vivienda</v>
      </c>
      <c r="D178" s="338">
        <f>Gasto_o_ing_per_capita!D178*100/Gasto_o_ing_per_capita!$D178</f>
        <v>100</v>
      </c>
      <c r="E178" s="338">
        <f>Gasto_o_ing_per_capita!E178*100/Gasto_o_ing_per_capita!$D178</f>
        <v>0</v>
      </c>
      <c r="F178" s="338">
        <f>Gasto_o_ing_per_capita!F178*100/Gasto_o_ing_per_capita!$D178</f>
        <v>0</v>
      </c>
      <c r="G178" s="338">
        <f>Gasto_o_ing_per_capita!G178*100/Gasto_o_ing_per_capita!$D178</f>
        <v>0</v>
      </c>
      <c r="H178" s="338">
        <f>Gasto_o_ing_per_capita!H178*100/Gasto_o_ing_per_capita!$D178</f>
        <v>0</v>
      </c>
      <c r="I178" s="338">
        <f>Gasto_o_ing_per_capita!I178*100/Gasto_o_ing_per_capita!$D178</f>
        <v>0</v>
      </c>
      <c r="J178" s="338">
        <f>Gasto_o_ing_per_capita!J178*100/Gasto_o_ing_per_capita!$D178</f>
        <v>0</v>
      </c>
      <c r="K178" s="338">
        <f>Gasto_o_ing_per_capita!K178*100/Gasto_o_ing_per_capita!$D178</f>
        <v>0</v>
      </c>
      <c r="L178" s="338">
        <f>Gasto_o_ing_per_capita!L178*100/Gasto_o_ing_per_capita!$D178</f>
        <v>0</v>
      </c>
      <c r="M178" s="338">
        <f>Gasto_o_ing_per_capita!M178*100/Gasto_o_ing_per_capita!$D178</f>
        <v>0</v>
      </c>
      <c r="N178" s="338">
        <f>Gasto_o_ing_per_capita!N178*100/Gasto_o_ing_per_capita!$D178</f>
        <v>0</v>
      </c>
      <c r="O178" s="338">
        <f>Gasto_o_ing_per_capita!O178*100/Gasto_o_ing_per_capita!$D178</f>
        <v>0</v>
      </c>
      <c r="P178" s="338">
        <f>Gasto_o_ing_per_capita!P178*100/Gasto_o_ing_per_capita!$D178</f>
        <v>0</v>
      </c>
      <c r="Q178" s="338">
        <f>Gasto_o_ing_per_capita!Q178*100/Gasto_o_ing_per_capita!$D178</f>
        <v>0</v>
      </c>
      <c r="R178" s="338">
        <f>Gasto_o_ing_per_capita!R178*100/Gasto_o_ing_per_capita!$D178</f>
        <v>0</v>
      </c>
      <c r="S178" s="338">
        <f>Gasto_o_ing_per_capita!S178*100/Gasto_o_ing_per_capita!$D178</f>
        <v>1432.3797194787635</v>
      </c>
      <c r="T178" s="338">
        <f>Gasto_o_ing_per_capita!T178*100/Gasto_o_ing_per_capita!$D178</f>
        <v>1723.28141241612</v>
      </c>
      <c r="U178" s="338">
        <f>Gasto_o_ing_per_capita!U178*100/Gasto_o_ing_per_capita!$D178</f>
        <v>0</v>
      </c>
      <c r="V178" s="338">
        <f>Gasto_o_ing_per_capita!V178*100/Gasto_o_ing_per_capita!$D178</f>
        <v>0</v>
      </c>
    </row>
    <row r="179" spans="1:22" s="102" customFormat="1" ht="13.15">
      <c r="A179" s="356"/>
      <c r="B179" s="115" t="s">
        <v>1141</v>
      </c>
      <c r="C179" s="339" t="str">
        <f>VLOOKUP(B179,Tot_res!C:D,2,FALSE)</f>
        <v>ajuste forales, ayudas al transporte colectivo urbano</v>
      </c>
      <c r="D179" s="338">
        <f>Gasto_o_ing_per_capita!D179*100/Gasto_o_ing_per_capita!$D179</f>
        <v>100</v>
      </c>
      <c r="E179" s="338">
        <f>Gasto_o_ing_per_capita!E179*100/Gasto_o_ing_per_capita!$D179</f>
        <v>0</v>
      </c>
      <c r="F179" s="338">
        <f>Gasto_o_ing_per_capita!F179*100/Gasto_o_ing_per_capita!$D179</f>
        <v>0</v>
      </c>
      <c r="G179" s="338">
        <f>Gasto_o_ing_per_capita!G179*100/Gasto_o_ing_per_capita!$D179</f>
        <v>0</v>
      </c>
      <c r="H179" s="338">
        <f>Gasto_o_ing_per_capita!H179*100/Gasto_o_ing_per_capita!$D179</f>
        <v>0</v>
      </c>
      <c r="I179" s="338">
        <f>Gasto_o_ing_per_capita!I179*100/Gasto_o_ing_per_capita!$D179</f>
        <v>0</v>
      </c>
      <c r="J179" s="338">
        <f>Gasto_o_ing_per_capita!J179*100/Gasto_o_ing_per_capita!$D179</f>
        <v>0</v>
      </c>
      <c r="K179" s="338">
        <f>Gasto_o_ing_per_capita!K179*100/Gasto_o_ing_per_capita!$D179</f>
        <v>0</v>
      </c>
      <c r="L179" s="338">
        <f>Gasto_o_ing_per_capita!L179*100/Gasto_o_ing_per_capita!$D179</f>
        <v>0</v>
      </c>
      <c r="M179" s="338">
        <f>Gasto_o_ing_per_capita!M179*100/Gasto_o_ing_per_capita!$D179</f>
        <v>0</v>
      </c>
      <c r="N179" s="338">
        <f>Gasto_o_ing_per_capita!N179*100/Gasto_o_ing_per_capita!$D179</f>
        <v>0</v>
      </c>
      <c r="O179" s="338">
        <f>Gasto_o_ing_per_capita!O179*100/Gasto_o_ing_per_capita!$D179</f>
        <v>0</v>
      </c>
      <c r="P179" s="338">
        <f>Gasto_o_ing_per_capita!P179*100/Gasto_o_ing_per_capita!$D179</f>
        <v>0</v>
      </c>
      <c r="Q179" s="338">
        <f>Gasto_o_ing_per_capita!Q179*100/Gasto_o_ing_per_capita!$D179</f>
        <v>0</v>
      </c>
      <c r="R179" s="338">
        <f>Gasto_o_ing_per_capita!R179*100/Gasto_o_ing_per_capita!$D179</f>
        <v>0</v>
      </c>
      <c r="S179" s="338">
        <f>Gasto_o_ing_per_capita!S179*100/Gasto_o_ing_per_capita!$D179</f>
        <v>1659.5291694165758</v>
      </c>
      <c r="T179" s="338">
        <f>Gasto_o_ing_per_capita!T179*100/Gasto_o_ing_per_capita!$D179</f>
        <v>1656.6368370413604</v>
      </c>
      <c r="U179" s="338">
        <f>Gasto_o_ing_per_capita!U179*100/Gasto_o_ing_per_capita!$D179</f>
        <v>0</v>
      </c>
      <c r="V179" s="338">
        <f>Gasto_o_ing_per_capita!V179*100/Gasto_o_ing_per_capita!$D179</f>
        <v>0</v>
      </c>
    </row>
    <row r="180" spans="1:22" s="102" customFormat="1" ht="13.15">
      <c r="A180" s="356"/>
      <c r="B180" s="115" t="s">
        <v>1142</v>
      </c>
      <c r="C180" s="339" t="str">
        <f>VLOOKUP(B180,Tot_res!C:D,2,FALSE)</f>
        <v>Conservación patrimonio artístico y cultural</v>
      </c>
      <c r="D180" s="338">
        <f>Gasto_o_ing_per_capita!D180*100/Gasto_o_ing_per_capita!$D180</f>
        <v>100</v>
      </c>
      <c r="E180" s="338">
        <f>Gasto_o_ing_per_capita!E180*100/Gasto_o_ing_per_capita!$D180</f>
        <v>0</v>
      </c>
      <c r="F180" s="338">
        <f>Gasto_o_ing_per_capita!F180*100/Gasto_o_ing_per_capita!$D180</f>
        <v>0</v>
      </c>
      <c r="G180" s="338">
        <f>Gasto_o_ing_per_capita!G180*100/Gasto_o_ing_per_capita!$D180</f>
        <v>0</v>
      </c>
      <c r="H180" s="338">
        <f>Gasto_o_ing_per_capita!H180*100/Gasto_o_ing_per_capita!$D180</f>
        <v>0</v>
      </c>
      <c r="I180" s="338">
        <f>Gasto_o_ing_per_capita!I180*100/Gasto_o_ing_per_capita!$D180</f>
        <v>0</v>
      </c>
      <c r="J180" s="338">
        <f>Gasto_o_ing_per_capita!J180*100/Gasto_o_ing_per_capita!$D180</f>
        <v>0</v>
      </c>
      <c r="K180" s="338">
        <f>Gasto_o_ing_per_capita!K180*100/Gasto_o_ing_per_capita!$D180</f>
        <v>0</v>
      </c>
      <c r="L180" s="338">
        <f>Gasto_o_ing_per_capita!L180*100/Gasto_o_ing_per_capita!$D180</f>
        <v>0</v>
      </c>
      <c r="M180" s="338">
        <f>Gasto_o_ing_per_capita!M180*100/Gasto_o_ing_per_capita!$D180</f>
        <v>0</v>
      </c>
      <c r="N180" s="338">
        <f>Gasto_o_ing_per_capita!N180*100/Gasto_o_ing_per_capita!$D180</f>
        <v>0</v>
      </c>
      <c r="O180" s="338">
        <f>Gasto_o_ing_per_capita!O180*100/Gasto_o_ing_per_capita!$D180</f>
        <v>0</v>
      </c>
      <c r="P180" s="338">
        <f>Gasto_o_ing_per_capita!P180*100/Gasto_o_ing_per_capita!$D180</f>
        <v>0</v>
      </c>
      <c r="Q180" s="338">
        <f>Gasto_o_ing_per_capita!Q180*100/Gasto_o_ing_per_capita!$D180</f>
        <v>0</v>
      </c>
      <c r="R180" s="338">
        <f>Gasto_o_ing_per_capita!R180*100/Gasto_o_ing_per_capita!$D180</f>
        <v>0</v>
      </c>
      <c r="S180" s="338">
        <f>Gasto_o_ing_per_capita!S180*100/Gasto_o_ing_per_capita!$D180</f>
        <v>4364.0740892404347</v>
      </c>
      <c r="T180" s="338">
        <f>Gasto_o_ing_per_capita!T180*100/Gasto_o_ing_per_capita!$D180</f>
        <v>863.13613601403983</v>
      </c>
      <c r="U180" s="338">
        <f>Gasto_o_ing_per_capita!U180*100/Gasto_o_ing_per_capita!$D180</f>
        <v>0</v>
      </c>
      <c r="V180" s="338">
        <f>Gasto_o_ing_per_capita!V180*100/Gasto_o_ing_per_capita!$D180</f>
        <v>0</v>
      </c>
    </row>
    <row r="181" spans="1:22" s="102" customFormat="1" ht="13.15">
      <c r="A181" s="356"/>
      <c r="B181" s="115" t="s">
        <v>1148</v>
      </c>
      <c r="C181" s="339" t="e">
        <f>VLOOKUP(B181,Tot_res!C:D,2,FALSE)</f>
        <v>#N/A</v>
      </c>
      <c r="D181" s="338" t="e">
        <f>Gasto_o_ing_per_capita!D181*100/Gasto_o_ing_per_capita!$D181</f>
        <v>#DIV/0!</v>
      </c>
      <c r="E181" s="338" t="e">
        <f>Gasto_o_ing_per_capita!E181*100/Gasto_o_ing_per_capita!$D181</f>
        <v>#VALUE!</v>
      </c>
      <c r="F181" s="338" t="e">
        <f>Gasto_o_ing_per_capita!F181*100/Gasto_o_ing_per_capita!$D181</f>
        <v>#VALUE!</v>
      </c>
      <c r="G181" s="338" t="e">
        <f>Gasto_o_ing_per_capita!G181*100/Gasto_o_ing_per_capita!$D181</f>
        <v>#VALUE!</v>
      </c>
      <c r="H181" s="338" t="e">
        <f>Gasto_o_ing_per_capita!H181*100/Gasto_o_ing_per_capita!$D181</f>
        <v>#VALUE!</v>
      </c>
      <c r="I181" s="338" t="e">
        <f>Gasto_o_ing_per_capita!I181*100/Gasto_o_ing_per_capita!$D181</f>
        <v>#VALUE!</v>
      </c>
      <c r="J181" s="338" t="e">
        <f>Gasto_o_ing_per_capita!J181*100/Gasto_o_ing_per_capita!$D181</f>
        <v>#VALUE!</v>
      </c>
      <c r="K181" s="338" t="e">
        <f>Gasto_o_ing_per_capita!K181*100/Gasto_o_ing_per_capita!$D181</f>
        <v>#VALUE!</v>
      </c>
      <c r="L181" s="338" t="e">
        <f>Gasto_o_ing_per_capita!L181*100/Gasto_o_ing_per_capita!$D181</f>
        <v>#VALUE!</v>
      </c>
      <c r="M181" s="338" t="e">
        <f>Gasto_o_ing_per_capita!M181*100/Gasto_o_ing_per_capita!$D181</f>
        <v>#VALUE!</v>
      </c>
      <c r="N181" s="338" t="e">
        <f>Gasto_o_ing_per_capita!N181*100/Gasto_o_ing_per_capita!$D181</f>
        <v>#VALUE!</v>
      </c>
      <c r="O181" s="338" t="e">
        <f>Gasto_o_ing_per_capita!O181*100/Gasto_o_ing_per_capita!$D181</f>
        <v>#VALUE!</v>
      </c>
      <c r="P181" s="338" t="e">
        <f>Gasto_o_ing_per_capita!P181*100/Gasto_o_ing_per_capita!$D181</f>
        <v>#VALUE!</v>
      </c>
      <c r="Q181" s="338" t="e">
        <f>Gasto_o_ing_per_capita!Q181*100/Gasto_o_ing_per_capita!$D181</f>
        <v>#VALUE!</v>
      </c>
      <c r="R181" s="338" t="e">
        <f>Gasto_o_ing_per_capita!R181*100/Gasto_o_ing_per_capita!$D181</f>
        <v>#VALUE!</v>
      </c>
      <c r="S181" s="338" t="e">
        <f>Gasto_o_ing_per_capita!S181*100/Gasto_o_ing_per_capita!$D181</f>
        <v>#VALUE!</v>
      </c>
      <c r="T181" s="338" t="e">
        <f>Gasto_o_ing_per_capita!T181*100/Gasto_o_ing_per_capita!$D181</f>
        <v>#VALUE!</v>
      </c>
      <c r="U181" s="338" t="e">
        <f>Gasto_o_ing_per_capita!U181*100/Gasto_o_ing_per_capita!$D181</f>
        <v>#VALUE!</v>
      </c>
      <c r="V181" s="338" t="e">
        <f>Gasto_o_ing_per_capita!V181*100/Gasto_o_ing_per_capita!$D181</f>
        <v>#VALUE!</v>
      </c>
    </row>
    <row r="182" spans="1:22" s="102" customFormat="1" ht="13.15">
      <c r="A182" s="356"/>
      <c r="B182" s="115" t="s">
        <v>1143</v>
      </c>
      <c r="C182" s="339" t="str">
        <f>VLOOKUP(B182,Tot_res!C:D,2,FALSE)</f>
        <v>Servicios Sociales</v>
      </c>
      <c r="D182" s="338">
        <f>Gasto_o_ing_per_capita!D182*100/Gasto_o_ing_per_capita!$D182</f>
        <v>100</v>
      </c>
      <c r="E182" s="338">
        <f>Gasto_o_ing_per_capita!E182*100/Gasto_o_ing_per_capita!$D182</f>
        <v>0</v>
      </c>
      <c r="F182" s="338">
        <f>Gasto_o_ing_per_capita!F182*100/Gasto_o_ing_per_capita!$D182</f>
        <v>0</v>
      </c>
      <c r="G182" s="338">
        <f>Gasto_o_ing_per_capita!G182*100/Gasto_o_ing_per_capita!$D182</f>
        <v>0</v>
      </c>
      <c r="H182" s="338">
        <f>Gasto_o_ing_per_capita!H182*100/Gasto_o_ing_per_capita!$D182</f>
        <v>0</v>
      </c>
      <c r="I182" s="338">
        <f>Gasto_o_ing_per_capita!I182*100/Gasto_o_ing_per_capita!$D182</f>
        <v>0</v>
      </c>
      <c r="J182" s="338">
        <f>Gasto_o_ing_per_capita!J182*100/Gasto_o_ing_per_capita!$D182</f>
        <v>0</v>
      </c>
      <c r="K182" s="338">
        <f>Gasto_o_ing_per_capita!K182*100/Gasto_o_ing_per_capita!$D182</f>
        <v>0</v>
      </c>
      <c r="L182" s="338">
        <f>Gasto_o_ing_per_capita!L182*100/Gasto_o_ing_per_capita!$D182</f>
        <v>0</v>
      </c>
      <c r="M182" s="338">
        <f>Gasto_o_ing_per_capita!M182*100/Gasto_o_ing_per_capita!$D182</f>
        <v>0</v>
      </c>
      <c r="N182" s="338">
        <f>Gasto_o_ing_per_capita!N182*100/Gasto_o_ing_per_capita!$D182</f>
        <v>0</v>
      </c>
      <c r="O182" s="338">
        <f>Gasto_o_ing_per_capita!O182*100/Gasto_o_ing_per_capita!$D182</f>
        <v>0</v>
      </c>
      <c r="P182" s="338">
        <f>Gasto_o_ing_per_capita!P182*100/Gasto_o_ing_per_capita!$D182</f>
        <v>0</v>
      </c>
      <c r="Q182" s="338">
        <f>Gasto_o_ing_per_capita!Q182*100/Gasto_o_ing_per_capita!$D182</f>
        <v>0</v>
      </c>
      <c r="R182" s="338">
        <f>Gasto_o_ing_per_capita!R182*100/Gasto_o_ing_per_capita!$D182</f>
        <v>0</v>
      </c>
      <c r="S182" s="338">
        <f>Gasto_o_ing_per_capita!S182*100/Gasto_o_ing_per_capita!$D182</f>
        <v>2037.1783183012317</v>
      </c>
      <c r="T182" s="338">
        <f>Gasto_o_ing_per_capita!T182*100/Gasto_o_ing_per_capita!$D182</f>
        <v>1545.8363610774184</v>
      </c>
      <c r="U182" s="338">
        <f>Gasto_o_ing_per_capita!U182*100/Gasto_o_ing_per_capita!$D182</f>
        <v>0</v>
      </c>
      <c r="V182" s="338">
        <f>Gasto_o_ing_per_capita!V182*100/Gasto_o_ing_per_capita!$D182</f>
        <v>0</v>
      </c>
    </row>
    <row r="183" spans="1:22" s="102" customFormat="1" ht="13.15">
      <c r="A183" s="356"/>
      <c r="B183" s="115" t="s">
        <v>1144</v>
      </c>
      <c r="C183" s="339" t="str">
        <f>VLOOKUP(B183,Tot_res!C:D,2,FALSE)</f>
        <v>Fomento y gestiòn del empleo, incluyendo ISM</v>
      </c>
      <c r="D183" s="338">
        <f>Gasto_o_ing_per_capita!D183*100/Gasto_o_ing_per_capita!$D183</f>
        <v>100</v>
      </c>
      <c r="E183" s="338">
        <f>Gasto_o_ing_per_capita!E183*100/Gasto_o_ing_per_capita!$D183</f>
        <v>0</v>
      </c>
      <c r="F183" s="338">
        <f>Gasto_o_ing_per_capita!F183*100/Gasto_o_ing_per_capita!$D183</f>
        <v>0</v>
      </c>
      <c r="G183" s="338">
        <f>Gasto_o_ing_per_capita!G183*100/Gasto_o_ing_per_capita!$D183</f>
        <v>0</v>
      </c>
      <c r="H183" s="338">
        <f>Gasto_o_ing_per_capita!H183*100/Gasto_o_ing_per_capita!$D183</f>
        <v>0</v>
      </c>
      <c r="I183" s="338">
        <f>Gasto_o_ing_per_capita!I183*100/Gasto_o_ing_per_capita!$D183</f>
        <v>0</v>
      </c>
      <c r="J183" s="338">
        <f>Gasto_o_ing_per_capita!J183*100/Gasto_o_ing_per_capita!$D183</f>
        <v>0</v>
      </c>
      <c r="K183" s="338">
        <f>Gasto_o_ing_per_capita!K183*100/Gasto_o_ing_per_capita!$D183</f>
        <v>0</v>
      </c>
      <c r="L183" s="338">
        <f>Gasto_o_ing_per_capita!L183*100/Gasto_o_ing_per_capita!$D183</f>
        <v>0</v>
      </c>
      <c r="M183" s="338">
        <f>Gasto_o_ing_per_capita!M183*100/Gasto_o_ing_per_capita!$D183</f>
        <v>0</v>
      </c>
      <c r="N183" s="338">
        <f>Gasto_o_ing_per_capita!N183*100/Gasto_o_ing_per_capita!$D183</f>
        <v>0</v>
      </c>
      <c r="O183" s="338">
        <f>Gasto_o_ing_per_capita!O183*100/Gasto_o_ing_per_capita!$D183</f>
        <v>0</v>
      </c>
      <c r="P183" s="338">
        <f>Gasto_o_ing_per_capita!P183*100/Gasto_o_ing_per_capita!$D183</f>
        <v>0</v>
      </c>
      <c r="Q183" s="338">
        <f>Gasto_o_ing_per_capita!Q183*100/Gasto_o_ing_per_capita!$D183</f>
        <v>0</v>
      </c>
      <c r="R183" s="338">
        <f>Gasto_o_ing_per_capita!R183*100/Gasto_o_ing_per_capita!$D183</f>
        <v>0</v>
      </c>
      <c r="S183" s="338">
        <f>Gasto_o_ing_per_capita!S183*100/Gasto_o_ing_per_capita!$D183</f>
        <v>0</v>
      </c>
      <c r="T183" s="338">
        <f>Gasto_o_ing_per_capita!T183*100/Gasto_o_ing_per_capita!$D183</f>
        <v>2143.5348543954606</v>
      </c>
      <c r="U183" s="338">
        <f>Gasto_o_ing_per_capita!U183*100/Gasto_o_ing_per_capita!$D183</f>
        <v>0</v>
      </c>
      <c r="V183" s="338">
        <f>Gasto_o_ing_per_capita!V183*100/Gasto_o_ing_per_capita!$D183</f>
        <v>0</v>
      </c>
    </row>
    <row r="184" spans="1:22" s="102" customFormat="1" ht="13.15">
      <c r="A184" s="356"/>
      <c r="B184" s="115" t="s">
        <v>1149</v>
      </c>
      <c r="C184" s="339" t="e">
        <f>VLOOKUP(B184,Tot_res!C:D,2,FALSE)</f>
        <v>#N/A</v>
      </c>
      <c r="D184" s="338" t="e">
        <f>Gasto_o_ing_per_capita!D184*100/Gasto_o_ing_per_capita!$D184</f>
        <v>#DIV/0!</v>
      </c>
      <c r="E184" s="338" t="e">
        <f>Gasto_o_ing_per_capita!E184*100/Gasto_o_ing_per_capita!$D184</f>
        <v>#VALUE!</v>
      </c>
      <c r="F184" s="338" t="e">
        <f>Gasto_o_ing_per_capita!F184*100/Gasto_o_ing_per_capita!$D184</f>
        <v>#VALUE!</v>
      </c>
      <c r="G184" s="338" t="e">
        <f>Gasto_o_ing_per_capita!G184*100/Gasto_o_ing_per_capita!$D184</f>
        <v>#VALUE!</v>
      </c>
      <c r="H184" s="338" t="e">
        <f>Gasto_o_ing_per_capita!H184*100/Gasto_o_ing_per_capita!$D184</f>
        <v>#VALUE!</v>
      </c>
      <c r="I184" s="338" t="e">
        <f>Gasto_o_ing_per_capita!I184*100/Gasto_o_ing_per_capita!$D184</f>
        <v>#VALUE!</v>
      </c>
      <c r="J184" s="338" t="e">
        <f>Gasto_o_ing_per_capita!J184*100/Gasto_o_ing_per_capita!$D184</f>
        <v>#VALUE!</v>
      </c>
      <c r="K184" s="338" t="e">
        <f>Gasto_o_ing_per_capita!K184*100/Gasto_o_ing_per_capita!$D184</f>
        <v>#VALUE!</v>
      </c>
      <c r="L184" s="338" t="e">
        <f>Gasto_o_ing_per_capita!L184*100/Gasto_o_ing_per_capita!$D184</f>
        <v>#VALUE!</v>
      </c>
      <c r="M184" s="338" t="e">
        <f>Gasto_o_ing_per_capita!M184*100/Gasto_o_ing_per_capita!$D184</f>
        <v>#VALUE!</v>
      </c>
      <c r="N184" s="338" t="e">
        <f>Gasto_o_ing_per_capita!N184*100/Gasto_o_ing_per_capita!$D184</f>
        <v>#VALUE!</v>
      </c>
      <c r="O184" s="338" t="e">
        <f>Gasto_o_ing_per_capita!O184*100/Gasto_o_ing_per_capita!$D184</f>
        <v>#VALUE!</v>
      </c>
      <c r="P184" s="338" t="e">
        <f>Gasto_o_ing_per_capita!P184*100/Gasto_o_ing_per_capita!$D184</f>
        <v>#VALUE!</v>
      </c>
      <c r="Q184" s="338" t="e">
        <f>Gasto_o_ing_per_capita!Q184*100/Gasto_o_ing_per_capita!$D184</f>
        <v>#VALUE!</v>
      </c>
      <c r="R184" s="338" t="e">
        <f>Gasto_o_ing_per_capita!R184*100/Gasto_o_ing_per_capita!$D184</f>
        <v>#VALUE!</v>
      </c>
      <c r="S184" s="338" t="e">
        <f>Gasto_o_ing_per_capita!S184*100/Gasto_o_ing_per_capita!$D184</f>
        <v>#VALUE!</v>
      </c>
      <c r="T184" s="338" t="e">
        <f>Gasto_o_ing_per_capita!T184*100/Gasto_o_ing_per_capita!$D184</f>
        <v>#VALUE!</v>
      </c>
      <c r="U184" s="338" t="e">
        <f>Gasto_o_ing_per_capita!U184*100/Gasto_o_ing_per_capita!$D184</f>
        <v>#VALUE!</v>
      </c>
      <c r="V184" s="338" t="e">
        <f>Gasto_o_ing_per_capita!V184*100/Gasto_o_ing_per_capita!$D184</f>
        <v>#VALUE!</v>
      </c>
    </row>
    <row r="185" spans="1:22" s="102" customFormat="1" ht="13.15">
      <c r="A185" s="356"/>
      <c r="B185" s="115" t="s">
        <v>1145</v>
      </c>
      <c r="C185" s="339" t="str">
        <f>VLOOKUP(B185,Tot_res!C:D,2,FALSE)</f>
        <v>Agricultura</v>
      </c>
      <c r="D185" s="338">
        <f>Gasto_o_ing_per_capita!D185*100/Gasto_o_ing_per_capita!$D185</f>
        <v>100</v>
      </c>
      <c r="E185" s="338">
        <f>Gasto_o_ing_per_capita!E185*100/Gasto_o_ing_per_capita!$D185</f>
        <v>0</v>
      </c>
      <c r="F185" s="338">
        <f>Gasto_o_ing_per_capita!F185*100/Gasto_o_ing_per_capita!$D185</f>
        <v>0</v>
      </c>
      <c r="G185" s="338">
        <f>Gasto_o_ing_per_capita!G185*100/Gasto_o_ing_per_capita!$D185</f>
        <v>0</v>
      </c>
      <c r="H185" s="338">
        <f>Gasto_o_ing_per_capita!H185*100/Gasto_o_ing_per_capita!$D185</f>
        <v>0</v>
      </c>
      <c r="I185" s="338">
        <f>Gasto_o_ing_per_capita!I185*100/Gasto_o_ing_per_capita!$D185</f>
        <v>0</v>
      </c>
      <c r="J185" s="338">
        <f>Gasto_o_ing_per_capita!J185*100/Gasto_o_ing_per_capita!$D185</f>
        <v>0</v>
      </c>
      <c r="K185" s="338">
        <f>Gasto_o_ing_per_capita!K185*100/Gasto_o_ing_per_capita!$D185</f>
        <v>0</v>
      </c>
      <c r="L185" s="338">
        <f>Gasto_o_ing_per_capita!L185*100/Gasto_o_ing_per_capita!$D185</f>
        <v>0</v>
      </c>
      <c r="M185" s="338">
        <f>Gasto_o_ing_per_capita!M185*100/Gasto_o_ing_per_capita!$D185</f>
        <v>0</v>
      </c>
      <c r="N185" s="338">
        <f>Gasto_o_ing_per_capita!N185*100/Gasto_o_ing_per_capita!$D185</f>
        <v>0</v>
      </c>
      <c r="O185" s="338">
        <f>Gasto_o_ing_per_capita!O185*100/Gasto_o_ing_per_capita!$D185</f>
        <v>0</v>
      </c>
      <c r="P185" s="338">
        <f>Gasto_o_ing_per_capita!P185*100/Gasto_o_ing_per_capita!$D185</f>
        <v>0</v>
      </c>
      <c r="Q185" s="338">
        <f>Gasto_o_ing_per_capita!Q185*100/Gasto_o_ing_per_capita!$D185</f>
        <v>0</v>
      </c>
      <c r="R185" s="338">
        <f>Gasto_o_ing_per_capita!R185*100/Gasto_o_ing_per_capita!$D185</f>
        <v>0</v>
      </c>
      <c r="S185" s="338">
        <f>Gasto_o_ing_per_capita!S185*100/Gasto_o_ing_per_capita!$D185</f>
        <v>944.00075471771902</v>
      </c>
      <c r="T185" s="338">
        <f>Gasto_o_ing_per_capita!T185*100/Gasto_o_ing_per_capita!$D185</f>
        <v>1866.5694931813402</v>
      </c>
      <c r="U185" s="338">
        <f>Gasto_o_ing_per_capita!U185*100/Gasto_o_ing_per_capita!$D185</f>
        <v>0</v>
      </c>
      <c r="V185" s="338">
        <f>Gasto_o_ing_per_capita!V185*100/Gasto_o_ing_per_capita!$D185</f>
        <v>0</v>
      </c>
    </row>
    <row r="186" spans="1:22" s="102" customFormat="1" ht="13.15">
      <c r="A186" s="356"/>
      <c r="B186" s="115" t="s">
        <v>1150</v>
      </c>
      <c r="C186" s="339" t="e">
        <f>VLOOKUP(B186,Tot_res!C:D,2,FALSE)</f>
        <v>#N/A</v>
      </c>
      <c r="D186" s="338" t="e">
        <f>Gasto_o_ing_per_capita!D186*100/Gasto_o_ing_per_capita!$D186</f>
        <v>#DIV/0!</v>
      </c>
      <c r="E186" s="338" t="e">
        <f>Gasto_o_ing_per_capita!E186*100/Gasto_o_ing_per_capita!$D186</f>
        <v>#VALUE!</v>
      </c>
      <c r="F186" s="338" t="e">
        <f>Gasto_o_ing_per_capita!F186*100/Gasto_o_ing_per_capita!$D186</f>
        <v>#VALUE!</v>
      </c>
      <c r="G186" s="338" t="e">
        <f>Gasto_o_ing_per_capita!G186*100/Gasto_o_ing_per_capita!$D186</f>
        <v>#VALUE!</v>
      </c>
      <c r="H186" s="338" t="e">
        <f>Gasto_o_ing_per_capita!H186*100/Gasto_o_ing_per_capita!$D186</f>
        <v>#VALUE!</v>
      </c>
      <c r="I186" s="338" t="e">
        <f>Gasto_o_ing_per_capita!I186*100/Gasto_o_ing_per_capita!$D186</f>
        <v>#VALUE!</v>
      </c>
      <c r="J186" s="338" t="e">
        <f>Gasto_o_ing_per_capita!J186*100/Gasto_o_ing_per_capita!$D186</f>
        <v>#VALUE!</v>
      </c>
      <c r="K186" s="338" t="e">
        <f>Gasto_o_ing_per_capita!K186*100/Gasto_o_ing_per_capita!$D186</f>
        <v>#VALUE!</v>
      </c>
      <c r="L186" s="338" t="e">
        <f>Gasto_o_ing_per_capita!L186*100/Gasto_o_ing_per_capita!$D186</f>
        <v>#VALUE!</v>
      </c>
      <c r="M186" s="338" t="e">
        <f>Gasto_o_ing_per_capita!M186*100/Gasto_o_ing_per_capita!$D186</f>
        <v>#VALUE!</v>
      </c>
      <c r="N186" s="338" t="e">
        <f>Gasto_o_ing_per_capita!N186*100/Gasto_o_ing_per_capita!$D186</f>
        <v>#VALUE!</v>
      </c>
      <c r="O186" s="338" t="e">
        <f>Gasto_o_ing_per_capita!O186*100/Gasto_o_ing_per_capita!$D186</f>
        <v>#VALUE!</v>
      </c>
      <c r="P186" s="338" t="e">
        <f>Gasto_o_ing_per_capita!P186*100/Gasto_o_ing_per_capita!$D186</f>
        <v>#VALUE!</v>
      </c>
      <c r="Q186" s="338" t="e">
        <f>Gasto_o_ing_per_capita!Q186*100/Gasto_o_ing_per_capita!$D186</f>
        <v>#VALUE!</v>
      </c>
      <c r="R186" s="338" t="e">
        <f>Gasto_o_ing_per_capita!R186*100/Gasto_o_ing_per_capita!$D186</f>
        <v>#VALUE!</v>
      </c>
      <c r="S186" s="338" t="e">
        <f>Gasto_o_ing_per_capita!S186*100/Gasto_o_ing_per_capita!$D186</f>
        <v>#VALUE!</v>
      </c>
      <c r="T186" s="338" t="e">
        <f>Gasto_o_ing_per_capita!T186*100/Gasto_o_ing_per_capita!$D186</f>
        <v>#VALUE!</v>
      </c>
      <c r="U186" s="338" t="e">
        <f>Gasto_o_ing_per_capita!U186*100/Gasto_o_ing_per_capita!$D186</f>
        <v>#VALUE!</v>
      </c>
      <c r="V186" s="338" t="e">
        <f>Gasto_o_ing_per_capita!V186*100/Gasto_o_ing_per_capita!$D186</f>
        <v>#VALUE!</v>
      </c>
    </row>
    <row r="187" spans="1:22" s="102" customFormat="1" ht="13.15">
      <c r="A187" s="356"/>
      <c r="B187" s="115" t="s">
        <v>1146</v>
      </c>
      <c r="C187" s="339" t="str">
        <f>VLOOKUP(B187,Tot_res!C:D,2,FALSE)</f>
        <v>Turismo</v>
      </c>
      <c r="D187" s="338">
        <f>Gasto_o_ing_per_capita!D187*100/Gasto_o_ing_per_capita!$D187</f>
        <v>100</v>
      </c>
      <c r="E187" s="338">
        <f>Gasto_o_ing_per_capita!E187*100/Gasto_o_ing_per_capita!$D187</f>
        <v>0</v>
      </c>
      <c r="F187" s="338">
        <f>Gasto_o_ing_per_capita!F187*100/Gasto_o_ing_per_capita!$D187</f>
        <v>0</v>
      </c>
      <c r="G187" s="338">
        <f>Gasto_o_ing_per_capita!G187*100/Gasto_o_ing_per_capita!$D187</f>
        <v>0</v>
      </c>
      <c r="H187" s="338">
        <f>Gasto_o_ing_per_capita!H187*100/Gasto_o_ing_per_capita!$D187</f>
        <v>0</v>
      </c>
      <c r="I187" s="338">
        <f>Gasto_o_ing_per_capita!I187*100/Gasto_o_ing_per_capita!$D187</f>
        <v>0</v>
      </c>
      <c r="J187" s="338">
        <f>Gasto_o_ing_per_capita!J187*100/Gasto_o_ing_per_capita!$D187</f>
        <v>0</v>
      </c>
      <c r="K187" s="338">
        <f>Gasto_o_ing_per_capita!K187*100/Gasto_o_ing_per_capita!$D187</f>
        <v>0</v>
      </c>
      <c r="L187" s="338">
        <f>Gasto_o_ing_per_capita!L187*100/Gasto_o_ing_per_capita!$D187</f>
        <v>0</v>
      </c>
      <c r="M187" s="338">
        <f>Gasto_o_ing_per_capita!M187*100/Gasto_o_ing_per_capita!$D187</f>
        <v>0</v>
      </c>
      <c r="N187" s="338">
        <f>Gasto_o_ing_per_capita!N187*100/Gasto_o_ing_per_capita!$D187</f>
        <v>0</v>
      </c>
      <c r="O187" s="338">
        <f>Gasto_o_ing_per_capita!O187*100/Gasto_o_ing_per_capita!$D187</f>
        <v>0</v>
      </c>
      <c r="P187" s="338">
        <f>Gasto_o_ing_per_capita!P187*100/Gasto_o_ing_per_capita!$D187</f>
        <v>0</v>
      </c>
      <c r="Q187" s="338">
        <f>Gasto_o_ing_per_capita!Q187*100/Gasto_o_ing_per_capita!$D187</f>
        <v>0</v>
      </c>
      <c r="R187" s="338">
        <f>Gasto_o_ing_per_capita!R187*100/Gasto_o_ing_per_capita!$D187</f>
        <v>0</v>
      </c>
      <c r="S187" s="338">
        <f>Gasto_o_ing_per_capita!S187*100/Gasto_o_ing_per_capita!$D187</f>
        <v>1591.0298680506965</v>
      </c>
      <c r="T187" s="338">
        <f>Gasto_o_ing_per_capita!T187*100/Gasto_o_ing_per_capita!$D187</f>
        <v>1676.7342084162265</v>
      </c>
      <c r="U187" s="338">
        <f>Gasto_o_ing_per_capita!U187*100/Gasto_o_ing_per_capita!$D187</f>
        <v>0</v>
      </c>
      <c r="V187" s="338">
        <f>Gasto_o_ing_per_capita!V187*100/Gasto_o_ing_per_capita!$D187</f>
        <v>0</v>
      </c>
    </row>
    <row r="188" spans="1:22" s="102" customFormat="1" ht="13.15">
      <c r="A188" s="356"/>
      <c r="B188" s="115"/>
      <c r="C188" s="141"/>
      <c r="D188" s="110"/>
      <c r="E188" s="110"/>
      <c r="F188" s="110"/>
      <c r="G188" s="110"/>
      <c r="H188" s="110"/>
      <c r="I188" s="110"/>
      <c r="J188" s="110"/>
      <c r="K188" s="110"/>
      <c r="L188" s="110"/>
      <c r="M188" s="110"/>
      <c r="N188" s="110"/>
      <c r="O188" s="110"/>
      <c r="P188" s="110"/>
      <c r="Q188" s="110"/>
      <c r="R188" s="110"/>
      <c r="S188" s="110"/>
      <c r="T188" s="110"/>
      <c r="U188" s="110"/>
      <c r="V188" s="110"/>
    </row>
    <row r="189" spans="1:22" s="102" customFormat="1" ht="26.3">
      <c r="A189" s="356"/>
      <c r="B189" s="115"/>
      <c r="C189" s="117" t="s">
        <v>57</v>
      </c>
      <c r="D189" s="113">
        <f>Gasto_o_ing_per_capita!D189*100/Gasto_o_ing_per_capita!$D189</f>
        <v>100</v>
      </c>
      <c r="E189" s="113">
        <f>Gasto_o_ing_per_capita!E189*100/Gasto_o_ing_per_capita!$D189</f>
        <v>88.094888984709868</v>
      </c>
      <c r="F189" s="113">
        <f>Gasto_o_ing_per_capita!F189*100/Gasto_o_ing_per_capita!$D189</f>
        <v>106.98464657380771</v>
      </c>
      <c r="G189" s="113">
        <f>Gasto_o_ing_per_capita!G189*100/Gasto_o_ing_per_capita!$D189</f>
        <v>105.9347365042872</v>
      </c>
      <c r="H189" s="113">
        <f>Gasto_o_ing_per_capita!H189*100/Gasto_o_ing_per_capita!$D189</f>
        <v>95.28521992664075</v>
      </c>
      <c r="I189" s="113">
        <f>Gasto_o_ing_per_capita!I189*100/Gasto_o_ing_per_capita!$D189</f>
        <v>98.823832160838109</v>
      </c>
      <c r="J189" s="113">
        <f>Gasto_o_ing_per_capita!J189*100/Gasto_o_ing_per_capita!$D189</f>
        <v>118.19875972795369</v>
      </c>
      <c r="K189" s="113">
        <f>Gasto_o_ing_per_capita!K189*100/Gasto_o_ing_per_capita!$D189</f>
        <v>112.34644142556738</v>
      </c>
      <c r="L189" s="113">
        <f>Gasto_o_ing_per_capita!L189*100/Gasto_o_ing_per_capita!$D189</f>
        <v>100.65970293415904</v>
      </c>
      <c r="M189" s="113">
        <f>Gasto_o_ing_per_capita!M189*100/Gasto_o_ing_per_capita!$D189</f>
        <v>91.588959138001258</v>
      </c>
      <c r="N189" s="113">
        <f>Gasto_o_ing_per_capita!N189*100/Gasto_o_ing_per_capita!$D189</f>
        <v>84.657596263730596</v>
      </c>
      <c r="O189" s="113">
        <f>Gasto_o_ing_per_capita!O189*100/Gasto_o_ing_per_capita!$D189</f>
        <v>111.08242927610581</v>
      </c>
      <c r="P189" s="113">
        <f>Gasto_o_ing_per_capita!P189*100/Gasto_o_ing_per_capita!$D189</f>
        <v>108.19700712771075</v>
      </c>
      <c r="Q189" s="113">
        <f>Gasto_o_ing_per_capita!Q189*100/Gasto_o_ing_per_capita!$D189</f>
        <v>87.015088033454631</v>
      </c>
      <c r="R189" s="113">
        <f>Gasto_o_ing_per_capita!R189*100/Gasto_o_ing_per_capita!$D189</f>
        <v>87.254584875848394</v>
      </c>
      <c r="S189" s="113">
        <f>Gasto_o_ing_per_capita!S189*100/Gasto_o_ing_per_capita!$D189</f>
        <v>151.56405681539826</v>
      </c>
      <c r="T189" s="113">
        <f>Gasto_o_ing_per_capita!T189*100/Gasto_o_ing_per_capita!$D189</f>
        <v>193.52055474347122</v>
      </c>
      <c r="U189" s="113">
        <f>Gasto_o_ing_per_capita!U189*100/Gasto_o_ing_per_capita!$D189</f>
        <v>115.1581642407223</v>
      </c>
      <c r="V189" s="113">
        <f>Gasto_o_ing_per_capita!V189*100/Gasto_o_ing_per_capita!$D189</f>
        <v>191.29370794791021</v>
      </c>
    </row>
    <row r="190" spans="1:22" s="102" customFormat="1" ht="13.15">
      <c r="A190" s="356"/>
      <c r="B190" s="115"/>
      <c r="C190" s="140"/>
      <c r="D190" s="110"/>
      <c r="E190" s="110"/>
      <c r="F190" s="110"/>
      <c r="G190" s="110"/>
      <c r="H190" s="110"/>
      <c r="I190" s="110"/>
      <c r="J190" s="110"/>
      <c r="K190" s="110"/>
      <c r="L190" s="110"/>
      <c r="M190" s="110"/>
      <c r="N190" s="110"/>
      <c r="O190" s="110"/>
      <c r="P190" s="110"/>
      <c r="Q190" s="110"/>
      <c r="R190" s="110"/>
      <c r="S190" s="110"/>
      <c r="T190" s="110"/>
      <c r="U190" s="110"/>
      <c r="V190" s="110"/>
    </row>
    <row r="191" spans="1:22" s="102" customFormat="1" ht="13.15">
      <c r="A191" s="356"/>
      <c r="B191" s="137"/>
      <c r="C191" s="117" t="s">
        <v>29</v>
      </c>
      <c r="D191" s="113">
        <f>Gasto_o_ing_per_capita!D191*100/Gasto_o_ing_per_capita!$D191</f>
        <v>99.999999999999986</v>
      </c>
      <c r="E191" s="113">
        <f>Gasto_o_ing_per_capita!E191*100/Gasto_o_ing_per_capita!$D191</f>
        <v>175.75369658785829</v>
      </c>
      <c r="F191" s="113">
        <f>Gasto_o_ing_per_capita!F191*100/Gasto_o_ing_per_capita!$D191</f>
        <v>161.43260328620849</v>
      </c>
      <c r="G191" s="113">
        <f>Gasto_o_ing_per_capita!G191*100/Gasto_o_ing_per_capita!$D191</f>
        <v>338.22084438063735</v>
      </c>
      <c r="H191" s="113">
        <f>Gasto_o_ing_per_capita!H191*100/Gasto_o_ing_per_capita!$D191</f>
        <v>308.98729065847391</v>
      </c>
      <c r="I191" s="113">
        <f>Gasto_o_ing_per_capita!I191*100/Gasto_o_ing_per_capita!$D191</f>
        <v>55.094379346624315</v>
      </c>
      <c r="J191" s="113">
        <f>Gasto_o_ing_per_capita!J191*100/Gasto_o_ing_per_capita!$D191</f>
        <v>262.0479860670311</v>
      </c>
      <c r="K191" s="113">
        <f>Gasto_o_ing_per_capita!K191*100/Gasto_o_ing_per_capita!$D191</f>
        <v>124.38554988429979</v>
      </c>
      <c r="L191" s="113">
        <f>Gasto_o_ing_per_capita!L191*100/Gasto_o_ing_per_capita!$D191</f>
        <v>-82.264363578064675</v>
      </c>
      <c r="M191" s="113">
        <f>Gasto_o_ing_per_capita!M191*100/Gasto_o_ing_per_capita!$D191</f>
        <v>350.42807456383048</v>
      </c>
      <c r="N191" s="113">
        <f>Gasto_o_ing_per_capita!N191*100/Gasto_o_ing_per_capita!$D191</f>
        <v>165.6716516695958</v>
      </c>
      <c r="O191" s="113">
        <f>Gasto_o_ing_per_capita!O191*100/Gasto_o_ing_per_capita!$D191</f>
        <v>409.18948574470647</v>
      </c>
      <c r="P191" s="113">
        <f>Gasto_o_ing_per_capita!P191*100/Gasto_o_ing_per_capita!$D191</f>
        <v>102.01031954830076</v>
      </c>
      <c r="Q191" s="113">
        <f>Gasto_o_ing_per_capita!Q191*100/Gasto_o_ing_per_capita!$D191</f>
        <v>-58.957791356054869</v>
      </c>
      <c r="R191" s="113">
        <f>Gasto_o_ing_per_capita!R191*100/Gasto_o_ing_per_capita!$D191</f>
        <v>177.77629483374739</v>
      </c>
      <c r="S191" s="113">
        <f>Gasto_o_ing_per_capita!S191*100/Gasto_o_ing_per_capita!$D191</f>
        <v>-1035.288389113668</v>
      </c>
      <c r="T191" s="113">
        <f>Gasto_o_ing_per_capita!T191*100/Gasto_o_ing_per_capita!$D191</f>
        <v>-719.57864985827985</v>
      </c>
      <c r="U191" s="113">
        <f>Gasto_o_ing_per_capita!U191*100/Gasto_o_ing_per_capita!$D191</f>
        <v>114.12292339156321</v>
      </c>
      <c r="V191" s="113">
        <f>Gasto_o_ing_per_capita!V191*100/Gasto_o_ing_per_capita!$D191</f>
        <v>0</v>
      </c>
    </row>
    <row r="192" spans="1:22" s="102" customFormat="1" ht="13.15">
      <c r="A192" s="355" t="str">
        <f>IF(B192="","",(IF(ISERROR(MATCH(B192,Tot_res!C:C,0)),"Eliminar!!!","")))</f>
        <v/>
      </c>
      <c r="B192" s="115" t="s">
        <v>988</v>
      </c>
      <c r="C192" s="334" t="str">
        <f>VLOOKUP(B192,Tot_res!C:D,2,FALSE)</f>
        <v>Participación CCAARC en IRPF, sobreesfuerzo fiscal regional</v>
      </c>
      <c r="D192" s="336">
        <f>Gasto_o_ing_per_capita!D192*100/Gasto_o_ing_per_capita!$D192</f>
        <v>100</v>
      </c>
      <c r="E192" s="336">
        <f>Gasto_o_ing_per_capita!E192*100/Gasto_o_ing_per_capita!$D192</f>
        <v>-19.62012286860724</v>
      </c>
      <c r="F192" s="336">
        <f>Gasto_o_ing_per_capita!F192*100/Gasto_o_ing_per_capita!$D192</f>
        <v>6.8787223236904618</v>
      </c>
      <c r="G192" s="336">
        <f>Gasto_o_ing_per_capita!G192*100/Gasto_o_ing_per_capita!$D192</f>
        <v>7.5839007885765906</v>
      </c>
      <c r="H192" s="336">
        <f>Gasto_o_ing_per_capita!H192*100/Gasto_o_ing_per_capita!$D192</f>
        <v>55.56284355049997</v>
      </c>
      <c r="I192" s="336">
        <f>Gasto_o_ing_per_capita!I192*100/Gasto_o_ing_per_capita!$D192</f>
        <v>184.14355567819652</v>
      </c>
      <c r="J192" s="336">
        <f>Gasto_o_ing_per_capita!J192*100/Gasto_o_ing_per_capita!$D192</f>
        <v>15.527880476149933</v>
      </c>
      <c r="K192" s="336">
        <f>Gasto_o_ing_per_capita!K192*100/Gasto_o_ing_per_capita!$D192</f>
        <v>171.55077242154013</v>
      </c>
      <c r="L192" s="336">
        <f>Gasto_o_ing_per_capita!L192*100/Gasto_o_ing_per_capita!$D192</f>
        <v>50.02265048863179</v>
      </c>
      <c r="M192" s="336">
        <f>Gasto_o_ing_per_capita!M192*100/Gasto_o_ing_per_capita!$D192</f>
        <v>17.635082773109609</v>
      </c>
      <c r="N192" s="336">
        <f>Gasto_o_ing_per_capita!N192*100/Gasto_o_ing_per_capita!$D192</f>
        <v>75.548459299825936</v>
      </c>
      <c r="O192" s="336">
        <f>Gasto_o_ing_per_capita!O192*100/Gasto_o_ing_per_capita!$D192</f>
        <v>30.703790725435322</v>
      </c>
      <c r="P192" s="336">
        <f>Gasto_o_ing_per_capita!P192*100/Gasto_o_ing_per_capita!$D192</f>
        <v>66.894332257865599</v>
      </c>
      <c r="Q192" s="336">
        <f>Gasto_o_ing_per_capita!Q192*100/Gasto_o_ing_per_capita!$D192</f>
        <v>467.43806601194802</v>
      </c>
      <c r="R192" s="336">
        <f>Gasto_o_ing_per_capita!R192*100/Gasto_o_ing_per_capita!$D192</f>
        <v>9.0804002551869747</v>
      </c>
      <c r="S192" s="336">
        <f>Gasto_o_ing_per_capita!S192*100/Gasto_o_ing_per_capita!$D192</f>
        <v>0</v>
      </c>
      <c r="T192" s="336">
        <f>Gasto_o_ing_per_capita!T192*100/Gasto_o_ing_per_capita!$D192</f>
        <v>0</v>
      </c>
      <c r="U192" s="336">
        <f>Gasto_o_ing_per_capita!U192*100/Gasto_o_ing_per_capita!$D192</f>
        <v>235.13556875649948</v>
      </c>
      <c r="V192" s="336">
        <f>Gasto_o_ing_per_capita!V192*100/Gasto_o_ing_per_capita!$D192</f>
        <v>0</v>
      </c>
    </row>
    <row r="193" spans="1:22" s="102" customFormat="1" ht="13.15">
      <c r="A193" s="355" t="str">
        <f>IF(B193="","",(IF(ISERROR(MATCH(B193,Tot_res!C:C,0)),"Eliminar!!!","")))</f>
        <v/>
      </c>
      <c r="B193" s="115" t="s">
        <v>1120</v>
      </c>
      <c r="C193" s="334" t="str">
        <f>VLOOKUP(B193,Tot_res!C:D,2,FALSE)</f>
        <v>Participación CCAARC en IH, sobreesfuerzo fiscal regional</v>
      </c>
      <c r="D193" s="336">
        <f>Gasto_o_ing_per_capita!D193*100/Gasto_o_ing_per_capita!$D193</f>
        <v>100</v>
      </c>
      <c r="E193" s="336">
        <f>Gasto_o_ing_per_capita!E193*100/Gasto_o_ing_per_capita!$D193</f>
        <v>124.12360447998282</v>
      </c>
      <c r="F193" s="336">
        <f>Gasto_o_ing_per_capita!F193*100/Gasto_o_ing_per_capita!$D193</f>
        <v>0</v>
      </c>
      <c r="G193" s="336">
        <f>Gasto_o_ing_per_capita!G193*100/Gasto_o_ing_per_capita!$D193</f>
        <v>115.01764501328502</v>
      </c>
      <c r="H193" s="336">
        <f>Gasto_o_ing_per_capita!H193*100/Gasto_o_ing_per_capita!$D193</f>
        <v>145.26765953938576</v>
      </c>
      <c r="I193" s="336">
        <f>Gasto_o_ing_per_capita!I193*100/Gasto_o_ing_per_capita!$D193</f>
        <v>0</v>
      </c>
      <c r="J193" s="336">
        <f>Gasto_o_ing_per_capita!J193*100/Gasto_o_ing_per_capita!$D193</f>
        <v>2.3329099413923586</v>
      </c>
      <c r="K193" s="336">
        <f>Gasto_o_ing_per_capita!K193*100/Gasto_o_ing_per_capita!$D193</f>
        <v>157.04075115159267</v>
      </c>
      <c r="L193" s="336">
        <f>Gasto_o_ing_per_capita!L193*100/Gasto_o_ing_per_capita!$D193</f>
        <v>183.45744475781629</v>
      </c>
      <c r="M193" s="336">
        <f>Gasto_o_ing_per_capita!M193*100/Gasto_o_ing_per_capita!$D193</f>
        <v>143.51415882693541</v>
      </c>
      <c r="N193" s="336">
        <f>Gasto_o_ing_per_capita!N193*100/Gasto_o_ing_per_capita!$D193</f>
        <v>129.56696643933921</v>
      </c>
      <c r="O193" s="336">
        <f>Gasto_o_ing_per_capita!O193*100/Gasto_o_ing_per_capita!$D193</f>
        <v>188.12152290094704</v>
      </c>
      <c r="P193" s="336">
        <f>Gasto_o_ing_per_capita!P193*100/Gasto_o_ing_per_capita!$D193</f>
        <v>46.772455898346109</v>
      </c>
      <c r="Q193" s="336">
        <f>Gasto_o_ing_per_capita!Q193*100/Gasto_o_ing_per_capita!$D193</f>
        <v>40.912580798273936</v>
      </c>
      <c r="R193" s="336">
        <f>Gasto_o_ing_per_capita!R193*100/Gasto_o_ing_per_capita!$D193</f>
        <v>169.88602879624636</v>
      </c>
      <c r="S193" s="336">
        <f>Gasto_o_ing_per_capita!S193*100/Gasto_o_ing_per_capita!$D193</f>
        <v>0</v>
      </c>
      <c r="T193" s="336">
        <f>Gasto_o_ing_per_capita!T193*100/Gasto_o_ing_per_capita!$D193</f>
        <v>0</v>
      </c>
      <c r="U193" s="336">
        <f>Gasto_o_ing_per_capita!U193*100/Gasto_o_ing_per_capita!$D193</f>
        <v>0</v>
      </c>
      <c r="V193" s="336">
        <f>Gasto_o_ing_per_capita!V193*100/Gasto_o_ing_per_capita!$D193</f>
        <v>0</v>
      </c>
    </row>
    <row r="194" spans="1:22" s="102" customFormat="1" ht="13.15">
      <c r="A194" s="355" t="str">
        <f>IF(B194="","",(IF(ISERROR(MATCH(B194,Tot_res!C:C,0)),"Eliminar!!!","")))</f>
        <v/>
      </c>
      <c r="B194" s="115" t="s">
        <v>989</v>
      </c>
      <c r="C194" s="334" t="str">
        <f>VLOOKUP(B194,Tot_res!C:D,2,FALSE)</f>
        <v>Impuesto sucesiones y donac, sobreesfuerzo fiscal de las CCAARC</v>
      </c>
      <c r="D194" s="336">
        <f>Gasto_o_ing_per_capita!D194*100/Gasto_o_ing_per_capita!$D194</f>
        <v>100</v>
      </c>
      <c r="E194" s="336">
        <f>Gasto_o_ing_per_capita!E194*100/Gasto_o_ing_per_capita!$D194</f>
        <v>-3.6435162766555238E+17</v>
      </c>
      <c r="F194" s="336">
        <f>Gasto_o_ing_per_capita!F194*100/Gasto_o_ing_per_capita!$D194</f>
        <v>-6.6441170580114854E+17</v>
      </c>
      <c r="G194" s="336">
        <f>Gasto_o_ing_per_capita!G194*100/Gasto_o_ing_per_capita!$D194</f>
        <v>-1.3238460195157878E+18</v>
      </c>
      <c r="H194" s="336">
        <f>Gasto_o_ing_per_capita!H194*100/Gasto_o_ing_per_capita!$D194</f>
        <v>-5.9077024733061632E+17</v>
      </c>
      <c r="I194" s="336">
        <f>Gasto_o_ing_per_capita!I194*100/Gasto_o_ing_per_capita!$D194</f>
        <v>5922456401027848</v>
      </c>
      <c r="J194" s="336">
        <f>Gasto_o_ing_per_capita!J194*100/Gasto_o_ing_per_capita!$D194</f>
        <v>-1.6754095420874575E+18</v>
      </c>
      <c r="K194" s="336">
        <f>Gasto_o_ing_per_capita!K194*100/Gasto_o_ing_per_capita!$D194</f>
        <v>2.9427282686975373E+17</v>
      </c>
      <c r="L194" s="336">
        <f>Gasto_o_ing_per_capita!L194*100/Gasto_o_ing_per_capita!$D194</f>
        <v>6.9227635086381272E+16</v>
      </c>
      <c r="M194" s="336">
        <f>Gasto_o_ing_per_capita!M194*100/Gasto_o_ing_per_capita!$D194</f>
        <v>5.2378169542080902E+17</v>
      </c>
      <c r="N194" s="336">
        <f>Gasto_o_ing_per_capita!N194*100/Gasto_o_ing_per_capita!$D194</f>
        <v>4.8314999092251718E+17</v>
      </c>
      <c r="O194" s="336">
        <f>Gasto_o_ing_per_capita!O194*100/Gasto_o_ing_per_capita!$D194</f>
        <v>-4.4904473405325338E+17</v>
      </c>
      <c r="P194" s="336">
        <f>Gasto_o_ing_per_capita!P194*100/Gasto_o_ing_per_capita!$D194</f>
        <v>2.2094838833417882E+17</v>
      </c>
      <c r="Q194" s="336">
        <f>Gasto_o_ing_per_capita!Q194*100/Gasto_o_ing_per_capita!$D194</f>
        <v>-6.8058691858522296E+16</v>
      </c>
      <c r="R194" s="336">
        <f>Gasto_o_ing_per_capita!R194*100/Gasto_o_ing_per_capita!$D194</f>
        <v>-2.232321351254354E+16</v>
      </c>
      <c r="S194" s="336">
        <f>Gasto_o_ing_per_capita!S194*100/Gasto_o_ing_per_capita!$D194</f>
        <v>0</v>
      </c>
      <c r="T194" s="336">
        <f>Gasto_o_ing_per_capita!T194*100/Gasto_o_ing_per_capita!$D194</f>
        <v>0</v>
      </c>
      <c r="U194" s="336">
        <f>Gasto_o_ing_per_capita!U194*100/Gasto_o_ing_per_capita!$D194</f>
        <v>2.5420338285062013E+17</v>
      </c>
      <c r="V194" s="336">
        <f>Gasto_o_ing_per_capita!V194*100/Gasto_o_ing_per_capita!$D194</f>
        <v>0</v>
      </c>
    </row>
    <row r="195" spans="1:22" s="102" customFormat="1" ht="13.15">
      <c r="A195" s="355" t="str">
        <f>IF(B195="","",(IF(ISERROR(MATCH(B195,Tot_res!C:C,0)),"Eliminar!!!","")))</f>
        <v/>
      </c>
      <c r="B195" s="115" t="s">
        <v>990</v>
      </c>
      <c r="C195" s="334" t="str">
        <f>VLOOKUP(B195,Tot_res!C:D,2,FALSE)</f>
        <v>ITP y AJD, sobreesfuerzo fiscal de las CCAARC</v>
      </c>
      <c r="D195" s="336">
        <f>Gasto_o_ing_per_capita!D195*100/Gasto_o_ing_per_capita!$D195</f>
        <v>99.999999999999986</v>
      </c>
      <c r="E195" s="336">
        <f>Gasto_o_ing_per_capita!E195*100/Gasto_o_ing_per_capita!$D195</f>
        <v>121.71260800382305</v>
      </c>
      <c r="F195" s="336">
        <f>Gasto_o_ing_per_capita!F195*100/Gasto_o_ing_per_capita!$D195</f>
        <v>0</v>
      </c>
      <c r="G195" s="336">
        <f>Gasto_o_ing_per_capita!G195*100/Gasto_o_ing_per_capita!$D195</f>
        <v>66.117133108486286</v>
      </c>
      <c r="H195" s="336">
        <f>Gasto_o_ing_per_capita!H195*100/Gasto_o_ing_per_capita!$D195</f>
        <v>207.92216373087047</v>
      </c>
      <c r="I195" s="336">
        <f>Gasto_o_ing_per_capita!I195*100/Gasto_o_ing_per_capita!$D195</f>
        <v>-65.085441215811485</v>
      </c>
      <c r="J195" s="336">
        <f>Gasto_o_ing_per_capita!J195*100/Gasto_o_ing_per_capita!$D195</f>
        <v>110.05264985573709</v>
      </c>
      <c r="K195" s="336">
        <f>Gasto_o_ing_per_capita!K195*100/Gasto_o_ing_per_capita!$D195</f>
        <v>87.317382655783646</v>
      </c>
      <c r="L195" s="336">
        <f>Gasto_o_ing_per_capita!L195*100/Gasto_o_ing_per_capita!$D195</f>
        <v>67.92007883601768</v>
      </c>
      <c r="M195" s="336">
        <f>Gasto_o_ing_per_capita!M195*100/Gasto_o_ing_per_capita!$D195</f>
        <v>226.88423703506132</v>
      </c>
      <c r="N195" s="336">
        <f>Gasto_o_ing_per_capita!N195*100/Gasto_o_ing_per_capita!$D195</f>
        <v>171.35651028934501</v>
      </c>
      <c r="O195" s="336">
        <f>Gasto_o_ing_per_capita!O195*100/Gasto_o_ing_per_capita!$D195</f>
        <v>54.097388967609476</v>
      </c>
      <c r="P195" s="336">
        <f>Gasto_o_ing_per_capita!P195*100/Gasto_o_ing_per_capita!$D195</f>
        <v>137.70887630811512</v>
      </c>
      <c r="Q195" s="336">
        <f>Gasto_o_ing_per_capita!Q195*100/Gasto_o_ing_per_capita!$D195</f>
        <v>0</v>
      </c>
      <c r="R195" s="336">
        <f>Gasto_o_ing_per_capita!R195*100/Gasto_o_ing_per_capita!$D195</f>
        <v>44.14296118989283</v>
      </c>
      <c r="S195" s="336">
        <f>Gasto_o_ing_per_capita!S195*100/Gasto_o_ing_per_capita!$D195</f>
        <v>0</v>
      </c>
      <c r="T195" s="336">
        <f>Gasto_o_ing_per_capita!T195*100/Gasto_o_ing_per_capita!$D195</f>
        <v>0</v>
      </c>
      <c r="U195" s="336">
        <f>Gasto_o_ing_per_capita!U195*100/Gasto_o_ing_per_capita!$D195</f>
        <v>0</v>
      </c>
      <c r="V195" s="336">
        <f>Gasto_o_ing_per_capita!V195*100/Gasto_o_ing_per_capita!$D195</f>
        <v>0</v>
      </c>
    </row>
    <row r="196" spans="1:22" s="102" customFormat="1" ht="13.15">
      <c r="A196" s="355" t="str">
        <f>IF(B196="","",(IF(ISERROR(MATCH(B196,Tot_res!C:C,0)),"Eliminar!!!","")))</f>
        <v/>
      </c>
      <c r="B196" s="115" t="s">
        <v>991</v>
      </c>
      <c r="C196" s="334" t="str">
        <f>VLOOKUP(B196,Tot_res!C:D,2,FALSE)</f>
        <v>Tasas sobre el juego, sobreesfuerzo fiscal de las CCAARC</v>
      </c>
      <c r="D196" s="336">
        <f>Gasto_o_ing_per_capita!D196*100/Gasto_o_ing_per_capita!$D196</f>
        <v>100</v>
      </c>
      <c r="E196" s="336">
        <f>Gasto_o_ing_per_capita!E196*100/Gasto_o_ing_per_capita!$D196</f>
        <v>5.5607179844368984E+16</v>
      </c>
      <c r="F196" s="336">
        <f>Gasto_o_ing_per_capita!F196*100/Gasto_o_ing_per_capita!$D196</f>
        <v>2.4149052050037395E+17</v>
      </c>
      <c r="G196" s="336">
        <f>Gasto_o_ing_per_capita!G196*100/Gasto_o_ing_per_capita!$D196</f>
        <v>1.4029920584918637E+17</v>
      </c>
      <c r="H196" s="336">
        <f>Gasto_o_ing_per_capita!H196*100/Gasto_o_ing_per_capita!$D196</f>
        <v>-2.6948483330887181E+17</v>
      </c>
      <c r="I196" s="336">
        <f>Gasto_o_ing_per_capita!I196*100/Gasto_o_ing_per_capita!$D196</f>
        <v>3.5672648103502394E+17</v>
      </c>
      <c r="J196" s="336">
        <f>Gasto_o_ing_per_capita!J196*100/Gasto_o_ing_per_capita!$D196</f>
        <v>1.0406279331112413E+17</v>
      </c>
      <c r="K196" s="336">
        <f>Gasto_o_ing_per_capita!K196*100/Gasto_o_ing_per_capita!$D196</f>
        <v>5.0849340561952944E+16</v>
      </c>
      <c r="L196" s="336">
        <f>Gasto_o_ing_per_capita!L196*100/Gasto_o_ing_per_capita!$D196</f>
        <v>-9.5877503734561824E+16</v>
      </c>
      <c r="M196" s="336">
        <f>Gasto_o_ing_per_capita!M196*100/Gasto_o_ing_per_capita!$D196</f>
        <v>2.3150163665679549E+17</v>
      </c>
      <c r="N196" s="336">
        <f>Gasto_o_ing_per_capita!N196*100/Gasto_o_ing_per_capita!$D196</f>
        <v>-1.1028115373998616E+17</v>
      </c>
      <c r="O196" s="336">
        <f>Gasto_o_ing_per_capita!O196*100/Gasto_o_ing_per_capita!$D196</f>
        <v>1.9096630891909501E+17</v>
      </c>
      <c r="P196" s="336">
        <f>Gasto_o_ing_per_capita!P196*100/Gasto_o_ing_per_capita!$D196</f>
        <v>7217461295695572</v>
      </c>
      <c r="Q196" s="336">
        <f>Gasto_o_ing_per_capita!Q196*100/Gasto_o_ing_per_capita!$D196</f>
        <v>-4.4806042876992397E+17</v>
      </c>
      <c r="R196" s="336">
        <f>Gasto_o_ing_per_capita!R196*100/Gasto_o_ing_per_capita!$D196</f>
        <v>3.103961069320542E+16</v>
      </c>
      <c r="S196" s="336">
        <f>Gasto_o_ing_per_capita!S196*100/Gasto_o_ing_per_capita!$D196</f>
        <v>0</v>
      </c>
      <c r="T196" s="336">
        <f>Gasto_o_ing_per_capita!T196*100/Gasto_o_ing_per_capita!$D196</f>
        <v>0</v>
      </c>
      <c r="U196" s="336">
        <f>Gasto_o_ing_per_capita!U196*100/Gasto_o_ing_per_capita!$D196</f>
        <v>1.70849608469328E+17</v>
      </c>
      <c r="V196" s="336">
        <f>Gasto_o_ing_per_capita!V196*100/Gasto_o_ing_per_capita!$D196</f>
        <v>0</v>
      </c>
    </row>
    <row r="197" spans="1:22" s="102" customFormat="1" ht="13.15">
      <c r="A197" s="355" t="str">
        <f>IF(B197="","",(IF(ISERROR(MATCH(B197,Tot_res!C:C,0)),"Eliminar!!!","")))</f>
        <v/>
      </c>
      <c r="B197" s="115" t="s">
        <v>992</v>
      </c>
      <c r="C197" s="334" t="str">
        <f>VLOOKUP(B197,Tot_res!C:D,2,FALSE)</f>
        <v>IVMH, sobreesfuerzo fiscal de las CCAARC</v>
      </c>
      <c r="D197" s="336">
        <f>Gasto_o_ing_per_capita!D197*100/Gasto_o_ing_per_capita!$D197</f>
        <v>100.00000000000001</v>
      </c>
      <c r="E197" s="336">
        <f>Gasto_o_ing_per_capita!E197*100/Gasto_o_ing_per_capita!$D197</f>
        <v>126.48448330428359</v>
      </c>
      <c r="F197" s="336">
        <f>Gasto_o_ing_per_capita!F197*100/Gasto_o_ing_per_capita!$D197</f>
        <v>0</v>
      </c>
      <c r="G197" s="336">
        <f>Gasto_o_ing_per_capita!G197*100/Gasto_o_ing_per_capita!$D197</f>
        <v>68.589371902634369</v>
      </c>
      <c r="H197" s="336">
        <f>Gasto_o_ing_per_capita!H197*100/Gasto_o_ing_per_capita!$D197</f>
        <v>118.81846979616211</v>
      </c>
      <c r="I197" s="336">
        <f>Gasto_o_ing_per_capita!I197*100/Gasto_o_ing_per_capita!$D197</f>
        <v>0</v>
      </c>
      <c r="J197" s="336">
        <f>Gasto_o_ing_per_capita!J197*100/Gasto_o_ing_per_capita!$D197</f>
        <v>140.22052578350923</v>
      </c>
      <c r="K197" s="336">
        <f>Gasto_o_ing_per_capita!K197*100/Gasto_o_ing_per_capita!$D197</f>
        <v>173.89678760972183</v>
      </c>
      <c r="L197" s="336">
        <f>Gasto_o_ing_per_capita!L197*100/Gasto_o_ing_per_capita!$D197</f>
        <v>173.35174481054304</v>
      </c>
      <c r="M197" s="336">
        <f>Gasto_o_ing_per_capita!M197*100/Gasto_o_ing_per_capita!$D197</f>
        <v>149.36750003972799</v>
      </c>
      <c r="N197" s="336">
        <f>Gasto_o_ing_per_capita!N197*100/Gasto_o_ing_per_capita!$D197</f>
        <v>122.06093892331693</v>
      </c>
      <c r="O197" s="336">
        <f>Gasto_o_ing_per_capita!O197*100/Gasto_o_ing_per_capita!$D197</f>
        <v>156.13281567110556</v>
      </c>
      <c r="P197" s="336">
        <f>Gasto_o_ing_per_capita!P197*100/Gasto_o_ing_per_capita!$D197</f>
        <v>50.480016195572247</v>
      </c>
      <c r="Q197" s="336">
        <f>Gasto_o_ing_per_capita!Q197*100/Gasto_o_ing_per_capita!$D197</f>
        <v>47.303448378710527</v>
      </c>
      <c r="R197" s="336">
        <f>Gasto_o_ing_per_capita!R197*100/Gasto_o_ing_per_capita!$D197</f>
        <v>124.85214779947037</v>
      </c>
      <c r="S197" s="336">
        <f>Gasto_o_ing_per_capita!S197*100/Gasto_o_ing_per_capita!$D197</f>
        <v>0</v>
      </c>
      <c r="T197" s="336">
        <f>Gasto_o_ing_per_capita!T197*100/Gasto_o_ing_per_capita!$D197</f>
        <v>0</v>
      </c>
      <c r="U197" s="336">
        <f>Gasto_o_ing_per_capita!U197*100/Gasto_o_ing_per_capita!$D197</f>
        <v>0</v>
      </c>
      <c r="V197" s="336">
        <f>Gasto_o_ing_per_capita!V197*100/Gasto_o_ing_per_capita!$D197</f>
        <v>0</v>
      </c>
    </row>
    <row r="198" spans="1:22" s="102" customFormat="1" ht="13.15">
      <c r="A198" s="355" t="str">
        <f>IF(B198="","",(IF(ISERROR(MATCH(B198,Tot_res!C:C,0)),"Eliminar!!!","")))</f>
        <v/>
      </c>
      <c r="B198" s="115" t="s">
        <v>993</v>
      </c>
      <c r="C198" s="334" t="str">
        <f>VLOOKUP(B198,Tot_res!C:D,2,FALSE)</f>
        <v>Impuesto de matriculación, sobreesfuerzo fiscal de las CCAARC</v>
      </c>
      <c r="D198" s="336">
        <f>Gasto_o_ing_per_capita!D198*100/Gasto_o_ing_per_capita!$D198</f>
        <v>100</v>
      </c>
      <c r="E198" s="336">
        <f>Gasto_o_ing_per_capita!E198*100/Gasto_o_ing_per_capita!$D198</f>
        <v>229.73850036367537</v>
      </c>
      <c r="F198" s="336">
        <f>Gasto_o_ing_per_capita!F198*100/Gasto_o_ing_per_capita!$D198</f>
        <v>0</v>
      </c>
      <c r="G198" s="336">
        <f>Gasto_o_ing_per_capita!G198*100/Gasto_o_ing_per_capita!$D198</f>
        <v>91.3908965061039</v>
      </c>
      <c r="H198" s="336">
        <f>Gasto_o_ing_per_capita!H198*100/Gasto_o_ing_per_capita!$D198</f>
        <v>294.98423554816145</v>
      </c>
      <c r="I198" s="336">
        <f>Gasto_o_ing_per_capita!I198*100/Gasto_o_ing_per_capita!$D198</f>
        <v>0</v>
      </c>
      <c r="J198" s="336">
        <f>Gasto_o_ing_per_capita!J198*100/Gasto_o_ing_per_capita!$D198</f>
        <v>343.70206620100276</v>
      </c>
      <c r="K198" s="336">
        <f>Gasto_o_ing_per_capita!K198*100/Gasto_o_ing_per_capita!$D198</f>
        <v>0</v>
      </c>
      <c r="L198" s="336">
        <f>Gasto_o_ing_per_capita!L198*100/Gasto_o_ing_per_capita!$D198</f>
        <v>0</v>
      </c>
      <c r="M198" s="336">
        <f>Gasto_o_ing_per_capita!M198*100/Gasto_o_ing_per_capita!$D198</f>
        <v>197.78716412656982</v>
      </c>
      <c r="N198" s="336">
        <f>Gasto_o_ing_per_capita!N198*100/Gasto_o_ing_per_capita!$D198</f>
        <v>0</v>
      </c>
      <c r="O198" s="336">
        <f>Gasto_o_ing_per_capita!O198*100/Gasto_o_ing_per_capita!$D198</f>
        <v>583.45614676650882</v>
      </c>
      <c r="P198" s="336">
        <f>Gasto_o_ing_per_capita!P198*100/Gasto_o_ing_per_capita!$D198</f>
        <v>0</v>
      </c>
      <c r="Q198" s="336">
        <f>Gasto_o_ing_per_capita!Q198*100/Gasto_o_ing_per_capita!$D198</f>
        <v>0</v>
      </c>
      <c r="R198" s="336">
        <f>Gasto_o_ing_per_capita!R198*100/Gasto_o_ing_per_capita!$D198</f>
        <v>0</v>
      </c>
      <c r="S198" s="336">
        <f>Gasto_o_ing_per_capita!S198*100/Gasto_o_ing_per_capita!$D198</f>
        <v>0</v>
      </c>
      <c r="T198" s="336">
        <f>Gasto_o_ing_per_capita!T198*100/Gasto_o_ing_per_capita!$D198</f>
        <v>0</v>
      </c>
      <c r="U198" s="336">
        <f>Gasto_o_ing_per_capita!U198*100/Gasto_o_ing_per_capita!$D198</f>
        <v>0</v>
      </c>
      <c r="V198" s="336">
        <f>Gasto_o_ing_per_capita!V198*100/Gasto_o_ing_per_capita!$D198</f>
        <v>0</v>
      </c>
    </row>
    <row r="199" spans="1:22" s="102" customFormat="1" ht="13.15">
      <c r="A199" s="355" t="str">
        <f>IF(B199="","",(IF(ISERROR(MATCH(B199,Tot_res!C:C,0)),"Eliminar!!!","")))</f>
        <v/>
      </c>
      <c r="B199" s="115" t="s">
        <v>994</v>
      </c>
      <c r="C199" s="334" t="str">
        <f>VLOOKUP(B199,Tot_res!C:D,2,FALSE)</f>
        <v>IRPF, sobreesfuerzo fiscal de las comunidades forales</v>
      </c>
      <c r="D199" s="336">
        <f>Gasto_o_ing_per_capita!D199*100/Gasto_o_ing_per_capita!$D199</f>
        <v>100</v>
      </c>
      <c r="E199" s="336">
        <f>Gasto_o_ing_per_capita!E199*100/Gasto_o_ing_per_capita!$D199</f>
        <v>0</v>
      </c>
      <c r="F199" s="336">
        <f>Gasto_o_ing_per_capita!F199*100/Gasto_o_ing_per_capita!$D199</f>
        <v>0</v>
      </c>
      <c r="G199" s="336">
        <f>Gasto_o_ing_per_capita!G199*100/Gasto_o_ing_per_capita!$D199</f>
        <v>0</v>
      </c>
      <c r="H199" s="336">
        <f>Gasto_o_ing_per_capita!H199*100/Gasto_o_ing_per_capita!$D199</f>
        <v>0</v>
      </c>
      <c r="I199" s="336">
        <f>Gasto_o_ing_per_capita!I199*100/Gasto_o_ing_per_capita!$D199</f>
        <v>0</v>
      </c>
      <c r="J199" s="336">
        <f>Gasto_o_ing_per_capita!J199*100/Gasto_o_ing_per_capita!$D199</f>
        <v>0</v>
      </c>
      <c r="K199" s="336">
        <f>Gasto_o_ing_per_capita!K199*100/Gasto_o_ing_per_capita!$D199</f>
        <v>0</v>
      </c>
      <c r="L199" s="336">
        <f>Gasto_o_ing_per_capita!L199*100/Gasto_o_ing_per_capita!$D199</f>
        <v>0</v>
      </c>
      <c r="M199" s="336">
        <f>Gasto_o_ing_per_capita!M199*100/Gasto_o_ing_per_capita!$D199</f>
        <v>0</v>
      </c>
      <c r="N199" s="336">
        <f>Gasto_o_ing_per_capita!N199*100/Gasto_o_ing_per_capita!$D199</f>
        <v>0</v>
      </c>
      <c r="O199" s="336">
        <f>Gasto_o_ing_per_capita!O199*100/Gasto_o_ing_per_capita!$D199</f>
        <v>0</v>
      </c>
      <c r="P199" s="336">
        <f>Gasto_o_ing_per_capita!P199*100/Gasto_o_ing_per_capita!$D199</f>
        <v>0</v>
      </c>
      <c r="Q199" s="336">
        <f>Gasto_o_ing_per_capita!Q199*100/Gasto_o_ing_per_capita!$D199</f>
        <v>0</v>
      </c>
      <c r="R199" s="336">
        <f>Gasto_o_ing_per_capita!R199*100/Gasto_o_ing_per_capita!$D199</f>
        <v>0</v>
      </c>
      <c r="S199" s="336">
        <f>Gasto_o_ing_per_capita!S199*100/Gasto_o_ing_per_capita!$D199</f>
        <v>1916.0080948096904</v>
      </c>
      <c r="T199" s="336">
        <f>Gasto_o_ing_per_capita!T199*100/Gasto_o_ing_per_capita!$D199</f>
        <v>1581.3871321440849</v>
      </c>
      <c r="U199" s="336">
        <f>Gasto_o_ing_per_capita!U199*100/Gasto_o_ing_per_capita!$D199</f>
        <v>0</v>
      </c>
      <c r="V199" s="336">
        <f>Gasto_o_ing_per_capita!V199*100/Gasto_o_ing_per_capita!$D199</f>
        <v>0</v>
      </c>
    </row>
    <row r="200" spans="1:22" s="102" customFormat="1" ht="13.15">
      <c r="A200" s="355" t="str">
        <f>IF(B200="","",(IF(ISERROR(MATCH(B200,Tot_res!C:C,0)),"Eliminar!!!","")))</f>
        <v/>
      </c>
      <c r="B200" s="115" t="s">
        <v>995</v>
      </c>
      <c r="C200" s="334" t="str">
        <f>VLOOKUP(B200,Tot_res!C:D,2,FALSE)</f>
        <v>Sociedades, sobreesfuerzo fiscal de las comunidades forales</v>
      </c>
      <c r="D200" s="336">
        <f>Gasto_o_ing_per_capita!D200*100/Gasto_o_ing_per_capita!$D200</f>
        <v>100</v>
      </c>
      <c r="E200" s="336">
        <f>Gasto_o_ing_per_capita!E200*100/Gasto_o_ing_per_capita!$D200</f>
        <v>0</v>
      </c>
      <c r="F200" s="336">
        <f>Gasto_o_ing_per_capita!F200*100/Gasto_o_ing_per_capita!$D200</f>
        <v>0</v>
      </c>
      <c r="G200" s="336">
        <f>Gasto_o_ing_per_capita!G200*100/Gasto_o_ing_per_capita!$D200</f>
        <v>0</v>
      </c>
      <c r="H200" s="336">
        <f>Gasto_o_ing_per_capita!H200*100/Gasto_o_ing_per_capita!$D200</f>
        <v>0</v>
      </c>
      <c r="I200" s="336">
        <f>Gasto_o_ing_per_capita!I200*100/Gasto_o_ing_per_capita!$D200</f>
        <v>0</v>
      </c>
      <c r="J200" s="336">
        <f>Gasto_o_ing_per_capita!J200*100/Gasto_o_ing_per_capita!$D200</f>
        <v>0</v>
      </c>
      <c r="K200" s="336">
        <f>Gasto_o_ing_per_capita!K200*100/Gasto_o_ing_per_capita!$D200</f>
        <v>0</v>
      </c>
      <c r="L200" s="336">
        <f>Gasto_o_ing_per_capita!L200*100/Gasto_o_ing_per_capita!$D200</f>
        <v>0</v>
      </c>
      <c r="M200" s="336">
        <f>Gasto_o_ing_per_capita!M200*100/Gasto_o_ing_per_capita!$D200</f>
        <v>0</v>
      </c>
      <c r="N200" s="336">
        <f>Gasto_o_ing_per_capita!N200*100/Gasto_o_ing_per_capita!$D200</f>
        <v>0</v>
      </c>
      <c r="O200" s="336">
        <f>Gasto_o_ing_per_capita!O200*100/Gasto_o_ing_per_capita!$D200</f>
        <v>0</v>
      </c>
      <c r="P200" s="336">
        <f>Gasto_o_ing_per_capita!P200*100/Gasto_o_ing_per_capita!$D200</f>
        <v>0</v>
      </c>
      <c r="Q200" s="336">
        <f>Gasto_o_ing_per_capita!Q200*100/Gasto_o_ing_per_capita!$D200</f>
        <v>0</v>
      </c>
      <c r="R200" s="336">
        <f>Gasto_o_ing_per_capita!R200*100/Gasto_o_ing_per_capita!$D200</f>
        <v>0</v>
      </c>
      <c r="S200" s="336">
        <f>Gasto_o_ing_per_capita!S200*100/Gasto_o_ing_per_capita!$D200</f>
        <v>6440.1995501139854</v>
      </c>
      <c r="T200" s="336">
        <f>Gasto_o_ing_per_capita!T200*100/Gasto_o_ing_per_capita!$D200</f>
        <v>254.01073508295605</v>
      </c>
      <c r="U200" s="336">
        <f>Gasto_o_ing_per_capita!U200*100/Gasto_o_ing_per_capita!$D200</f>
        <v>0</v>
      </c>
      <c r="V200" s="336">
        <f>Gasto_o_ing_per_capita!V200*100/Gasto_o_ing_per_capita!$D200</f>
        <v>0</v>
      </c>
    </row>
    <row r="201" spans="1:22" s="102" customFormat="1" ht="13.15">
      <c r="A201" s="355" t="str">
        <f>IF(B201="","",(IF(ISERROR(MATCH(B201,Tot_res!C:C,0)),"Eliminar!!!","")))</f>
        <v/>
      </c>
      <c r="B201" s="115" t="s">
        <v>1122</v>
      </c>
      <c r="C201" s="334" t="str">
        <f>VLOOKUP(B201,Tot_res!C:D,2,FALSE)</f>
        <v>IH, sobreesfuerso fiscal de las comunidades forales</v>
      </c>
      <c r="D201" s="336">
        <f>Gasto_o_ing_per_capita!D201*100/Gasto_o_ing_per_capita!$D201</f>
        <v>100</v>
      </c>
      <c r="E201" s="336">
        <f>Gasto_o_ing_per_capita!E201*100/Gasto_o_ing_per_capita!$D201</f>
        <v>0</v>
      </c>
      <c r="F201" s="336">
        <f>Gasto_o_ing_per_capita!F201*100/Gasto_o_ing_per_capita!$D201</f>
        <v>0</v>
      </c>
      <c r="G201" s="336">
        <f>Gasto_o_ing_per_capita!G201*100/Gasto_o_ing_per_capita!$D201</f>
        <v>0</v>
      </c>
      <c r="H201" s="336">
        <f>Gasto_o_ing_per_capita!H201*100/Gasto_o_ing_per_capita!$D201</f>
        <v>0</v>
      </c>
      <c r="I201" s="336">
        <f>Gasto_o_ing_per_capita!I201*100/Gasto_o_ing_per_capita!$D201</f>
        <v>0</v>
      </c>
      <c r="J201" s="336">
        <f>Gasto_o_ing_per_capita!J201*100/Gasto_o_ing_per_capita!$D201</f>
        <v>0</v>
      </c>
      <c r="K201" s="336">
        <f>Gasto_o_ing_per_capita!K201*100/Gasto_o_ing_per_capita!$D201</f>
        <v>0</v>
      </c>
      <c r="L201" s="336">
        <f>Gasto_o_ing_per_capita!L201*100/Gasto_o_ing_per_capita!$D201</f>
        <v>0</v>
      </c>
      <c r="M201" s="336">
        <f>Gasto_o_ing_per_capita!M201*100/Gasto_o_ing_per_capita!$D201</f>
        <v>0</v>
      </c>
      <c r="N201" s="336">
        <f>Gasto_o_ing_per_capita!N201*100/Gasto_o_ing_per_capita!$D201</f>
        <v>0</v>
      </c>
      <c r="O201" s="336">
        <f>Gasto_o_ing_per_capita!O201*100/Gasto_o_ing_per_capita!$D201</f>
        <v>0</v>
      </c>
      <c r="P201" s="336">
        <f>Gasto_o_ing_per_capita!P201*100/Gasto_o_ing_per_capita!$D201</f>
        <v>0</v>
      </c>
      <c r="Q201" s="336">
        <f>Gasto_o_ing_per_capita!Q201*100/Gasto_o_ing_per_capita!$D201</f>
        <v>0</v>
      </c>
      <c r="R201" s="336">
        <f>Gasto_o_ing_per_capita!R201*100/Gasto_o_ing_per_capita!$D201</f>
        <v>0</v>
      </c>
      <c r="S201" s="336">
        <f>Gasto_o_ing_per_capita!S201*100/Gasto_o_ing_per_capita!$D201</f>
        <v>7305.9624187036625</v>
      </c>
      <c r="T201" s="336">
        <f>Gasto_o_ing_per_capita!T201*100/Gasto_o_ing_per_capita!$D201</f>
        <v>0</v>
      </c>
      <c r="U201" s="336">
        <f>Gasto_o_ing_per_capita!U201*100/Gasto_o_ing_per_capita!$D201</f>
        <v>0</v>
      </c>
      <c r="V201" s="336">
        <f>Gasto_o_ing_per_capita!V201*100/Gasto_o_ing_per_capita!$D201</f>
        <v>0</v>
      </c>
    </row>
    <row r="202" spans="1:22" s="102" customFormat="1" ht="13.15">
      <c r="A202" s="355" t="str">
        <f>IF(B202="","",(IF(ISERROR(MATCH(B202,Tot_res!C:C,0)),"Eliminar!!!","")))</f>
        <v/>
      </c>
      <c r="B202" s="115" t="s">
        <v>996</v>
      </c>
      <c r="C202" s="334" t="str">
        <f>VLOOKUP(B202,Tot_res!C:D,2,FALSE)</f>
        <v>Sucesiones y donaciones, sobreesfuerzo fiscal de las comunidades forales</v>
      </c>
      <c r="D202" s="336">
        <f>Gasto_o_ing_per_capita!D202*100/Gasto_o_ing_per_capita!$D202</f>
        <v>100</v>
      </c>
      <c r="E202" s="336">
        <f>Gasto_o_ing_per_capita!E202*100/Gasto_o_ing_per_capita!$D202</f>
        <v>0</v>
      </c>
      <c r="F202" s="336">
        <f>Gasto_o_ing_per_capita!F202*100/Gasto_o_ing_per_capita!$D202</f>
        <v>0</v>
      </c>
      <c r="G202" s="336">
        <f>Gasto_o_ing_per_capita!G202*100/Gasto_o_ing_per_capita!$D202</f>
        <v>0</v>
      </c>
      <c r="H202" s="336">
        <f>Gasto_o_ing_per_capita!H202*100/Gasto_o_ing_per_capita!$D202</f>
        <v>0</v>
      </c>
      <c r="I202" s="336">
        <f>Gasto_o_ing_per_capita!I202*100/Gasto_o_ing_per_capita!$D202</f>
        <v>0</v>
      </c>
      <c r="J202" s="336">
        <f>Gasto_o_ing_per_capita!J202*100/Gasto_o_ing_per_capita!$D202</f>
        <v>0</v>
      </c>
      <c r="K202" s="336">
        <f>Gasto_o_ing_per_capita!K202*100/Gasto_o_ing_per_capita!$D202</f>
        <v>0</v>
      </c>
      <c r="L202" s="336">
        <f>Gasto_o_ing_per_capita!L202*100/Gasto_o_ing_per_capita!$D202</f>
        <v>0</v>
      </c>
      <c r="M202" s="336">
        <f>Gasto_o_ing_per_capita!M202*100/Gasto_o_ing_per_capita!$D202</f>
        <v>0</v>
      </c>
      <c r="N202" s="336">
        <f>Gasto_o_ing_per_capita!N202*100/Gasto_o_ing_per_capita!$D202</f>
        <v>0</v>
      </c>
      <c r="O202" s="336">
        <f>Gasto_o_ing_per_capita!O202*100/Gasto_o_ing_per_capita!$D202</f>
        <v>0</v>
      </c>
      <c r="P202" s="336">
        <f>Gasto_o_ing_per_capita!P202*100/Gasto_o_ing_per_capita!$D202</f>
        <v>0</v>
      </c>
      <c r="Q202" s="336">
        <f>Gasto_o_ing_per_capita!Q202*100/Gasto_o_ing_per_capita!$D202</f>
        <v>0</v>
      </c>
      <c r="R202" s="336">
        <f>Gasto_o_ing_per_capita!R202*100/Gasto_o_ing_per_capita!$D202</f>
        <v>0</v>
      </c>
      <c r="S202" s="336">
        <f>Gasto_o_ing_per_capita!S202*100/Gasto_o_ing_per_capita!$D202</f>
        <v>-11895.339870950846</v>
      </c>
      <c r="T202" s="336">
        <f>Gasto_o_ing_per_capita!T202*100/Gasto_o_ing_per_capita!$D202</f>
        <v>5633.5713693639309</v>
      </c>
      <c r="U202" s="336">
        <f>Gasto_o_ing_per_capita!U202*100/Gasto_o_ing_per_capita!$D202</f>
        <v>0</v>
      </c>
      <c r="V202" s="336">
        <f>Gasto_o_ing_per_capita!V202*100/Gasto_o_ing_per_capita!$D202</f>
        <v>0</v>
      </c>
    </row>
    <row r="203" spans="1:22" s="102" customFormat="1" ht="13.15">
      <c r="A203" s="355" t="str">
        <f>IF(B203="","",(IF(ISERROR(MATCH(B203,Tot_res!C:C,0)),"Eliminar!!!","")))</f>
        <v/>
      </c>
      <c r="B203" s="115" t="s">
        <v>1107</v>
      </c>
      <c r="C203" s="334" t="s">
        <v>1108</v>
      </c>
      <c r="D203" s="336">
        <f>Gasto_o_ing_per_capita!D203*100/Gasto_o_ing_per_capita!$D203</f>
        <v>100</v>
      </c>
      <c r="E203" s="336">
        <f>Gasto_o_ing_per_capita!E203*100/Gasto_o_ing_per_capita!$D203</f>
        <v>0</v>
      </c>
      <c r="F203" s="336">
        <f>Gasto_o_ing_per_capita!F203*100/Gasto_o_ing_per_capita!$D203</f>
        <v>0</v>
      </c>
      <c r="G203" s="336">
        <f>Gasto_o_ing_per_capita!G203*100/Gasto_o_ing_per_capita!$D203</f>
        <v>0</v>
      </c>
      <c r="H203" s="336">
        <f>Gasto_o_ing_per_capita!H203*100/Gasto_o_ing_per_capita!$D203</f>
        <v>0</v>
      </c>
      <c r="I203" s="336">
        <f>Gasto_o_ing_per_capita!I203*100/Gasto_o_ing_per_capita!$D203</f>
        <v>0</v>
      </c>
      <c r="J203" s="336">
        <f>Gasto_o_ing_per_capita!J203*100/Gasto_o_ing_per_capita!$D203</f>
        <v>0</v>
      </c>
      <c r="K203" s="336">
        <f>Gasto_o_ing_per_capita!K203*100/Gasto_o_ing_per_capita!$D203</f>
        <v>0</v>
      </c>
      <c r="L203" s="336">
        <f>Gasto_o_ing_per_capita!L203*100/Gasto_o_ing_per_capita!$D203</f>
        <v>0</v>
      </c>
      <c r="M203" s="336">
        <f>Gasto_o_ing_per_capita!M203*100/Gasto_o_ing_per_capita!$D203</f>
        <v>0</v>
      </c>
      <c r="N203" s="336">
        <f>Gasto_o_ing_per_capita!N203*100/Gasto_o_ing_per_capita!$D203</f>
        <v>0</v>
      </c>
      <c r="O203" s="336">
        <f>Gasto_o_ing_per_capita!O203*100/Gasto_o_ing_per_capita!$D203</f>
        <v>0</v>
      </c>
      <c r="P203" s="336">
        <f>Gasto_o_ing_per_capita!P203*100/Gasto_o_ing_per_capita!$D203</f>
        <v>0</v>
      </c>
      <c r="Q203" s="336">
        <f>Gasto_o_ing_per_capita!Q203*100/Gasto_o_ing_per_capita!$D203</f>
        <v>0</v>
      </c>
      <c r="R203" s="336">
        <f>Gasto_o_ing_per_capita!R203*100/Gasto_o_ing_per_capita!$D203</f>
        <v>0</v>
      </c>
      <c r="S203" s="336">
        <f>Gasto_o_ing_per_capita!S203*100/Gasto_o_ing_per_capita!$D203</f>
        <v>7305.9624187036625</v>
      </c>
      <c r="T203" s="336">
        <f>Gasto_o_ing_per_capita!T203*100/Gasto_o_ing_per_capita!$D203</f>
        <v>0</v>
      </c>
      <c r="U203" s="336">
        <f>Gasto_o_ing_per_capita!U203*100/Gasto_o_ing_per_capita!$D203</f>
        <v>0</v>
      </c>
      <c r="V203" s="336">
        <f>Gasto_o_ing_per_capita!V203*100/Gasto_o_ing_per_capita!$D203</f>
        <v>0</v>
      </c>
    </row>
    <row r="204" spans="1:22" s="102" customFormat="1" ht="13.15">
      <c r="A204" s="355" t="str">
        <f>IF(B204="","",(IF(ISERROR(MATCH(B204,Tot_res!C:C,0)),"Eliminar!!!","")))</f>
        <v/>
      </c>
      <c r="B204" s="115" t="s">
        <v>997</v>
      </c>
      <c r="C204" s="334" t="str">
        <f>VLOOKUP(B204,Tot_res!C:D,2,FALSE)</f>
        <v>ITP y AJD, sobreesfuerzo fiscal de las comunidades forales</v>
      </c>
      <c r="D204" s="336">
        <f>Gasto_o_ing_per_capita!D204*100/Gasto_o_ing_per_capita!$D204</f>
        <v>100</v>
      </c>
      <c r="E204" s="336">
        <f>Gasto_o_ing_per_capita!E204*100/Gasto_o_ing_per_capita!$D204</f>
        <v>0</v>
      </c>
      <c r="F204" s="336">
        <f>Gasto_o_ing_per_capita!F204*100/Gasto_o_ing_per_capita!$D204</f>
        <v>0</v>
      </c>
      <c r="G204" s="336">
        <f>Gasto_o_ing_per_capita!G204*100/Gasto_o_ing_per_capita!$D204</f>
        <v>0</v>
      </c>
      <c r="H204" s="336">
        <f>Gasto_o_ing_per_capita!H204*100/Gasto_o_ing_per_capita!$D204</f>
        <v>0</v>
      </c>
      <c r="I204" s="336">
        <f>Gasto_o_ing_per_capita!I204*100/Gasto_o_ing_per_capita!$D204</f>
        <v>0</v>
      </c>
      <c r="J204" s="336">
        <f>Gasto_o_ing_per_capita!J204*100/Gasto_o_ing_per_capita!$D204</f>
        <v>0</v>
      </c>
      <c r="K204" s="336">
        <f>Gasto_o_ing_per_capita!K204*100/Gasto_o_ing_per_capita!$D204</f>
        <v>0</v>
      </c>
      <c r="L204" s="336">
        <f>Gasto_o_ing_per_capita!L204*100/Gasto_o_ing_per_capita!$D204</f>
        <v>0</v>
      </c>
      <c r="M204" s="336">
        <f>Gasto_o_ing_per_capita!M204*100/Gasto_o_ing_per_capita!$D204</f>
        <v>0</v>
      </c>
      <c r="N204" s="336">
        <f>Gasto_o_ing_per_capita!N204*100/Gasto_o_ing_per_capita!$D204</f>
        <v>0</v>
      </c>
      <c r="O204" s="336">
        <f>Gasto_o_ing_per_capita!O204*100/Gasto_o_ing_per_capita!$D204</f>
        <v>0</v>
      </c>
      <c r="P204" s="336">
        <f>Gasto_o_ing_per_capita!P204*100/Gasto_o_ing_per_capita!$D204</f>
        <v>0</v>
      </c>
      <c r="Q204" s="336">
        <f>Gasto_o_ing_per_capita!Q204*100/Gasto_o_ing_per_capita!$D204</f>
        <v>0</v>
      </c>
      <c r="R204" s="336">
        <f>Gasto_o_ing_per_capita!R204*100/Gasto_o_ing_per_capita!$D204</f>
        <v>0</v>
      </c>
      <c r="S204" s="336">
        <f>Gasto_o_ing_per_capita!S204*100/Gasto_o_ing_per_capita!$D204</f>
        <v>998.07361352389717</v>
      </c>
      <c r="T204" s="336">
        <f>Gasto_o_ing_per_capita!T204*100/Gasto_o_ing_per_capita!$D204</f>
        <v>1850.7047718913532</v>
      </c>
      <c r="U204" s="336">
        <f>Gasto_o_ing_per_capita!U204*100/Gasto_o_ing_per_capita!$D204</f>
        <v>0</v>
      </c>
      <c r="V204" s="336">
        <f>Gasto_o_ing_per_capita!V204*100/Gasto_o_ing_per_capita!$D204</f>
        <v>0</v>
      </c>
    </row>
    <row r="205" spans="1:22" s="102" customFormat="1" ht="13.15">
      <c r="A205" s="355" t="str">
        <f>IF(B205="","",(IF(ISERROR(MATCH(B205,Tot_res!C:C,0)),"Eliminar!!!","")))</f>
        <v/>
      </c>
      <c r="B205" s="115" t="s">
        <v>998</v>
      </c>
      <c r="C205" s="334" t="str">
        <f>VLOOKUP(B205,Tot_res!C:D,2,FALSE)</f>
        <v>Tasas juego, sobreesfuerzo fiscal de las comunidades forales</v>
      </c>
      <c r="D205" s="336">
        <f>Gasto_o_ing_per_capita!D205*100/Gasto_o_ing_per_capita!$D205</f>
        <v>100</v>
      </c>
      <c r="E205" s="336">
        <f>Gasto_o_ing_per_capita!E205*100/Gasto_o_ing_per_capita!$D205</f>
        <v>0</v>
      </c>
      <c r="F205" s="336">
        <f>Gasto_o_ing_per_capita!F205*100/Gasto_o_ing_per_capita!$D205</f>
        <v>0</v>
      </c>
      <c r="G205" s="336">
        <f>Gasto_o_ing_per_capita!G205*100/Gasto_o_ing_per_capita!$D205</f>
        <v>0</v>
      </c>
      <c r="H205" s="336">
        <f>Gasto_o_ing_per_capita!H205*100/Gasto_o_ing_per_capita!$D205</f>
        <v>0</v>
      </c>
      <c r="I205" s="336">
        <f>Gasto_o_ing_per_capita!I205*100/Gasto_o_ing_per_capita!$D205</f>
        <v>0</v>
      </c>
      <c r="J205" s="336">
        <f>Gasto_o_ing_per_capita!J205*100/Gasto_o_ing_per_capita!$D205</f>
        <v>0</v>
      </c>
      <c r="K205" s="336">
        <f>Gasto_o_ing_per_capita!K205*100/Gasto_o_ing_per_capita!$D205</f>
        <v>0</v>
      </c>
      <c r="L205" s="336">
        <f>Gasto_o_ing_per_capita!L205*100/Gasto_o_ing_per_capita!$D205</f>
        <v>0</v>
      </c>
      <c r="M205" s="336">
        <f>Gasto_o_ing_per_capita!M205*100/Gasto_o_ing_per_capita!$D205</f>
        <v>0</v>
      </c>
      <c r="N205" s="336">
        <f>Gasto_o_ing_per_capita!N205*100/Gasto_o_ing_per_capita!$D205</f>
        <v>0</v>
      </c>
      <c r="O205" s="336">
        <f>Gasto_o_ing_per_capita!O205*100/Gasto_o_ing_per_capita!$D205</f>
        <v>0</v>
      </c>
      <c r="P205" s="336">
        <f>Gasto_o_ing_per_capita!P205*100/Gasto_o_ing_per_capita!$D205</f>
        <v>0</v>
      </c>
      <c r="Q205" s="336">
        <f>Gasto_o_ing_per_capita!Q205*100/Gasto_o_ing_per_capita!$D205</f>
        <v>0</v>
      </c>
      <c r="R205" s="336">
        <f>Gasto_o_ing_per_capita!R205*100/Gasto_o_ing_per_capita!$D205</f>
        <v>0</v>
      </c>
      <c r="S205" s="336">
        <f>Gasto_o_ing_per_capita!S205*100/Gasto_o_ing_per_capita!$D205</f>
        <v>-662.37131840954737</v>
      </c>
      <c r="T205" s="336">
        <f>Gasto_o_ing_per_capita!T205*100/Gasto_o_ing_per_capita!$D205</f>
        <v>2337.8714696411039</v>
      </c>
      <c r="U205" s="336">
        <f>Gasto_o_ing_per_capita!U205*100/Gasto_o_ing_per_capita!$D205</f>
        <v>0</v>
      </c>
      <c r="V205" s="336">
        <f>Gasto_o_ing_per_capita!V205*100/Gasto_o_ing_per_capita!$D205</f>
        <v>0</v>
      </c>
    </row>
    <row r="206" spans="1:22" s="102" customFormat="1" ht="13.15">
      <c r="A206" s="355" t="str">
        <f>IF(B206="","",(IF(ISERROR(MATCH(B206,Tot_res!C:C,0)),"Eliminar!!!","")))</f>
        <v/>
      </c>
      <c r="B206" s="115" t="s">
        <v>237</v>
      </c>
      <c r="C206" s="334" t="str">
        <f>VLOOKUP(B206,Tot_res!C:D,2,FALSE)</f>
        <v xml:space="preserve"> Ingresos por tributos propios de las comunidades autónomas y patrimonio</v>
      </c>
      <c r="D206" s="336">
        <f>Gasto_o_ing_per_capita!D206*100/Gasto_o_ing_per_capita!$D206</f>
        <v>100</v>
      </c>
      <c r="E206" s="336">
        <f>Gasto_o_ing_per_capita!E206*100/Gasto_o_ing_per_capita!$D206</f>
        <v>66.04704943311171</v>
      </c>
      <c r="F206" s="336">
        <f>Gasto_o_ing_per_capita!F206*100/Gasto_o_ing_per_capita!$D206</f>
        <v>95.096583005026446</v>
      </c>
      <c r="G206" s="336">
        <f>Gasto_o_ing_per_capita!G206*100/Gasto_o_ing_per_capita!$D206</f>
        <v>168.9432017838551</v>
      </c>
      <c r="H206" s="336">
        <f>Gasto_o_ing_per_capita!H206*100/Gasto_o_ing_per_capita!$D206</f>
        <v>183.03691623974174</v>
      </c>
      <c r="I206" s="336">
        <f>Gasto_o_ing_per_capita!I206*100/Gasto_o_ing_per_capita!$D206</f>
        <v>62.32320477590126</v>
      </c>
      <c r="J206" s="336">
        <f>Gasto_o_ing_per_capita!J206*100/Gasto_o_ing_per_capita!$D206</f>
        <v>111.50498766936931</v>
      </c>
      <c r="K206" s="336">
        <f>Gasto_o_ing_per_capita!K206*100/Gasto_o_ing_per_capita!$D206</f>
        <v>71.109701471049917</v>
      </c>
      <c r="L206" s="336">
        <f>Gasto_o_ing_per_capita!L206*100/Gasto_o_ing_per_capita!$D206</f>
        <v>-141.28060517765266</v>
      </c>
      <c r="M206" s="336">
        <f>Gasto_o_ing_per_capita!M206*100/Gasto_o_ing_per_capita!$D206</f>
        <v>249.96876374464992</v>
      </c>
      <c r="N206" s="336">
        <f>Gasto_o_ing_per_capita!N206*100/Gasto_o_ing_per_capita!$D206</f>
        <v>119.94530545587327</v>
      </c>
      <c r="O206" s="336">
        <f>Gasto_o_ing_per_capita!O206*100/Gasto_o_ing_per_capita!$D206</f>
        <v>250.21747138308109</v>
      </c>
      <c r="P206" s="336">
        <f>Gasto_o_ing_per_capita!P206*100/Gasto_o_ing_per_capita!$D206</f>
        <v>79.112106740153237</v>
      </c>
      <c r="Q206" s="336">
        <f>Gasto_o_ing_per_capita!Q206*100/Gasto_o_ing_per_capita!$D206</f>
        <v>9.2880823752645654</v>
      </c>
      <c r="R206" s="336">
        <f>Gasto_o_ing_per_capita!R206*100/Gasto_o_ing_per_capita!$D206</f>
        <v>83.968353558685195</v>
      </c>
      <c r="S206" s="336">
        <f>Gasto_o_ing_per_capita!S206*100/Gasto_o_ing_per_capita!$D206</f>
        <v>135.13717167225155</v>
      </c>
      <c r="T206" s="336">
        <f>Gasto_o_ing_per_capita!T206*100/Gasto_o_ing_per_capita!$D206</f>
        <v>113.83192020795531</v>
      </c>
      <c r="U206" s="336">
        <f>Gasto_o_ing_per_capita!U206*100/Gasto_o_ing_per_capita!$D206</f>
        <v>138.696300180756</v>
      </c>
      <c r="V206" s="336">
        <f>Gasto_o_ing_per_capita!V206*100/Gasto_o_ing_per_capita!$D206</f>
        <v>0</v>
      </c>
    </row>
    <row r="207" spans="1:22" ht="13.15">
      <c r="A207" s="356"/>
      <c r="B207" s="9"/>
      <c r="C207" s="5"/>
      <c r="D207" s="19"/>
      <c r="E207" s="19"/>
      <c r="F207" s="19"/>
      <c r="G207" s="19"/>
      <c r="H207" s="19"/>
      <c r="I207" s="19"/>
      <c r="J207" s="19"/>
      <c r="K207" s="19"/>
      <c r="L207" s="19"/>
      <c r="M207" s="19"/>
      <c r="N207" s="19"/>
      <c r="O207" s="19"/>
      <c r="P207" s="19"/>
      <c r="Q207" s="19"/>
      <c r="R207" s="19"/>
      <c r="S207" s="19"/>
      <c r="T207" s="19"/>
      <c r="U207" s="19"/>
      <c r="V207" s="19"/>
    </row>
    <row r="208" spans="1:22" s="102" customFormat="1" ht="13.15">
      <c r="A208" s="356"/>
      <c r="B208" s="115"/>
      <c r="C208" s="128" t="s">
        <v>59</v>
      </c>
      <c r="D208" s="113">
        <f>Gasto_o_ing_per_capita!D208*100/Gasto_o_ing_per_capita!$D208</f>
        <v>100</v>
      </c>
      <c r="E208" s="113">
        <f>Gasto_o_ing_per_capita!E208*100/Gasto_o_ing_per_capita!$D208</f>
        <v>87.777165470784809</v>
      </c>
      <c r="F208" s="113">
        <f>Gasto_o_ing_per_capita!F208*100/Gasto_o_ing_per_capita!$D208</f>
        <v>108.00991759347778</v>
      </c>
      <c r="G208" s="113">
        <f>Gasto_o_ing_per_capita!G208*100/Gasto_o_ing_per_capita!$D208</f>
        <v>94.595100426553898</v>
      </c>
      <c r="H208" s="113">
        <f>Gasto_o_ing_per_capita!H208*100/Gasto_o_ing_per_capita!$D208</f>
        <v>106.38585837164116</v>
      </c>
      <c r="I208" s="113">
        <f>Gasto_o_ing_per_capita!I208*100/Gasto_o_ing_per_capita!$D208</f>
        <v>115.84256286999043</v>
      </c>
      <c r="J208" s="113">
        <f>Gasto_o_ing_per_capita!J208*100/Gasto_o_ing_per_capita!$D208</f>
        <v>98.898418638602706</v>
      </c>
      <c r="K208" s="113">
        <f>Gasto_o_ing_per_capita!K208*100/Gasto_o_ing_per_capita!$D208</f>
        <v>99.256883304748641</v>
      </c>
      <c r="L208" s="113">
        <f>Gasto_o_ing_per_capita!L208*100/Gasto_o_ing_per_capita!$D208</f>
        <v>90.660557101929768</v>
      </c>
      <c r="M208" s="113">
        <f>Gasto_o_ing_per_capita!M208*100/Gasto_o_ing_per_capita!$D208</f>
        <v>115.33416499082128</v>
      </c>
      <c r="N208" s="113">
        <f>Gasto_o_ing_per_capita!N208*100/Gasto_o_ing_per_capita!$D208</f>
        <v>92.735342037056412</v>
      </c>
      <c r="O208" s="113">
        <f>Gasto_o_ing_per_capita!O208*100/Gasto_o_ing_per_capita!$D208</f>
        <v>84.113235192264057</v>
      </c>
      <c r="P208" s="113">
        <f>Gasto_o_ing_per_capita!P208*100/Gasto_o_ing_per_capita!$D208</f>
        <v>82.186640982661615</v>
      </c>
      <c r="Q208" s="113">
        <f>Gasto_o_ing_per_capita!Q208*100/Gasto_o_ing_per_capita!$D208</f>
        <v>116.21657169584348</v>
      </c>
      <c r="R208" s="113">
        <f>Gasto_o_ing_per_capita!R208*100/Gasto_o_ing_per_capita!$D208</f>
        <v>85.858785280459628</v>
      </c>
      <c r="S208" s="113">
        <f>Gasto_o_ing_per_capita!S208*100/Gasto_o_ing_per_capita!$D208</f>
        <v>95.236646436623971</v>
      </c>
      <c r="T208" s="113">
        <f>Gasto_o_ing_per_capita!T208*100/Gasto_o_ing_per_capita!$D208</f>
        <v>98.388107388480478</v>
      </c>
      <c r="U208" s="113">
        <f>Gasto_o_ing_per_capita!U208*100/Gasto_o_ing_per_capita!$D208</f>
        <v>97.41541758153636</v>
      </c>
      <c r="V208" s="113">
        <f>Gasto_o_ing_per_capita!V208*100/Gasto_o_ing_per_capita!$D208</f>
        <v>43.66544988316457</v>
      </c>
    </row>
    <row r="209" spans="1:22" s="102" customFormat="1" ht="13.15">
      <c r="A209" s="356"/>
      <c r="B209" s="115"/>
      <c r="D209" s="110"/>
      <c r="E209" s="110"/>
      <c r="F209" s="110"/>
      <c r="G209" s="110"/>
      <c r="H209" s="110"/>
      <c r="I209" s="110"/>
      <c r="J209" s="110"/>
      <c r="K209" s="110"/>
      <c r="L209" s="110"/>
      <c r="M209" s="110"/>
      <c r="N209" s="110"/>
      <c r="O209" s="110"/>
      <c r="P209" s="110"/>
      <c r="Q209" s="110"/>
      <c r="R209" s="110"/>
      <c r="S209" s="110"/>
      <c r="T209" s="110"/>
      <c r="U209" s="110"/>
      <c r="V209" s="110"/>
    </row>
    <row r="210" spans="1:22" s="102" customFormat="1" ht="13.15">
      <c r="A210" s="356"/>
      <c r="B210" s="115"/>
      <c r="C210" s="117" t="s">
        <v>54</v>
      </c>
      <c r="D210" s="110">
        <f>Gasto_o_ing_per_capita!D210*100/Gasto_o_ing_per_capita!$D210</f>
        <v>100.00000000000001</v>
      </c>
      <c r="E210" s="110">
        <f>Gasto_o_ing_per_capita!E210*100/Gasto_o_ing_per_capita!$D210</f>
        <v>97.873750199240575</v>
      </c>
      <c r="F210" s="110">
        <f>Gasto_o_ing_per_capita!F210*100/Gasto_o_ing_per_capita!$D210</f>
        <v>115.45837363298999</v>
      </c>
      <c r="G210" s="110">
        <f>Gasto_o_ing_per_capita!G210*100/Gasto_o_ing_per_capita!$D210</f>
        <v>111.81623491951957</v>
      </c>
      <c r="H210" s="110">
        <f>Gasto_o_ing_per_capita!H210*100/Gasto_o_ing_per_capita!$D210</f>
        <v>76.869058046543785</v>
      </c>
      <c r="I210" s="110">
        <f>Gasto_o_ing_per_capita!I210*100/Gasto_o_ing_per_capita!$D210</f>
        <v>218.10540382382212</v>
      </c>
      <c r="J210" s="110">
        <f>Gasto_o_ing_per_capita!J210*100/Gasto_o_ing_per_capita!$D210</f>
        <v>98.870202828896225</v>
      </c>
      <c r="K210" s="110">
        <f>Gasto_o_ing_per_capita!K210*100/Gasto_o_ing_per_capita!$D210</f>
        <v>141.23663287806272</v>
      </c>
      <c r="L210" s="110">
        <f>Gasto_o_ing_per_capita!L210*100/Gasto_o_ing_per_capita!$D210</f>
        <v>122.45179778907546</v>
      </c>
      <c r="M210" s="110">
        <f>Gasto_o_ing_per_capita!M210*100/Gasto_o_ing_per_capita!$D210</f>
        <v>79.512440293438189</v>
      </c>
      <c r="N210" s="110">
        <f>Gasto_o_ing_per_capita!N210*100/Gasto_o_ing_per_capita!$D210</f>
        <v>84.237526002783909</v>
      </c>
      <c r="O210" s="110">
        <f>Gasto_o_ing_per_capita!O210*100/Gasto_o_ing_per_capita!$D210</f>
        <v>146.75400833603496</v>
      </c>
      <c r="P210" s="110">
        <f>Gasto_o_ing_per_capita!P210*100/Gasto_o_ing_per_capita!$D210</f>
        <v>112.05571693597099</v>
      </c>
      <c r="Q210" s="110">
        <f>Gasto_o_ing_per_capita!Q210*100/Gasto_o_ing_per_capita!$D210</f>
        <v>72.498947067051304</v>
      </c>
      <c r="R210" s="110">
        <f>Gasto_o_ing_per_capita!R210*100/Gasto_o_ing_per_capita!$D210</f>
        <v>79.068699515534178</v>
      </c>
      <c r="S210" s="110">
        <f>Gasto_o_ing_per_capita!S210*100/Gasto_o_ing_per_capita!$D210</f>
        <v>92.847229710187634</v>
      </c>
      <c r="T210" s="110">
        <f>Gasto_o_ing_per_capita!T210*100/Gasto_o_ing_per_capita!$D210</f>
        <v>93.240790899384038</v>
      </c>
      <c r="U210" s="110">
        <f>Gasto_o_ing_per_capita!U210*100/Gasto_o_ing_per_capita!$D210</f>
        <v>97.68913925130073</v>
      </c>
      <c r="V210" s="110">
        <f>Gasto_o_ing_per_capita!V210*100/Gasto_o_ing_per_capita!$D210</f>
        <v>38.273126608805136</v>
      </c>
    </row>
    <row r="211" spans="1:22" ht="13.15">
      <c r="A211" s="355" t="str">
        <f>IF(B211="","",(IF(ISERROR(MATCH(B211,Tot_res!C:C,0)),"Eliminar!!!","")))</f>
        <v/>
      </c>
      <c r="B211" s="145" t="s">
        <v>734</v>
      </c>
      <c r="C211" s="333" t="str">
        <f>VLOOKUP(B211,Tot_res!C:D,2,FALSE)</f>
        <v>Ajuste por competencias atípicas forales: financiación provincias</v>
      </c>
      <c r="D211" s="336">
        <f>Gasto_o_ing_per_capita!D211*100/Gasto_o_ing_per_capita!$D211</f>
        <v>100</v>
      </c>
      <c r="E211" s="336">
        <f>Gasto_o_ing_per_capita!E211*100/Gasto_o_ing_per_capita!$D211</f>
        <v>79.00159075637076</v>
      </c>
      <c r="F211" s="336">
        <f>Gasto_o_ing_per_capita!F211*100/Gasto_o_ing_per_capita!$D211</f>
        <v>87.822110657404281</v>
      </c>
      <c r="G211" s="336">
        <f>Gasto_o_ing_per_capita!G211*100/Gasto_o_ing_per_capita!$D211</f>
        <v>90.383267532324297</v>
      </c>
      <c r="H211" s="336">
        <f>Gasto_o_ing_per_capita!H211*100/Gasto_o_ing_per_capita!$D211</f>
        <v>108.25944575591724</v>
      </c>
      <c r="I211" s="336">
        <f>Gasto_o_ing_per_capita!I211*100/Gasto_o_ing_per_capita!$D211</f>
        <v>106.26414200915902</v>
      </c>
      <c r="J211" s="336">
        <f>Gasto_o_ing_per_capita!J211*100/Gasto_o_ing_per_capita!$D211</f>
        <v>85.38733157375917</v>
      </c>
      <c r="K211" s="336">
        <f>Gasto_o_ing_per_capita!K211*100/Gasto_o_ing_per_capita!$D211</f>
        <v>116.23450456580763</v>
      </c>
      <c r="L211" s="336">
        <f>Gasto_o_ing_per_capita!L211*100/Gasto_o_ing_per_capita!$D211</f>
        <v>91.662496904698443</v>
      </c>
      <c r="M211" s="336">
        <f>Gasto_o_ing_per_capita!M211*100/Gasto_o_ing_per_capita!$D211</f>
        <v>130.45539481759394</v>
      </c>
      <c r="N211" s="336">
        <f>Gasto_o_ing_per_capita!N211*100/Gasto_o_ing_per_capita!$D211</f>
        <v>77.704845329960577</v>
      </c>
      <c r="O211" s="336">
        <f>Gasto_o_ing_per_capita!O211*100/Gasto_o_ing_per_capita!$D211</f>
        <v>87.797766362977768</v>
      </c>
      <c r="P211" s="336">
        <f>Gasto_o_ing_per_capita!P211*100/Gasto_o_ing_per_capita!$D211</f>
        <v>92.169728343392435</v>
      </c>
      <c r="Q211" s="336">
        <f>Gasto_o_ing_per_capita!Q211*100/Gasto_o_ing_per_capita!$D211</f>
        <v>117.43264500404688</v>
      </c>
      <c r="R211" s="336">
        <f>Gasto_o_ing_per_capita!R211*100/Gasto_o_ing_per_capita!$D211</f>
        <v>85.737773907517919</v>
      </c>
      <c r="S211" s="336">
        <f>Gasto_o_ing_per_capita!S211*100/Gasto_o_ing_per_capita!$D211</f>
        <v>84.075049570252659</v>
      </c>
      <c r="T211" s="336">
        <f>Gasto_o_ing_per_capita!T211*100/Gasto_o_ing_per_capita!$D211</f>
        <v>91.219799661330214</v>
      </c>
      <c r="U211" s="336">
        <f>Gasto_o_ing_per_capita!U211*100/Gasto_o_ing_per_capita!$D211</f>
        <v>89.001340206270086</v>
      </c>
      <c r="V211" s="336">
        <f>Gasto_o_ing_per_capita!V211*100/Gasto_o_ing_per_capita!$D211</f>
        <v>252.38064129131942</v>
      </c>
    </row>
    <row r="212" spans="1:22" ht="13.15">
      <c r="A212" s="355" t="str">
        <f>IF(B212="","",(IF(ISERROR(MATCH(B212,Tot_res!C:C,0)),"Eliminar!!!","")))</f>
        <v/>
      </c>
      <c r="B212" s="115" t="s">
        <v>735</v>
      </c>
      <c r="C212" s="333" t="str">
        <f>VLOOKUP(B212,Tot_res!C:D,2,FALSE)</f>
        <v xml:space="preserve">Transferencias a CC.LL. por participación en ingresos Estado, participación de las provincias y entes asimilados  </v>
      </c>
      <c r="D212" s="336">
        <f>Gasto_o_ing_per_capita!D212*100/Gasto_o_ing_per_capita!$D212</f>
        <v>100</v>
      </c>
      <c r="E212" s="336">
        <f>Gasto_o_ing_per_capita!E212*100/Gasto_o_ing_per_capita!$D212</f>
        <v>105.79860531636481</v>
      </c>
      <c r="F212" s="336">
        <f>Gasto_o_ing_per_capita!F212*100/Gasto_o_ing_per_capita!$D212</f>
        <v>144.01729773131632</v>
      </c>
      <c r="G212" s="336">
        <f>Gasto_o_ing_per_capita!G212*100/Gasto_o_ing_per_capita!$D212</f>
        <v>160.63559881527118</v>
      </c>
      <c r="H212" s="336">
        <f>Gasto_o_ing_per_capita!H212*100/Gasto_o_ing_per_capita!$D212</f>
        <v>82.767134592197422</v>
      </c>
      <c r="I212" s="336">
        <f>Gasto_o_ing_per_capita!I212*100/Gasto_o_ing_per_capita!$D212</f>
        <v>157.77427586592893</v>
      </c>
      <c r="J212" s="336">
        <f>Gasto_o_ing_per_capita!J212*100/Gasto_o_ing_per_capita!$D212</f>
        <v>0.14448319631726436</v>
      </c>
      <c r="K212" s="336">
        <f>Gasto_o_ing_per_capita!K212*100/Gasto_o_ing_per_capita!$D212</f>
        <v>203.19052796506602</v>
      </c>
      <c r="L212" s="336">
        <f>Gasto_o_ing_per_capita!L212*100/Gasto_o_ing_per_capita!$D212</f>
        <v>175.8883450273249</v>
      </c>
      <c r="M212" s="336">
        <f>Gasto_o_ing_per_capita!M212*100/Gasto_o_ing_per_capita!$D212</f>
        <v>90.426338039569487</v>
      </c>
      <c r="N212" s="336">
        <f>Gasto_o_ing_per_capita!N212*100/Gasto_o_ing_per_capita!$D212</f>
        <v>117.32471922682676</v>
      </c>
      <c r="O212" s="336">
        <f>Gasto_o_ing_per_capita!O212*100/Gasto_o_ing_per_capita!$D212</f>
        <v>213.57300094960209</v>
      </c>
      <c r="P212" s="336">
        <f>Gasto_o_ing_per_capita!P212*100/Gasto_o_ing_per_capita!$D212</f>
        <v>157.39126131004889</v>
      </c>
      <c r="Q212" s="336">
        <f>Gasto_o_ing_per_capita!Q212*100/Gasto_o_ing_per_capita!$D212</f>
        <v>2.192747873384707</v>
      </c>
      <c r="R212" s="336">
        <f>Gasto_o_ing_per_capita!R212*100/Gasto_o_ing_per_capita!$D212</f>
        <v>114.86663866401871</v>
      </c>
      <c r="S212" s="336">
        <f>Gasto_o_ing_per_capita!S212*100/Gasto_o_ing_per_capita!$D212</f>
        <v>0.12833836579090085</v>
      </c>
      <c r="T212" s="336">
        <f>Gasto_o_ing_per_capita!T212*100/Gasto_o_ing_per_capita!$D212</f>
        <v>0.10879960018619378</v>
      </c>
      <c r="U212" s="336">
        <f>Gasto_o_ing_per_capita!U212*100/Gasto_o_ing_per_capita!$D212</f>
        <v>1.7615138168916422</v>
      </c>
      <c r="V212" s="336">
        <f>Gasto_o_ing_per_capita!V212*100/Gasto_o_ing_per_capita!$D212</f>
        <v>61.509801723148605</v>
      </c>
    </row>
    <row r="213" spans="1:22" ht="13.15">
      <c r="A213" s="355" t="str">
        <f>IF(B213="","",(IF(ISERROR(MATCH(B213,Tot_res!C:C,0)),"Eliminar!!!","")))</f>
        <v/>
      </c>
      <c r="B213" s="102" t="s">
        <v>486</v>
      </c>
      <c r="C213" s="333" t="str">
        <f>VLOOKUP(B213,Tot_res!C:D,2,FALSE)</f>
        <v>Otros flujos de financiación local, reintegros parciales de saldos pendientes</v>
      </c>
      <c r="D213" s="336">
        <f>Gasto_o_ing_per_capita!D213*100/Gasto_o_ing_per_capita!$D213</f>
        <v>100</v>
      </c>
      <c r="E213" s="336">
        <f>Gasto_o_ing_per_capita!E213*100/Gasto_o_ing_per_capita!$D213</f>
        <v>92.636530573446365</v>
      </c>
      <c r="F213" s="336">
        <f>Gasto_o_ing_per_capita!F213*100/Gasto_o_ing_per_capita!$D213</f>
        <v>283.9363704143899</v>
      </c>
      <c r="G213" s="336">
        <f>Gasto_o_ing_per_capita!G213*100/Gasto_o_ing_per_capita!$D213</f>
        <v>295.42349910878028</v>
      </c>
      <c r="H213" s="336">
        <f>Gasto_o_ing_per_capita!H213*100/Gasto_o_ing_per_capita!$D213</f>
        <v>189.43550145402381</v>
      </c>
      <c r="I213" s="336">
        <f>Gasto_o_ing_per_capita!I213*100/Gasto_o_ing_per_capita!$D213</f>
        <v>91.395647017236016</v>
      </c>
      <c r="J213" s="336">
        <f>Gasto_o_ing_per_capita!J213*100/Gasto_o_ing_per_capita!$D213</f>
        <v>0</v>
      </c>
      <c r="K213" s="336">
        <f>Gasto_o_ing_per_capita!K213*100/Gasto_o_ing_per_capita!$D213</f>
        <v>181.29512976648309</v>
      </c>
      <c r="L213" s="336">
        <f>Gasto_o_ing_per_capita!L213*100/Gasto_o_ing_per_capita!$D213</f>
        <v>129.52183501834369</v>
      </c>
      <c r="M213" s="336">
        <f>Gasto_o_ing_per_capita!M213*100/Gasto_o_ing_per_capita!$D213</f>
        <v>64.759390663773061</v>
      </c>
      <c r="N213" s="336">
        <f>Gasto_o_ing_per_capita!N213*100/Gasto_o_ing_per_capita!$D213</f>
        <v>152.10277063973885</v>
      </c>
      <c r="O213" s="336">
        <f>Gasto_o_ing_per_capita!O213*100/Gasto_o_ing_per_capita!$D213</f>
        <v>108.25213236637546</v>
      </c>
      <c r="P213" s="336">
        <f>Gasto_o_ing_per_capita!P213*100/Gasto_o_ing_per_capita!$D213</f>
        <v>138.86928322481455</v>
      </c>
      <c r="Q213" s="336">
        <f>Gasto_o_ing_per_capita!Q213*100/Gasto_o_ing_per_capita!$D213</f>
        <v>0</v>
      </c>
      <c r="R213" s="336">
        <f>Gasto_o_ing_per_capita!R213*100/Gasto_o_ing_per_capita!$D213</f>
        <v>217.08393664772399</v>
      </c>
      <c r="S213" s="336">
        <f>Gasto_o_ing_per_capita!S213*100/Gasto_o_ing_per_capita!$D213</f>
        <v>0.20277575713612944</v>
      </c>
      <c r="T213" s="336">
        <f>Gasto_o_ing_per_capita!T213*100/Gasto_o_ing_per_capita!$D213</f>
        <v>0.17190426811291848</v>
      </c>
      <c r="U213" s="336">
        <f>Gasto_o_ing_per_capita!U213*100/Gasto_o_ing_per_capita!$D213</f>
        <v>0</v>
      </c>
      <c r="V213" s="336">
        <f>Gasto_o_ing_per_capita!V213*100/Gasto_o_ing_per_capita!$D213</f>
        <v>80.562241860077791</v>
      </c>
    </row>
    <row r="214" spans="1:22" ht="13.15">
      <c r="A214" s="355" t="str">
        <f>IF(B214="","",(IF(ISERROR(MATCH(B214,Tot_res!C:C,0)),"Eliminar!!!","")))</f>
        <v/>
      </c>
      <c r="B214" s="115" t="s">
        <v>238</v>
      </c>
      <c r="C214" s="333" t="str">
        <f>VLOOKUP(B214,Tot_res!C:D,2,FALSE)</f>
        <v>Hospitales provinciales asumidos por CCAA</v>
      </c>
      <c r="D214" s="336">
        <f>Gasto_o_ing_per_capita!D214*100/Gasto_o_ing_per_capita!$D214</f>
        <v>100</v>
      </c>
      <c r="E214" s="336">
        <f>Gasto_o_ing_per_capita!E214*100/Gasto_o_ing_per_capita!$D214</f>
        <v>388.71475828000047</v>
      </c>
      <c r="F214" s="336">
        <f>Gasto_o_ing_per_capita!F214*100/Gasto_o_ing_per_capita!$D214</f>
        <v>260.41549062816631</v>
      </c>
      <c r="G214" s="336">
        <f>Gasto_o_ing_per_capita!G214*100/Gasto_o_ing_per_capita!$D214</f>
        <v>0</v>
      </c>
      <c r="H214" s="336">
        <f>Gasto_o_ing_per_capita!H214*100/Gasto_o_ing_per_capita!$D214</f>
        <v>218.49875484531776</v>
      </c>
      <c r="I214" s="336">
        <f>Gasto_o_ing_per_capita!I214*100/Gasto_o_ing_per_capita!$D214</f>
        <v>0</v>
      </c>
      <c r="J214" s="336">
        <f>Gasto_o_ing_per_capita!J214*100/Gasto_o_ing_per_capita!$D214</f>
        <v>0</v>
      </c>
      <c r="K214" s="336">
        <f>Gasto_o_ing_per_capita!K214*100/Gasto_o_ing_per_capita!$D214</f>
        <v>0</v>
      </c>
      <c r="L214" s="336">
        <f>Gasto_o_ing_per_capita!L214*100/Gasto_o_ing_per_capita!$D214</f>
        <v>0</v>
      </c>
      <c r="M214" s="336">
        <f>Gasto_o_ing_per_capita!M214*100/Gasto_o_ing_per_capita!$D214</f>
        <v>110.34452275839303</v>
      </c>
      <c r="N214" s="336">
        <f>Gasto_o_ing_per_capita!N214*100/Gasto_o_ing_per_capita!$D214</f>
        <v>0</v>
      </c>
      <c r="O214" s="336">
        <f>Gasto_o_ing_per_capita!O214*100/Gasto_o_ing_per_capita!$D214</f>
        <v>0</v>
      </c>
      <c r="P214" s="336">
        <f>Gasto_o_ing_per_capita!P214*100/Gasto_o_ing_per_capita!$D214</f>
        <v>0</v>
      </c>
      <c r="Q214" s="336">
        <f>Gasto_o_ing_per_capita!Q214*100/Gasto_o_ing_per_capita!$D214</f>
        <v>0</v>
      </c>
      <c r="R214" s="336">
        <f>Gasto_o_ing_per_capita!R214*100/Gasto_o_ing_per_capita!$D214</f>
        <v>0</v>
      </c>
      <c r="S214" s="336">
        <f>Gasto_o_ing_per_capita!S214*100/Gasto_o_ing_per_capita!$D214</f>
        <v>0</v>
      </c>
      <c r="T214" s="336">
        <f>Gasto_o_ing_per_capita!T214*100/Gasto_o_ing_per_capita!$D214</f>
        <v>0</v>
      </c>
      <c r="U214" s="336">
        <f>Gasto_o_ing_per_capita!U214*100/Gasto_o_ing_per_capita!$D214</f>
        <v>0</v>
      </c>
      <c r="V214" s="336">
        <f>Gasto_o_ing_per_capita!V214*100/Gasto_o_ing_per_capita!$D214</f>
        <v>0</v>
      </c>
    </row>
    <row r="215" spans="1:22" ht="13.15">
      <c r="A215" s="355" t="str">
        <f>IF(B215="","",(IF(ISERROR(MATCH(B215,Tot_res!C:C,0)),"Eliminar!!!","")))</f>
        <v/>
      </c>
      <c r="B215" s="115" t="s">
        <v>239</v>
      </c>
      <c r="C215" s="333" t="str">
        <f>VLOOKUP(B215,Tot_res!C:D,2,FALSE)</f>
        <v>Participación provincial en ingresos del Estado integrada en Fondo de Suficiencia</v>
      </c>
      <c r="D215" s="336">
        <f>Gasto_o_ing_per_capita!D215*100/Gasto_o_ing_per_capita!$D215</f>
        <v>100</v>
      </c>
      <c r="E215" s="336">
        <f>Gasto_o_ing_per_capita!E215*100/Gasto_o_ing_per_capita!$D215</f>
        <v>0</v>
      </c>
      <c r="F215" s="336">
        <f>Gasto_o_ing_per_capita!F215*100/Gasto_o_ing_per_capita!$D215</f>
        <v>0</v>
      </c>
      <c r="G215" s="336">
        <f>Gasto_o_ing_per_capita!G215*100/Gasto_o_ing_per_capita!$D215</f>
        <v>0</v>
      </c>
      <c r="H215" s="336">
        <f>Gasto_o_ing_per_capita!H215*100/Gasto_o_ing_per_capita!$D215</f>
        <v>0</v>
      </c>
      <c r="I215" s="336">
        <f>Gasto_o_ing_per_capita!I215*100/Gasto_o_ing_per_capita!$D215</f>
        <v>0</v>
      </c>
      <c r="J215" s="336">
        <f>Gasto_o_ing_per_capita!J215*100/Gasto_o_ing_per_capita!$D215</f>
        <v>865.71448906324861</v>
      </c>
      <c r="K215" s="336">
        <f>Gasto_o_ing_per_capita!K215*100/Gasto_o_ing_per_capita!$D215</f>
        <v>0</v>
      </c>
      <c r="L215" s="336">
        <f>Gasto_o_ing_per_capita!L215*100/Gasto_o_ing_per_capita!$D215</f>
        <v>0</v>
      </c>
      <c r="M215" s="336">
        <f>Gasto_o_ing_per_capita!M215*100/Gasto_o_ing_per_capita!$D215</f>
        <v>0</v>
      </c>
      <c r="N215" s="336">
        <f>Gasto_o_ing_per_capita!N215*100/Gasto_o_ing_per_capita!$D215</f>
        <v>0</v>
      </c>
      <c r="O215" s="336">
        <f>Gasto_o_ing_per_capita!O215*100/Gasto_o_ing_per_capita!$D215</f>
        <v>0</v>
      </c>
      <c r="P215" s="336">
        <f>Gasto_o_ing_per_capita!P215*100/Gasto_o_ing_per_capita!$D215</f>
        <v>0</v>
      </c>
      <c r="Q215" s="336">
        <f>Gasto_o_ing_per_capita!Q215*100/Gasto_o_ing_per_capita!$D215</f>
        <v>604.60995816396326</v>
      </c>
      <c r="R215" s="336">
        <f>Gasto_o_ing_per_capita!R215*100/Gasto_o_ing_per_capita!$D215</f>
        <v>0</v>
      </c>
      <c r="S215" s="336">
        <f>Gasto_o_ing_per_capita!S215*100/Gasto_o_ing_per_capita!$D215</f>
        <v>0</v>
      </c>
      <c r="T215" s="336">
        <f>Gasto_o_ing_per_capita!T215*100/Gasto_o_ing_per_capita!$D215</f>
        <v>0</v>
      </c>
      <c r="U215" s="336">
        <f>Gasto_o_ing_per_capita!U215*100/Gasto_o_ing_per_capita!$D215</f>
        <v>839.90714537035626</v>
      </c>
      <c r="V215" s="336">
        <f>Gasto_o_ing_per_capita!V215*100/Gasto_o_ing_per_capita!$D215</f>
        <v>0</v>
      </c>
    </row>
    <row r="216" spans="1:22" ht="13.15">
      <c r="A216" s="355" t="str">
        <f>IF(B216="","",(IF(ISERROR(MATCH(B216,Tot_res!C:C,0)),"Eliminar!!!","")))</f>
        <v/>
      </c>
      <c r="B216" s="115" t="s">
        <v>240</v>
      </c>
      <c r="C216" s="333" t="str">
        <f>VLOOKUP(B216,Tot_res!C:D,2,FALSE)</f>
        <v>Participación de las provincias en el IRPF, IVA e Impuestos Especiales</v>
      </c>
      <c r="D216" s="336">
        <f>Gasto_o_ing_per_capita!D216*100/Gasto_o_ing_per_capita!$D216</f>
        <v>100</v>
      </c>
      <c r="E216" s="336">
        <f>Gasto_o_ing_per_capita!E216*100/Gasto_o_ing_per_capita!$D216</f>
        <v>108.74827902998366</v>
      </c>
      <c r="F216" s="336">
        <f>Gasto_o_ing_per_capita!F216*100/Gasto_o_ing_per_capita!$D216</f>
        <v>153.03479413481034</v>
      </c>
      <c r="G216" s="336">
        <f>Gasto_o_ing_per_capita!G216*100/Gasto_o_ing_per_capita!$D216</f>
        <v>149.65176829723066</v>
      </c>
      <c r="H216" s="336">
        <f>Gasto_o_ing_per_capita!H216*100/Gasto_o_ing_per_capita!$D216</f>
        <v>167.27050640618504</v>
      </c>
      <c r="I216" s="336">
        <f>Gasto_o_ing_per_capita!I216*100/Gasto_o_ing_per_capita!$D216</f>
        <v>43.861899235368348</v>
      </c>
      <c r="J216" s="336">
        <f>Gasto_o_ing_per_capita!J216*100/Gasto_o_ing_per_capita!$D216</f>
        <v>0</v>
      </c>
      <c r="K216" s="336">
        <f>Gasto_o_ing_per_capita!K216*100/Gasto_o_ing_per_capita!$D216</f>
        <v>145.99770684892727</v>
      </c>
      <c r="L216" s="336">
        <f>Gasto_o_ing_per_capita!L216*100/Gasto_o_ing_per_capita!$D216</f>
        <v>121.42525789728495</v>
      </c>
      <c r="M216" s="336">
        <f>Gasto_o_ing_per_capita!M216*100/Gasto_o_ing_per_capita!$D216</f>
        <v>164.0465760383716</v>
      </c>
      <c r="N216" s="336">
        <f>Gasto_o_ing_per_capita!N216*100/Gasto_o_ing_per_capita!$D216</f>
        <v>122.97124950610134</v>
      </c>
      <c r="O216" s="336">
        <f>Gasto_o_ing_per_capita!O216*100/Gasto_o_ing_per_capita!$D216</f>
        <v>110.91550815043725</v>
      </c>
      <c r="P216" s="336">
        <f>Gasto_o_ing_per_capita!P216*100/Gasto_o_ing_per_capita!$D216</f>
        <v>133.47746413751011</v>
      </c>
      <c r="Q216" s="336">
        <f>Gasto_o_ing_per_capita!Q216*100/Gasto_o_ing_per_capita!$D216</f>
        <v>0</v>
      </c>
      <c r="R216" s="336">
        <f>Gasto_o_ing_per_capita!R216*100/Gasto_o_ing_per_capita!$D216</f>
        <v>114.9951036056103</v>
      </c>
      <c r="S216" s="336">
        <f>Gasto_o_ing_per_capita!S216*100/Gasto_o_ing_per_capita!$D216</f>
        <v>0</v>
      </c>
      <c r="T216" s="336">
        <f>Gasto_o_ing_per_capita!T216*100/Gasto_o_ing_per_capita!$D216</f>
        <v>0</v>
      </c>
      <c r="U216" s="336">
        <f>Gasto_o_ing_per_capita!U216*100/Gasto_o_ing_per_capita!$D216</f>
        <v>0</v>
      </c>
      <c r="V216" s="336">
        <f>Gasto_o_ing_per_capita!V216*100/Gasto_o_ing_per_capita!$D216</f>
        <v>0</v>
      </c>
    </row>
    <row r="217" spans="1:22" ht="13.15">
      <c r="A217" s="355" t="str">
        <f>IF(B217="","",(IF(ISERROR(MATCH(B217,Tot_res!C:C,0)),"Eliminar!!!","")))</f>
        <v/>
      </c>
      <c r="B217" s="115" t="s">
        <v>740</v>
      </c>
      <c r="C217" s="333" t="str">
        <f>VLOOKUP(B217,Tot_res!C:D,2,FALSE)</f>
        <v>Recursos REF de los cabildos canarios</v>
      </c>
      <c r="D217" s="336">
        <f>Gasto_o_ing_per_capita!D217*100/Gasto_o_ing_per_capita!$D217</f>
        <v>100</v>
      </c>
      <c r="E217" s="336">
        <f>Gasto_o_ing_per_capita!E217*100/Gasto_o_ing_per_capita!$D217</f>
        <v>0</v>
      </c>
      <c r="F217" s="336">
        <f>Gasto_o_ing_per_capita!F217*100/Gasto_o_ing_per_capita!$D217</f>
        <v>0</v>
      </c>
      <c r="G217" s="336">
        <f>Gasto_o_ing_per_capita!G217*100/Gasto_o_ing_per_capita!$D217</f>
        <v>0</v>
      </c>
      <c r="H217" s="336">
        <f>Gasto_o_ing_per_capita!H217*100/Gasto_o_ing_per_capita!$D217</f>
        <v>0</v>
      </c>
      <c r="I217" s="336">
        <f>Gasto_o_ing_per_capita!I217*100/Gasto_o_ing_per_capita!$D217</f>
        <v>2223.3043068132692</v>
      </c>
      <c r="J217" s="336">
        <f>Gasto_o_ing_per_capita!J217*100/Gasto_o_ing_per_capita!$D217</f>
        <v>0</v>
      </c>
      <c r="K217" s="336">
        <f>Gasto_o_ing_per_capita!K217*100/Gasto_o_ing_per_capita!$D217</f>
        <v>0</v>
      </c>
      <c r="L217" s="336">
        <f>Gasto_o_ing_per_capita!L217*100/Gasto_o_ing_per_capita!$D217</f>
        <v>0</v>
      </c>
      <c r="M217" s="336">
        <f>Gasto_o_ing_per_capita!M217*100/Gasto_o_ing_per_capita!$D217</f>
        <v>0</v>
      </c>
      <c r="N217" s="336">
        <f>Gasto_o_ing_per_capita!N217*100/Gasto_o_ing_per_capita!$D217</f>
        <v>0</v>
      </c>
      <c r="O217" s="336">
        <f>Gasto_o_ing_per_capita!O217*100/Gasto_o_ing_per_capita!$D217</f>
        <v>0</v>
      </c>
      <c r="P217" s="336">
        <f>Gasto_o_ing_per_capita!P217*100/Gasto_o_ing_per_capita!$D217</f>
        <v>0</v>
      </c>
      <c r="Q217" s="336">
        <f>Gasto_o_ing_per_capita!Q217*100/Gasto_o_ing_per_capita!$D217</f>
        <v>0</v>
      </c>
      <c r="R217" s="336">
        <f>Gasto_o_ing_per_capita!R217*100/Gasto_o_ing_per_capita!$D217</f>
        <v>0</v>
      </c>
      <c r="S217" s="336">
        <f>Gasto_o_ing_per_capita!S217*100/Gasto_o_ing_per_capita!$D217</f>
        <v>0</v>
      </c>
      <c r="T217" s="336">
        <f>Gasto_o_ing_per_capita!T217*100/Gasto_o_ing_per_capita!$D217</f>
        <v>0</v>
      </c>
      <c r="U217" s="336">
        <f>Gasto_o_ing_per_capita!U217*100/Gasto_o_ing_per_capita!$D217</f>
        <v>0</v>
      </c>
      <c r="V217" s="336">
        <f>Gasto_o_ing_per_capita!V217*100/Gasto_o_ing_per_capita!$D217</f>
        <v>0</v>
      </c>
    </row>
    <row r="218" spans="1:22" ht="13.15">
      <c r="A218" s="355" t="str">
        <f>IF(B218="","",(IF(ISERROR(MATCH(B218,Tot_res!C:C,0)),"Eliminar!!!","")))</f>
        <v/>
      </c>
      <c r="B218" s="115" t="s">
        <v>243</v>
      </c>
      <c r="C218" s="333" t="str">
        <f>VLOOKUP(B218,Tot_res!C:D,2,FALSE)</f>
        <v>Recargo provincial sobre el IAE</v>
      </c>
      <c r="D218" s="336">
        <f>Gasto_o_ing_per_capita!D218*100/Gasto_o_ing_per_capita!$D218</f>
        <v>100</v>
      </c>
      <c r="E218" s="336">
        <f>Gasto_o_ing_per_capita!E218*100/Gasto_o_ing_per_capita!$D218</f>
        <v>93.568862168041747</v>
      </c>
      <c r="F218" s="336">
        <f>Gasto_o_ing_per_capita!F218*100/Gasto_o_ing_per_capita!$D218</f>
        <v>173.92528743301824</v>
      </c>
      <c r="G218" s="336">
        <f>Gasto_o_ing_per_capita!G218*100/Gasto_o_ing_per_capita!$D218</f>
        <v>184.49512295041623</v>
      </c>
      <c r="H218" s="336">
        <f>Gasto_o_ing_per_capita!H218*100/Gasto_o_ing_per_capita!$D218</f>
        <v>103.88734601082025</v>
      </c>
      <c r="I218" s="336">
        <f>Gasto_o_ing_per_capita!I218*100/Gasto_o_ing_per_capita!$D218</f>
        <v>59.315959664387577</v>
      </c>
      <c r="J218" s="336">
        <f>Gasto_o_ing_per_capita!J218*100/Gasto_o_ing_per_capita!$D218</f>
        <v>31.188876471859761</v>
      </c>
      <c r="K218" s="336">
        <f>Gasto_o_ing_per_capita!K218*100/Gasto_o_ing_per_capita!$D218</f>
        <v>129.45991804884417</v>
      </c>
      <c r="L218" s="336">
        <f>Gasto_o_ing_per_capita!L218*100/Gasto_o_ing_per_capita!$D218</f>
        <v>105.3389282612608</v>
      </c>
      <c r="M218" s="336">
        <f>Gasto_o_ing_per_capita!M218*100/Gasto_o_ing_per_capita!$D218</f>
        <v>100.22340418234981</v>
      </c>
      <c r="N218" s="336">
        <f>Gasto_o_ing_per_capita!N218*100/Gasto_o_ing_per_capita!$D218</f>
        <v>101.0481310984888</v>
      </c>
      <c r="O218" s="336">
        <f>Gasto_o_ing_per_capita!O218*100/Gasto_o_ing_per_capita!$D218</f>
        <v>131.11777213760655</v>
      </c>
      <c r="P218" s="336">
        <f>Gasto_o_ing_per_capita!P218*100/Gasto_o_ing_per_capita!$D218</f>
        <v>137.71532822904365</v>
      </c>
      <c r="Q218" s="336">
        <f>Gasto_o_ing_per_capita!Q218*100/Gasto_o_ing_per_capita!$D218</f>
        <v>115.22265111139215</v>
      </c>
      <c r="R218" s="336">
        <f>Gasto_o_ing_per_capita!R218*100/Gasto_o_ing_per_capita!$D218</f>
        <v>52.021062648728069</v>
      </c>
      <c r="S218" s="336">
        <f>Gasto_o_ing_per_capita!S218*100/Gasto_o_ing_per_capita!$D218</f>
        <v>0</v>
      </c>
      <c r="T218" s="336">
        <f>Gasto_o_ing_per_capita!T218*100/Gasto_o_ing_per_capita!$D218</f>
        <v>18.395181100980274</v>
      </c>
      <c r="U218" s="336">
        <f>Gasto_o_ing_per_capita!U218*100/Gasto_o_ing_per_capita!$D218</f>
        <v>66.101123615804127</v>
      </c>
      <c r="V218" s="336">
        <f>Gasto_o_ing_per_capita!V218*100/Gasto_o_ing_per_capita!$D218</f>
        <v>0</v>
      </c>
    </row>
    <row r="219" spans="1:22" ht="13.15">
      <c r="A219" s="355" t="str">
        <f>IF(B219="","",(IF(ISERROR(MATCH(B219,Tot_res!C:C,0)),"Eliminar!!!","")))</f>
        <v/>
      </c>
      <c r="B219" s="115" t="s">
        <v>229</v>
      </c>
      <c r="C219" s="333" t="str">
        <f>VLOOKUP(B219,Tot_res!C:D,2,FALSE)</f>
        <v>Ajuste por competencias atípicas forales: financiación provincias</v>
      </c>
      <c r="D219" s="336">
        <f>Gasto_o_ing_per_capita!D219*100/Gasto_o_ing_per_capita!$D219</f>
        <v>100</v>
      </c>
      <c r="E219" s="336">
        <f>Gasto_o_ing_per_capita!E219*100/Gasto_o_ing_per_capita!$D219</f>
        <v>0</v>
      </c>
      <c r="F219" s="336">
        <f>Gasto_o_ing_per_capita!F219*100/Gasto_o_ing_per_capita!$D219</f>
        <v>0</v>
      </c>
      <c r="G219" s="336">
        <f>Gasto_o_ing_per_capita!G219*100/Gasto_o_ing_per_capita!$D219</f>
        <v>0</v>
      </c>
      <c r="H219" s="336">
        <f>Gasto_o_ing_per_capita!H219*100/Gasto_o_ing_per_capita!$D219</f>
        <v>0</v>
      </c>
      <c r="I219" s="336">
        <f>Gasto_o_ing_per_capita!I219*100/Gasto_o_ing_per_capita!$D219</f>
        <v>0</v>
      </c>
      <c r="J219" s="336">
        <f>Gasto_o_ing_per_capita!J219*100/Gasto_o_ing_per_capita!$D219</f>
        <v>0</v>
      </c>
      <c r="K219" s="336">
        <f>Gasto_o_ing_per_capita!K219*100/Gasto_o_ing_per_capita!$D219</f>
        <v>0</v>
      </c>
      <c r="L219" s="336">
        <f>Gasto_o_ing_per_capita!L219*100/Gasto_o_ing_per_capita!$D219</f>
        <v>0</v>
      </c>
      <c r="M219" s="336">
        <f>Gasto_o_ing_per_capita!M219*100/Gasto_o_ing_per_capita!$D219</f>
        <v>0</v>
      </c>
      <c r="N219" s="336">
        <f>Gasto_o_ing_per_capita!N219*100/Gasto_o_ing_per_capita!$D219</f>
        <v>0</v>
      </c>
      <c r="O219" s="336">
        <f>Gasto_o_ing_per_capita!O219*100/Gasto_o_ing_per_capita!$D219</f>
        <v>0</v>
      </c>
      <c r="P219" s="336">
        <f>Gasto_o_ing_per_capita!P219*100/Gasto_o_ing_per_capita!$D219</f>
        <v>0</v>
      </c>
      <c r="Q219" s="336">
        <f>Gasto_o_ing_per_capita!Q219*100/Gasto_o_ing_per_capita!$D219</f>
        <v>0</v>
      </c>
      <c r="R219" s="336">
        <f>Gasto_o_ing_per_capita!R219*100/Gasto_o_ing_per_capita!$D219</f>
        <v>0</v>
      </c>
      <c r="S219" s="336">
        <f>Gasto_o_ing_per_capita!S219*100/Gasto_o_ing_per_capita!$D219</f>
        <v>1657.1321011303069</v>
      </c>
      <c r="T219" s="336">
        <f>Gasto_o_ing_per_capita!T219*100/Gasto_o_ing_per_capita!$D219</f>
        <v>1657.34012555087</v>
      </c>
      <c r="U219" s="336">
        <f>Gasto_o_ing_per_capita!U219*100/Gasto_o_ing_per_capita!$D219</f>
        <v>0</v>
      </c>
      <c r="V219" s="336">
        <f>Gasto_o_ing_per_capita!V219*100/Gasto_o_ing_per_capita!$D219</f>
        <v>0</v>
      </c>
    </row>
    <row r="220" spans="1:22" ht="13.15">
      <c r="A220" s="356"/>
      <c r="B220" s="9"/>
      <c r="D220" s="19"/>
      <c r="E220" s="19"/>
      <c r="F220" s="19"/>
      <c r="G220" s="19"/>
      <c r="H220" s="19"/>
      <c r="I220" s="19"/>
      <c r="J220" s="19"/>
      <c r="K220" s="19"/>
      <c r="L220" s="19"/>
      <c r="M220" s="19"/>
      <c r="N220" s="19"/>
      <c r="O220" s="19"/>
      <c r="P220" s="19"/>
      <c r="Q220" s="19"/>
      <c r="R220" s="19"/>
      <c r="S220" s="19"/>
      <c r="T220" s="19"/>
      <c r="U220" s="19"/>
      <c r="V220" s="19"/>
    </row>
    <row r="221" spans="1:22" s="102" customFormat="1" ht="13.15">
      <c r="A221" s="356"/>
      <c r="B221" s="115"/>
      <c r="C221" s="128" t="s">
        <v>477</v>
      </c>
      <c r="D221" s="113">
        <f>Gasto_o_ing_per_capita!D221*100/Gasto_o_ing_per_capita!$D221</f>
        <v>100</v>
      </c>
      <c r="E221" s="113">
        <f>Gasto_o_ing_per_capita!E221*100/Gasto_o_ing_per_capita!$D221</f>
        <v>85.52325952407287</v>
      </c>
      <c r="F221" s="113">
        <f>Gasto_o_ing_per_capita!F221*100/Gasto_o_ing_per_capita!$D221</f>
        <v>106.34716530517535</v>
      </c>
      <c r="G221" s="113">
        <f>Gasto_o_ing_per_capita!G221*100/Gasto_o_ing_per_capita!$D221</f>
        <v>90.750749243779424</v>
      </c>
      <c r="H221" s="113">
        <f>Gasto_o_ing_per_capita!H221*100/Gasto_o_ing_per_capita!$D221</f>
        <v>112.97502625067121</v>
      </c>
      <c r="I221" s="113">
        <f>Gasto_o_ing_per_capita!I221*100/Gasto_o_ing_per_capita!$D221</f>
        <v>93.013969682048995</v>
      </c>
      <c r="J221" s="113">
        <f>Gasto_o_ing_per_capita!J221*100/Gasto_o_ing_per_capita!$D221</f>
        <v>98.904717380503982</v>
      </c>
      <c r="K221" s="113">
        <f>Gasto_o_ing_per_capita!K221*100/Gasto_o_ing_per_capita!$D221</f>
        <v>89.885555301319656</v>
      </c>
      <c r="L221" s="113">
        <f>Gasto_o_ing_per_capita!L221*100/Gasto_o_ing_per_capita!$D221</f>
        <v>83.563655687715837</v>
      </c>
      <c r="M221" s="113">
        <f>Gasto_o_ing_per_capita!M221*100/Gasto_o_ing_per_capita!$D221</f>
        <v>123.33080944915574</v>
      </c>
      <c r="N221" s="113">
        <f>Gasto_o_ing_per_capita!N221*100/Gasto_o_ing_per_capita!$D221</f>
        <v>94.632347669043043</v>
      </c>
      <c r="O221" s="113">
        <f>Gasto_o_ing_per_capita!O221*100/Gasto_o_ing_per_capita!$D221</f>
        <v>70.129654120788899</v>
      </c>
      <c r="P221" s="113">
        <f>Gasto_o_ing_per_capita!P221*100/Gasto_o_ing_per_capita!$D221</f>
        <v>75.518833033284707</v>
      </c>
      <c r="Q221" s="113">
        <f>Gasto_o_ing_per_capita!Q221*100/Gasto_o_ing_per_capita!$D221</f>
        <v>125.97585335167382</v>
      </c>
      <c r="R221" s="113">
        <f>Gasto_o_ing_per_capita!R221*100/Gasto_o_ing_per_capita!$D221</f>
        <v>87.374566616015301</v>
      </c>
      <c r="S221" s="113">
        <f>Gasto_o_ing_per_capita!S221*100/Gasto_o_ing_per_capita!$D221</f>
        <v>95.770046661920915</v>
      </c>
      <c r="T221" s="113">
        <f>Gasto_o_ing_per_capita!T221*100/Gasto_o_ing_per_capita!$D221</f>
        <v>99.537165961889514</v>
      </c>
      <c r="U221" s="113">
        <f>Gasto_o_ing_per_capita!U221*100/Gasto_o_ing_per_capita!$D221</f>
        <v>97.354313464073059</v>
      </c>
      <c r="V221" s="113">
        <f>Gasto_o_ing_per_capita!V221*100/Gasto_o_ing_per_capita!$D221</f>
        <v>44.869202421428149</v>
      </c>
    </row>
    <row r="222" spans="1:22" s="102" customFormat="1" ht="13.15">
      <c r="A222" s="355" t="str">
        <f>IF(B222="","",(IF(ISERROR(MATCH(B222,Tot_res!C:C,0)),"Eliminar!!!","")))</f>
        <v/>
      </c>
      <c r="B222" s="115" t="s">
        <v>742</v>
      </c>
      <c r="C222" s="333" t="str">
        <f>VLOOKUP(B222,Tot_res!C:D,2,FALSE)</f>
        <v xml:space="preserve">Transferencias a CC.LL. por participación en ingresos Estado, parte correspondiente a los municipios (excluyendo provincias y entes asimilados) </v>
      </c>
      <c r="D222" s="336">
        <f>Gasto_o_ing_per_capita!D222*100/Gasto_o_ing_per_capita!$D222</f>
        <v>100</v>
      </c>
      <c r="E222" s="336">
        <f>Gasto_o_ing_per_capita!E222*100/Gasto_o_ing_per_capita!$D222</f>
        <v>100.74280740737449</v>
      </c>
      <c r="F222" s="336">
        <f>Gasto_o_ing_per_capita!F222*100/Gasto_o_ing_per_capita!$D222</f>
        <v>116.9061952047787</v>
      </c>
      <c r="G222" s="336">
        <f>Gasto_o_ing_per_capita!G222*100/Gasto_o_ing_per_capita!$D222</f>
        <v>90.646111386087455</v>
      </c>
      <c r="H222" s="336">
        <f>Gasto_o_ing_per_capita!H222*100/Gasto_o_ing_per_capita!$D222</f>
        <v>86.172165806319583</v>
      </c>
      <c r="I222" s="336">
        <f>Gasto_o_ing_per_capita!I222*100/Gasto_o_ing_per_capita!$D222</f>
        <v>93.944894635120704</v>
      </c>
      <c r="J222" s="336">
        <f>Gasto_o_ing_per_capita!J222*100/Gasto_o_ing_per_capita!$D222</f>
        <v>88.610503590489671</v>
      </c>
      <c r="K222" s="336">
        <f>Gasto_o_ing_per_capita!K222*100/Gasto_o_ing_per_capita!$D222</f>
        <v>85.344278669748263</v>
      </c>
      <c r="L222" s="336">
        <f>Gasto_o_ing_per_capita!L222*100/Gasto_o_ing_per_capita!$D222</f>
        <v>79.431586648409208</v>
      </c>
      <c r="M222" s="336">
        <f>Gasto_o_ing_per_capita!M222*100/Gasto_o_ing_per_capita!$D222</f>
        <v>129.88504338558567</v>
      </c>
      <c r="N222" s="336">
        <f>Gasto_o_ing_per_capita!N222*100/Gasto_o_ing_per_capita!$D222</f>
        <v>99.948804246955035</v>
      </c>
      <c r="O222" s="336">
        <f>Gasto_o_ing_per_capita!O222*100/Gasto_o_ing_per_capita!$D222</f>
        <v>81.022844705166563</v>
      </c>
      <c r="P222" s="336">
        <f>Gasto_o_ing_per_capita!P222*100/Gasto_o_ing_per_capita!$D222</f>
        <v>86.804884051251946</v>
      </c>
      <c r="Q222" s="336">
        <f>Gasto_o_ing_per_capita!Q222*100/Gasto_o_ing_per_capita!$D222</f>
        <v>136.6764613423735</v>
      </c>
      <c r="R222" s="336">
        <f>Gasto_o_ing_per_capita!R222*100/Gasto_o_ing_per_capita!$D222</f>
        <v>85.270039658775801</v>
      </c>
      <c r="S222" s="336">
        <f>Gasto_o_ing_per_capita!S222*100/Gasto_o_ing_per_capita!$D222</f>
        <v>0.58164920134594056</v>
      </c>
      <c r="T222" s="336">
        <f>Gasto_o_ing_per_capita!T222*100/Gasto_o_ing_per_capita!$D222</f>
        <v>0.63663398819299788</v>
      </c>
      <c r="U222" s="336">
        <f>Gasto_o_ing_per_capita!U222*100/Gasto_o_ing_per_capita!$D222</f>
        <v>83.313919317743697</v>
      </c>
      <c r="V222" s="336">
        <f>Gasto_o_ing_per_capita!V222*100/Gasto_o_ing_per_capita!$D222</f>
        <v>94.316947152762438</v>
      </c>
    </row>
    <row r="223" spans="1:22" s="102" customFormat="1" ht="13.15">
      <c r="A223" s="355" t="str">
        <f>IF(B223="","",(IF(ISERROR(MATCH(B223,Tot_res!C:C,0)),"Eliminar!!!","")))</f>
        <v/>
      </c>
      <c r="B223" s="102" t="s">
        <v>487</v>
      </c>
      <c r="C223" s="333" t="str">
        <f>VLOOKUP(B223,Tot_res!C:D,2,FALSE)</f>
        <v>Otros flujos de financiación local, para reintegros parciales saldos pendientes</v>
      </c>
      <c r="D223" s="336">
        <f>Gasto_o_ing_per_capita!D223*100/Gasto_o_ing_per_capita!$D223</f>
        <v>100</v>
      </c>
      <c r="E223" s="336">
        <f>Gasto_o_ing_per_capita!E223*100/Gasto_o_ing_per_capita!$D223</f>
        <v>99.379095754814188</v>
      </c>
      <c r="F223" s="336">
        <f>Gasto_o_ing_per_capita!F223*100/Gasto_o_ing_per_capita!$D223</f>
        <v>112.89548966219893</v>
      </c>
      <c r="G223" s="336">
        <f>Gasto_o_ing_per_capita!G223*100/Gasto_o_ing_per_capita!$D223</f>
        <v>171.31516272470671</v>
      </c>
      <c r="H223" s="336">
        <f>Gasto_o_ing_per_capita!H223*100/Gasto_o_ing_per_capita!$D223</f>
        <v>77.242463881080141</v>
      </c>
      <c r="I223" s="336">
        <f>Gasto_o_ing_per_capita!I223*100/Gasto_o_ing_per_capita!$D223</f>
        <v>114.01468683746408</v>
      </c>
      <c r="J223" s="336">
        <f>Gasto_o_ing_per_capita!J223*100/Gasto_o_ing_per_capita!$D223</f>
        <v>75.545786698841852</v>
      </c>
      <c r="K223" s="336">
        <f>Gasto_o_ing_per_capita!K223*100/Gasto_o_ing_per_capita!$D223</f>
        <v>75.658022818769197</v>
      </c>
      <c r="L223" s="336">
        <f>Gasto_o_ing_per_capita!L223*100/Gasto_o_ing_per_capita!$D223</f>
        <v>71.401017599829345</v>
      </c>
      <c r="M223" s="336">
        <f>Gasto_o_ing_per_capita!M223*100/Gasto_o_ing_per_capita!$D223</f>
        <v>117.68630251473098</v>
      </c>
      <c r="N223" s="336">
        <f>Gasto_o_ing_per_capita!N223*100/Gasto_o_ing_per_capita!$D223</f>
        <v>96.302244447599421</v>
      </c>
      <c r="O223" s="336">
        <f>Gasto_o_ing_per_capita!O223*100/Gasto_o_ing_per_capita!$D223</f>
        <v>85.292647017671726</v>
      </c>
      <c r="P223" s="336">
        <f>Gasto_o_ing_per_capita!P223*100/Gasto_o_ing_per_capita!$D223</f>
        <v>102.09487642537522</v>
      </c>
      <c r="Q223" s="336">
        <f>Gasto_o_ing_per_capita!Q223*100/Gasto_o_ing_per_capita!$D223</f>
        <v>134.37903796633037</v>
      </c>
      <c r="R223" s="336">
        <f>Gasto_o_ing_per_capita!R223*100/Gasto_o_ing_per_capita!$D223</f>
        <v>97.453175650720681</v>
      </c>
      <c r="S223" s="336">
        <f>Gasto_o_ing_per_capita!S223*100/Gasto_o_ing_per_capita!$D223</f>
        <v>3.636459357908714E-2</v>
      </c>
      <c r="T223" s="336">
        <f>Gasto_o_ing_per_capita!T223*100/Gasto_o_ing_per_capita!$D223</f>
        <v>2.167523453609738E-4</v>
      </c>
      <c r="U223" s="336">
        <f>Gasto_o_ing_per_capita!U223*100/Gasto_o_ing_per_capita!$D223</f>
        <v>97.01629721274918</v>
      </c>
      <c r="V223" s="336">
        <f>Gasto_o_ing_per_capita!V223*100/Gasto_o_ing_per_capita!$D223</f>
        <v>124.3598678424969</v>
      </c>
    </row>
    <row r="224" spans="1:22" s="102" customFormat="1" ht="13.15">
      <c r="A224" s="355" t="str">
        <f>IF(B224="","",(IF(ISERROR(MATCH(B224,Tot_res!C:C,0)),"Eliminar!!!","")))</f>
        <v/>
      </c>
      <c r="B224" s="115" t="s">
        <v>246</v>
      </c>
      <c r="C224" s="333" t="str">
        <f>VLOOKUP(B224,Tot_res!C:D,2,FALSE)</f>
        <v>Participacón de los municipios en el IRPF, IVA e Impuestos Especiales</v>
      </c>
      <c r="D224" s="336">
        <f>Gasto_o_ing_per_capita!D224*100/Gasto_o_ing_per_capita!$D224</f>
        <v>100</v>
      </c>
      <c r="E224" s="336">
        <f>Gasto_o_ing_per_capita!E224*100/Gasto_o_ing_per_capita!$D224</f>
        <v>75.957068212275928</v>
      </c>
      <c r="F224" s="336">
        <f>Gasto_o_ing_per_capita!F224*100/Gasto_o_ing_per_capita!$D224</f>
        <v>137.35024954978326</v>
      </c>
      <c r="G224" s="336">
        <f>Gasto_o_ing_per_capita!G224*100/Gasto_o_ing_per_capita!$D224</f>
        <v>128.49791364934612</v>
      </c>
      <c r="H224" s="336">
        <f>Gasto_o_ing_per_capita!H224*100/Gasto_o_ing_per_capita!$D224</f>
        <v>90.384263022807815</v>
      </c>
      <c r="I224" s="336">
        <f>Gasto_o_ing_per_capita!I224*100/Gasto_o_ing_per_capita!$D224</f>
        <v>35.130798603012742</v>
      </c>
      <c r="J224" s="336">
        <f>Gasto_o_ing_per_capita!J224*100/Gasto_o_ing_per_capita!$D224</f>
        <v>73.19504455254436</v>
      </c>
      <c r="K224" s="336">
        <f>Gasto_o_ing_per_capita!K224*100/Gasto_o_ing_per_capita!$D224</f>
        <v>103.05546980095176</v>
      </c>
      <c r="L224" s="336">
        <f>Gasto_o_ing_per_capita!L224*100/Gasto_o_ing_per_capita!$D224</f>
        <v>56.899849179421174</v>
      </c>
      <c r="M224" s="336">
        <f>Gasto_o_ing_per_capita!M224*100/Gasto_o_ing_per_capita!$D224</f>
        <v>122.7930635241333</v>
      </c>
      <c r="N224" s="336">
        <f>Gasto_o_ing_per_capita!N224*100/Gasto_o_ing_per_capita!$D224</f>
        <v>70.868703812051024</v>
      </c>
      <c r="O224" s="336">
        <f>Gasto_o_ing_per_capita!O224*100/Gasto_o_ing_per_capita!$D224</f>
        <v>55.339676517274199</v>
      </c>
      <c r="P224" s="336">
        <f>Gasto_o_ing_per_capita!P224*100/Gasto_o_ing_per_capita!$D224</f>
        <v>76.672736454812068</v>
      </c>
      <c r="Q224" s="336">
        <f>Gasto_o_ing_per_capita!Q224*100/Gasto_o_ing_per_capita!$D224</f>
        <v>218.98340931233875</v>
      </c>
      <c r="R224" s="336">
        <f>Gasto_o_ing_per_capita!R224*100/Gasto_o_ing_per_capita!$D224</f>
        <v>91.554947488109732</v>
      </c>
      <c r="S224" s="336">
        <f>Gasto_o_ing_per_capita!S224*100/Gasto_o_ing_per_capita!$D224</f>
        <v>0</v>
      </c>
      <c r="T224" s="336">
        <f>Gasto_o_ing_per_capita!T224*100/Gasto_o_ing_per_capita!$D224</f>
        <v>0</v>
      </c>
      <c r="U224" s="336">
        <f>Gasto_o_ing_per_capita!U224*100/Gasto_o_ing_per_capita!$D224</f>
        <v>98.056088591192221</v>
      </c>
      <c r="V224" s="336">
        <f>Gasto_o_ing_per_capita!V224*100/Gasto_o_ing_per_capita!$D224</f>
        <v>0</v>
      </c>
    </row>
    <row r="225" spans="1:22" s="102" customFormat="1" ht="13.15">
      <c r="A225" s="355" t="str">
        <f>IF(B225="","",(IF(ISERROR(MATCH(B225,Tot_res!C:C,0)),"Eliminar!!!","")))</f>
        <v/>
      </c>
      <c r="B225" s="115" t="s">
        <v>247</v>
      </c>
      <c r="C225" s="333" t="str">
        <f>VLOOKUP(B225,Tot_res!C:D,2,FALSE)</f>
        <v>Impuestos municipales</v>
      </c>
      <c r="D225" s="336">
        <f>Gasto_o_ing_per_capita!D225*100/Gasto_o_ing_per_capita!$D225</f>
        <v>100</v>
      </c>
      <c r="E225" s="336">
        <f>Gasto_o_ing_per_capita!E225*100/Gasto_o_ing_per_capita!$D225</f>
        <v>83.568276991275638</v>
      </c>
      <c r="F225" s="336">
        <f>Gasto_o_ing_per_capita!F225*100/Gasto_o_ing_per_capita!$D225</f>
        <v>98.004279816825544</v>
      </c>
      <c r="G225" s="336">
        <f>Gasto_o_ing_per_capita!G225*100/Gasto_o_ing_per_capita!$D225</f>
        <v>96.667449048343698</v>
      </c>
      <c r="H225" s="336">
        <f>Gasto_o_ing_per_capita!H225*100/Gasto_o_ing_per_capita!$D225</f>
        <v>119.50781960522346</v>
      </c>
      <c r="I225" s="336">
        <f>Gasto_o_ing_per_capita!I225*100/Gasto_o_ing_per_capita!$D225</f>
        <v>73.183489944230956</v>
      </c>
      <c r="J225" s="336">
        <f>Gasto_o_ing_per_capita!J225*100/Gasto_o_ing_per_capita!$D225</f>
        <v>104.96463270687758</v>
      </c>
      <c r="K225" s="336">
        <f>Gasto_o_ing_per_capita!K225*100/Gasto_o_ing_per_capita!$D225</f>
        <v>92.278210659551604</v>
      </c>
      <c r="L225" s="336">
        <f>Gasto_o_ing_per_capita!L225*100/Gasto_o_ing_per_capita!$D225</f>
        <v>84.899018741081647</v>
      </c>
      <c r="M225" s="336">
        <f>Gasto_o_ing_per_capita!M225*100/Gasto_o_ing_per_capita!$D225</f>
        <v>127.22183521300046</v>
      </c>
      <c r="N225" s="336">
        <f>Gasto_o_ing_per_capita!N225*100/Gasto_o_ing_per_capita!$D225</f>
        <v>103.07082684072489</v>
      </c>
      <c r="O225" s="336">
        <f>Gasto_o_ing_per_capita!O225*100/Gasto_o_ing_per_capita!$D225</f>
        <v>64.376587445856472</v>
      </c>
      <c r="P225" s="336">
        <f>Gasto_o_ing_per_capita!P225*100/Gasto_o_ing_per_capita!$D225</f>
        <v>70.3213465982885</v>
      </c>
      <c r="Q225" s="336">
        <f>Gasto_o_ing_per_capita!Q225*100/Gasto_o_ing_per_capita!$D225</f>
        <v>133.27212434395207</v>
      </c>
      <c r="R225" s="336">
        <f>Gasto_o_ing_per_capita!R225*100/Gasto_o_ing_per_capita!$D225</f>
        <v>87.899825092605141</v>
      </c>
      <c r="S225" s="336">
        <f>Gasto_o_ing_per_capita!S225*100/Gasto_o_ing_per_capita!$D225</f>
        <v>80.316952420963474</v>
      </c>
      <c r="T225" s="336">
        <f>Gasto_o_ing_per_capita!T225*100/Gasto_o_ing_per_capita!$D225</f>
        <v>81.138904404680545</v>
      </c>
      <c r="U225" s="336">
        <f>Gasto_o_ing_per_capita!U225*100/Gasto_o_ing_per_capita!$D225</f>
        <v>94.462438280947111</v>
      </c>
      <c r="V225" s="336">
        <f>Gasto_o_ing_per_capita!V225*100/Gasto_o_ing_per_capita!$D225</f>
        <v>17.47327876164379</v>
      </c>
    </row>
    <row r="226" spans="1:22" s="102" customFormat="1" ht="13.15">
      <c r="A226" s="355" t="str">
        <f>IF(B226="","",(IF(ISERROR(MATCH(B226,Tot_res!C:C,0)),"Eliminar!!!","")))</f>
        <v/>
      </c>
      <c r="B226" s="115" t="s">
        <v>248</v>
      </c>
      <c r="C226" s="333" t="str">
        <f>VLOOKUP(B226,Tot_res!C:D,2,FALSE)</f>
        <v>Tasas municipales</v>
      </c>
      <c r="D226" s="336">
        <f>Gasto_o_ing_per_capita!D226*100/Gasto_o_ing_per_capita!$D226</f>
        <v>100</v>
      </c>
      <c r="E226" s="336">
        <f>Gasto_o_ing_per_capita!E226*100/Gasto_o_ing_per_capita!$D226</f>
        <v>79.945719310802502</v>
      </c>
      <c r="F226" s="336">
        <f>Gasto_o_ing_per_capita!F226*100/Gasto_o_ing_per_capita!$D226</f>
        <v>120.98366222627625</v>
      </c>
      <c r="G226" s="336">
        <f>Gasto_o_ing_per_capita!G226*100/Gasto_o_ing_per_capita!$D226</f>
        <v>88.876100096806141</v>
      </c>
      <c r="H226" s="336">
        <f>Gasto_o_ing_per_capita!H226*100/Gasto_o_ing_per_capita!$D226</f>
        <v>155.51404716068058</v>
      </c>
      <c r="I226" s="336">
        <f>Gasto_o_ing_per_capita!I226*100/Gasto_o_ing_per_capita!$D226</f>
        <v>85.106553412976226</v>
      </c>
      <c r="J226" s="336">
        <f>Gasto_o_ing_per_capita!J226*100/Gasto_o_ing_per_capita!$D226</f>
        <v>115.98247748565818</v>
      </c>
      <c r="K226" s="336">
        <f>Gasto_o_ing_per_capita!K226*100/Gasto_o_ing_per_capita!$D226</f>
        <v>101.06883450729474</v>
      </c>
      <c r="L226" s="336">
        <f>Gasto_o_ing_per_capita!L226*100/Gasto_o_ing_per_capita!$D226</f>
        <v>101.29329494724381</v>
      </c>
      <c r="M226" s="336">
        <f>Gasto_o_ing_per_capita!M226*100/Gasto_o_ing_per_capita!$D226</f>
        <v>121.01851571935231</v>
      </c>
      <c r="N226" s="336">
        <f>Gasto_o_ing_per_capita!N226*100/Gasto_o_ing_per_capita!$D226</f>
        <v>81.833073044865657</v>
      </c>
      <c r="O226" s="336">
        <f>Gasto_o_ing_per_capita!O226*100/Gasto_o_ing_per_capita!$D226</f>
        <v>79.181717718049512</v>
      </c>
      <c r="P226" s="336">
        <f>Gasto_o_ing_per_capita!P226*100/Gasto_o_ing_per_capita!$D226</f>
        <v>83.13146178810922</v>
      </c>
      <c r="Q226" s="336">
        <f>Gasto_o_ing_per_capita!Q226*100/Gasto_o_ing_per_capita!$D226</f>
        <v>98.498751616662304</v>
      </c>
      <c r="R226" s="336">
        <f>Gasto_o_ing_per_capita!R226*100/Gasto_o_ing_per_capita!$D226</f>
        <v>94.917689378567516</v>
      </c>
      <c r="S226" s="336">
        <f>Gasto_o_ing_per_capita!S226*100/Gasto_o_ing_per_capita!$D226</f>
        <v>129.90383634444959</v>
      </c>
      <c r="T226" s="336">
        <f>Gasto_o_ing_per_capita!T226*100/Gasto_o_ing_per_capita!$D226</f>
        <v>147.67137848846946</v>
      </c>
      <c r="U226" s="336">
        <f>Gasto_o_ing_per_capita!U226*100/Gasto_o_ing_per_capita!$D226</f>
        <v>138.85864528360753</v>
      </c>
      <c r="V226" s="336">
        <f>Gasto_o_ing_per_capita!V226*100/Gasto_o_ing_per_capita!$D226</f>
        <v>51.981275865396981</v>
      </c>
    </row>
    <row r="227" spans="1:22" s="102" customFormat="1" ht="13.15">
      <c r="A227" s="355" t="str">
        <f>IF(B227="","",(IF(ISERROR(MATCH(B227,Tot_res!C:C,0)),"Eliminar!!!","")))</f>
        <v/>
      </c>
      <c r="B227" s="115" t="s">
        <v>748</v>
      </c>
      <c r="C227" s="333" t="str">
        <f>VLOOKUP(B227,Tot_res!C:D,2,FALSE)</f>
        <v>Recursos REF de los municipios canarios</v>
      </c>
      <c r="D227" s="336">
        <f>Gasto_o_ing_per_capita!D227*100/Gasto_o_ing_per_capita!$D227</f>
        <v>100</v>
      </c>
      <c r="E227" s="336">
        <f>Gasto_o_ing_per_capita!E227*100/Gasto_o_ing_per_capita!$D227</f>
        <v>0</v>
      </c>
      <c r="F227" s="336">
        <f>Gasto_o_ing_per_capita!F227*100/Gasto_o_ing_per_capita!$D227</f>
        <v>0</v>
      </c>
      <c r="G227" s="336">
        <f>Gasto_o_ing_per_capita!G227*100/Gasto_o_ing_per_capita!$D227</f>
        <v>0</v>
      </c>
      <c r="H227" s="336">
        <f>Gasto_o_ing_per_capita!H227*100/Gasto_o_ing_per_capita!$D227</f>
        <v>0</v>
      </c>
      <c r="I227" s="336">
        <f>Gasto_o_ing_per_capita!I227*100/Gasto_o_ing_per_capita!$D227</f>
        <v>2223.3043068132683</v>
      </c>
      <c r="J227" s="336">
        <f>Gasto_o_ing_per_capita!J227*100/Gasto_o_ing_per_capita!$D227</f>
        <v>0</v>
      </c>
      <c r="K227" s="336">
        <f>Gasto_o_ing_per_capita!K227*100/Gasto_o_ing_per_capita!$D227</f>
        <v>0</v>
      </c>
      <c r="L227" s="336">
        <f>Gasto_o_ing_per_capita!L227*100/Gasto_o_ing_per_capita!$D227</f>
        <v>0</v>
      </c>
      <c r="M227" s="336">
        <f>Gasto_o_ing_per_capita!M227*100/Gasto_o_ing_per_capita!$D227</f>
        <v>0</v>
      </c>
      <c r="N227" s="336">
        <f>Gasto_o_ing_per_capita!N227*100/Gasto_o_ing_per_capita!$D227</f>
        <v>0</v>
      </c>
      <c r="O227" s="336">
        <f>Gasto_o_ing_per_capita!O227*100/Gasto_o_ing_per_capita!$D227</f>
        <v>0</v>
      </c>
      <c r="P227" s="336">
        <f>Gasto_o_ing_per_capita!P227*100/Gasto_o_ing_per_capita!$D227</f>
        <v>0</v>
      </c>
      <c r="Q227" s="336">
        <f>Gasto_o_ing_per_capita!Q227*100/Gasto_o_ing_per_capita!$D227</f>
        <v>0</v>
      </c>
      <c r="R227" s="336">
        <f>Gasto_o_ing_per_capita!R227*100/Gasto_o_ing_per_capita!$D227</f>
        <v>0</v>
      </c>
      <c r="S227" s="336">
        <f>Gasto_o_ing_per_capita!S227*100/Gasto_o_ing_per_capita!$D227</f>
        <v>0</v>
      </c>
      <c r="T227" s="336">
        <f>Gasto_o_ing_per_capita!T227*100/Gasto_o_ing_per_capita!$D227</f>
        <v>0</v>
      </c>
      <c r="U227" s="336">
        <f>Gasto_o_ing_per_capita!U227*100/Gasto_o_ing_per_capita!$D227</f>
        <v>0</v>
      </c>
      <c r="V227" s="336">
        <f>Gasto_o_ing_per_capita!V227*100/Gasto_o_ing_per_capita!$D227</f>
        <v>0</v>
      </c>
    </row>
    <row r="228" spans="1:22" s="102" customFormat="1" ht="13.15">
      <c r="A228" s="355" t="str">
        <f>IF(B228="","",(IF(ISERROR(MATCH(B228,Tot_res!C:C,0)),"Eliminar!!!","")))</f>
        <v/>
      </c>
      <c r="B228" s="115" t="s">
        <v>749</v>
      </c>
      <c r="C228" s="333" t="str">
        <f>VLOOKUP(B228,Tot_res!C:D,2,FALSE)</f>
        <v>Otras aportaciones a Corporaciones Locales, compensaciones por beneficios fiscales</v>
      </c>
      <c r="D228" s="336">
        <f>Gasto_o_ing_per_capita!D228*100/Gasto_o_ing_per_capita!$D228</f>
        <v>100</v>
      </c>
      <c r="E228" s="336">
        <f>Gasto_o_ing_per_capita!E228*100/Gasto_o_ing_per_capita!$D228</f>
        <v>122.55937652942934</v>
      </c>
      <c r="F228" s="336">
        <f>Gasto_o_ing_per_capita!F228*100/Gasto_o_ing_per_capita!$D228</f>
        <v>202.47073909540964</v>
      </c>
      <c r="G228" s="336">
        <f>Gasto_o_ing_per_capita!G228*100/Gasto_o_ing_per_capita!$D228</f>
        <v>43.295707325369953</v>
      </c>
      <c r="H228" s="336">
        <f>Gasto_o_ing_per_capita!H228*100/Gasto_o_ing_per_capita!$D228</f>
        <v>38.90012824171567</v>
      </c>
      <c r="I228" s="336">
        <f>Gasto_o_ing_per_capita!I228*100/Gasto_o_ing_per_capita!$D228</f>
        <v>23.046357594773756</v>
      </c>
      <c r="J228" s="336">
        <f>Gasto_o_ing_per_capita!J228*100/Gasto_o_ing_per_capita!$D228</f>
        <v>60.41511787662575</v>
      </c>
      <c r="K228" s="336">
        <f>Gasto_o_ing_per_capita!K228*100/Gasto_o_ing_per_capita!$D228</f>
        <v>99.903709714489651</v>
      </c>
      <c r="L228" s="336">
        <f>Gasto_o_ing_per_capita!L228*100/Gasto_o_ing_per_capita!$D228</f>
        <v>53.112789852872503</v>
      </c>
      <c r="M228" s="336">
        <f>Gasto_o_ing_per_capita!M228*100/Gasto_o_ing_per_capita!$D228</f>
        <v>82.445347440203832</v>
      </c>
      <c r="N228" s="336">
        <f>Gasto_o_ing_per_capita!N228*100/Gasto_o_ing_per_capita!$D228</f>
        <v>80.24611223302135</v>
      </c>
      <c r="O228" s="336">
        <f>Gasto_o_ing_per_capita!O228*100/Gasto_o_ing_per_capita!$D228</f>
        <v>129.45567769000843</v>
      </c>
      <c r="P228" s="336">
        <f>Gasto_o_ing_per_capita!P228*100/Gasto_o_ing_per_capita!$D228</f>
        <v>21.980328865926769</v>
      </c>
      <c r="Q228" s="336">
        <f>Gasto_o_ing_per_capita!Q228*100/Gasto_o_ing_per_capita!$D228</f>
        <v>80.272907738661061</v>
      </c>
      <c r="R228" s="336">
        <f>Gasto_o_ing_per_capita!R228*100/Gasto_o_ing_per_capita!$D228</f>
        <v>709.99629698474371</v>
      </c>
      <c r="S228" s="336">
        <f>Gasto_o_ing_per_capita!S228*100/Gasto_o_ing_per_capita!$D228</f>
        <v>0</v>
      </c>
      <c r="T228" s="336">
        <f>Gasto_o_ing_per_capita!T228*100/Gasto_o_ing_per_capita!$D228</f>
        <v>0</v>
      </c>
      <c r="U228" s="336">
        <f>Gasto_o_ing_per_capita!U228*100/Gasto_o_ing_per_capita!$D228</f>
        <v>198.9230695661085</v>
      </c>
      <c r="V228" s="336">
        <f>Gasto_o_ing_per_capita!V228*100/Gasto_o_ing_per_capita!$D228</f>
        <v>0</v>
      </c>
    </row>
    <row r="229" spans="1:22" s="102" customFormat="1" ht="13.15">
      <c r="A229" s="355" t="str">
        <f>IF(B229="","",(IF(ISERROR(MATCH(B229,Tot_res!C:C,0)),"Eliminar!!!","")))</f>
        <v/>
      </c>
      <c r="B229" s="115" t="s">
        <v>251</v>
      </c>
      <c r="C229" s="333" t="str">
        <f>VLOOKUP(B229,Tot_res!C:D,2,FALSE)</f>
        <v xml:space="preserve">Cooperación económica local del Estado </v>
      </c>
      <c r="D229" s="336">
        <f>Gasto_o_ing_per_capita!D229*100/Gasto_o_ing_per_capita!$D229</f>
        <v>100</v>
      </c>
      <c r="E229" s="336">
        <f>Gasto_o_ing_per_capita!E229*100/Gasto_o_ing_per_capita!$D229</f>
        <v>108.15145606209454</v>
      </c>
      <c r="F229" s="336">
        <f>Gasto_o_ing_per_capita!F229*100/Gasto_o_ing_per_capita!$D229</f>
        <v>31.957688571017776</v>
      </c>
      <c r="G229" s="336">
        <f>Gasto_o_ing_per_capita!G229*100/Gasto_o_ing_per_capita!$D229</f>
        <v>67.332652195301364</v>
      </c>
      <c r="H229" s="336">
        <f>Gasto_o_ing_per_capita!H229*100/Gasto_o_ing_per_capita!$D229</f>
        <v>319.40931520524077</v>
      </c>
      <c r="I229" s="336">
        <f>Gasto_o_ing_per_capita!I229*100/Gasto_o_ing_per_capita!$D229</f>
        <v>1101.3080919303602</v>
      </c>
      <c r="J229" s="336">
        <f>Gasto_o_ing_per_capita!J229*100/Gasto_o_ing_per_capita!$D229</f>
        <v>107.44916578042354</v>
      </c>
      <c r="K229" s="336">
        <f>Gasto_o_ing_per_capita!K229*100/Gasto_o_ing_per_capita!$D229</f>
        <v>84.103642214263559</v>
      </c>
      <c r="L229" s="336">
        <f>Gasto_o_ing_per_capita!L229*100/Gasto_o_ing_per_capita!$D229</f>
        <v>55.20421420606236</v>
      </c>
      <c r="M229" s="336">
        <f>Gasto_o_ing_per_capita!M229*100/Gasto_o_ing_per_capita!$D229</f>
        <v>14.692849115151409</v>
      </c>
      <c r="N229" s="336">
        <f>Gasto_o_ing_per_capita!N229*100/Gasto_o_ing_per_capita!$D229</f>
        <v>31.870745902154272</v>
      </c>
      <c r="O229" s="336">
        <f>Gasto_o_ing_per_capita!O229*100/Gasto_o_ing_per_capita!$D229</f>
        <v>17.331432420303937</v>
      </c>
      <c r="P229" s="336">
        <f>Gasto_o_ing_per_capita!P229*100/Gasto_o_ing_per_capita!$D229</f>
        <v>42.178650376336101</v>
      </c>
      <c r="Q229" s="336">
        <f>Gasto_o_ing_per_capita!Q229*100/Gasto_o_ing_per_capita!$D229</f>
        <v>14.692849115151409</v>
      </c>
      <c r="R229" s="336">
        <f>Gasto_o_ing_per_capita!R229*100/Gasto_o_ing_per_capita!$D229</f>
        <v>33.64361904132322</v>
      </c>
      <c r="S229" s="336">
        <f>Gasto_o_ing_per_capita!S229*100/Gasto_o_ing_per_capita!$D229</f>
        <v>14.692849115151409</v>
      </c>
      <c r="T229" s="336">
        <f>Gasto_o_ing_per_capita!T229*100/Gasto_o_ing_per_capita!$D229</f>
        <v>14.692849115151409</v>
      </c>
      <c r="U229" s="336">
        <f>Gasto_o_ing_per_capita!U229*100/Gasto_o_ing_per_capita!$D229</f>
        <v>14.692849115151409</v>
      </c>
      <c r="V229" s="336">
        <f>Gasto_o_ing_per_capita!V229*100/Gasto_o_ing_per_capita!$D229</f>
        <v>14.692849115151409</v>
      </c>
    </row>
    <row r="230" spans="1:22" s="102" customFormat="1" ht="13.15">
      <c r="A230" s="355" t="str">
        <f>IF(B230="","",(IF(ISERROR(MATCH(B230,Tot_res!C:C,0)),"Eliminar!!!","")))</f>
        <v/>
      </c>
      <c r="B230" s="115" t="s">
        <v>230</v>
      </c>
      <c r="C230" s="333" t="str">
        <f>VLOOKUP(B230,Tot_res!C:D,2,FALSE)</f>
        <v>Ajuste por competencias atípicas forales: financiación municipios</v>
      </c>
      <c r="D230" s="336">
        <f>Gasto_o_ing_per_capita!D230*100/Gasto_o_ing_per_capita!$D230</f>
        <v>100</v>
      </c>
      <c r="E230" s="336">
        <f>Gasto_o_ing_per_capita!E230*100/Gasto_o_ing_per_capita!$D230</f>
        <v>0</v>
      </c>
      <c r="F230" s="336">
        <f>Gasto_o_ing_per_capita!F230*100/Gasto_o_ing_per_capita!$D230</f>
        <v>0</v>
      </c>
      <c r="G230" s="336">
        <f>Gasto_o_ing_per_capita!G230*100/Gasto_o_ing_per_capita!$D230</f>
        <v>0</v>
      </c>
      <c r="H230" s="336">
        <f>Gasto_o_ing_per_capita!H230*100/Gasto_o_ing_per_capita!$D230</f>
        <v>0</v>
      </c>
      <c r="I230" s="336">
        <f>Gasto_o_ing_per_capita!I230*100/Gasto_o_ing_per_capita!$D230</f>
        <v>0</v>
      </c>
      <c r="J230" s="336">
        <f>Gasto_o_ing_per_capita!J230*100/Gasto_o_ing_per_capita!$D230</f>
        <v>0</v>
      </c>
      <c r="K230" s="336">
        <f>Gasto_o_ing_per_capita!K230*100/Gasto_o_ing_per_capita!$D230</f>
        <v>0</v>
      </c>
      <c r="L230" s="336">
        <f>Gasto_o_ing_per_capita!L230*100/Gasto_o_ing_per_capita!$D230</f>
        <v>0</v>
      </c>
      <c r="M230" s="336">
        <f>Gasto_o_ing_per_capita!M230*100/Gasto_o_ing_per_capita!$D230</f>
        <v>0</v>
      </c>
      <c r="N230" s="336">
        <f>Gasto_o_ing_per_capita!N230*100/Gasto_o_ing_per_capita!$D230</f>
        <v>0</v>
      </c>
      <c r="O230" s="336">
        <f>Gasto_o_ing_per_capita!O230*100/Gasto_o_ing_per_capita!$D230</f>
        <v>0</v>
      </c>
      <c r="P230" s="336">
        <f>Gasto_o_ing_per_capita!P230*100/Gasto_o_ing_per_capita!$D230</f>
        <v>0</v>
      </c>
      <c r="Q230" s="336">
        <f>Gasto_o_ing_per_capita!Q230*100/Gasto_o_ing_per_capita!$D230</f>
        <v>0</v>
      </c>
      <c r="R230" s="336">
        <f>Gasto_o_ing_per_capita!R230*100/Gasto_o_ing_per_capita!$D230</f>
        <v>0</v>
      </c>
      <c r="S230" s="336">
        <f>Gasto_o_ing_per_capita!S230*100/Gasto_o_ing_per_capita!$D230</f>
        <v>1657.9384980689952</v>
      </c>
      <c r="T230" s="336">
        <f>Gasto_o_ing_per_capita!T230*100/Gasto_o_ing_per_capita!$D230</f>
        <v>1657.1035324991276</v>
      </c>
      <c r="U230" s="336">
        <f>Gasto_o_ing_per_capita!U230*100/Gasto_o_ing_per_capita!$D230</f>
        <v>0</v>
      </c>
      <c r="V230" s="336">
        <f>Gasto_o_ing_per_capita!V230*100/Gasto_o_ing_per_capita!$D230</f>
        <v>0</v>
      </c>
    </row>
    <row r="231" spans="1:22" s="102" customFormat="1" ht="13.15">
      <c r="A231" s="356"/>
      <c r="B231" s="115"/>
      <c r="D231" s="110"/>
      <c r="E231" s="110"/>
      <c r="F231" s="110"/>
      <c r="G231" s="110"/>
      <c r="H231" s="110"/>
      <c r="I231" s="110"/>
      <c r="J231" s="110"/>
      <c r="K231" s="110"/>
      <c r="L231" s="110"/>
      <c r="M231" s="110"/>
      <c r="N231" s="110"/>
      <c r="O231" s="110"/>
      <c r="P231" s="110"/>
      <c r="Q231" s="110"/>
      <c r="R231" s="110"/>
      <c r="S231" s="110"/>
      <c r="T231" s="110"/>
      <c r="U231" s="110"/>
      <c r="V231" s="110"/>
    </row>
    <row r="232" spans="1:22" s="102" customFormat="1" ht="13.15">
      <c r="A232" s="356"/>
      <c r="B232" s="115"/>
      <c r="D232" s="110"/>
      <c r="E232" s="110"/>
      <c r="F232" s="110"/>
      <c r="G232" s="110"/>
      <c r="H232" s="110"/>
      <c r="I232" s="110"/>
      <c r="J232" s="110"/>
      <c r="K232" s="110"/>
      <c r="L232" s="110"/>
      <c r="M232" s="110"/>
      <c r="N232" s="110"/>
      <c r="O232" s="110"/>
      <c r="P232" s="110"/>
      <c r="Q232" s="110"/>
      <c r="R232" s="110"/>
      <c r="S232" s="110"/>
      <c r="T232" s="110"/>
      <c r="U232" s="110"/>
      <c r="V232" s="110"/>
    </row>
    <row r="233" spans="1:22" s="102" customFormat="1" ht="26.3">
      <c r="A233" s="364"/>
      <c r="B233" s="115"/>
      <c r="C233" s="128" t="s">
        <v>23</v>
      </c>
      <c r="D233" s="113">
        <f>Gasto_o_ing_per_capita!D233*100/Gasto_o_ing_per_capita!$D233</f>
        <v>100</v>
      </c>
      <c r="E233" s="113">
        <f>Gasto_o_ing_per_capita!E233*100/Gasto_o_ing_per_capita!$D233</f>
        <v>79.560010164562428</v>
      </c>
      <c r="F233" s="113">
        <f>Gasto_o_ing_per_capita!F233*100/Gasto_o_ing_per_capita!$D233</f>
        <v>167.57459322430796</v>
      </c>
      <c r="G233" s="113">
        <f>Gasto_o_ing_per_capita!G233*100/Gasto_o_ing_per_capita!$D233</f>
        <v>167.34969946255296</v>
      </c>
      <c r="H233" s="113">
        <f>Gasto_o_ing_per_capita!H233*100/Gasto_o_ing_per_capita!$D233</f>
        <v>23.288108556173032</v>
      </c>
      <c r="I233" s="113">
        <f>Gasto_o_ing_per_capita!I233*100/Gasto_o_ing_per_capita!$D233</f>
        <v>99.219345599485678</v>
      </c>
      <c r="J233" s="113">
        <f>Gasto_o_ing_per_capita!J233*100/Gasto_o_ing_per_capita!$D233</f>
        <v>170.43792957469236</v>
      </c>
      <c r="K233" s="113">
        <f>Gasto_o_ing_per_capita!K233*100/Gasto_o_ing_per_capita!$D233</f>
        <v>220.95685304956066</v>
      </c>
      <c r="L233" s="113">
        <f>Gasto_o_ing_per_capita!L233*100/Gasto_o_ing_per_capita!$D233</f>
        <v>135.95106912673066</v>
      </c>
      <c r="M233" s="113">
        <f>Gasto_o_ing_per_capita!M233*100/Gasto_o_ing_per_capita!$D233</f>
        <v>80.287570268809645</v>
      </c>
      <c r="N233" s="113">
        <f>Gasto_o_ing_per_capita!N233*100/Gasto_o_ing_per_capita!$D233</f>
        <v>47.076989691415143</v>
      </c>
      <c r="O233" s="113">
        <f>Gasto_o_ing_per_capita!O233*100/Gasto_o_ing_per_capita!$D233</f>
        <v>164.52116464763461</v>
      </c>
      <c r="P233" s="113">
        <f>Gasto_o_ing_per_capita!P233*100/Gasto_o_ing_per_capita!$D233</f>
        <v>126.84202116251114</v>
      </c>
      <c r="Q233" s="113">
        <f>Gasto_o_ing_per_capita!Q233*100/Gasto_o_ing_per_capita!$D233</f>
        <v>87.170553876981415</v>
      </c>
      <c r="R233" s="113">
        <f>Gasto_o_ing_per_capita!R233*100/Gasto_o_ing_per_capita!$D233</f>
        <v>54.089792542084105</v>
      </c>
      <c r="S233" s="113">
        <f>Gasto_o_ing_per_capita!S233*100/Gasto_o_ing_per_capita!$D233</f>
        <v>57.645593878266993</v>
      </c>
      <c r="T233" s="113">
        <f>Gasto_o_ing_per_capita!T233*100/Gasto_o_ing_per_capita!$D233</f>
        <v>160.54175955671948</v>
      </c>
      <c r="U233" s="113">
        <f>Gasto_o_ing_per_capita!U233*100/Gasto_o_ing_per_capita!$D233</f>
        <v>84.597673330543756</v>
      </c>
      <c r="V233" s="113">
        <f>Gasto_o_ing_per_capita!V233*100/Gasto_o_ing_per_capita!$D233</f>
        <v>88.288400981017489</v>
      </c>
    </row>
    <row r="234" spans="1:22" s="102" customFormat="1" ht="13.15">
      <c r="A234" s="355" t="str">
        <f>IF(B234="","",(IF(ISERROR(MATCH(B234,Tot_res!C:C,0)),"Eliminar!!!","")))</f>
        <v/>
      </c>
      <c r="B234" s="115" t="s">
        <v>253</v>
      </c>
      <c r="C234" s="333" t="str">
        <f>VLOOKUP(B234,Tot_res!C:D,2,FALSE)</f>
        <v>Gestión de recursos hídricos para el regadío</v>
      </c>
      <c r="D234" s="336">
        <f>Gasto_o_ing_per_capita!D234*100/Gasto_o_ing_per_capita!$D234</f>
        <v>100</v>
      </c>
      <c r="E234" s="336">
        <f>Gasto_o_ing_per_capita!E234*100/Gasto_o_ing_per_capita!$D234</f>
        <v>111.82994193463453</v>
      </c>
      <c r="F234" s="336">
        <f>Gasto_o_ing_per_capita!F234*100/Gasto_o_ing_per_capita!$D234</f>
        <v>1221.2041077303884</v>
      </c>
      <c r="G234" s="336">
        <f>Gasto_o_ing_per_capita!G234*100/Gasto_o_ing_per_capita!$D234</f>
        <v>0</v>
      </c>
      <c r="H234" s="336">
        <f>Gasto_o_ing_per_capita!H234*100/Gasto_o_ing_per_capita!$D234</f>
        <v>84.132927430806532</v>
      </c>
      <c r="I234" s="336">
        <f>Gasto_o_ing_per_capita!I234*100/Gasto_o_ing_per_capita!$D234</f>
        <v>0</v>
      </c>
      <c r="J234" s="336">
        <f>Gasto_o_ing_per_capita!J234*100/Gasto_o_ing_per_capita!$D234</f>
        <v>0</v>
      </c>
      <c r="K234" s="336">
        <f>Gasto_o_ing_per_capita!K234*100/Gasto_o_ing_per_capita!$D234</f>
        <v>340.75657423636551</v>
      </c>
      <c r="L234" s="336">
        <f>Gasto_o_ing_per_capita!L234*100/Gasto_o_ing_per_capita!$D234</f>
        <v>0</v>
      </c>
      <c r="M234" s="336">
        <f>Gasto_o_ing_per_capita!M234*100/Gasto_o_ing_per_capita!$D234</f>
        <v>118.45082202525803</v>
      </c>
      <c r="N234" s="336">
        <f>Gasto_o_ing_per_capita!N234*100/Gasto_o_ing_per_capita!$D234</f>
        <v>0</v>
      </c>
      <c r="O234" s="336">
        <f>Gasto_o_ing_per_capita!O234*100/Gasto_o_ing_per_capita!$D234</f>
        <v>0</v>
      </c>
      <c r="P234" s="336">
        <f>Gasto_o_ing_per_capita!P234*100/Gasto_o_ing_per_capita!$D234</f>
        <v>0</v>
      </c>
      <c r="Q234" s="336">
        <f>Gasto_o_ing_per_capita!Q234*100/Gasto_o_ing_per_capita!$D234</f>
        <v>0</v>
      </c>
      <c r="R234" s="336">
        <f>Gasto_o_ing_per_capita!R234*100/Gasto_o_ing_per_capita!$D234</f>
        <v>0</v>
      </c>
      <c r="S234" s="336">
        <f>Gasto_o_ing_per_capita!S234*100/Gasto_o_ing_per_capita!$D234</f>
        <v>0</v>
      </c>
      <c r="T234" s="336">
        <f>Gasto_o_ing_per_capita!T234*100/Gasto_o_ing_per_capita!$D234</f>
        <v>87.761782622110331</v>
      </c>
      <c r="U234" s="336">
        <f>Gasto_o_ing_per_capita!U234*100/Gasto_o_ing_per_capita!$D234</f>
        <v>277.58251636640205</v>
      </c>
      <c r="V234" s="336">
        <f>Gasto_o_ing_per_capita!V234*100/Gasto_o_ing_per_capita!$D234</f>
        <v>0</v>
      </c>
    </row>
    <row r="235" spans="1:22" s="102" customFormat="1" ht="13.15">
      <c r="A235" s="355" t="str">
        <f>IF(B235="","",(IF(ISERROR(MATCH(B235,Tot_res!C:C,0)),"Eliminar!!!","")))</f>
        <v/>
      </c>
      <c r="B235" s="115" t="s">
        <v>254</v>
      </c>
      <c r="C235" s="333" t="str">
        <f>VLOOKUP(B235,Tot_res!C:D,2,FALSE)</f>
        <v>Subvenciones y apoyo al transporte terrestre</v>
      </c>
      <c r="D235" s="336">
        <f>Gasto_o_ing_per_capita!D235*100/Gasto_o_ing_per_capita!$D235</f>
        <v>100</v>
      </c>
      <c r="E235" s="336">
        <f>Gasto_o_ing_per_capita!E235*100/Gasto_o_ing_per_capita!$D235</f>
        <v>43.052781059010812</v>
      </c>
      <c r="F235" s="336">
        <f>Gasto_o_ing_per_capita!F235*100/Gasto_o_ing_per_capita!$D235</f>
        <v>71.333496823614794</v>
      </c>
      <c r="G235" s="336">
        <f>Gasto_o_ing_per_capita!G235*100/Gasto_o_ing_per_capita!$D235</f>
        <v>41.319719754324524</v>
      </c>
      <c r="H235" s="336">
        <f>Gasto_o_ing_per_capita!H235*100/Gasto_o_ing_per_capita!$D235</f>
        <v>8.8065567736002581</v>
      </c>
      <c r="I235" s="336">
        <f>Gasto_o_ing_per_capita!I235*100/Gasto_o_ing_per_capita!$D235</f>
        <v>76.356894645244822</v>
      </c>
      <c r="J235" s="336">
        <f>Gasto_o_ing_per_capita!J235*100/Gasto_o_ing_per_capita!$D235</f>
        <v>45.088184001278279</v>
      </c>
      <c r="K235" s="336">
        <f>Gasto_o_ing_per_capita!K235*100/Gasto_o_ing_per_capita!$D235</f>
        <v>29.552483174253609</v>
      </c>
      <c r="L235" s="336">
        <f>Gasto_o_ing_per_capita!L235*100/Gasto_o_ing_per_capita!$D235</f>
        <v>63.219204269940633</v>
      </c>
      <c r="M235" s="336">
        <f>Gasto_o_ing_per_capita!M235*100/Gasto_o_ing_per_capita!$D235</f>
        <v>200.51213367731631</v>
      </c>
      <c r="N235" s="336">
        <f>Gasto_o_ing_per_capita!N235*100/Gasto_o_ing_per_capita!$D235</f>
        <v>48.713336499227701</v>
      </c>
      <c r="O235" s="336">
        <f>Gasto_o_ing_per_capita!O235*100/Gasto_o_ing_per_capita!$D235</f>
        <v>24.03154580535708</v>
      </c>
      <c r="P235" s="336">
        <f>Gasto_o_ing_per_capita!P235*100/Gasto_o_ing_per_capita!$D235</f>
        <v>39.118330474130325</v>
      </c>
      <c r="Q235" s="336">
        <f>Gasto_o_ing_per_capita!Q235*100/Gasto_o_ing_per_capita!$D235</f>
        <v>254.79022421314409</v>
      </c>
      <c r="R235" s="336">
        <f>Gasto_o_ing_per_capita!R235*100/Gasto_o_ing_per_capita!$D235</f>
        <v>30.299938452283854</v>
      </c>
      <c r="S235" s="336">
        <f>Gasto_o_ing_per_capita!S235*100/Gasto_o_ing_per_capita!$D235</f>
        <v>83.097016577784331</v>
      </c>
      <c r="T235" s="336">
        <f>Gasto_o_ing_per_capita!T235*100/Gasto_o_ing_per_capita!$D235</f>
        <v>54.606478580014802</v>
      </c>
      <c r="U235" s="336">
        <f>Gasto_o_ing_per_capita!U235*100/Gasto_o_ing_per_capita!$D235</f>
        <v>84.246257260398039</v>
      </c>
      <c r="V235" s="336">
        <f>Gasto_o_ing_per_capita!V235*100/Gasto_o_ing_per_capita!$D235</f>
        <v>18.57223911445649</v>
      </c>
    </row>
    <row r="236" spans="1:22" s="102" customFormat="1" ht="13.15">
      <c r="A236" s="355" t="str">
        <f>IF(B236="","",(IF(ISERROR(MATCH(B236,Tot_res!C:C,0)),"Eliminar!!!","")))</f>
        <v/>
      </c>
      <c r="B236" s="115" t="s">
        <v>255</v>
      </c>
      <c r="C236" s="333" t="str">
        <f>VLOOKUP(B236,Tot_res!C:D,2,FALSE)</f>
        <v>Estudios y servicios de asistencia técnica en obras públicas y urbanismo</v>
      </c>
      <c r="D236" s="336">
        <f>Gasto_o_ing_per_capita!D236*100/Gasto_o_ing_per_capita!$D236</f>
        <v>100</v>
      </c>
      <c r="E236" s="336">
        <f>Gasto_o_ing_per_capita!E236*100/Gasto_o_ing_per_capita!$D236</f>
        <v>78.604630144668974</v>
      </c>
      <c r="F236" s="336">
        <f>Gasto_o_ing_per_capita!F236*100/Gasto_o_ing_per_capita!$D236</f>
        <v>173.15200575123345</v>
      </c>
      <c r="G236" s="336">
        <f>Gasto_o_ing_per_capita!G236*100/Gasto_o_ing_per_capita!$D236</f>
        <v>171.47319240568368</v>
      </c>
      <c r="H236" s="336">
        <f>Gasto_o_ing_per_capita!H236*100/Gasto_o_ing_per_capita!$D236</f>
        <v>27.630936377643966</v>
      </c>
      <c r="I236" s="336">
        <f>Gasto_o_ing_per_capita!I236*100/Gasto_o_ing_per_capita!$D236</f>
        <v>72.658622770468213</v>
      </c>
      <c r="J236" s="336">
        <f>Gasto_o_ing_per_capita!J236*100/Gasto_o_ing_per_capita!$D236</f>
        <v>165.05218469341631</v>
      </c>
      <c r="K236" s="336">
        <f>Gasto_o_ing_per_capita!K236*100/Gasto_o_ing_per_capita!$D236</f>
        <v>219.88000302852186</v>
      </c>
      <c r="L236" s="336">
        <f>Gasto_o_ing_per_capita!L236*100/Gasto_o_ing_per_capita!$D236</f>
        <v>151.79448122961048</v>
      </c>
      <c r="M236" s="336">
        <f>Gasto_o_ing_per_capita!M236*100/Gasto_o_ing_per_capita!$D236</f>
        <v>75.9081255449899</v>
      </c>
      <c r="N236" s="336">
        <f>Gasto_o_ing_per_capita!N236*100/Gasto_o_ing_per_capita!$D236</f>
        <v>73.064186899956667</v>
      </c>
      <c r="O236" s="336">
        <f>Gasto_o_ing_per_capita!O236*100/Gasto_o_ing_per_capita!$D236</f>
        <v>163.08085098486569</v>
      </c>
      <c r="P236" s="336">
        <f>Gasto_o_ing_per_capita!P236*100/Gasto_o_ing_per_capita!$D236</f>
        <v>132.01197400801897</v>
      </c>
      <c r="Q236" s="336">
        <f>Gasto_o_ing_per_capita!Q236*100/Gasto_o_ing_per_capita!$D236</f>
        <v>79.235107349732715</v>
      </c>
      <c r="R236" s="336">
        <f>Gasto_o_ing_per_capita!R236*100/Gasto_o_ing_per_capita!$D236</f>
        <v>80.268819682534911</v>
      </c>
      <c r="S236" s="336">
        <f>Gasto_o_ing_per_capita!S236*100/Gasto_o_ing_per_capita!$D236</f>
        <v>86.315805969926274</v>
      </c>
      <c r="T236" s="336">
        <f>Gasto_o_ing_per_capita!T236*100/Gasto_o_ing_per_capita!$D236</f>
        <v>112.79048499737705</v>
      </c>
      <c r="U236" s="336">
        <f>Gasto_o_ing_per_capita!U236*100/Gasto_o_ing_per_capita!$D236</f>
        <v>127.61023731884082</v>
      </c>
      <c r="V236" s="336">
        <f>Gasto_o_ing_per_capita!V236*100/Gasto_o_ing_per_capita!$D236</f>
        <v>55.10585768967659</v>
      </c>
    </row>
    <row r="237" spans="1:22" s="102" customFormat="1" ht="13.15">
      <c r="A237" s="355" t="str">
        <f>IF(B237="","",(IF(ISERROR(MATCH(B237,Tot_res!C:C,0)),"Eliminar!!!","")))</f>
        <v/>
      </c>
      <c r="B237" s="115" t="s">
        <v>256</v>
      </c>
      <c r="C237" s="333" t="str">
        <f>VLOOKUP(B237,Tot_res!C:D,2,FALSE)</f>
        <v>Dirección y servicios generales de fomento</v>
      </c>
      <c r="D237" s="336">
        <f>Gasto_o_ing_per_capita!D237*100/Gasto_o_ing_per_capita!$D237</f>
        <v>100</v>
      </c>
      <c r="E237" s="336">
        <f>Gasto_o_ing_per_capita!E237*100/Gasto_o_ing_per_capita!$D237</f>
        <v>87.851239142733505</v>
      </c>
      <c r="F237" s="336">
        <f>Gasto_o_ing_per_capita!F237*100/Gasto_o_ing_per_capita!$D237</f>
        <v>120.95202249551416</v>
      </c>
      <c r="G237" s="336">
        <f>Gasto_o_ing_per_capita!G237*100/Gasto_o_ing_per_capita!$D237</f>
        <v>139.18912894832681</v>
      </c>
      <c r="H237" s="336">
        <f>Gasto_o_ing_per_capita!H237*100/Gasto_o_ing_per_capita!$D237</f>
        <v>64.021310095527809</v>
      </c>
      <c r="I237" s="336">
        <f>Gasto_o_ing_per_capita!I237*100/Gasto_o_ing_per_capita!$D237</f>
        <v>83.202072756448402</v>
      </c>
      <c r="J237" s="336">
        <f>Gasto_o_ing_per_capita!J237*100/Gasto_o_ing_per_capita!$D237</f>
        <v>132.42789460819591</v>
      </c>
      <c r="K237" s="336">
        <f>Gasto_o_ing_per_capita!K237*100/Gasto_o_ing_per_capita!$D237</f>
        <v>163.13327938553962</v>
      </c>
      <c r="L237" s="336">
        <f>Gasto_o_ing_per_capita!L237*100/Gasto_o_ing_per_capita!$D237</f>
        <v>123.35949514642132</v>
      </c>
      <c r="M237" s="336">
        <f>Gasto_o_ing_per_capita!M237*100/Gasto_o_ing_per_capita!$D237</f>
        <v>92.027672632707208</v>
      </c>
      <c r="N237" s="336">
        <f>Gasto_o_ing_per_capita!N237*100/Gasto_o_ing_per_capita!$D237</f>
        <v>86.50755711750773</v>
      </c>
      <c r="O237" s="336">
        <f>Gasto_o_ing_per_capita!O237*100/Gasto_o_ing_per_capita!$D237</f>
        <v>104.11531643091605</v>
      </c>
      <c r="P237" s="336">
        <f>Gasto_o_ing_per_capita!P237*100/Gasto_o_ing_per_capita!$D237</f>
        <v>123.94098386399907</v>
      </c>
      <c r="Q237" s="336">
        <f>Gasto_o_ing_per_capita!Q237*100/Gasto_o_ing_per_capita!$D237</f>
        <v>92.572724436565409</v>
      </c>
      <c r="R237" s="336">
        <f>Gasto_o_ing_per_capita!R237*100/Gasto_o_ing_per_capita!$D237</f>
        <v>79.815755730530455</v>
      </c>
      <c r="S237" s="336">
        <f>Gasto_o_ing_per_capita!S237*100/Gasto_o_ing_per_capita!$D237</f>
        <v>92.383432179362245</v>
      </c>
      <c r="T237" s="336">
        <f>Gasto_o_ing_per_capita!T237*100/Gasto_o_ing_per_capita!$D237</f>
        <v>110.81019753978177</v>
      </c>
      <c r="U237" s="336">
        <f>Gasto_o_ing_per_capita!U237*100/Gasto_o_ing_per_capita!$D237</f>
        <v>113.70742807780331</v>
      </c>
      <c r="V237" s="336">
        <f>Gasto_o_ing_per_capita!V237*100/Gasto_o_ing_per_capita!$D237</f>
        <v>64.513886926056585</v>
      </c>
    </row>
    <row r="238" spans="1:22" s="102" customFormat="1" ht="13.15">
      <c r="A238" s="355" t="str">
        <f>IF(B238="","",(IF(ISERROR(MATCH(B238,Tot_res!C:C,0)),"Eliminar!!!","")))</f>
        <v/>
      </c>
      <c r="B238" s="115" t="s">
        <v>756</v>
      </c>
      <c r="C238" s="333" t="str">
        <f>VLOOKUP(B238,Tot_res!C:D,2,FALSE)</f>
        <v>Dirección y Servicios Generales de Agricultura, Alimentación y Medio Ambiente</v>
      </c>
      <c r="D238" s="336">
        <f>Gasto_o_ing_per_capita!D238*100/Gasto_o_ing_per_capita!$D238</f>
        <v>100</v>
      </c>
      <c r="E238" s="336">
        <f>Gasto_o_ing_per_capita!E238*100/Gasto_o_ing_per_capita!$D238</f>
        <v>96.96186404455932</v>
      </c>
      <c r="F238" s="336">
        <f>Gasto_o_ing_per_capita!F238*100/Gasto_o_ing_per_capita!$D238</f>
        <v>219.0476643657114</v>
      </c>
      <c r="G238" s="336">
        <f>Gasto_o_ing_per_capita!G238*100/Gasto_o_ing_per_capita!$D238</f>
        <v>117.51229580422373</v>
      </c>
      <c r="H238" s="336">
        <f>Gasto_o_ing_per_capita!H238*100/Gasto_o_ing_per_capita!$D238</f>
        <v>62.728925346516569</v>
      </c>
      <c r="I238" s="336">
        <f>Gasto_o_ing_per_capita!I238*100/Gasto_o_ing_per_capita!$D238</f>
        <v>102.83653677322896</v>
      </c>
      <c r="J238" s="336">
        <f>Gasto_o_ing_per_capita!J238*100/Gasto_o_ing_per_capita!$D238</f>
        <v>133.044432132899</v>
      </c>
      <c r="K238" s="336">
        <f>Gasto_o_ing_per_capita!K238*100/Gasto_o_ing_per_capita!$D238</f>
        <v>143.08418595145471</v>
      </c>
      <c r="L238" s="336">
        <f>Gasto_o_ing_per_capita!L238*100/Gasto_o_ing_per_capita!$D238</f>
        <v>139.29280820545063</v>
      </c>
      <c r="M238" s="336">
        <f>Gasto_o_ing_per_capita!M238*100/Gasto_o_ing_per_capita!$D238</f>
        <v>66.451387701167533</v>
      </c>
      <c r="N238" s="336">
        <f>Gasto_o_ing_per_capita!N238*100/Gasto_o_ing_per_capita!$D238</f>
        <v>86.661609236384464</v>
      </c>
      <c r="O238" s="336">
        <f>Gasto_o_ing_per_capita!O238*100/Gasto_o_ing_per_capita!$D238</f>
        <v>276.30470807760429</v>
      </c>
      <c r="P238" s="336">
        <f>Gasto_o_ing_per_capita!P238*100/Gasto_o_ing_per_capita!$D238</f>
        <v>74.120861764385225</v>
      </c>
      <c r="Q238" s="336">
        <f>Gasto_o_ing_per_capita!Q238*100/Gasto_o_ing_per_capita!$D238</f>
        <v>74.018593821162895</v>
      </c>
      <c r="R238" s="336">
        <f>Gasto_o_ing_per_capita!R238*100/Gasto_o_ing_per_capita!$D238</f>
        <v>144.60174327045144</v>
      </c>
      <c r="S238" s="336">
        <f>Gasto_o_ing_per_capita!S238*100/Gasto_o_ing_per_capita!$D238</f>
        <v>97.245970977855578</v>
      </c>
      <c r="T238" s="336">
        <f>Gasto_o_ing_per_capita!T238*100/Gasto_o_ing_per_capita!$D238</f>
        <v>83.090766380251281</v>
      </c>
      <c r="U238" s="336">
        <f>Gasto_o_ing_per_capita!U238*100/Gasto_o_ing_per_capita!$D238</f>
        <v>114.3207814023251</v>
      </c>
      <c r="V238" s="336">
        <f>Gasto_o_ing_per_capita!V238*100/Gasto_o_ing_per_capita!$D238</f>
        <v>146.37991307802392</v>
      </c>
    </row>
    <row r="239" spans="1:22" s="102" customFormat="1" ht="13.15">
      <c r="A239" s="355" t="str">
        <f>IF(B239="","",(IF(ISERROR(MATCH(B239,Tot_res!C:C,0)),"Eliminar!!!","")))</f>
        <v/>
      </c>
      <c r="B239" s="115" t="s">
        <v>257</v>
      </c>
      <c r="C239" s="333" t="str">
        <f>VLOOKUP(B239,Tot_res!C:D,2,FALSE)</f>
        <v>Gestión e infraestructuras del agua</v>
      </c>
      <c r="D239" s="336">
        <f>Gasto_o_ing_per_capita!D239*100/Gasto_o_ing_per_capita!$D239</f>
        <v>100</v>
      </c>
      <c r="E239" s="336">
        <f>Gasto_o_ing_per_capita!E239*100/Gasto_o_ing_per_capita!$D239</f>
        <v>112.32162432078344</v>
      </c>
      <c r="F239" s="336">
        <f>Gasto_o_ing_per_capita!F239*100/Gasto_o_ing_per_capita!$D239</f>
        <v>382.00524850394225</v>
      </c>
      <c r="G239" s="336">
        <f>Gasto_o_ing_per_capita!G239*100/Gasto_o_ing_per_capita!$D239</f>
        <v>24.971973436201722</v>
      </c>
      <c r="H239" s="336">
        <f>Gasto_o_ing_per_capita!H239*100/Gasto_o_ing_per_capita!$D239</f>
        <v>10.04068345554861</v>
      </c>
      <c r="I239" s="336">
        <f>Gasto_o_ing_per_capita!I239*100/Gasto_o_ing_per_capita!$D239</f>
        <v>54.503870545592399</v>
      </c>
      <c r="J239" s="336">
        <f>Gasto_o_ing_per_capita!J239*100/Gasto_o_ing_per_capita!$D239</f>
        <v>26.448976754499043</v>
      </c>
      <c r="K239" s="336">
        <f>Gasto_o_ing_per_capita!K239*100/Gasto_o_ing_per_capita!$D239</f>
        <v>206.79088421016502</v>
      </c>
      <c r="L239" s="336">
        <f>Gasto_o_ing_per_capita!L239*100/Gasto_o_ing_per_capita!$D239</f>
        <v>202.57791443537118</v>
      </c>
      <c r="M239" s="336">
        <f>Gasto_o_ing_per_capita!M239*100/Gasto_o_ing_per_capita!$D239</f>
        <v>24.446730713058724</v>
      </c>
      <c r="N239" s="336">
        <f>Gasto_o_ing_per_capita!N239*100/Gasto_o_ing_per_capita!$D239</f>
        <v>77.866097803071298</v>
      </c>
      <c r="O239" s="336">
        <f>Gasto_o_ing_per_capita!O239*100/Gasto_o_ing_per_capita!$D239</f>
        <v>468.95820168042536</v>
      </c>
      <c r="P239" s="336">
        <f>Gasto_o_ing_per_capita!P239*100/Gasto_o_ing_per_capita!$D239</f>
        <v>20.358852192920136</v>
      </c>
      <c r="Q239" s="336">
        <f>Gasto_o_ing_per_capita!Q239*100/Gasto_o_ing_per_capita!$D239</f>
        <v>55.012816775544614</v>
      </c>
      <c r="R239" s="336">
        <f>Gasto_o_ing_per_capita!R239*100/Gasto_o_ing_per_capita!$D239</f>
        <v>265.27808457825472</v>
      </c>
      <c r="S239" s="336">
        <f>Gasto_o_ing_per_capita!S239*100/Gasto_o_ing_per_capita!$D239</f>
        <v>119.34872583072948</v>
      </c>
      <c r="T239" s="336">
        <f>Gasto_o_ing_per_capita!T239*100/Gasto_o_ing_per_capita!$D239</f>
        <v>32.197970683295729</v>
      </c>
      <c r="U239" s="336">
        <f>Gasto_o_ing_per_capita!U239*100/Gasto_o_ing_per_capita!$D239</f>
        <v>152.64500208902547</v>
      </c>
      <c r="V239" s="336">
        <f>Gasto_o_ing_per_capita!V239*100/Gasto_o_ing_per_capita!$D239</f>
        <v>208.93818635864201</v>
      </c>
    </row>
    <row r="240" spans="1:22" s="102" customFormat="1" ht="13.15">
      <c r="A240" s="355" t="str">
        <f>IF(B240="","",(IF(ISERROR(MATCH(B240,Tot_res!C:C,0)),"Eliminar!!!","")))</f>
        <v/>
      </c>
      <c r="B240" s="115" t="s">
        <v>258</v>
      </c>
      <c r="C240" s="333" t="str">
        <f>VLOOKUP(B240,Tot_res!C:D,2,FALSE)</f>
        <v>Normativa y ordenac. territorial recursos hídricos</v>
      </c>
      <c r="D240" s="336">
        <f>Gasto_o_ing_per_capita!D240*100/Gasto_o_ing_per_capita!$D240</f>
        <v>100</v>
      </c>
      <c r="E240" s="336">
        <f>Gasto_o_ing_per_capita!E240*100/Gasto_o_ing_per_capita!$D240</f>
        <v>100.00000000000003</v>
      </c>
      <c r="F240" s="336">
        <f>Gasto_o_ing_per_capita!F240*100/Gasto_o_ing_per_capita!$D240</f>
        <v>100</v>
      </c>
      <c r="G240" s="336">
        <f>Gasto_o_ing_per_capita!G240*100/Gasto_o_ing_per_capita!$D240</f>
        <v>100.00000000000003</v>
      </c>
      <c r="H240" s="336">
        <f>Gasto_o_ing_per_capita!H240*100/Gasto_o_ing_per_capita!$D240</f>
        <v>100</v>
      </c>
      <c r="I240" s="336">
        <f>Gasto_o_ing_per_capita!I240*100/Gasto_o_ing_per_capita!$D240</f>
        <v>100.00000000000003</v>
      </c>
      <c r="J240" s="336">
        <f>Gasto_o_ing_per_capita!J240*100/Gasto_o_ing_per_capita!$D240</f>
        <v>100.00000000000003</v>
      </c>
      <c r="K240" s="336">
        <f>Gasto_o_ing_per_capita!K240*100/Gasto_o_ing_per_capita!$D240</f>
        <v>100.00000000000003</v>
      </c>
      <c r="L240" s="336">
        <f>Gasto_o_ing_per_capita!L240*100/Gasto_o_ing_per_capita!$D240</f>
        <v>100.00000000000003</v>
      </c>
      <c r="M240" s="336">
        <f>Gasto_o_ing_per_capita!M240*100/Gasto_o_ing_per_capita!$D240</f>
        <v>100.00000000000003</v>
      </c>
      <c r="N240" s="336">
        <f>Gasto_o_ing_per_capita!N240*100/Gasto_o_ing_per_capita!$D240</f>
        <v>100.00000000000003</v>
      </c>
      <c r="O240" s="336">
        <f>Gasto_o_ing_per_capita!O240*100/Gasto_o_ing_per_capita!$D240</f>
        <v>100</v>
      </c>
      <c r="P240" s="336">
        <f>Gasto_o_ing_per_capita!P240*100/Gasto_o_ing_per_capita!$D240</f>
        <v>100.00000000000003</v>
      </c>
      <c r="Q240" s="336">
        <f>Gasto_o_ing_per_capita!Q240*100/Gasto_o_ing_per_capita!$D240</f>
        <v>100.00000000000003</v>
      </c>
      <c r="R240" s="336">
        <f>Gasto_o_ing_per_capita!R240*100/Gasto_o_ing_per_capita!$D240</f>
        <v>100</v>
      </c>
      <c r="S240" s="336">
        <f>Gasto_o_ing_per_capita!S240*100/Gasto_o_ing_per_capita!$D240</f>
        <v>100.00000000000003</v>
      </c>
      <c r="T240" s="336">
        <f>Gasto_o_ing_per_capita!T240*100/Gasto_o_ing_per_capita!$D240</f>
        <v>100</v>
      </c>
      <c r="U240" s="336">
        <f>Gasto_o_ing_per_capita!U240*100/Gasto_o_ing_per_capita!$D240</f>
        <v>100.00000000000003</v>
      </c>
      <c r="V240" s="336">
        <f>Gasto_o_ing_per_capita!V240*100/Gasto_o_ing_per_capita!$D240</f>
        <v>100</v>
      </c>
    </row>
    <row r="241" spans="1:22" s="102" customFormat="1" ht="13.15">
      <c r="A241" s="355" t="str">
        <f>IF(B241="","",(IF(ISERROR(MATCH(B241,Tot_res!C:C,0)),"Eliminar!!!","")))</f>
        <v/>
      </c>
      <c r="B241" s="115" t="s">
        <v>259</v>
      </c>
      <c r="C241" s="333" t="str">
        <f>VLOOKUP(B241,Tot_res!C:D,2,FALSE)</f>
        <v>Infraestructura del transporte ferroviario + AF10 (no se ha hecho)</v>
      </c>
      <c r="D241" s="336">
        <f>Gasto_o_ing_per_capita!D241*100/Gasto_o_ing_per_capita!$D241</f>
        <v>100</v>
      </c>
      <c r="E241" s="336">
        <f>Gasto_o_ing_per_capita!E241*100/Gasto_o_ing_per_capita!$D241</f>
        <v>181.32317073835159</v>
      </c>
      <c r="F241" s="336">
        <f>Gasto_o_ing_per_capita!F241*100/Gasto_o_ing_per_capita!$D241</f>
        <v>62.123299225995019</v>
      </c>
      <c r="G241" s="336">
        <f>Gasto_o_ing_per_capita!G241*100/Gasto_o_ing_per_capita!$D241</f>
        <v>101.87266770468476</v>
      </c>
      <c r="H241" s="336">
        <f>Gasto_o_ing_per_capita!H241*100/Gasto_o_ing_per_capita!$D241</f>
        <v>108.0405400050586</v>
      </c>
      <c r="I241" s="336">
        <f>Gasto_o_ing_per_capita!I241*100/Gasto_o_ing_per_capita!$D241</f>
        <v>203.79117958933239</v>
      </c>
      <c r="J241" s="336">
        <f>Gasto_o_ing_per_capita!J241*100/Gasto_o_ing_per_capita!$D241</f>
        <v>55.813507940272082</v>
      </c>
      <c r="K241" s="336">
        <f>Gasto_o_ing_per_capita!K241*100/Gasto_o_ing_per_capita!$D241</f>
        <v>48.940036797080666</v>
      </c>
      <c r="L241" s="336">
        <f>Gasto_o_ing_per_capita!L241*100/Gasto_o_ing_per_capita!$D241</f>
        <v>47.221496916649407</v>
      </c>
      <c r="M241" s="336">
        <f>Gasto_o_ing_per_capita!M241*100/Gasto_o_ing_per_capita!$D241</f>
        <v>55.460746331964074</v>
      </c>
      <c r="N241" s="336">
        <f>Gasto_o_ing_per_capita!N241*100/Gasto_o_ing_per_capita!$D241</f>
        <v>36.596612170966026</v>
      </c>
      <c r="O241" s="336">
        <f>Gasto_o_ing_per_capita!O241*100/Gasto_o_ing_per_capita!$D241</f>
        <v>235.1652962545989</v>
      </c>
      <c r="P241" s="336">
        <f>Gasto_o_ing_per_capita!P241*100/Gasto_o_ing_per_capita!$D241</f>
        <v>47.189595344106472</v>
      </c>
      <c r="Q241" s="336">
        <f>Gasto_o_ing_per_capita!Q241*100/Gasto_o_ing_per_capita!$D241</f>
        <v>159.38529978324203</v>
      </c>
      <c r="R241" s="336">
        <f>Gasto_o_ing_per_capita!R241*100/Gasto_o_ing_per_capita!$D241</f>
        <v>38.287415107957379</v>
      </c>
      <c r="S241" s="336">
        <f>Gasto_o_ing_per_capita!S241*100/Gasto_o_ing_per_capita!$D241</f>
        <v>36.99537657653795</v>
      </c>
      <c r="T241" s="336">
        <f>Gasto_o_ing_per_capita!T241*100/Gasto_o_ing_per_capita!$D241</f>
        <v>28.054665624831614</v>
      </c>
      <c r="U241" s="336">
        <f>Gasto_o_ing_per_capita!U241*100/Gasto_o_ing_per_capita!$D241</f>
        <v>16.263045324766999</v>
      </c>
      <c r="V241" s="336">
        <f>Gasto_o_ing_per_capita!V241*100/Gasto_o_ing_per_capita!$D241</f>
        <v>6.8595022712283988</v>
      </c>
    </row>
    <row r="242" spans="1:22" s="102" customFormat="1" ht="13.15">
      <c r="A242" s="355" t="str">
        <f>IF(B242="","",(IF(ISERROR(MATCH(B242,Tot_res!C:C,0)),"Eliminar!!!","")))</f>
        <v/>
      </c>
      <c r="B242" s="115" t="s">
        <v>260</v>
      </c>
      <c r="C242" s="333" t="str">
        <f>VLOOKUP(B242,Tot_res!C:D,2,FALSE)</f>
        <v>Creación de infraestructura de carreteras + AF06/1</v>
      </c>
      <c r="D242" s="336">
        <f>Gasto_o_ing_per_capita!D242*100/Gasto_o_ing_per_capita!$D242</f>
        <v>100</v>
      </c>
      <c r="E242" s="336">
        <f>Gasto_o_ing_per_capita!E242*100/Gasto_o_ing_per_capita!$D242</f>
        <v>110.82537934454888</v>
      </c>
      <c r="F242" s="336">
        <f>Gasto_o_ing_per_capita!F242*100/Gasto_o_ing_per_capita!$D242</f>
        <v>248.78936553822524</v>
      </c>
      <c r="G242" s="336">
        <f>Gasto_o_ing_per_capita!G242*100/Gasto_o_ing_per_capita!$D242</f>
        <v>308.87941985555676</v>
      </c>
      <c r="H242" s="336">
        <f>Gasto_o_ing_per_capita!H242*100/Gasto_o_ing_per_capita!$D242</f>
        <v>7.4259257572932729</v>
      </c>
      <c r="I242" s="336">
        <f>Gasto_o_ing_per_capita!I242*100/Gasto_o_ing_per_capita!$D242</f>
        <v>73.487119047039954</v>
      </c>
      <c r="J242" s="336">
        <f>Gasto_o_ing_per_capita!J242*100/Gasto_o_ing_per_capita!$D242</f>
        <v>255.20168244460643</v>
      </c>
      <c r="K242" s="336">
        <f>Gasto_o_ing_per_capita!K242*100/Gasto_o_ing_per_capita!$D242</f>
        <v>219.23481421400956</v>
      </c>
      <c r="L242" s="336">
        <f>Gasto_o_ing_per_capita!L242*100/Gasto_o_ing_per_capita!$D242</f>
        <v>125.72607465438547</v>
      </c>
      <c r="M242" s="336">
        <f>Gasto_o_ing_per_capita!M242*100/Gasto_o_ing_per_capita!$D242</f>
        <v>70.373188843606528</v>
      </c>
      <c r="N242" s="336">
        <f>Gasto_o_ing_per_capita!N242*100/Gasto_o_ing_per_capita!$D242</f>
        <v>53.650349116393528</v>
      </c>
      <c r="O242" s="336">
        <f>Gasto_o_ing_per_capita!O242*100/Gasto_o_ing_per_capita!$D242</f>
        <v>52.984877866563664</v>
      </c>
      <c r="P242" s="336">
        <f>Gasto_o_ing_per_capita!P242*100/Gasto_o_ing_per_capita!$D242</f>
        <v>155.81847334276381</v>
      </c>
      <c r="Q242" s="336">
        <f>Gasto_o_ing_per_capita!Q242*100/Gasto_o_ing_per_capita!$D242</f>
        <v>29.803004863876396</v>
      </c>
      <c r="R242" s="336">
        <f>Gasto_o_ing_per_capita!R242*100/Gasto_o_ing_per_capita!$D242</f>
        <v>61.363115043879631</v>
      </c>
      <c r="S242" s="336">
        <f>Gasto_o_ing_per_capita!S242*100/Gasto_o_ing_per_capita!$D242</f>
        <v>114.05386415535267</v>
      </c>
      <c r="T242" s="336">
        <f>Gasto_o_ing_per_capita!T242*100/Gasto_o_ing_per_capita!$D242</f>
        <v>104.56378186966035</v>
      </c>
      <c r="U242" s="336">
        <f>Gasto_o_ing_per_capita!U242*100/Gasto_o_ing_per_capita!$D242</f>
        <v>297.19646402771411</v>
      </c>
      <c r="V242" s="336">
        <f>Gasto_o_ing_per_capita!V242*100/Gasto_o_ing_per_capita!$D242</f>
        <v>19.868218349356674</v>
      </c>
    </row>
    <row r="243" spans="1:22" s="102" customFormat="1" ht="13.15">
      <c r="A243" s="355" t="str">
        <f>IF(B243="","",(IF(ISERROR(MATCH(B243,Tot_res!C:C,0)),"Eliminar!!!","")))</f>
        <v/>
      </c>
      <c r="B243" s="115" t="s">
        <v>262</v>
      </c>
      <c r="C243" s="333" t="str">
        <f>VLOOKUP(B243,Tot_res!C:D,2,FALSE)</f>
        <v>Conservación y explotación de carreteras + AF07</v>
      </c>
      <c r="D243" s="336">
        <f>Gasto_o_ing_per_capita!D243*100/Gasto_o_ing_per_capita!$D243</f>
        <v>100</v>
      </c>
      <c r="E243" s="336">
        <f>Gasto_o_ing_per_capita!E243*100/Gasto_o_ing_per_capita!$D243</f>
        <v>64.350120940369976</v>
      </c>
      <c r="F243" s="336">
        <f>Gasto_o_ing_per_capita!F243*100/Gasto_o_ing_per_capita!$D243</f>
        <v>313.90453419095604</v>
      </c>
      <c r="G243" s="336">
        <f>Gasto_o_ing_per_capita!G243*100/Gasto_o_ing_per_capita!$D243</f>
        <v>122.5558127176823</v>
      </c>
      <c r="H243" s="336">
        <f>Gasto_o_ing_per_capita!H243*100/Gasto_o_ing_per_capita!$D243</f>
        <v>7.4245400907423145</v>
      </c>
      <c r="I243" s="336">
        <f>Gasto_o_ing_per_capita!I243*100/Gasto_o_ing_per_capita!$D243</f>
        <v>8.7709389157946269</v>
      </c>
      <c r="J243" s="336">
        <f>Gasto_o_ing_per_capita!J243*100/Gasto_o_ing_per_capita!$D243</f>
        <v>226.34689311773494</v>
      </c>
      <c r="K243" s="336">
        <f>Gasto_o_ing_per_capita!K243*100/Gasto_o_ing_per_capita!$D243</f>
        <v>288.16760382898929</v>
      </c>
      <c r="L243" s="336">
        <f>Gasto_o_ing_per_capita!L243*100/Gasto_o_ing_per_capita!$D243</f>
        <v>302.74535407605845</v>
      </c>
      <c r="M243" s="336">
        <f>Gasto_o_ing_per_capita!M243*100/Gasto_o_ing_per_capita!$D243</f>
        <v>45.808672120472956</v>
      </c>
      <c r="N243" s="336">
        <f>Gasto_o_ing_per_capita!N243*100/Gasto_o_ing_per_capita!$D243</f>
        <v>65.569376632314231</v>
      </c>
      <c r="O243" s="336">
        <f>Gasto_o_ing_per_capita!O243*100/Gasto_o_ing_per_capita!$D243</f>
        <v>107.76924210360194</v>
      </c>
      <c r="P243" s="336">
        <f>Gasto_o_ing_per_capita!P243*100/Gasto_o_ing_per_capita!$D243</f>
        <v>104.47320620857121</v>
      </c>
      <c r="Q243" s="336">
        <f>Gasto_o_ing_per_capita!Q243*100/Gasto_o_ing_per_capita!$D243</f>
        <v>75.586089368334214</v>
      </c>
      <c r="R243" s="336">
        <f>Gasto_o_ing_per_capita!R243*100/Gasto_o_ing_per_capita!$D243</f>
        <v>100.48588773237007</v>
      </c>
      <c r="S243" s="336">
        <f>Gasto_o_ing_per_capita!S243*100/Gasto_o_ing_per_capita!$D243</f>
        <v>120.16037316072844</v>
      </c>
      <c r="T243" s="336">
        <f>Gasto_o_ing_per_capita!T243*100/Gasto_o_ing_per_capita!$D243</f>
        <v>110.67737126869552</v>
      </c>
      <c r="U243" s="336">
        <f>Gasto_o_ing_per_capita!U243*100/Gasto_o_ing_per_capita!$D243</f>
        <v>125.42606816007874</v>
      </c>
      <c r="V243" s="336">
        <f>Gasto_o_ing_per_capita!V243*100/Gasto_o_ing_per_capita!$D243</f>
        <v>41.003482789924348</v>
      </c>
    </row>
    <row r="244" spans="1:22" s="102" customFormat="1" ht="13.15">
      <c r="A244" s="355" t="str">
        <f>IF(B244="","",(IF(ISERROR(MATCH(B244,Tot_res!C:C,0)),"Eliminar!!!","")))</f>
        <v/>
      </c>
      <c r="B244" s="115" t="s">
        <v>264</v>
      </c>
      <c r="C244" s="333" t="str">
        <f>VLOOKUP(B244,Tot_res!C:D,2,FALSE)</f>
        <v>Ordenac. e inspección del transporte terrestre</v>
      </c>
      <c r="D244" s="336">
        <f>Gasto_o_ing_per_capita!D244*100/Gasto_o_ing_per_capita!$D244</f>
        <v>100</v>
      </c>
      <c r="E244" s="336">
        <f>Gasto_o_ing_per_capita!E244*100/Gasto_o_ing_per_capita!$D244</f>
        <v>68.792623938498195</v>
      </c>
      <c r="F244" s="336">
        <f>Gasto_o_ing_per_capita!F244*100/Gasto_o_ing_per_capita!$D244</f>
        <v>109.24486596693053</v>
      </c>
      <c r="G244" s="336">
        <f>Gasto_o_ing_per_capita!G244*100/Gasto_o_ing_per_capita!$D244</f>
        <v>124.23476378833928</v>
      </c>
      <c r="H244" s="336">
        <f>Gasto_o_ing_per_capita!H244*100/Gasto_o_ing_per_capita!$D244</f>
        <v>53.062560373616456</v>
      </c>
      <c r="I244" s="336">
        <f>Gasto_o_ing_per_capita!I244*100/Gasto_o_ing_per_capita!$D244</f>
        <v>38.22225652234701</v>
      </c>
      <c r="J244" s="336">
        <f>Gasto_o_ing_per_capita!J244*100/Gasto_o_ing_per_capita!$D244</f>
        <v>127.53468393278392</v>
      </c>
      <c r="K244" s="336">
        <f>Gasto_o_ing_per_capita!K244*100/Gasto_o_ing_per_capita!$D244</f>
        <v>136.44382217964036</v>
      </c>
      <c r="L244" s="336">
        <f>Gasto_o_ing_per_capita!L244*100/Gasto_o_ing_per_capita!$D244</f>
        <v>94.668754742545332</v>
      </c>
      <c r="M244" s="336">
        <f>Gasto_o_ing_per_capita!M244*100/Gasto_o_ing_per_capita!$D244</f>
        <v>132.46071848520913</v>
      </c>
      <c r="N244" s="336">
        <f>Gasto_o_ing_per_capita!N244*100/Gasto_o_ing_per_capita!$D244</f>
        <v>67.218737100620174</v>
      </c>
      <c r="O244" s="336">
        <f>Gasto_o_ing_per_capita!O244*100/Gasto_o_ing_per_capita!$D244</f>
        <v>130.16575822527525</v>
      </c>
      <c r="P244" s="336">
        <f>Gasto_o_ing_per_capita!P244*100/Gasto_o_ing_per_capita!$D244</f>
        <v>100.46484658622394</v>
      </c>
      <c r="Q244" s="336">
        <f>Gasto_o_ing_per_capita!Q244*100/Gasto_o_ing_per_capita!$D244</f>
        <v>98.428561545202925</v>
      </c>
      <c r="R244" s="336">
        <f>Gasto_o_ing_per_capita!R244*100/Gasto_o_ing_per_capita!$D244</f>
        <v>105.25398003801654</v>
      </c>
      <c r="S244" s="336">
        <f>Gasto_o_ing_per_capita!S244*100/Gasto_o_ing_per_capita!$D244</f>
        <v>189.86940653274047</v>
      </c>
      <c r="T244" s="336">
        <f>Gasto_o_ing_per_capita!T244*100/Gasto_o_ing_per_capita!$D244</f>
        <v>148.1169493416775</v>
      </c>
      <c r="U244" s="336">
        <f>Gasto_o_ing_per_capita!U244*100/Gasto_o_ing_per_capita!$D244</f>
        <v>250.53824008041721</v>
      </c>
      <c r="V244" s="336">
        <f>Gasto_o_ing_per_capita!V244*100/Gasto_o_ing_per_capita!$D244</f>
        <v>30.985262868301362</v>
      </c>
    </row>
    <row r="245" spans="1:22" s="102" customFormat="1" ht="13.15">
      <c r="A245" s="355" t="str">
        <f>IF(B245="","",(IF(ISERROR(MATCH(B245,Tot_res!C:C,0)),"Eliminar!!!","")))</f>
        <v/>
      </c>
      <c r="B245" s="115" t="s">
        <v>265</v>
      </c>
      <c r="C245" s="333" t="str">
        <f>VLOOKUP(B245,Tot_res!C:D,2,FALSE)</f>
        <v>Seguridad tráfico marítimo y vigilancia costera</v>
      </c>
      <c r="D245" s="336">
        <f>Gasto_o_ing_per_capita!D245*100/Gasto_o_ing_per_capita!$D245</f>
        <v>100</v>
      </c>
      <c r="E245" s="336">
        <f>Gasto_o_ing_per_capita!E245*100/Gasto_o_ing_per_capita!$D245</f>
        <v>73.09671038304505</v>
      </c>
      <c r="F245" s="336">
        <f>Gasto_o_ing_per_capita!F245*100/Gasto_o_ing_per_capita!$D245</f>
        <v>163.15775111240734</v>
      </c>
      <c r="G245" s="336">
        <f>Gasto_o_ing_per_capita!G245*100/Gasto_o_ing_per_capita!$D245</f>
        <v>87.361641802533626</v>
      </c>
      <c r="H245" s="336">
        <f>Gasto_o_ing_per_capita!H245*100/Gasto_o_ing_per_capita!$D245</f>
        <v>71.572777935385446</v>
      </c>
      <c r="I245" s="336">
        <f>Gasto_o_ing_per_capita!I245*100/Gasto_o_ing_per_capita!$D245</f>
        <v>113.35623874490315</v>
      </c>
      <c r="J245" s="336">
        <f>Gasto_o_ing_per_capita!J245*100/Gasto_o_ing_per_capita!$D245</f>
        <v>117.65110253985291</v>
      </c>
      <c r="K245" s="336">
        <f>Gasto_o_ing_per_capita!K245*100/Gasto_o_ing_per_capita!$D245</f>
        <v>112.12538347698933</v>
      </c>
      <c r="L245" s="336">
        <f>Gasto_o_ing_per_capita!L245*100/Gasto_o_ing_per_capita!$D245</f>
        <v>94.001494255505094</v>
      </c>
      <c r="M245" s="336">
        <f>Gasto_o_ing_per_capita!M245*100/Gasto_o_ing_per_capita!$D245</f>
        <v>117.52903802183215</v>
      </c>
      <c r="N245" s="336">
        <f>Gasto_o_ing_per_capita!N245*100/Gasto_o_ing_per_capita!$D245</f>
        <v>82.137863234384568</v>
      </c>
      <c r="O245" s="336">
        <f>Gasto_o_ing_per_capita!O245*100/Gasto_o_ing_per_capita!$D245</f>
        <v>58.142963896088688</v>
      </c>
      <c r="P245" s="336">
        <f>Gasto_o_ing_per_capita!P245*100/Gasto_o_ing_per_capita!$D245</f>
        <v>89.493963933798</v>
      </c>
      <c r="Q245" s="336">
        <f>Gasto_o_ing_per_capita!Q245*100/Gasto_o_ing_per_capita!$D245</f>
        <v>95.160741186203339</v>
      </c>
      <c r="R245" s="336">
        <f>Gasto_o_ing_per_capita!R245*100/Gasto_o_ing_per_capita!$D245</f>
        <v>123.17456755339576</v>
      </c>
      <c r="S245" s="336">
        <f>Gasto_o_ing_per_capita!S245*100/Gasto_o_ing_per_capita!$D245</f>
        <v>201.34964185809471</v>
      </c>
      <c r="T245" s="336">
        <f>Gasto_o_ing_per_capita!T245*100/Gasto_o_ing_per_capita!$D245</f>
        <v>128.75596309471229</v>
      </c>
      <c r="U245" s="336">
        <f>Gasto_o_ing_per_capita!U245*100/Gasto_o_ing_per_capita!$D245</f>
        <v>169.18145961403866</v>
      </c>
      <c r="V245" s="336">
        <f>Gasto_o_ing_per_capita!V245*100/Gasto_o_ing_per_capita!$D245</f>
        <v>165.00384391790212</v>
      </c>
    </row>
    <row r="246" spans="1:22" s="102" customFormat="1" ht="13.15">
      <c r="A246" s="355" t="str">
        <f>IF(B246="","",(IF(ISERROR(MATCH(B246,Tot_res!C:C,0)),"Eliminar!!!","")))</f>
        <v/>
      </c>
      <c r="B246" s="115" t="s">
        <v>266</v>
      </c>
      <c r="C246" s="333" t="str">
        <f>VLOOKUP(B246,Tot_res!C:D,2,FALSE)</f>
        <v>Regulación y supervisción de la aviación civil</v>
      </c>
      <c r="D246" s="336">
        <f>Gasto_o_ing_per_capita!D246*100/Gasto_o_ing_per_capita!$D246</f>
        <v>100</v>
      </c>
      <c r="E246" s="336">
        <f>Gasto_o_ing_per_capita!E246*100/Gasto_o_ing_per_capita!$D246</f>
        <v>86.696698688861446</v>
      </c>
      <c r="F246" s="336">
        <f>Gasto_o_ing_per_capita!F246*100/Gasto_o_ing_per_capita!$D246</f>
        <v>97.861463488639245</v>
      </c>
      <c r="G246" s="336">
        <f>Gasto_o_ing_per_capita!G246*100/Gasto_o_ing_per_capita!$D246</f>
        <v>99.741420461482576</v>
      </c>
      <c r="H246" s="336">
        <f>Gasto_o_ing_per_capita!H246*100/Gasto_o_ing_per_capita!$D246</f>
        <v>155.68723344612337</v>
      </c>
      <c r="I246" s="336">
        <f>Gasto_o_ing_per_capita!I246*100/Gasto_o_ing_per_capita!$D246</f>
        <v>128.07026205385668</v>
      </c>
      <c r="J246" s="336">
        <f>Gasto_o_ing_per_capita!J246*100/Gasto_o_ing_per_capita!$D246</f>
        <v>100.54226352946975</v>
      </c>
      <c r="K246" s="336">
        <f>Gasto_o_ing_per_capita!K246*100/Gasto_o_ing_per_capita!$D246</f>
        <v>82.405233590389074</v>
      </c>
      <c r="L246" s="336">
        <f>Gasto_o_ing_per_capita!L246*100/Gasto_o_ing_per_capita!$D246</f>
        <v>91.138687920388733</v>
      </c>
      <c r="M246" s="336">
        <f>Gasto_o_ing_per_capita!M246*100/Gasto_o_ing_per_capita!$D246</f>
        <v>111.45726493128346</v>
      </c>
      <c r="N246" s="336">
        <f>Gasto_o_ing_per_capita!N246*100/Gasto_o_ing_per_capita!$D246</f>
        <v>92.96037496585511</v>
      </c>
      <c r="O246" s="336">
        <f>Gasto_o_ing_per_capita!O246*100/Gasto_o_ing_per_capita!$D246</f>
        <v>81.87284310386967</v>
      </c>
      <c r="P246" s="336">
        <f>Gasto_o_ing_per_capita!P246*100/Gasto_o_ing_per_capita!$D246</f>
        <v>89.224491403806738</v>
      </c>
      <c r="Q246" s="336">
        <f>Gasto_o_ing_per_capita!Q246*100/Gasto_o_ing_per_capita!$D246</f>
        <v>110.05740305630435</v>
      </c>
      <c r="R246" s="336">
        <f>Gasto_o_ing_per_capita!R246*100/Gasto_o_ing_per_capita!$D246</f>
        <v>89.210260838613408</v>
      </c>
      <c r="S246" s="336">
        <f>Gasto_o_ing_per_capita!S246*100/Gasto_o_ing_per_capita!$D246</f>
        <v>100.23075706464176</v>
      </c>
      <c r="T246" s="336">
        <f>Gasto_o_ing_per_capita!T246*100/Gasto_o_ing_per_capita!$D246</f>
        <v>103.44042101087176</v>
      </c>
      <c r="U246" s="336">
        <f>Gasto_o_ing_per_capita!U246*100/Gasto_o_ing_per_capita!$D246</f>
        <v>92.487539941873976</v>
      </c>
      <c r="V246" s="336">
        <f>Gasto_o_ing_per_capita!V246*100/Gasto_o_ing_per_capita!$D246</f>
        <v>105.55140270364835</v>
      </c>
    </row>
    <row r="247" spans="1:22" s="102" customFormat="1" ht="13.15">
      <c r="A247" s="355" t="str">
        <f>IF(B247="","",(IF(ISERROR(MATCH(B247,Tot_res!C:C,0)),"Eliminar!!!","")))</f>
        <v/>
      </c>
      <c r="B247" s="115" t="s">
        <v>267</v>
      </c>
      <c r="C247" s="333" t="str">
        <f>VLOOKUP(B247,Tot_res!C:D,2,FALSE)</f>
        <v>Calidad del agua</v>
      </c>
      <c r="D247" s="336">
        <f>Gasto_o_ing_per_capita!D247*100/Gasto_o_ing_per_capita!$D247</f>
        <v>100</v>
      </c>
      <c r="E247" s="336">
        <f>Gasto_o_ing_per_capita!E247*100/Gasto_o_ing_per_capita!$D247</f>
        <v>24.698788550189786</v>
      </c>
      <c r="F247" s="336">
        <f>Gasto_o_ing_per_capita!F247*100/Gasto_o_ing_per_capita!$D247</f>
        <v>356.39102354964996</v>
      </c>
      <c r="G247" s="336">
        <f>Gasto_o_ing_per_capita!G247*100/Gasto_o_ing_per_capita!$D247</f>
        <v>822.95378596112778</v>
      </c>
      <c r="H247" s="336">
        <f>Gasto_o_ing_per_capita!H247*100/Gasto_o_ing_per_capita!$D247</f>
        <v>0</v>
      </c>
      <c r="I247" s="336">
        <f>Gasto_o_ing_per_capita!I247*100/Gasto_o_ing_per_capita!$D247</f>
        <v>132.82584367687832</v>
      </c>
      <c r="J247" s="336">
        <f>Gasto_o_ing_per_capita!J247*100/Gasto_o_ing_per_capita!$D247</f>
        <v>1240.11329469319</v>
      </c>
      <c r="K247" s="336">
        <f>Gasto_o_ing_per_capita!K247*100/Gasto_o_ing_per_capita!$D247</f>
        <v>12.802565596510796</v>
      </c>
      <c r="L247" s="336">
        <f>Gasto_o_ing_per_capita!L247*100/Gasto_o_ing_per_capita!$D247</f>
        <v>5.0397502235117564</v>
      </c>
      <c r="M247" s="336">
        <f>Gasto_o_ing_per_capita!M247*100/Gasto_o_ing_per_capita!$D247</f>
        <v>1.6610986714625602</v>
      </c>
      <c r="N247" s="336">
        <f>Gasto_o_ing_per_capita!N247*100/Gasto_o_ing_per_capita!$D247</f>
        <v>0.79682085878838416</v>
      </c>
      <c r="O247" s="336">
        <f>Gasto_o_ing_per_capita!O247*100/Gasto_o_ing_per_capita!$D247</f>
        <v>1016.7950725890851</v>
      </c>
      <c r="P247" s="336">
        <f>Gasto_o_ing_per_capita!P247*100/Gasto_o_ing_per_capita!$D247</f>
        <v>126.86595682861284</v>
      </c>
      <c r="Q247" s="336">
        <f>Gasto_o_ing_per_capita!Q247*100/Gasto_o_ing_per_capita!$D247</f>
        <v>2.2691496646281983</v>
      </c>
      <c r="R247" s="336">
        <f>Gasto_o_ing_per_capita!R247*100/Gasto_o_ing_per_capita!$D247</f>
        <v>0.3576348039970102</v>
      </c>
      <c r="S247" s="336">
        <f>Gasto_o_ing_per_capita!S247*100/Gasto_o_ing_per_capita!$D247</f>
        <v>7.3646331547633022</v>
      </c>
      <c r="T247" s="336">
        <f>Gasto_o_ing_per_capita!T247*100/Gasto_o_ing_per_capita!$D247</f>
        <v>226.36280277692765</v>
      </c>
      <c r="U247" s="336">
        <f>Gasto_o_ing_per_capita!U247*100/Gasto_o_ing_per_capita!$D247</f>
        <v>10.840004568374276</v>
      </c>
      <c r="V247" s="336">
        <f>Gasto_o_ing_per_capita!V247*100/Gasto_o_ing_per_capita!$D247</f>
        <v>434.96721150263562</v>
      </c>
    </row>
    <row r="248" spans="1:22" s="102" customFormat="1" ht="13.15">
      <c r="A248" s="355" t="str">
        <f>IF(B248="","",(IF(ISERROR(MATCH(B248,Tot_res!C:C,0)),"Eliminar!!!","")))</f>
        <v/>
      </c>
      <c r="B248" s="115" t="s">
        <v>269</v>
      </c>
      <c r="C248" s="333" t="str">
        <f>VLOOKUP(B248,Tot_res!C:D,2,FALSE)</f>
        <v>Protección y mejora del medio ambiente</v>
      </c>
      <c r="D248" s="336">
        <f>Gasto_o_ing_per_capita!D248*100/Gasto_o_ing_per_capita!$D248</f>
        <v>100</v>
      </c>
      <c r="E248" s="336">
        <f>Gasto_o_ing_per_capita!E248*100/Gasto_o_ing_per_capita!$D248</f>
        <v>106.17716763867503</v>
      </c>
      <c r="F248" s="336">
        <f>Gasto_o_ing_per_capita!F248*100/Gasto_o_ing_per_capita!$D248</f>
        <v>97.091259136872083</v>
      </c>
      <c r="G248" s="336">
        <f>Gasto_o_ing_per_capita!G248*100/Gasto_o_ing_per_capita!$D248</f>
        <v>97.091259136872083</v>
      </c>
      <c r="H248" s="336">
        <f>Gasto_o_ing_per_capita!H248*100/Gasto_o_ing_per_capita!$D248</f>
        <v>97.091259136872054</v>
      </c>
      <c r="I248" s="336">
        <f>Gasto_o_ing_per_capita!I248*100/Gasto_o_ing_per_capita!$D248</f>
        <v>97.091259136872083</v>
      </c>
      <c r="J248" s="336">
        <f>Gasto_o_ing_per_capita!J248*100/Gasto_o_ing_per_capita!$D248</f>
        <v>97.091259136872083</v>
      </c>
      <c r="K248" s="336">
        <f>Gasto_o_ing_per_capita!K248*100/Gasto_o_ing_per_capita!$D248</f>
        <v>97.091259136872083</v>
      </c>
      <c r="L248" s="336">
        <f>Gasto_o_ing_per_capita!L248*100/Gasto_o_ing_per_capita!$D248</f>
        <v>97.091259136872083</v>
      </c>
      <c r="M248" s="336">
        <f>Gasto_o_ing_per_capita!M248*100/Gasto_o_ing_per_capita!$D248</f>
        <v>98.561063652376831</v>
      </c>
      <c r="N248" s="336">
        <f>Gasto_o_ing_per_capita!N248*100/Gasto_o_ing_per_capita!$D248</f>
        <v>97.091259136872083</v>
      </c>
      <c r="O248" s="336">
        <f>Gasto_o_ing_per_capita!O248*100/Gasto_o_ing_per_capita!$D248</f>
        <v>97.091259136872054</v>
      </c>
      <c r="P248" s="336">
        <f>Gasto_o_ing_per_capita!P248*100/Gasto_o_ing_per_capita!$D248</f>
        <v>97.091259136872054</v>
      </c>
      <c r="Q248" s="336">
        <f>Gasto_o_ing_per_capita!Q248*100/Gasto_o_ing_per_capita!$D248</f>
        <v>104.65496802677377</v>
      </c>
      <c r="R248" s="336">
        <f>Gasto_o_ing_per_capita!R248*100/Gasto_o_ing_per_capita!$D248</f>
        <v>97.091259136872054</v>
      </c>
      <c r="S248" s="336">
        <f>Gasto_o_ing_per_capita!S248*100/Gasto_o_ing_per_capita!$D248</f>
        <v>97.091259136872083</v>
      </c>
      <c r="T248" s="336">
        <f>Gasto_o_ing_per_capita!T248*100/Gasto_o_ing_per_capita!$D248</f>
        <v>97.091259136872083</v>
      </c>
      <c r="U248" s="336">
        <f>Gasto_o_ing_per_capita!U248*100/Gasto_o_ing_per_capita!$D248</f>
        <v>97.091259136872083</v>
      </c>
      <c r="V248" s="336">
        <f>Gasto_o_ing_per_capita!V248*100/Gasto_o_ing_per_capita!$D248</f>
        <v>97.091259136872054</v>
      </c>
    </row>
    <row r="249" spans="1:22" s="102" customFormat="1" ht="13.15">
      <c r="A249" s="355" t="str">
        <f>IF(B249="","",(IF(ISERROR(MATCH(B249,Tot_res!C:C,0)),"Eliminar!!!","")))</f>
        <v/>
      </c>
      <c r="B249" s="115" t="s">
        <v>271</v>
      </c>
      <c r="C249" s="333" t="str">
        <f>VLOOKUP(B249,Tot_res!C:D,2,FALSE)</f>
        <v>Protección y mejora del medio natural + AF09</v>
      </c>
      <c r="D249" s="336">
        <f>Gasto_o_ing_per_capita!D249*100/Gasto_o_ing_per_capita!$D249</f>
        <v>100</v>
      </c>
      <c r="E249" s="336">
        <f>Gasto_o_ing_per_capita!E249*100/Gasto_o_ing_per_capita!$D249</f>
        <v>67.527432330467732</v>
      </c>
      <c r="F249" s="336">
        <f>Gasto_o_ing_per_capita!F249*100/Gasto_o_ing_per_capita!$D249</f>
        <v>125.92201043147122</v>
      </c>
      <c r="G249" s="336">
        <f>Gasto_o_ing_per_capita!G249*100/Gasto_o_ing_per_capita!$D249</f>
        <v>181.31864188699413</v>
      </c>
      <c r="H249" s="336">
        <f>Gasto_o_ing_per_capita!H249*100/Gasto_o_ing_per_capita!$D249</f>
        <v>58.673863075855493</v>
      </c>
      <c r="I249" s="336">
        <f>Gasto_o_ing_per_capita!I249*100/Gasto_o_ing_per_capita!$D249</f>
        <v>123.87250539841641</v>
      </c>
      <c r="J249" s="336">
        <f>Gasto_o_ing_per_capita!J249*100/Gasto_o_ing_per_capita!$D249</f>
        <v>63.344472325263666</v>
      </c>
      <c r="K249" s="336">
        <f>Gasto_o_ing_per_capita!K249*100/Gasto_o_ing_per_capita!$D249</f>
        <v>280.00356645155034</v>
      </c>
      <c r="L249" s="336">
        <f>Gasto_o_ing_per_capita!L249*100/Gasto_o_ing_per_capita!$D249</f>
        <v>315.59279653554768</v>
      </c>
      <c r="M249" s="336">
        <f>Gasto_o_ing_per_capita!M249*100/Gasto_o_ing_per_capita!$D249</f>
        <v>55.566827612428121</v>
      </c>
      <c r="N249" s="336">
        <f>Gasto_o_ing_per_capita!N249*100/Gasto_o_ing_per_capita!$D249</f>
        <v>62.486064537962321</v>
      </c>
      <c r="O249" s="336">
        <f>Gasto_o_ing_per_capita!O249*100/Gasto_o_ing_per_capita!$D249</f>
        <v>275.1808772715313</v>
      </c>
      <c r="P249" s="336">
        <f>Gasto_o_ing_per_capita!P249*100/Gasto_o_ing_per_capita!$D249</f>
        <v>91.062272116989561</v>
      </c>
      <c r="Q249" s="336">
        <f>Gasto_o_ing_per_capita!Q249*100/Gasto_o_ing_per_capita!$D249</f>
        <v>54.149834754075947</v>
      </c>
      <c r="R249" s="336">
        <f>Gasto_o_ing_per_capita!R249*100/Gasto_o_ing_per_capita!$D249</f>
        <v>72.167277623792458</v>
      </c>
      <c r="S249" s="336">
        <f>Gasto_o_ing_per_capita!S249*100/Gasto_o_ing_per_capita!$D249</f>
        <v>86.401588842527772</v>
      </c>
      <c r="T249" s="336">
        <f>Gasto_o_ing_per_capita!T249*100/Gasto_o_ing_per_capita!$D249</f>
        <v>87.189155408388231</v>
      </c>
      <c r="U249" s="336">
        <f>Gasto_o_ing_per_capita!U249*100/Gasto_o_ing_per_capita!$D249</f>
        <v>125.3620571508022</v>
      </c>
      <c r="V249" s="336">
        <f>Gasto_o_ing_per_capita!V249*100/Gasto_o_ing_per_capita!$D249</f>
        <v>41.135438738452919</v>
      </c>
    </row>
    <row r="250" spans="1:22" s="102" customFormat="1" ht="13.15">
      <c r="A250" s="355" t="str">
        <f>IF(B250="","",(IF(ISERROR(MATCH(B250,Tot_res!C:C,0)),"Eliminar!!!","")))</f>
        <v/>
      </c>
      <c r="B250" s="115" t="s">
        <v>273</v>
      </c>
      <c r="C250" s="333" t="str">
        <f>VLOOKUP(B250,Tot_res!C:D,2,FALSE)</f>
        <v>Actuación en la costa</v>
      </c>
      <c r="D250" s="336">
        <f>Gasto_o_ing_per_capita!D250*100/Gasto_o_ing_per_capita!$D250</f>
        <v>100</v>
      </c>
      <c r="E250" s="336">
        <f>Gasto_o_ing_per_capita!E250*100/Gasto_o_ing_per_capita!$D250</f>
        <v>60.047635749697164</v>
      </c>
      <c r="F250" s="336">
        <f>Gasto_o_ing_per_capita!F250*100/Gasto_o_ing_per_capita!$D250</f>
        <v>26.420436597862292</v>
      </c>
      <c r="G250" s="336">
        <f>Gasto_o_ing_per_capita!G250*100/Gasto_o_ing_per_capita!$D250</f>
        <v>88.08498844687881</v>
      </c>
      <c r="H250" s="336">
        <f>Gasto_o_ing_per_capita!H250*100/Gasto_o_ing_per_capita!$D250</f>
        <v>106.40135308863663</v>
      </c>
      <c r="I250" s="336">
        <f>Gasto_o_ing_per_capita!I250*100/Gasto_o_ing_per_capita!$D250</f>
        <v>671.39068328538701</v>
      </c>
      <c r="J250" s="336">
        <f>Gasto_o_ing_per_capita!J250*100/Gasto_o_ing_per_capita!$D250</f>
        <v>123.5172394897964</v>
      </c>
      <c r="K250" s="336">
        <f>Gasto_o_ing_per_capita!K250*100/Gasto_o_ing_per_capita!$D250</f>
        <v>24.337346713224765</v>
      </c>
      <c r="L250" s="336">
        <f>Gasto_o_ing_per_capita!L250*100/Gasto_o_ing_per_capita!$D250</f>
        <v>22.539876571668014</v>
      </c>
      <c r="M250" s="336">
        <f>Gasto_o_ing_per_capita!M250*100/Gasto_o_ing_per_capita!$D250</f>
        <v>59.467456366836572</v>
      </c>
      <c r="N250" s="336">
        <f>Gasto_o_ing_per_capita!N250*100/Gasto_o_ing_per_capita!$D250</f>
        <v>204.99826901639199</v>
      </c>
      <c r="O250" s="336">
        <f>Gasto_o_ing_per_capita!O250*100/Gasto_o_ing_per_capita!$D250</f>
        <v>21.205763735911052</v>
      </c>
      <c r="P250" s="336">
        <f>Gasto_o_ing_per_capita!P250*100/Gasto_o_ing_per_capita!$D250</f>
        <v>116.44692022569726</v>
      </c>
      <c r="Q250" s="336">
        <f>Gasto_o_ing_per_capita!Q250*100/Gasto_o_ing_per_capita!$D250</f>
        <v>29.550654336932372</v>
      </c>
      <c r="R250" s="336">
        <f>Gasto_o_ing_per_capita!R250*100/Gasto_o_ing_per_capita!$D250</f>
        <v>75.5270524468514</v>
      </c>
      <c r="S250" s="336">
        <f>Gasto_o_ing_per_capita!S250*100/Gasto_o_ing_per_capita!$D250</f>
        <v>27.969359015129626</v>
      </c>
      <c r="T250" s="336">
        <f>Gasto_o_ing_per_capita!T250*100/Gasto_o_ing_per_capita!$D250</f>
        <v>80.820246612050127</v>
      </c>
      <c r="U250" s="336">
        <f>Gasto_o_ing_per_capita!U250*100/Gasto_o_ing_per_capita!$D250</f>
        <v>25.964279253125476</v>
      </c>
      <c r="V250" s="336">
        <f>Gasto_o_ing_per_capita!V250*100/Gasto_o_ing_per_capita!$D250</f>
        <v>48.457007368110325</v>
      </c>
    </row>
    <row r="251" spans="1:22" s="102" customFormat="1" ht="13.15">
      <c r="A251" s="355" t="str">
        <f>IF(B251="","",(IF(ISERROR(MATCH(B251,Tot_res!C:C,0)),"Eliminar!!!","")))</f>
        <v/>
      </c>
      <c r="B251" s="115" t="s">
        <v>275</v>
      </c>
      <c r="C251" s="333" t="str">
        <f>VLOOKUP(B251,Tot_res!C:D,2,FALSE)</f>
        <v>Actuac. prevención contaminac. y cambio climático</v>
      </c>
      <c r="D251" s="336">
        <f>Gasto_o_ing_per_capita!D251*100/Gasto_o_ing_per_capita!$D251</f>
        <v>100</v>
      </c>
      <c r="E251" s="336">
        <f>Gasto_o_ing_per_capita!E251*100/Gasto_o_ing_per_capita!$D251</f>
        <v>100</v>
      </c>
      <c r="F251" s="336">
        <f>Gasto_o_ing_per_capita!F251*100/Gasto_o_ing_per_capita!$D251</f>
        <v>100</v>
      </c>
      <c r="G251" s="336">
        <f>Gasto_o_ing_per_capita!G251*100/Gasto_o_ing_per_capita!$D251</f>
        <v>100</v>
      </c>
      <c r="H251" s="336">
        <f>Gasto_o_ing_per_capita!H251*100/Gasto_o_ing_per_capita!$D251</f>
        <v>100</v>
      </c>
      <c r="I251" s="336">
        <f>Gasto_o_ing_per_capita!I251*100/Gasto_o_ing_per_capita!$D251</f>
        <v>100</v>
      </c>
      <c r="J251" s="336">
        <f>Gasto_o_ing_per_capita!J251*100/Gasto_o_ing_per_capita!$D251</f>
        <v>100</v>
      </c>
      <c r="K251" s="336">
        <f>Gasto_o_ing_per_capita!K251*100/Gasto_o_ing_per_capita!$D251</f>
        <v>100</v>
      </c>
      <c r="L251" s="336">
        <f>Gasto_o_ing_per_capita!L251*100/Gasto_o_ing_per_capita!$D251</f>
        <v>100</v>
      </c>
      <c r="M251" s="336">
        <f>Gasto_o_ing_per_capita!M251*100/Gasto_o_ing_per_capita!$D251</f>
        <v>100</v>
      </c>
      <c r="N251" s="336">
        <f>Gasto_o_ing_per_capita!N251*100/Gasto_o_ing_per_capita!$D251</f>
        <v>100</v>
      </c>
      <c r="O251" s="336">
        <f>Gasto_o_ing_per_capita!O251*100/Gasto_o_ing_per_capita!$D251</f>
        <v>99.999999999999986</v>
      </c>
      <c r="P251" s="336">
        <f>Gasto_o_ing_per_capita!P251*100/Gasto_o_ing_per_capita!$D251</f>
        <v>100</v>
      </c>
      <c r="Q251" s="336">
        <f>Gasto_o_ing_per_capita!Q251*100/Gasto_o_ing_per_capita!$D251</f>
        <v>100</v>
      </c>
      <c r="R251" s="336">
        <f>Gasto_o_ing_per_capita!R251*100/Gasto_o_ing_per_capita!$D251</f>
        <v>99.999999999999986</v>
      </c>
      <c r="S251" s="336">
        <f>Gasto_o_ing_per_capita!S251*100/Gasto_o_ing_per_capita!$D251</f>
        <v>100</v>
      </c>
      <c r="T251" s="336">
        <f>Gasto_o_ing_per_capita!T251*100/Gasto_o_ing_per_capita!$D251</f>
        <v>100</v>
      </c>
      <c r="U251" s="336">
        <f>Gasto_o_ing_per_capita!U251*100/Gasto_o_ing_per_capita!$D251</f>
        <v>100</v>
      </c>
      <c r="V251" s="336">
        <f>Gasto_o_ing_per_capita!V251*100/Gasto_o_ing_per_capita!$D251</f>
        <v>99.999999999999986</v>
      </c>
    </row>
    <row r="252" spans="1:22" s="102" customFormat="1" ht="13.15">
      <c r="A252" s="355" t="str">
        <f>IF(B252="","",(IF(ISERROR(MATCH(B252,Tot_res!C:C,0)),"Eliminar!!!","")))</f>
        <v/>
      </c>
      <c r="B252" s="115" t="s">
        <v>276</v>
      </c>
      <c r="C252" s="333" t="str">
        <f>VLOOKUP(B252,Tot_res!C:D,2,FALSE)</f>
        <v>Investigación, desarrollo y experimentación en transporte e infraestructuras</v>
      </c>
      <c r="D252" s="336">
        <f>Gasto_o_ing_per_capita!D252*100/Gasto_o_ing_per_capita!$D252</f>
        <v>100</v>
      </c>
      <c r="E252" s="336">
        <f>Gasto_o_ing_per_capita!E252*100/Gasto_o_ing_per_capita!$D252</f>
        <v>78.604630144668974</v>
      </c>
      <c r="F252" s="336">
        <f>Gasto_o_ing_per_capita!F252*100/Gasto_o_ing_per_capita!$D252</f>
        <v>173.15200575123347</v>
      </c>
      <c r="G252" s="336">
        <f>Gasto_o_ing_per_capita!G252*100/Gasto_o_ing_per_capita!$D252</f>
        <v>171.47319240568373</v>
      </c>
      <c r="H252" s="336">
        <f>Gasto_o_ing_per_capita!H252*100/Gasto_o_ing_per_capita!$D252</f>
        <v>27.630936377643962</v>
      </c>
      <c r="I252" s="336">
        <f>Gasto_o_ing_per_capita!I252*100/Gasto_o_ing_per_capita!$D252</f>
        <v>72.658622770468213</v>
      </c>
      <c r="J252" s="336">
        <f>Gasto_o_ing_per_capita!J252*100/Gasto_o_ing_per_capita!$D252</f>
        <v>165.05218469341634</v>
      </c>
      <c r="K252" s="336">
        <f>Gasto_o_ing_per_capita!K252*100/Gasto_o_ing_per_capita!$D252</f>
        <v>219.88000302852186</v>
      </c>
      <c r="L252" s="336">
        <f>Gasto_o_ing_per_capita!L252*100/Gasto_o_ing_per_capita!$D252</f>
        <v>151.79448122961048</v>
      </c>
      <c r="M252" s="336">
        <f>Gasto_o_ing_per_capita!M252*100/Gasto_o_ing_per_capita!$D252</f>
        <v>75.908125544989915</v>
      </c>
      <c r="N252" s="336">
        <f>Gasto_o_ing_per_capita!N252*100/Gasto_o_ing_per_capita!$D252</f>
        <v>73.064186899956653</v>
      </c>
      <c r="O252" s="336">
        <f>Gasto_o_ing_per_capita!O252*100/Gasto_o_ing_per_capita!$D252</f>
        <v>163.08085098486569</v>
      </c>
      <c r="P252" s="336">
        <f>Gasto_o_ing_per_capita!P252*100/Gasto_o_ing_per_capita!$D252</f>
        <v>132.01197400801897</v>
      </c>
      <c r="Q252" s="336">
        <f>Gasto_o_ing_per_capita!Q252*100/Gasto_o_ing_per_capita!$D252</f>
        <v>79.235107349732715</v>
      </c>
      <c r="R252" s="336">
        <f>Gasto_o_ing_per_capita!R252*100/Gasto_o_ing_per_capita!$D252</f>
        <v>80.268819682534911</v>
      </c>
      <c r="S252" s="336">
        <f>Gasto_o_ing_per_capita!S252*100/Gasto_o_ing_per_capita!$D252</f>
        <v>86.315805969926288</v>
      </c>
      <c r="T252" s="336">
        <f>Gasto_o_ing_per_capita!T252*100/Gasto_o_ing_per_capita!$D252</f>
        <v>112.79048499737705</v>
      </c>
      <c r="U252" s="336">
        <f>Gasto_o_ing_per_capita!U252*100/Gasto_o_ing_per_capita!$D252</f>
        <v>127.6102373188408</v>
      </c>
      <c r="V252" s="336">
        <f>Gasto_o_ing_per_capita!V252*100/Gasto_o_ing_per_capita!$D252</f>
        <v>55.105857689676597</v>
      </c>
    </row>
    <row r="253" spans="1:22" s="102" customFormat="1" ht="13.15">
      <c r="A253" s="355" t="str">
        <f>IF(B253="","",(IF(ISERROR(MATCH(B253,Tot_res!C:C,0)),"Eliminar!!!","")))</f>
        <v/>
      </c>
      <c r="B253" s="115" t="s">
        <v>277</v>
      </c>
      <c r="C253" s="333" t="str">
        <f>VLOOKUP(B253,Tot_res!C:D,2,FALSE)</f>
        <v>Servicio postal universal</v>
      </c>
      <c r="D253" s="336">
        <f>Gasto_o_ing_per_capita!D253*100/Gasto_o_ing_per_capita!$D253</f>
        <v>100</v>
      </c>
      <c r="E253" s="336">
        <f>Gasto_o_ing_per_capita!E253*100/Gasto_o_ing_per_capita!$D253</f>
        <v>55.49933659978516</v>
      </c>
      <c r="F253" s="336">
        <f>Gasto_o_ing_per_capita!F253*100/Gasto_o_ing_per_capita!$D253</f>
        <v>133.50788174051593</v>
      </c>
      <c r="G253" s="336">
        <f>Gasto_o_ing_per_capita!G253*100/Gasto_o_ing_per_capita!$D253</f>
        <v>84.824786090139227</v>
      </c>
      <c r="H253" s="336">
        <f>Gasto_o_ing_per_capita!H253*100/Gasto_o_ing_per_capita!$D253</f>
        <v>250.01736247708988</v>
      </c>
      <c r="I253" s="336">
        <f>Gasto_o_ing_per_capita!I253*100/Gasto_o_ing_per_capita!$D253</f>
        <v>499.45582853265421</v>
      </c>
      <c r="J253" s="336">
        <f>Gasto_o_ing_per_capita!J253*100/Gasto_o_ing_per_capita!$D253</f>
        <v>121.96866035637333</v>
      </c>
      <c r="K253" s="336">
        <f>Gasto_o_ing_per_capita!K253*100/Gasto_o_ing_per_capita!$D253</f>
        <v>190.88222655334243</v>
      </c>
      <c r="L253" s="336">
        <f>Gasto_o_ing_per_capita!L253*100/Gasto_o_ing_per_capita!$D253</f>
        <v>166.9937748876284</v>
      </c>
      <c r="M253" s="336">
        <f>Gasto_o_ing_per_capita!M253*100/Gasto_o_ing_per_capita!$D253</f>
        <v>55.469542613023876</v>
      </c>
      <c r="N253" s="336">
        <f>Gasto_o_ing_per_capita!N253*100/Gasto_o_ing_per_capita!$D253</f>
        <v>47.579232021198095</v>
      </c>
      <c r="O253" s="336">
        <f>Gasto_o_ing_per_capita!O253*100/Gasto_o_ing_per_capita!$D253</f>
        <v>182.89125831309164</v>
      </c>
      <c r="P253" s="336">
        <f>Gasto_o_ing_per_capita!P253*100/Gasto_o_ing_per_capita!$D253</f>
        <v>164.98055989086697</v>
      </c>
      <c r="Q253" s="336">
        <f>Gasto_o_ing_per_capita!Q253*100/Gasto_o_ing_per_capita!$D253</f>
        <v>12.415249229303965</v>
      </c>
      <c r="R253" s="336">
        <f>Gasto_o_ing_per_capita!R253*100/Gasto_o_ing_per_capita!$D253</f>
        <v>11.461261326433345</v>
      </c>
      <c r="S253" s="336">
        <f>Gasto_o_ing_per_capita!S253*100/Gasto_o_ing_per_capita!$D253</f>
        <v>170.16378215787543</v>
      </c>
      <c r="T253" s="336">
        <f>Gasto_o_ing_per_capita!T253*100/Gasto_o_ing_per_capita!$D253</f>
        <v>56.629645182621701</v>
      </c>
      <c r="U253" s="336">
        <f>Gasto_o_ing_per_capita!U253*100/Gasto_o_ing_per_capita!$D253</f>
        <v>125.11590099450672</v>
      </c>
      <c r="V253" s="336">
        <f>Gasto_o_ing_per_capita!V253*100/Gasto_o_ing_per_capita!$D253</f>
        <v>248.02312460954872</v>
      </c>
    </row>
    <row r="254" spans="1:22" s="102" customFormat="1" ht="13.15">
      <c r="A254" s="355" t="str">
        <f>IF(B254="","",(IF(ISERROR(MATCH(B254,Tot_res!C:C,0)),"Eliminar!!!","")))</f>
        <v/>
      </c>
      <c r="B254" s="115" t="s">
        <v>767</v>
      </c>
      <c r="C254" s="333" t="str">
        <f>VLOOKUP(B254,Tot_res!C:D,2,FALSE)</f>
        <v>Salvamento y lucha contra la contaminación en la mar</v>
      </c>
      <c r="D254" s="336">
        <f>Gasto_o_ing_per_capita!D254*100/Gasto_o_ing_per_capita!$D254</f>
        <v>100</v>
      </c>
      <c r="E254" s="336">
        <f>Gasto_o_ing_per_capita!E254*100/Gasto_o_ing_per_capita!$D254</f>
        <v>73.09671038304505</v>
      </c>
      <c r="F254" s="336">
        <f>Gasto_o_ing_per_capita!F254*100/Gasto_o_ing_per_capita!$D254</f>
        <v>163.15775111240731</v>
      </c>
      <c r="G254" s="336">
        <f>Gasto_o_ing_per_capita!G254*100/Gasto_o_ing_per_capita!$D254</f>
        <v>87.361641802533612</v>
      </c>
      <c r="H254" s="336">
        <f>Gasto_o_ing_per_capita!H254*100/Gasto_o_ing_per_capita!$D254</f>
        <v>71.572777935385446</v>
      </c>
      <c r="I254" s="336">
        <f>Gasto_o_ing_per_capita!I254*100/Gasto_o_ing_per_capita!$D254</f>
        <v>113.35623874490314</v>
      </c>
      <c r="J254" s="336">
        <f>Gasto_o_ing_per_capita!J254*100/Gasto_o_ing_per_capita!$D254</f>
        <v>117.6511025398529</v>
      </c>
      <c r="K254" s="336">
        <f>Gasto_o_ing_per_capita!K254*100/Gasto_o_ing_per_capita!$D254</f>
        <v>112.12538347698931</v>
      </c>
      <c r="L254" s="336">
        <f>Gasto_o_ing_per_capita!L254*100/Gasto_o_ing_per_capita!$D254</f>
        <v>94.001494255505065</v>
      </c>
      <c r="M254" s="336">
        <f>Gasto_o_ing_per_capita!M254*100/Gasto_o_ing_per_capita!$D254</f>
        <v>117.52903802183212</v>
      </c>
      <c r="N254" s="336">
        <f>Gasto_o_ing_per_capita!N254*100/Gasto_o_ing_per_capita!$D254</f>
        <v>82.137863234384568</v>
      </c>
      <c r="O254" s="336">
        <f>Gasto_o_ing_per_capita!O254*100/Gasto_o_ing_per_capita!$D254</f>
        <v>58.142963896088681</v>
      </c>
      <c r="P254" s="336">
        <f>Gasto_o_ing_per_capita!P254*100/Gasto_o_ing_per_capita!$D254</f>
        <v>89.493963933797986</v>
      </c>
      <c r="Q254" s="336">
        <f>Gasto_o_ing_per_capita!Q254*100/Gasto_o_ing_per_capita!$D254</f>
        <v>95.160741186203325</v>
      </c>
      <c r="R254" s="336">
        <f>Gasto_o_ing_per_capita!R254*100/Gasto_o_ing_per_capita!$D254</f>
        <v>123.17456755339578</v>
      </c>
      <c r="S254" s="336">
        <f>Gasto_o_ing_per_capita!S254*100/Gasto_o_ing_per_capita!$D254</f>
        <v>201.34964185809469</v>
      </c>
      <c r="T254" s="336">
        <f>Gasto_o_ing_per_capita!T254*100/Gasto_o_ing_per_capita!$D254</f>
        <v>128.75596309471229</v>
      </c>
      <c r="U254" s="336">
        <f>Gasto_o_ing_per_capita!U254*100/Gasto_o_ing_per_capita!$D254</f>
        <v>169.1814596140386</v>
      </c>
      <c r="V254" s="336">
        <f>Gasto_o_ing_per_capita!V254*100/Gasto_o_ing_per_capita!$D254</f>
        <v>165.00384391790206</v>
      </c>
    </row>
    <row r="255" spans="1:22" s="102" customFormat="1" ht="13.15">
      <c r="A255" s="355" t="str">
        <f>IF(B255="","",(IF(ISERROR(MATCH(B255,Tot_res!C:C,0)),"Eliminar!!!","")))</f>
        <v/>
      </c>
      <c r="B255" s="115" t="s">
        <v>769</v>
      </c>
      <c r="C255" s="333" t="str">
        <f>VLOOKUP(B255,Tot_res!C:D,2,FALSE)</f>
        <v>Otras aportaciones a Corporaciones Locales, transferencias a corporaciones locales para financiar los servicios de transporte colectivo urbano</v>
      </c>
      <c r="D255" s="336">
        <f>Gasto_o_ing_per_capita!D255*100/Gasto_o_ing_per_capita!$D255</f>
        <v>100</v>
      </c>
      <c r="E255" s="336">
        <f>Gasto_o_ing_per_capita!E255*100/Gasto_o_ing_per_capita!$D255</f>
        <v>221.06065942646242</v>
      </c>
      <c r="F255" s="336">
        <f>Gasto_o_ing_per_capita!F255*100/Gasto_o_ing_per_capita!$D255</f>
        <v>364.37086433387213</v>
      </c>
      <c r="G255" s="336">
        <f>Gasto_o_ing_per_capita!G255*100/Gasto_o_ing_per_capita!$D255</f>
        <v>162.60727974916793</v>
      </c>
      <c r="H255" s="336">
        <f>Gasto_o_ing_per_capita!H255*100/Gasto_o_ing_per_capita!$D255</f>
        <v>182.77362398856584</v>
      </c>
      <c r="I255" s="336">
        <f>Gasto_o_ing_per_capita!I255*100/Gasto_o_ing_per_capita!$D255</f>
        <v>0</v>
      </c>
      <c r="J255" s="336">
        <f>Gasto_o_ing_per_capita!J255*100/Gasto_o_ing_per_capita!$D255</f>
        <v>140.85238223637452</v>
      </c>
      <c r="K255" s="336">
        <f>Gasto_o_ing_per_capita!K255*100/Gasto_o_ing_per_capita!$D255</f>
        <v>140.68053763804349</v>
      </c>
      <c r="L255" s="336">
        <f>Gasto_o_ing_per_capita!L255*100/Gasto_o_ing_per_capita!$D255</f>
        <v>51.935225724870662</v>
      </c>
      <c r="M255" s="336">
        <f>Gasto_o_ing_per_capita!M255*100/Gasto_o_ing_per_capita!$D255</f>
        <v>37.683191991065421</v>
      </c>
      <c r="N255" s="336">
        <f>Gasto_o_ing_per_capita!N255*100/Gasto_o_ing_per_capita!$D255</f>
        <v>130.9061474316569</v>
      </c>
      <c r="O255" s="336">
        <f>Gasto_o_ing_per_capita!O255*100/Gasto_o_ing_per_capita!$D255</f>
        <v>62.943746041571309</v>
      </c>
      <c r="P255" s="336">
        <f>Gasto_o_ing_per_capita!P255*100/Gasto_o_ing_per_capita!$D255</f>
        <v>102.24663097683647</v>
      </c>
      <c r="Q255" s="336">
        <f>Gasto_o_ing_per_capita!Q255*100/Gasto_o_ing_per_capita!$D255</f>
        <v>0</v>
      </c>
      <c r="R255" s="336">
        <f>Gasto_o_ing_per_capita!R255*100/Gasto_o_ing_per_capita!$D255</f>
        <v>37.626638398880083</v>
      </c>
      <c r="S255" s="336">
        <f>Gasto_o_ing_per_capita!S255*100/Gasto_o_ing_per_capita!$D255</f>
        <v>2.5758101931125047E-2</v>
      </c>
      <c r="T255" s="336">
        <f>Gasto_o_ing_per_capita!T255*100/Gasto_o_ing_per_capita!$D255</f>
        <v>1.1096643435706881</v>
      </c>
      <c r="U255" s="336">
        <f>Gasto_o_ing_per_capita!U255*100/Gasto_o_ing_per_capita!$D255</f>
        <v>178.85289028982424</v>
      </c>
      <c r="V255" s="336">
        <f>Gasto_o_ing_per_capita!V255*100/Gasto_o_ing_per_capita!$D255</f>
        <v>82.412480434908289</v>
      </c>
    </row>
    <row r="256" spans="1:22" s="102" customFormat="1" ht="13.15">
      <c r="A256" s="355" t="str">
        <f>IF(B256="","",(IF(ISERROR(MATCH(B256,Tot_res!C:C,0)),"Eliminar!!!","")))</f>
        <v/>
      </c>
      <c r="B256" s="119" t="s">
        <v>770</v>
      </c>
      <c r="C256" s="333" t="str">
        <f>VLOOKUP(B256,Tot_res!C:D,2,FALSE)</f>
        <v>Otras aportaciones a Corporaciones Locales, mejoras suminstro agua CyMel</v>
      </c>
      <c r="D256" s="336">
        <f>Gasto_o_ing_per_capita!D256*100/Gasto_o_ing_per_capita!$D256</f>
        <v>100</v>
      </c>
      <c r="E256" s="336">
        <f>Gasto_o_ing_per_capita!E256*100/Gasto_o_ing_per_capita!$D256</f>
        <v>225.29309768268087</v>
      </c>
      <c r="F256" s="336">
        <f>Gasto_o_ing_per_capita!F256*100/Gasto_o_ing_per_capita!$D256</f>
        <v>0</v>
      </c>
      <c r="G256" s="336">
        <f>Gasto_o_ing_per_capita!G256*100/Gasto_o_ing_per_capita!$D256</f>
        <v>0</v>
      </c>
      <c r="H256" s="336">
        <f>Gasto_o_ing_per_capita!H256*100/Gasto_o_ing_per_capita!$D256</f>
        <v>0</v>
      </c>
      <c r="I256" s="336">
        <f>Gasto_o_ing_per_capita!I256*100/Gasto_o_ing_per_capita!$D256</f>
        <v>0</v>
      </c>
      <c r="J256" s="336">
        <f>Gasto_o_ing_per_capita!J256*100/Gasto_o_ing_per_capita!$D256</f>
        <v>0</v>
      </c>
      <c r="K256" s="336">
        <f>Gasto_o_ing_per_capita!K256*100/Gasto_o_ing_per_capita!$D256</f>
        <v>0</v>
      </c>
      <c r="L256" s="336">
        <f>Gasto_o_ing_per_capita!L256*100/Gasto_o_ing_per_capita!$D256</f>
        <v>0</v>
      </c>
      <c r="M256" s="336">
        <f>Gasto_o_ing_per_capita!M256*100/Gasto_o_ing_per_capita!$D256</f>
        <v>0</v>
      </c>
      <c r="N256" s="336">
        <f>Gasto_o_ing_per_capita!N256*100/Gasto_o_ing_per_capita!$D256</f>
        <v>0</v>
      </c>
      <c r="O256" s="336">
        <f>Gasto_o_ing_per_capita!O256*100/Gasto_o_ing_per_capita!$D256</f>
        <v>0</v>
      </c>
      <c r="P256" s="336">
        <f>Gasto_o_ing_per_capita!P256*100/Gasto_o_ing_per_capita!$D256</f>
        <v>0</v>
      </c>
      <c r="Q256" s="336">
        <f>Gasto_o_ing_per_capita!Q256*100/Gasto_o_ing_per_capita!$D256</f>
        <v>0</v>
      </c>
      <c r="R256" s="336">
        <f>Gasto_o_ing_per_capita!R256*100/Gasto_o_ing_per_capita!$D256</f>
        <v>0</v>
      </c>
      <c r="S256" s="336">
        <f>Gasto_o_ing_per_capita!S256*100/Gasto_o_ing_per_capita!$D256</f>
        <v>0</v>
      </c>
      <c r="T256" s="336">
        <f>Gasto_o_ing_per_capita!T256*100/Gasto_o_ing_per_capita!$D256</f>
        <v>0</v>
      </c>
      <c r="U256" s="336">
        <f>Gasto_o_ing_per_capita!U256*100/Gasto_o_ing_per_capita!$D256</f>
        <v>0</v>
      </c>
      <c r="V256" s="336">
        <f>Gasto_o_ing_per_capita!V256*100/Gasto_o_ing_per_capita!$D256</f>
        <v>16587.831377798637</v>
      </c>
    </row>
    <row r="257" spans="1:22" s="102" customFormat="1" ht="13.15">
      <c r="A257" s="355" t="str">
        <f>IF(B257="","",(IF(ISERROR(MATCH(B257,Tot_res!C:C,0)),"Eliminar!!!","")))</f>
        <v/>
      </c>
      <c r="B257" s="119" t="s">
        <v>279</v>
      </c>
      <c r="C257" s="333" t="str">
        <f>VLOOKUP(B257,Tot_res!C:D,2,FALSE)</f>
        <v>Obras hidráulicas</v>
      </c>
      <c r="D257" s="336">
        <f>Gasto_o_ing_per_capita!D257*100/Gasto_o_ing_per_capita!$D257</f>
        <v>100</v>
      </c>
      <c r="E257" s="336">
        <f>Gasto_o_ing_per_capita!E257*100/Gasto_o_ing_per_capita!$D257</f>
        <v>0</v>
      </c>
      <c r="F257" s="336">
        <f>Gasto_o_ing_per_capita!F257*100/Gasto_o_ing_per_capita!$D257</f>
        <v>0</v>
      </c>
      <c r="G257" s="336">
        <f>Gasto_o_ing_per_capita!G257*100/Gasto_o_ing_per_capita!$D257</f>
        <v>0</v>
      </c>
      <c r="H257" s="336">
        <f>Gasto_o_ing_per_capita!H257*100/Gasto_o_ing_per_capita!$D257</f>
        <v>0</v>
      </c>
      <c r="I257" s="336">
        <f>Gasto_o_ing_per_capita!I257*100/Gasto_o_ing_per_capita!$D257</f>
        <v>153.57943491504582</v>
      </c>
      <c r="J257" s="336">
        <f>Gasto_o_ing_per_capita!J257*100/Gasto_o_ing_per_capita!$D257</f>
        <v>0</v>
      </c>
      <c r="K257" s="336">
        <f>Gasto_o_ing_per_capita!K257*100/Gasto_o_ing_per_capita!$D257</f>
        <v>0</v>
      </c>
      <c r="L257" s="336">
        <f>Gasto_o_ing_per_capita!L257*100/Gasto_o_ing_per_capita!$D257</f>
        <v>0</v>
      </c>
      <c r="M257" s="336">
        <f>Gasto_o_ing_per_capita!M257*100/Gasto_o_ing_per_capita!$D257</f>
        <v>458.34851337045382</v>
      </c>
      <c r="N257" s="336">
        <f>Gasto_o_ing_per_capita!N257*100/Gasto_o_ing_per_capita!$D257</f>
        <v>0</v>
      </c>
      <c r="O257" s="336">
        <f>Gasto_o_ing_per_capita!O257*100/Gasto_o_ing_per_capita!$D257</f>
        <v>0</v>
      </c>
      <c r="P257" s="336">
        <f>Gasto_o_ing_per_capita!P257*100/Gasto_o_ing_per_capita!$D257</f>
        <v>332.38615390964947</v>
      </c>
      <c r="Q257" s="336">
        <f>Gasto_o_ing_per_capita!Q257*100/Gasto_o_ing_per_capita!$D257</f>
        <v>0</v>
      </c>
      <c r="R257" s="336">
        <f>Gasto_o_ing_per_capita!R257*100/Gasto_o_ing_per_capita!$D257</f>
        <v>0</v>
      </c>
      <c r="S257" s="336">
        <f>Gasto_o_ing_per_capita!S257*100/Gasto_o_ing_per_capita!$D257</f>
        <v>0</v>
      </c>
      <c r="T257" s="336">
        <f>Gasto_o_ing_per_capita!T257*100/Gasto_o_ing_per_capita!$D257</f>
        <v>0</v>
      </c>
      <c r="U257" s="336">
        <f>Gasto_o_ing_per_capita!U257*100/Gasto_o_ing_per_capita!$D257</f>
        <v>0</v>
      </c>
      <c r="V257" s="336">
        <f>Gasto_o_ing_per_capita!V257*100/Gasto_o_ing_per_capita!$D257</f>
        <v>0</v>
      </c>
    </row>
    <row r="258" spans="1:22" s="102" customFormat="1" ht="13.15">
      <c r="A258" s="355" t="str">
        <f>IF(B258="","",(IF(ISERROR(MATCH(B258,Tot_res!C:C,0)),"Eliminar!!!","")))</f>
        <v/>
      </c>
      <c r="B258" s="119" t="s">
        <v>280</v>
      </c>
      <c r="C258" s="333" t="str">
        <f>VLOOKUP(B258,Tot_res!C:D,2,FALSE)</f>
        <v>Confederaciones hidrográficas, Andalucía</v>
      </c>
      <c r="D258" s="336">
        <f>Gasto_o_ing_per_capita!D258*100/Gasto_o_ing_per_capita!$D258</f>
        <v>100</v>
      </c>
      <c r="E258" s="336">
        <f>Gasto_o_ing_per_capita!E258*100/Gasto_o_ing_per_capita!$D258</f>
        <v>557.52138104527182</v>
      </c>
      <c r="F258" s="336">
        <f>Gasto_o_ing_per_capita!F258*100/Gasto_o_ing_per_capita!$D258</f>
        <v>0</v>
      </c>
      <c r="G258" s="336">
        <f>Gasto_o_ing_per_capita!G258*100/Gasto_o_ing_per_capita!$D258</f>
        <v>0</v>
      </c>
      <c r="H258" s="336">
        <f>Gasto_o_ing_per_capita!H258*100/Gasto_o_ing_per_capita!$D258</f>
        <v>0</v>
      </c>
      <c r="I258" s="336">
        <f>Gasto_o_ing_per_capita!I258*100/Gasto_o_ing_per_capita!$D258</f>
        <v>0</v>
      </c>
      <c r="J258" s="336">
        <f>Gasto_o_ing_per_capita!J258*100/Gasto_o_ing_per_capita!$D258</f>
        <v>0</v>
      </c>
      <c r="K258" s="336">
        <f>Gasto_o_ing_per_capita!K258*100/Gasto_o_ing_per_capita!$D258</f>
        <v>0</v>
      </c>
      <c r="L258" s="336">
        <f>Gasto_o_ing_per_capita!L258*100/Gasto_o_ing_per_capita!$D258</f>
        <v>0</v>
      </c>
      <c r="M258" s="336">
        <f>Gasto_o_ing_per_capita!M258*100/Gasto_o_ing_per_capita!$D258</f>
        <v>0</v>
      </c>
      <c r="N258" s="336">
        <f>Gasto_o_ing_per_capita!N258*100/Gasto_o_ing_per_capita!$D258</f>
        <v>0</v>
      </c>
      <c r="O258" s="336">
        <f>Gasto_o_ing_per_capita!O258*100/Gasto_o_ing_per_capita!$D258</f>
        <v>0</v>
      </c>
      <c r="P258" s="336">
        <f>Gasto_o_ing_per_capita!P258*100/Gasto_o_ing_per_capita!$D258</f>
        <v>0</v>
      </c>
      <c r="Q258" s="336">
        <f>Gasto_o_ing_per_capita!Q258*100/Gasto_o_ing_per_capita!$D258</f>
        <v>0</v>
      </c>
      <c r="R258" s="336">
        <f>Gasto_o_ing_per_capita!R258*100/Gasto_o_ing_per_capita!$D258</f>
        <v>0</v>
      </c>
      <c r="S258" s="336">
        <f>Gasto_o_ing_per_capita!S258*100/Gasto_o_ing_per_capita!$D258</f>
        <v>0</v>
      </c>
      <c r="T258" s="336">
        <f>Gasto_o_ing_per_capita!T258*100/Gasto_o_ing_per_capita!$D258</f>
        <v>0</v>
      </c>
      <c r="U258" s="336">
        <f>Gasto_o_ing_per_capita!U258*100/Gasto_o_ing_per_capita!$D258</f>
        <v>0</v>
      </c>
      <c r="V258" s="336">
        <f>Gasto_o_ing_per_capita!V258*100/Gasto_o_ing_per_capita!$D258</f>
        <v>0</v>
      </c>
    </row>
    <row r="259" spans="1:22" s="102" customFormat="1" ht="13.15">
      <c r="A259" s="355" t="str">
        <f>IF(B259="","",(IF(ISERROR(MATCH(B259,Tot_res!C:C,0)),"Eliminar!!!","")))</f>
        <v/>
      </c>
      <c r="B259" s="119" t="s">
        <v>281</v>
      </c>
      <c r="C259" s="333" t="str">
        <f>VLOOKUP(B259,Tot_res!C:D,2,FALSE)</f>
        <v>Parques Nacionales</v>
      </c>
      <c r="D259" s="336">
        <f>Gasto_o_ing_per_capita!D259*100/Gasto_o_ing_per_capita!$D259</f>
        <v>100</v>
      </c>
      <c r="E259" s="336">
        <f>Gasto_o_ing_per_capita!E259*100/Gasto_o_ing_per_capita!$D259</f>
        <v>131.80024226446017</v>
      </c>
      <c r="F259" s="336">
        <f>Gasto_o_ing_per_capita!F259*100/Gasto_o_ing_per_capita!$D259</f>
        <v>199.65031115914636</v>
      </c>
      <c r="G259" s="336">
        <f>Gasto_o_ing_per_capita!G259*100/Gasto_o_ing_per_capita!$D259</f>
        <v>206.34885399813254</v>
      </c>
      <c r="H259" s="336">
        <f>Gasto_o_ing_per_capita!H259*100/Gasto_o_ing_per_capita!$D259</f>
        <v>367.75057672295083</v>
      </c>
      <c r="I259" s="336">
        <f>Gasto_o_ing_per_capita!I259*100/Gasto_o_ing_per_capita!$D259</f>
        <v>657.02301578527249</v>
      </c>
      <c r="J259" s="336">
        <f>Gasto_o_ing_per_capita!J259*100/Gasto_o_ing_per_capita!$D259</f>
        <v>200.23180759508449</v>
      </c>
      <c r="K259" s="336">
        <f>Gasto_o_ing_per_capita!K259*100/Gasto_o_ing_per_capita!$D259</f>
        <v>70.142979049020383</v>
      </c>
      <c r="L259" s="336">
        <f>Gasto_o_ing_per_capita!L259*100/Gasto_o_ing_per_capita!$D259</f>
        <v>22.53987657166801</v>
      </c>
      <c r="M259" s="336">
        <f>Gasto_o_ing_per_capita!M259*100/Gasto_o_ing_per_capita!$D259</f>
        <v>27.182345925912045</v>
      </c>
      <c r="N259" s="336">
        <f>Gasto_o_ing_per_capita!N259*100/Gasto_o_ing_per_capita!$D259</f>
        <v>23.294555380402958</v>
      </c>
      <c r="O259" s="336">
        <f>Gasto_o_ing_per_capita!O259*100/Gasto_o_ing_per_capita!$D259</f>
        <v>21.205763735911038</v>
      </c>
      <c r="P259" s="336">
        <f>Gasto_o_ing_per_capita!P259*100/Gasto_o_ing_per_capita!$D259</f>
        <v>108.294575548762</v>
      </c>
      <c r="Q259" s="336">
        <f>Gasto_o_ing_per_capita!Q259*100/Gasto_o_ing_per_capita!$D259</f>
        <v>29.550654336932361</v>
      </c>
      <c r="R259" s="336">
        <f>Gasto_o_ing_per_capita!R259*100/Gasto_o_ing_per_capita!$D259</f>
        <v>22.831396688425333</v>
      </c>
      <c r="S259" s="336">
        <f>Gasto_o_ing_per_capita!S259*100/Gasto_o_ing_per_capita!$D259</f>
        <v>27.969359015129626</v>
      </c>
      <c r="T259" s="336">
        <f>Gasto_o_ing_per_capita!T259*100/Gasto_o_ing_per_capita!$D259</f>
        <v>28.75692558099006</v>
      </c>
      <c r="U259" s="336">
        <f>Gasto_o_ing_per_capita!U259*100/Gasto_o_ing_per_capita!$D259</f>
        <v>25.964279253125472</v>
      </c>
      <c r="V259" s="336">
        <f>Gasto_o_ing_per_capita!V259*100/Gasto_o_ing_per_capita!$D259</f>
        <v>22.528291521259725</v>
      </c>
    </row>
    <row r="260" spans="1:22" s="102" customFormat="1" ht="13.15">
      <c r="A260" s="355" t="str">
        <f>IF(B260="","",(IF(ISERROR(MATCH(B260,Tot_res!C:C,0)),"Eliminar!!!","")))</f>
        <v/>
      </c>
      <c r="B260" s="119" t="s">
        <v>283</v>
      </c>
      <c r="C260" s="333" t="str">
        <f>VLOOKUP(B260,Tot_res!C:D,2,FALSE)</f>
        <v>Infraestructuras ferroviarias, ADIF y Renfe</v>
      </c>
      <c r="D260" s="336">
        <f>Gasto_o_ing_per_capita!D260*100/Gasto_o_ing_per_capita!$D260</f>
        <v>100</v>
      </c>
      <c r="E260" s="336">
        <f>Gasto_o_ing_per_capita!E260*100/Gasto_o_ing_per_capita!$D260</f>
        <v>59.53241833075883</v>
      </c>
      <c r="F260" s="336">
        <f>Gasto_o_ing_per_capita!F260*100/Gasto_o_ing_per_capita!$D260</f>
        <v>38.726660579280534</v>
      </c>
      <c r="G260" s="336">
        <f>Gasto_o_ing_per_capita!G260*100/Gasto_o_ing_per_capita!$D260</f>
        <v>59.275608758088026</v>
      </c>
      <c r="H260" s="336">
        <f>Gasto_o_ing_per_capita!H260*100/Gasto_o_ing_per_capita!$D260</f>
        <v>4.4926426653520375</v>
      </c>
      <c r="I260" s="336">
        <f>Gasto_o_ing_per_capita!I260*100/Gasto_o_ing_per_capita!$D260</f>
        <v>3.8824296408992574</v>
      </c>
      <c r="J260" s="336">
        <f>Gasto_o_ing_per_capita!J260*100/Gasto_o_ing_per_capita!$D260</f>
        <v>56.730686607419159</v>
      </c>
      <c r="K260" s="336">
        <f>Gasto_o_ing_per_capita!K260*100/Gasto_o_ing_per_capita!$D260</f>
        <v>317.12401348771829</v>
      </c>
      <c r="L260" s="336">
        <f>Gasto_o_ing_per_capita!L260*100/Gasto_o_ing_per_capita!$D260</f>
        <v>101.33867642196266</v>
      </c>
      <c r="M260" s="336">
        <f>Gasto_o_ing_per_capita!M260*100/Gasto_o_ing_per_capita!$D260</f>
        <v>97.724118583291812</v>
      </c>
      <c r="N260" s="336">
        <f>Gasto_o_ing_per_capita!N260*100/Gasto_o_ing_per_capita!$D260</f>
        <v>93.424273731028805</v>
      </c>
      <c r="O260" s="336">
        <f>Gasto_o_ing_per_capita!O260*100/Gasto_o_ing_per_capita!$D260</f>
        <v>203.26664463850702</v>
      </c>
      <c r="P260" s="336">
        <f>Gasto_o_ing_per_capita!P260*100/Gasto_o_ing_per_capita!$D260</f>
        <v>185.1153029929059</v>
      </c>
      <c r="Q260" s="336">
        <f>Gasto_o_ing_per_capita!Q260*100/Gasto_o_ing_per_capita!$D260</f>
        <v>104.64405142530562</v>
      </c>
      <c r="R260" s="336">
        <f>Gasto_o_ing_per_capita!R260*100/Gasto_o_ing_per_capita!$D260</f>
        <v>37.859953721599602</v>
      </c>
      <c r="S260" s="336">
        <f>Gasto_o_ing_per_capita!S260*100/Gasto_o_ing_per_capita!$D260</f>
        <v>57.14389952313627</v>
      </c>
      <c r="T260" s="336">
        <f>Gasto_o_ing_per_capita!T260*100/Gasto_o_ing_per_capita!$D260</f>
        <v>134.57411611850725</v>
      </c>
      <c r="U260" s="336">
        <f>Gasto_o_ing_per_capita!U260*100/Gasto_o_ing_per_capita!$D260</f>
        <v>47.71055069619775</v>
      </c>
      <c r="V260" s="336">
        <f>Gasto_o_ing_per_capita!V260*100/Gasto_o_ing_per_capita!$D260</f>
        <v>10.446941129688303</v>
      </c>
    </row>
    <row r="261" spans="1:22" s="102" customFormat="1" ht="13.15">
      <c r="A261" s="355" t="str">
        <f>IF(B261="","",(IF(ISERROR(MATCH(B261,Tot_res!C:C,0)),"Eliminar!!!","")))</f>
        <v/>
      </c>
      <c r="B261" s="119" t="s">
        <v>284</v>
      </c>
      <c r="C261" s="333" t="str">
        <f>VLOOKUP(B261,Tot_res!C:D,2,FALSE)</f>
        <v>Infraestructuras aeroportuarias, AENA</v>
      </c>
      <c r="D261" s="336">
        <f>Gasto_o_ing_per_capita!D261*100/Gasto_o_ing_per_capita!$D261</f>
        <v>100</v>
      </c>
      <c r="E261" s="336">
        <f>Gasto_o_ing_per_capita!E261*100/Gasto_o_ing_per_capita!$D261</f>
        <v>58.734219956360306</v>
      </c>
      <c r="F261" s="336">
        <f>Gasto_o_ing_per_capita!F261*100/Gasto_o_ing_per_capita!$D261</f>
        <v>62.057710823066998</v>
      </c>
      <c r="G261" s="336">
        <f>Gasto_o_ing_per_capita!G261*100/Gasto_o_ing_per_capita!$D261</f>
        <v>60.41294564401624</v>
      </c>
      <c r="H261" s="336">
        <f>Gasto_o_ing_per_capita!H261*100/Gasto_o_ing_per_capita!$D261</f>
        <v>198.7642395411342</v>
      </c>
      <c r="I261" s="336">
        <f>Gasto_o_ing_per_capita!I261*100/Gasto_o_ing_per_capita!$D261</f>
        <v>354.67327012581507</v>
      </c>
      <c r="J261" s="336">
        <f>Gasto_o_ing_per_capita!J261*100/Gasto_o_ing_per_capita!$D261</f>
        <v>48.721925699549423</v>
      </c>
      <c r="K261" s="336">
        <f>Gasto_o_ing_per_capita!K261*100/Gasto_o_ing_per_capita!$D261</f>
        <v>29.569227368963105</v>
      </c>
      <c r="L261" s="336">
        <f>Gasto_o_ing_per_capita!L261*100/Gasto_o_ing_per_capita!$D261</f>
        <v>30.996154318641327</v>
      </c>
      <c r="M261" s="336">
        <f>Gasto_o_ing_per_capita!M261*100/Gasto_o_ing_per_capita!$D261</f>
        <v>89.265693661924445</v>
      </c>
      <c r="N261" s="336">
        <f>Gasto_o_ing_per_capita!N261*100/Gasto_o_ing_per_capita!$D261</f>
        <v>64.619605909931565</v>
      </c>
      <c r="O261" s="336">
        <f>Gasto_o_ing_per_capita!O261*100/Gasto_o_ing_per_capita!$D261</f>
        <v>30.089874781669909</v>
      </c>
      <c r="P261" s="336">
        <f>Gasto_o_ing_per_capita!P261*100/Gasto_o_ing_per_capita!$D261</f>
        <v>140.75499427394172</v>
      </c>
      <c r="Q261" s="336">
        <f>Gasto_o_ing_per_capita!Q261*100/Gasto_o_ing_per_capita!$D261</f>
        <v>189.96289980516659</v>
      </c>
      <c r="R261" s="336">
        <f>Gasto_o_ing_per_capita!R261*100/Gasto_o_ing_per_capita!$D261</f>
        <v>31.472221661606568</v>
      </c>
      <c r="S261" s="336">
        <f>Gasto_o_ing_per_capita!S261*100/Gasto_o_ing_per_capita!$D261</f>
        <v>49.929405261665934</v>
      </c>
      <c r="T261" s="336">
        <f>Gasto_o_ing_per_capita!T261*100/Gasto_o_ing_per_capita!$D261</f>
        <v>73.782488453971879</v>
      </c>
      <c r="U261" s="336">
        <f>Gasto_o_ing_per_capita!U261*100/Gasto_o_ing_per_capita!$D261</f>
        <v>35.572766704632464</v>
      </c>
      <c r="V261" s="336">
        <f>Gasto_o_ing_per_capita!V261*100/Gasto_o_ing_per_capita!$D261</f>
        <v>83.61127226867589</v>
      </c>
    </row>
    <row r="262" spans="1:22" s="102" customFormat="1" ht="13.15">
      <c r="A262" s="355" t="str">
        <f>IF(B262="","",(IF(ISERROR(MATCH(B262,Tot_res!C:C,0)),"Eliminar!!!","")))</f>
        <v/>
      </c>
      <c r="B262" s="119" t="s">
        <v>285</v>
      </c>
      <c r="C262" s="333" t="str">
        <f>VLOOKUP(B262,Tot_res!C:D,2,FALSE)</f>
        <v xml:space="preserve">Infraestructuras portuarias, Puertos del Estado </v>
      </c>
      <c r="D262" s="336">
        <f>Gasto_o_ing_per_capita!D262*100/Gasto_o_ing_per_capita!$D262</f>
        <v>100</v>
      </c>
      <c r="E262" s="336">
        <f>Gasto_o_ing_per_capita!E262*100/Gasto_o_ing_per_capita!$D262</f>
        <v>65.262555559845481</v>
      </c>
      <c r="F262" s="336">
        <f>Gasto_o_ing_per_capita!F262*100/Gasto_o_ing_per_capita!$D262</f>
        <v>54.385917037469113</v>
      </c>
      <c r="G262" s="336">
        <f>Gasto_o_ing_per_capita!G262*100/Gasto_o_ing_per_capita!$D262</f>
        <v>46.328344019606646</v>
      </c>
      <c r="H262" s="336">
        <f>Gasto_o_ing_per_capita!H262*100/Gasto_o_ing_per_capita!$D262</f>
        <v>96.78189487567478</v>
      </c>
      <c r="I262" s="336">
        <f>Gasto_o_ing_per_capita!I262*100/Gasto_o_ing_per_capita!$D262</f>
        <v>234.50581146342068</v>
      </c>
      <c r="J262" s="336">
        <f>Gasto_o_ing_per_capita!J262*100/Gasto_o_ing_per_capita!$D262</f>
        <v>481.46675396001456</v>
      </c>
      <c r="K262" s="336">
        <f>Gasto_o_ing_per_capita!K262*100/Gasto_o_ing_per_capita!$D262</f>
        <v>37.375127825663121</v>
      </c>
      <c r="L262" s="336">
        <f>Gasto_o_ing_per_capita!L262*100/Gasto_o_ing_per_capita!$D262</f>
        <v>31.333831418501692</v>
      </c>
      <c r="M262" s="336">
        <f>Gasto_o_ing_per_capita!M262*100/Gasto_o_ing_per_capita!$D262</f>
        <v>149.54551216124457</v>
      </c>
      <c r="N262" s="336">
        <f>Gasto_o_ing_per_capita!N262*100/Gasto_o_ing_per_capita!$D262</f>
        <v>82.783156044290862</v>
      </c>
      <c r="O262" s="336">
        <f>Gasto_o_ing_per_capita!O262*100/Gasto_o_ing_per_capita!$D262</f>
        <v>19.380987965362898</v>
      </c>
      <c r="P262" s="336">
        <f>Gasto_o_ing_per_capita!P262*100/Gasto_o_ing_per_capita!$D262</f>
        <v>119.57806924056551</v>
      </c>
      <c r="Q262" s="336">
        <f>Gasto_o_ing_per_capita!Q262*100/Gasto_o_ing_per_capita!$D262</f>
        <v>31.720247062067781</v>
      </c>
      <c r="R262" s="336">
        <f>Gasto_o_ing_per_capita!R262*100/Gasto_o_ing_per_capita!$D262</f>
        <v>161.5001430113353</v>
      </c>
      <c r="S262" s="336">
        <f>Gasto_o_ing_per_capita!S262*100/Gasto_o_ing_per_capita!$D262</f>
        <v>67.11654728603159</v>
      </c>
      <c r="T262" s="336">
        <f>Gasto_o_ing_per_capita!T262*100/Gasto_o_ing_per_capita!$D262</f>
        <v>255.81496471677633</v>
      </c>
      <c r="U262" s="336">
        <f>Gasto_o_ing_per_capita!U262*100/Gasto_o_ing_per_capita!$D262</f>
        <v>56.393819871346224</v>
      </c>
      <c r="V262" s="336">
        <f>Gasto_o_ing_per_capita!V262*100/Gasto_o_ing_per_capita!$D262</f>
        <v>97.879672435972068</v>
      </c>
    </row>
    <row r="263" spans="1:22" s="102" customFormat="1" ht="13.15">
      <c r="A263" s="355" t="str">
        <f>IF(B263="","",(IF(ISERROR(MATCH(B263,Tot_res!C:C,0)),"Eliminar!!!","")))</f>
        <v/>
      </c>
      <c r="B263" s="119" t="s">
        <v>286</v>
      </c>
      <c r="C263" s="333" t="str">
        <f>VLOOKUP(B263,Tot_res!C:D,2,FALSE)</f>
        <v>Autopistas de peaje</v>
      </c>
      <c r="D263" s="336">
        <f>Gasto_o_ing_per_capita!D263*100/Gasto_o_ing_per_capita!$D263</f>
        <v>100</v>
      </c>
      <c r="E263" s="336">
        <f>Gasto_o_ing_per_capita!E263*100/Gasto_o_ing_per_capita!$D263</f>
        <v>24.889980684784653</v>
      </c>
      <c r="F263" s="336">
        <f>Gasto_o_ing_per_capita!F263*100/Gasto_o_ing_per_capita!$D263</f>
        <v>94.264261519517561</v>
      </c>
      <c r="G263" s="336">
        <f>Gasto_o_ing_per_capita!G263*100/Gasto_o_ing_per_capita!$D263</f>
        <v>33.192949072860927</v>
      </c>
      <c r="H263" s="336">
        <f>Gasto_o_ing_per_capita!H263*100/Gasto_o_ing_per_capita!$D263</f>
        <v>7.4245400907423154</v>
      </c>
      <c r="I263" s="336">
        <f>Gasto_o_ing_per_capita!I263*100/Gasto_o_ing_per_capita!$D263</f>
        <v>8.7671485532428761</v>
      </c>
      <c r="J263" s="336">
        <f>Gasto_o_ing_per_capita!J263*100/Gasto_o_ing_per_capita!$D263</f>
        <v>16.034636334891225</v>
      </c>
      <c r="K263" s="336">
        <f>Gasto_o_ing_per_capita!K263*100/Gasto_o_ing_per_capita!$D263</f>
        <v>144.72458162532234</v>
      </c>
      <c r="L263" s="336">
        <f>Gasto_o_ing_per_capita!L263*100/Gasto_o_ing_per_capita!$D263</f>
        <v>323.96140026518367</v>
      </c>
      <c r="M263" s="336">
        <f>Gasto_o_ing_per_capita!M263*100/Gasto_o_ing_per_capita!$D263</f>
        <v>191.30884989342121</v>
      </c>
      <c r="N263" s="336">
        <f>Gasto_o_ing_per_capita!N263*100/Gasto_o_ing_per_capita!$D263</f>
        <v>51.990767374501296</v>
      </c>
      <c r="O263" s="336">
        <f>Gasto_o_ing_per_capita!O263*100/Gasto_o_ing_per_capita!$D263</f>
        <v>16.383232059931004</v>
      </c>
      <c r="P263" s="336">
        <f>Gasto_o_ing_per_capita!P263*100/Gasto_o_ing_per_capita!$D263</f>
        <v>32.348211977372408</v>
      </c>
      <c r="Q263" s="336">
        <f>Gasto_o_ing_per_capita!Q263*100/Gasto_o_ing_per_capita!$D263</f>
        <v>148.44462548297517</v>
      </c>
      <c r="R263" s="336">
        <f>Gasto_o_ing_per_capita!R263*100/Gasto_o_ing_per_capita!$D263</f>
        <v>38.663469335390374</v>
      </c>
      <c r="S263" s="336">
        <f>Gasto_o_ing_per_capita!S263*100/Gasto_o_ing_per_capita!$D263</f>
        <v>93.776650561668376</v>
      </c>
      <c r="T263" s="336">
        <f>Gasto_o_ing_per_capita!T263*100/Gasto_o_ing_per_capita!$D263</f>
        <v>121.27950615988892</v>
      </c>
      <c r="U263" s="336">
        <f>Gasto_o_ing_per_capita!U263*100/Gasto_o_ing_per_capita!$D263</f>
        <v>281.89959247022028</v>
      </c>
      <c r="V263" s="336">
        <f>Gasto_o_ing_per_capita!V263*100/Gasto_o_ing_per_capita!$D263</f>
        <v>10.414329736354659</v>
      </c>
    </row>
    <row r="264" spans="1:22" s="102" customFormat="1" ht="13.15">
      <c r="A264" s="355" t="str">
        <f>IF(B264="","",(IF(ISERROR(MATCH(B264,Tot_res!C:C,0)),"Eliminar!!!","")))</f>
        <v/>
      </c>
      <c r="B264" s="119" t="s">
        <v>288</v>
      </c>
      <c r="C264" s="333" t="str">
        <f>VLOOKUP(B264,Tot_res!C:D,2,FALSE)</f>
        <v>Excedente bruto de AENA</v>
      </c>
      <c r="D264" s="336">
        <f>Gasto_o_ing_per_capita!D264*100/Gasto_o_ing_per_capita!$D264</f>
        <v>100</v>
      </c>
      <c r="E264" s="336">
        <f>Gasto_o_ing_per_capita!E264*100/Gasto_o_ing_per_capita!$D264</f>
        <v>95.954376008999319</v>
      </c>
      <c r="F264" s="336">
        <f>Gasto_o_ing_per_capita!F264*100/Gasto_o_ing_per_capita!$D264</f>
        <v>116.63458335947655</v>
      </c>
      <c r="G264" s="336">
        <f>Gasto_o_ing_per_capita!G264*100/Gasto_o_ing_per_capita!$D264</f>
        <v>122.72553480901897</v>
      </c>
      <c r="H264" s="336">
        <f>Gasto_o_ing_per_capita!H264*100/Gasto_o_ing_per_capita!$D264</f>
        <v>64.857024219860349</v>
      </c>
      <c r="I264" s="336">
        <f>Gasto_o_ing_per_capita!I264*100/Gasto_o_ing_per_capita!$D264</f>
        <v>81.970501530349964</v>
      </c>
      <c r="J264" s="336">
        <f>Gasto_o_ing_per_capita!J264*100/Gasto_o_ing_per_capita!$D264</f>
        <v>117.93720326149308</v>
      </c>
      <c r="K264" s="336">
        <f>Gasto_o_ing_per_capita!K264*100/Gasto_o_ing_per_capita!$D264</f>
        <v>103.3049783962916</v>
      </c>
      <c r="L264" s="336">
        <f>Gasto_o_ing_per_capita!L264*100/Gasto_o_ing_per_capita!$D264</f>
        <v>119.07419322692724</v>
      </c>
      <c r="M264" s="336">
        <f>Gasto_o_ing_per_capita!M264*100/Gasto_o_ing_per_capita!$D264</f>
        <v>107.55682235430396</v>
      </c>
      <c r="N264" s="336">
        <f>Gasto_o_ing_per_capita!N264*100/Gasto_o_ing_per_capita!$D264</f>
        <v>105.38363139201518</v>
      </c>
      <c r="O264" s="336">
        <f>Gasto_o_ing_per_capita!O264*100/Gasto_o_ing_per_capita!$D264</f>
        <v>109.41223860653015</v>
      </c>
      <c r="P264" s="336">
        <f>Gasto_o_ing_per_capita!P264*100/Gasto_o_ing_per_capita!$D264</f>
        <v>104.43741280701799</v>
      </c>
      <c r="Q264" s="336">
        <f>Gasto_o_ing_per_capita!Q264*100/Gasto_o_ing_per_capita!$D264</f>
        <v>74.015293793994232</v>
      </c>
      <c r="R264" s="336">
        <f>Gasto_o_ing_per_capita!R264*100/Gasto_o_ing_per_capita!$D264</f>
        <v>109.44560499807287</v>
      </c>
      <c r="S264" s="336">
        <f>Gasto_o_ing_per_capita!S264*100/Gasto_o_ing_per_capita!$D264</f>
        <v>115.42533025256915</v>
      </c>
      <c r="T264" s="336">
        <f>Gasto_o_ing_per_capita!T264*100/Gasto_o_ing_per_capita!$D264</f>
        <v>119.071246201896</v>
      </c>
      <c r="U264" s="336">
        <f>Gasto_o_ing_per_capita!U264*100/Gasto_o_ing_per_capita!$D264</f>
        <v>104.37100712084951</v>
      </c>
      <c r="V264" s="336">
        <f>Gasto_o_ing_per_capita!V264*100/Gasto_o_ing_per_capita!$D264</f>
        <v>102.32014409493996</v>
      </c>
    </row>
    <row r="265" spans="1:22" s="102" customFormat="1" ht="13.15">
      <c r="A265" s="355" t="str">
        <f>IF(B265="","",(IF(ISERROR(MATCH(B265,Tot_res!C:C,0)),"Eliminar!!!","")))</f>
        <v/>
      </c>
      <c r="B265" s="119" t="s">
        <v>289</v>
      </c>
      <c r="C265" s="333" t="str">
        <f>VLOOKUP(B265,Tot_res!C:D,2,FALSE)</f>
        <v>Excedene bruto de puertos del Estado</v>
      </c>
      <c r="D265" s="336">
        <f>Gasto_o_ing_per_capita!D265*100/Gasto_o_ing_per_capita!$D265</f>
        <v>100</v>
      </c>
      <c r="E265" s="336">
        <f>Gasto_o_ing_per_capita!E265*100/Gasto_o_ing_per_capita!$D265</f>
        <v>94.990479692354896</v>
      </c>
      <c r="F265" s="336">
        <f>Gasto_o_ing_per_capita!F265*100/Gasto_o_ing_per_capita!$D265</f>
        <v>84.490365290783942</v>
      </c>
      <c r="G265" s="336">
        <f>Gasto_o_ing_per_capita!G265*100/Gasto_o_ing_per_capita!$D265</f>
        <v>75.881951071156166</v>
      </c>
      <c r="H265" s="336">
        <f>Gasto_o_ing_per_capita!H265*100/Gasto_o_ing_per_capita!$D265</f>
        <v>127.32815429918905</v>
      </c>
      <c r="I265" s="336">
        <f>Gasto_o_ing_per_capita!I265*100/Gasto_o_ing_per_capita!$D265</f>
        <v>140.93526434978261</v>
      </c>
      <c r="J265" s="336">
        <f>Gasto_o_ing_per_capita!J265*100/Gasto_o_ing_per_capita!$D265</f>
        <v>58.749742813779555</v>
      </c>
      <c r="K265" s="336">
        <f>Gasto_o_ing_per_capita!K265*100/Gasto_o_ing_per_capita!$D265</f>
        <v>109.23509021184815</v>
      </c>
      <c r="L265" s="336">
        <f>Gasto_o_ing_per_capita!L265*100/Gasto_o_ing_per_capita!$D265</f>
        <v>109.5378787137699</v>
      </c>
      <c r="M265" s="336">
        <f>Gasto_o_ing_per_capita!M265*100/Gasto_o_ing_per_capita!$D265</f>
        <v>92.9055301949182</v>
      </c>
      <c r="N265" s="336">
        <f>Gasto_o_ing_per_capita!N265*100/Gasto_o_ing_per_capita!$D265</f>
        <v>92.029744042970194</v>
      </c>
      <c r="O265" s="336">
        <f>Gasto_o_ing_per_capita!O265*100/Gasto_o_ing_per_capita!$D265</f>
        <v>129.32004797746745</v>
      </c>
      <c r="P265" s="336">
        <f>Gasto_o_ing_per_capita!P265*100/Gasto_o_ing_per_capita!$D265</f>
        <v>72.595167049865779</v>
      </c>
      <c r="Q265" s="336">
        <f>Gasto_o_ing_per_capita!Q265*100/Gasto_o_ing_per_capita!$D265</f>
        <v>142.00962979234291</v>
      </c>
      <c r="R265" s="336">
        <f>Gasto_o_ing_per_capita!R265*100/Gasto_o_ing_per_capita!$D265</f>
        <v>62.731358085341824</v>
      </c>
      <c r="S265" s="336">
        <f>Gasto_o_ing_per_capita!S265*100/Gasto_o_ing_per_capita!$D265</f>
        <v>66.264380130265224</v>
      </c>
      <c r="T265" s="336">
        <f>Gasto_o_ing_per_capita!T265*100/Gasto_o_ing_per_capita!$D265</f>
        <v>70.279932931145609</v>
      </c>
      <c r="U265" s="336">
        <f>Gasto_o_ing_per_capita!U265*100/Gasto_o_ing_per_capita!$D265</f>
        <v>79.145237975564129</v>
      </c>
      <c r="V265" s="336">
        <f>Gasto_o_ing_per_capita!V265*100/Gasto_o_ing_per_capita!$D265</f>
        <v>-99.17498626491161</v>
      </c>
    </row>
    <row r="266" spans="1:22" s="102" customFormat="1" ht="13.15">
      <c r="A266" s="355" t="str">
        <f>IF(B266="","",(IF(ISERROR(MATCH(B266,Tot_res!C:C,0)),"Eliminar!!!","")))</f>
        <v/>
      </c>
      <c r="B266" s="119" t="s">
        <v>290</v>
      </c>
      <c r="C266" s="333" t="str">
        <f>VLOOKUP(B266,Tot_res!C:D,2,FALSE)</f>
        <v>Excedente bruto de los concesionarios de autopistas de peaje</v>
      </c>
      <c r="D266" s="336">
        <f>Gasto_o_ing_per_capita!D266*100/Gasto_o_ing_per_capita!$D266</f>
        <v>100</v>
      </c>
      <c r="E266" s="336">
        <f>Gasto_o_ing_per_capita!E266*100/Gasto_o_ing_per_capita!$D266</f>
        <v>70.510138887545139</v>
      </c>
      <c r="F266" s="336">
        <f>Gasto_o_ing_per_capita!F266*100/Gasto_o_ing_per_capita!$D266</f>
        <v>152.4598610449606</v>
      </c>
      <c r="G266" s="336">
        <f>Gasto_o_ing_per_capita!G266*100/Gasto_o_ing_per_capita!$D266</f>
        <v>77.393179000497184</v>
      </c>
      <c r="H266" s="336">
        <f>Gasto_o_ing_per_capita!H266*100/Gasto_o_ing_per_capita!$D266</f>
        <v>38.577764073989606</v>
      </c>
      <c r="I266" s="336">
        <f>Gasto_o_ing_per_capita!I266*100/Gasto_o_ing_per_capita!$D266</f>
        <v>37.935477896739123</v>
      </c>
      <c r="J266" s="336">
        <f>Gasto_o_ing_per_capita!J266*100/Gasto_o_ing_per_capita!$D266</f>
        <v>48.105010010318829</v>
      </c>
      <c r="K266" s="336">
        <f>Gasto_o_ing_per_capita!K266*100/Gasto_o_ing_per_capita!$D266</f>
        <v>123.09449552363168</v>
      </c>
      <c r="L266" s="336">
        <f>Gasto_o_ing_per_capita!L266*100/Gasto_o_ing_per_capita!$D266</f>
        <v>139.44440840555546</v>
      </c>
      <c r="M266" s="336">
        <f>Gasto_o_ing_per_capita!M266*100/Gasto_o_ing_per_capita!$D266</f>
        <v>113.78530434602389</v>
      </c>
      <c r="N266" s="336">
        <f>Gasto_o_ing_per_capita!N266*100/Gasto_o_ing_per_capita!$D266</f>
        <v>103.64014536418816</v>
      </c>
      <c r="O266" s="336">
        <f>Gasto_o_ing_per_capita!O266*100/Gasto_o_ing_per_capita!$D266</f>
        <v>60.954123290774483</v>
      </c>
      <c r="P266" s="336">
        <f>Gasto_o_ing_per_capita!P266*100/Gasto_o_ing_per_capita!$D266</f>
        <v>130.13732881615172</v>
      </c>
      <c r="Q266" s="336">
        <f>Gasto_o_ing_per_capita!Q266*100/Gasto_o_ing_per_capita!$D266</f>
        <v>84.176905026440878</v>
      </c>
      <c r="R266" s="336">
        <f>Gasto_o_ing_per_capita!R266*100/Gasto_o_ing_per_capita!$D266</f>
        <v>97.517830376605744</v>
      </c>
      <c r="S266" s="336">
        <f>Gasto_o_ing_per_capita!S266*100/Gasto_o_ing_per_capita!$D266</f>
        <v>226.42639649240414</v>
      </c>
      <c r="T266" s="336">
        <f>Gasto_o_ing_per_capita!T266*100/Gasto_o_ing_per_capita!$D266</f>
        <v>143.04991923088889</v>
      </c>
      <c r="U266" s="336">
        <f>Gasto_o_ing_per_capita!U266*100/Gasto_o_ing_per_capita!$D266</f>
        <v>318.81370164417768</v>
      </c>
      <c r="V266" s="336">
        <f>Gasto_o_ing_per_capita!V266*100/Gasto_o_ing_per_capita!$D266</f>
        <v>39.245523717930482</v>
      </c>
    </row>
    <row r="267" spans="1:22" s="102" customFormat="1" ht="13.15">
      <c r="A267" s="355" t="str">
        <f>IF(B267="","",(IF(ISERROR(MATCH(B267,Tot_res!C:C,0)),"Eliminar!!!","")))</f>
        <v/>
      </c>
      <c r="B267" s="119" t="s">
        <v>291</v>
      </c>
      <c r="C267" s="333" t="str">
        <f>VLOOKUP(B267,Tot_res!C:D,2,FALSE)</f>
        <v>Infraestructuras de carreteras, SEITT + AF06/2</v>
      </c>
      <c r="D267" s="336">
        <f>Gasto_o_ing_per_capita!D267*100/Gasto_o_ing_per_capita!$D267</f>
        <v>100</v>
      </c>
      <c r="E267" s="336">
        <f>Gasto_o_ing_per_capita!E267*100/Gasto_o_ing_per_capita!$D267</f>
        <v>78.930690256746502</v>
      </c>
      <c r="F267" s="336">
        <f>Gasto_o_ing_per_capita!F267*100/Gasto_o_ing_per_capita!$D267</f>
        <v>84.226466708122757</v>
      </c>
      <c r="G267" s="336">
        <f>Gasto_o_ing_per_capita!G267*100/Gasto_o_ing_per_capita!$D267</f>
        <v>1117.3022041261268</v>
      </c>
      <c r="H267" s="336">
        <f>Gasto_o_ing_per_capita!H267*100/Gasto_o_ing_per_capita!$D267</f>
        <v>7.4245400907423136</v>
      </c>
      <c r="I267" s="336">
        <f>Gasto_o_ing_per_capita!I267*100/Gasto_o_ing_per_capita!$D267</f>
        <v>8.7671485532428726</v>
      </c>
      <c r="J267" s="336">
        <f>Gasto_o_ing_per_capita!J267*100/Gasto_o_ing_per_capita!$D267</f>
        <v>235.12296921513283</v>
      </c>
      <c r="K267" s="336">
        <f>Gasto_o_ing_per_capita!K267*100/Gasto_o_ing_per_capita!$D267</f>
        <v>49.7007890964978</v>
      </c>
      <c r="L267" s="336">
        <f>Gasto_o_ing_per_capita!L267*100/Gasto_o_ing_per_capita!$D267</f>
        <v>393.68602872784913</v>
      </c>
      <c r="M267" s="336">
        <f>Gasto_o_ing_per_capita!M267*100/Gasto_o_ing_per_capita!$D267</f>
        <v>32.884631937698977</v>
      </c>
      <c r="N267" s="336">
        <f>Gasto_o_ing_per_capita!N267*100/Gasto_o_ing_per_capita!$D267</f>
        <v>70.9954996758416</v>
      </c>
      <c r="O267" s="336">
        <f>Gasto_o_ing_per_capita!O267*100/Gasto_o_ing_per_capita!$D267</f>
        <v>16.383232059931</v>
      </c>
      <c r="P267" s="336">
        <f>Gasto_o_ing_per_capita!P267*100/Gasto_o_ing_per_capita!$D267</f>
        <v>105.4751756209443</v>
      </c>
      <c r="Q267" s="336">
        <f>Gasto_o_ing_per_capita!Q267*100/Gasto_o_ing_per_capita!$D267</f>
        <v>56.265274052105518</v>
      </c>
      <c r="R267" s="336">
        <f>Gasto_o_ing_per_capita!R267*100/Gasto_o_ing_per_capita!$D267</f>
        <v>15.804410692490812</v>
      </c>
      <c r="S267" s="336">
        <f>Gasto_o_ing_per_capita!S267*100/Gasto_o_ing_per_capita!$D267</f>
        <v>114.02598984183149</v>
      </c>
      <c r="T267" s="336">
        <f>Gasto_o_ing_per_capita!T267*100/Gasto_o_ing_per_capita!$D267</f>
        <v>104.54156400010085</v>
      </c>
      <c r="U267" s="336">
        <f>Gasto_o_ing_per_capita!U267*100/Gasto_o_ing_per_capita!$D267</f>
        <v>23.730149130366353</v>
      </c>
      <c r="V267" s="336">
        <f>Gasto_o_ing_per_capita!V267*100/Gasto_o_ing_per_capita!$D267</f>
        <v>10.414329736354656</v>
      </c>
    </row>
    <row r="268" spans="1:22" s="102" customFormat="1" ht="13.15">
      <c r="A268" s="355" t="str">
        <f>IF(B268="","",(IF(ISERROR(MATCH(B268,Tot_res!C:C,0)),"Eliminar!!!","")))</f>
        <v/>
      </c>
      <c r="B268" s="119" t="s">
        <v>293</v>
      </c>
      <c r="C268" s="333" t="str">
        <f>VLOOKUP(B268,Tot_res!C:D,2,FALSE)</f>
        <v>"Y" ferroviaria vasca, parte financiada mediante descuento del cupo</v>
      </c>
      <c r="D268" s="336">
        <f>Gasto_o_ing_per_capita!D268*100/Gasto_o_ing_per_capita!$D268</f>
        <v>100</v>
      </c>
      <c r="E268" s="336">
        <f>Gasto_o_ing_per_capita!E268*100/Gasto_o_ing_per_capita!$D268</f>
        <v>22.493519330826132</v>
      </c>
      <c r="F268" s="336">
        <f>Gasto_o_ing_per_capita!F268*100/Gasto_o_ing_per_capita!$D268</f>
        <v>30.926589833432072</v>
      </c>
      <c r="G268" s="336">
        <f>Gasto_o_ing_per_capita!G268*100/Gasto_o_ing_per_capita!$D268</f>
        <v>21.073695955852351</v>
      </c>
      <c r="H268" s="336">
        <f>Gasto_o_ing_per_capita!H268*100/Gasto_o_ing_per_capita!$D268</f>
        <v>3.9937962945824035</v>
      </c>
      <c r="I268" s="336">
        <f>Gasto_o_ing_per_capita!I268*100/Gasto_o_ing_per_capita!$D268</f>
        <v>3.451339060055278</v>
      </c>
      <c r="J268" s="336">
        <f>Gasto_o_ing_per_capita!J268*100/Gasto_o_ing_per_capita!$D268</f>
        <v>24.05105497449474</v>
      </c>
      <c r="K268" s="336">
        <f>Gasto_o_ing_per_capita!K268*100/Gasto_o_ing_per_capita!$D268</f>
        <v>15.204773721588921</v>
      </c>
      <c r="L268" s="336">
        <f>Gasto_o_ing_per_capita!L268*100/Gasto_o_ing_per_capita!$D268</f>
        <v>33.213708323013975</v>
      </c>
      <c r="M268" s="336">
        <f>Gasto_o_ing_per_capita!M268*100/Gasto_o_ing_per_capita!$D268</f>
        <v>49.788660352126946</v>
      </c>
      <c r="N268" s="336">
        <f>Gasto_o_ing_per_capita!N268*100/Gasto_o_ing_per_capita!$D268</f>
        <v>25.84423637419733</v>
      </c>
      <c r="O268" s="336">
        <f>Gasto_o_ing_per_capita!O268*100/Gasto_o_ing_per_capita!$D268</f>
        <v>11.181219618295644</v>
      </c>
      <c r="P268" s="336">
        <f>Gasto_o_ing_per_capita!P268*100/Gasto_o_ing_per_capita!$D268</f>
        <v>11.538389332891736</v>
      </c>
      <c r="Q268" s="336">
        <f>Gasto_o_ing_per_capita!Q268*100/Gasto_o_ing_per_capita!$D268</f>
        <v>78.392555769146199</v>
      </c>
      <c r="R268" s="336">
        <f>Gasto_o_ing_per_capita!R268*100/Gasto_o_ing_per_capita!$D268</f>
        <v>15.688254088064946</v>
      </c>
      <c r="S268" s="336">
        <f>Gasto_o_ing_per_capita!S268*100/Gasto_o_ing_per_capita!$D268</f>
        <v>44.103801786635145</v>
      </c>
      <c r="T268" s="336">
        <f>Gasto_o_ing_per_capita!T268*100/Gasto_o_ing_per_capita!$D268</f>
        <v>1457.7100954502109</v>
      </c>
      <c r="U268" s="336">
        <f>Gasto_o_ing_per_capita!U268*100/Gasto_o_ing_per_capita!$D268</f>
        <v>15.243777117886259</v>
      </c>
      <c r="V268" s="336">
        <f>Gasto_o_ing_per_capita!V268*100/Gasto_o_ing_per_capita!$D268</f>
        <v>9.2869515519770989</v>
      </c>
    </row>
    <row r="269" spans="1:22" s="102" customFormat="1" ht="13.15">
      <c r="A269" s="355" t="str">
        <f>IF(B269="","",(IF(ISERROR(MATCH(B269,Tot_res!C:C,0)),"Eliminar!!!","")))</f>
        <v/>
      </c>
      <c r="B269" s="115" t="s">
        <v>233</v>
      </c>
      <c r="C269" s="333" t="str">
        <f>VLOOKUP(B269,Tot_res!C:D,2,FALSE)</f>
        <v>Ajuste forales, ayudas al transporte colectivo urbano</v>
      </c>
      <c r="D269" s="336">
        <f>Gasto_o_ing_per_capita!D269*100/Gasto_o_ing_per_capita!$D269</f>
        <v>100</v>
      </c>
      <c r="E269" s="336">
        <f>Gasto_o_ing_per_capita!E269*100/Gasto_o_ing_per_capita!$D269</f>
        <v>0</v>
      </c>
      <c r="F269" s="336">
        <f>Gasto_o_ing_per_capita!F269*100/Gasto_o_ing_per_capita!$D269</f>
        <v>0</v>
      </c>
      <c r="G269" s="336">
        <f>Gasto_o_ing_per_capita!G269*100/Gasto_o_ing_per_capita!$D269</f>
        <v>0</v>
      </c>
      <c r="H269" s="336">
        <f>Gasto_o_ing_per_capita!H269*100/Gasto_o_ing_per_capita!$D269</f>
        <v>0</v>
      </c>
      <c r="I269" s="336">
        <f>Gasto_o_ing_per_capita!I269*100/Gasto_o_ing_per_capita!$D269</f>
        <v>0</v>
      </c>
      <c r="J269" s="336">
        <f>Gasto_o_ing_per_capita!J269*100/Gasto_o_ing_per_capita!$D269</f>
        <v>0</v>
      </c>
      <c r="K269" s="336">
        <f>Gasto_o_ing_per_capita!K269*100/Gasto_o_ing_per_capita!$D269</f>
        <v>0</v>
      </c>
      <c r="L269" s="336">
        <f>Gasto_o_ing_per_capita!L269*100/Gasto_o_ing_per_capita!$D269</f>
        <v>0</v>
      </c>
      <c r="M269" s="336">
        <f>Gasto_o_ing_per_capita!M269*100/Gasto_o_ing_per_capita!$D269</f>
        <v>0</v>
      </c>
      <c r="N269" s="336">
        <f>Gasto_o_ing_per_capita!N269*100/Gasto_o_ing_per_capita!$D269</f>
        <v>0</v>
      </c>
      <c r="O269" s="336">
        <f>Gasto_o_ing_per_capita!O269*100/Gasto_o_ing_per_capita!$D269</f>
        <v>0</v>
      </c>
      <c r="P269" s="336">
        <f>Gasto_o_ing_per_capita!P269*100/Gasto_o_ing_per_capita!$D269</f>
        <v>0</v>
      </c>
      <c r="Q269" s="336">
        <f>Gasto_o_ing_per_capita!Q269*100/Gasto_o_ing_per_capita!$D269</f>
        <v>0</v>
      </c>
      <c r="R269" s="336">
        <f>Gasto_o_ing_per_capita!R269*100/Gasto_o_ing_per_capita!$D269</f>
        <v>0</v>
      </c>
      <c r="S269" s="336">
        <f>Gasto_o_ing_per_capita!S269*100/Gasto_o_ing_per_capita!$D269</f>
        <v>1659.5291694165758</v>
      </c>
      <c r="T269" s="336">
        <f>Gasto_o_ing_per_capita!T269*100/Gasto_o_ing_per_capita!$D269</f>
        <v>1656.6368370413604</v>
      </c>
      <c r="U269" s="336">
        <f>Gasto_o_ing_per_capita!U269*100/Gasto_o_ing_per_capita!$D269</f>
        <v>0</v>
      </c>
      <c r="V269" s="336">
        <f>Gasto_o_ing_per_capita!V269*100/Gasto_o_ing_per_capita!$D269</f>
        <v>0</v>
      </c>
    </row>
    <row r="270" spans="1:22" ht="13.15">
      <c r="A270" s="356"/>
      <c r="B270" s="9"/>
      <c r="C270" s="14"/>
      <c r="D270" s="19"/>
      <c r="E270" s="19"/>
      <c r="F270" s="19"/>
      <c r="G270" s="19"/>
      <c r="H270" s="19"/>
      <c r="I270" s="19"/>
      <c r="J270" s="19"/>
      <c r="K270" s="19"/>
      <c r="L270" s="19"/>
      <c r="M270" s="19"/>
      <c r="N270" s="19"/>
      <c r="O270" s="19"/>
      <c r="P270" s="19"/>
      <c r="Q270" s="19"/>
      <c r="R270" s="19"/>
      <c r="S270" s="19"/>
      <c r="T270" s="19"/>
      <c r="U270" s="19"/>
      <c r="V270" s="19"/>
    </row>
    <row r="271" spans="1:22" s="103" customFormat="1" ht="13.15">
      <c r="A271" s="356"/>
      <c r="B271" s="137"/>
      <c r="C271" s="117" t="s">
        <v>55</v>
      </c>
      <c r="D271" s="113">
        <f>Gasto_o_ing_per_capita!D271*100/Gasto_o_ing_per_capita!$D271</f>
        <v>100</v>
      </c>
      <c r="E271" s="113">
        <f>Gasto_o_ing_per_capita!E271*100/Gasto_o_ing_per_capita!$D271</f>
        <v>197.90984714862199</v>
      </c>
      <c r="F271" s="113">
        <f>Gasto_o_ing_per_capita!F271*100/Gasto_o_ing_per_capita!$D271</f>
        <v>75.133493599525622</v>
      </c>
      <c r="G271" s="113">
        <f>Gasto_o_ing_per_capita!G271*100/Gasto_o_ing_per_capita!$D271</f>
        <v>129.99632809370939</v>
      </c>
      <c r="H271" s="113">
        <f>Gasto_o_ing_per_capita!H271*100/Gasto_o_ing_per_capita!$D271</f>
        <v>205.9275449673296</v>
      </c>
      <c r="I271" s="113">
        <f>Gasto_o_ing_per_capita!I271*100/Gasto_o_ing_per_capita!$D271</f>
        <v>403.79353721637528</v>
      </c>
      <c r="J271" s="113">
        <f>Gasto_o_ing_per_capita!J271*100/Gasto_o_ing_per_capita!$D271</f>
        <v>43.981222268360852</v>
      </c>
      <c r="K271" s="113">
        <f>Gasto_o_ing_per_capita!K271*100/Gasto_o_ing_per_capita!$D271</f>
        <v>106.60615815061961</v>
      </c>
      <c r="L271" s="113">
        <f>Gasto_o_ing_per_capita!L271*100/Gasto_o_ing_per_capita!$D271</f>
        <v>90.216218128170141</v>
      </c>
      <c r="M271" s="113">
        <f>Gasto_o_ing_per_capita!M271*100/Gasto_o_ing_per_capita!$D271</f>
        <v>1.4087225803093524</v>
      </c>
      <c r="N271" s="113">
        <f>Gasto_o_ing_per_capita!N271*100/Gasto_o_ing_per_capita!$D271</f>
        <v>45.94234669744916</v>
      </c>
      <c r="O271" s="113">
        <f>Gasto_o_ing_per_capita!O271*100/Gasto_o_ing_per_capita!$D271</f>
        <v>287.00698547386423</v>
      </c>
      <c r="P271" s="113">
        <f>Gasto_o_ing_per_capita!P271*100/Gasto_o_ing_per_capita!$D271</f>
        <v>132.95813571226464</v>
      </c>
      <c r="Q271" s="113">
        <f>Gasto_o_ing_per_capita!Q271*100/Gasto_o_ing_per_capita!$D271</f>
        <v>11.363398784102953</v>
      </c>
      <c r="R271" s="113">
        <f>Gasto_o_ing_per_capita!R271*100/Gasto_o_ing_per_capita!$D271</f>
        <v>56.952236025130723</v>
      </c>
      <c r="S271" s="113">
        <f>Gasto_o_ing_per_capita!S271*100/Gasto_o_ing_per_capita!$D271</f>
        <v>22.458165342081603</v>
      </c>
      <c r="T271" s="113">
        <f>Gasto_o_ing_per_capita!T271*100/Gasto_o_ing_per_capita!$D271</f>
        <v>23.996560709544578</v>
      </c>
      <c r="U271" s="113">
        <f>Gasto_o_ing_per_capita!U271*100/Gasto_o_ing_per_capita!$D271</f>
        <v>33.206682683689557</v>
      </c>
      <c r="V271" s="113">
        <f>Gasto_o_ing_per_capita!V271*100/Gasto_o_ing_per_capita!$D271</f>
        <v>392.41337396547732</v>
      </c>
    </row>
    <row r="272" spans="1:22" s="102" customFormat="1" ht="13.15">
      <c r="A272" s="355" t="str">
        <f>IF(B272="","",(IF(ISERROR(MATCH(B272,Tot_res!C:C,0)),"Eliminar!!!","")))</f>
        <v/>
      </c>
      <c r="B272" s="115" t="s">
        <v>641</v>
      </c>
      <c r="C272" s="333" t="str">
        <f>VLOOKUP(B272,Tot_res!C:D,2,FALSE)</f>
        <v>Subsidio y renta para eventuales agrarios en Andalucía y Extremadura</v>
      </c>
      <c r="D272" s="336">
        <f>Gasto_o_ing_per_capita!D272*100/Gasto_o_ing_per_capita!$D272</f>
        <v>100</v>
      </c>
      <c r="E272" s="336">
        <f>Gasto_o_ing_per_capita!E272*100/Gasto_o_ing_per_capita!$D272</f>
        <v>486.43790685338888</v>
      </c>
      <c r="F272" s="336">
        <f>Gasto_o_ing_per_capita!F272*100/Gasto_o_ing_per_capita!$D272</f>
        <v>0</v>
      </c>
      <c r="G272" s="336">
        <f>Gasto_o_ing_per_capita!G272*100/Gasto_o_ing_per_capita!$D272</f>
        <v>0</v>
      </c>
      <c r="H272" s="336">
        <f>Gasto_o_ing_per_capita!H272*100/Gasto_o_ing_per_capita!$D272</f>
        <v>0</v>
      </c>
      <c r="I272" s="336">
        <f>Gasto_o_ing_per_capita!I272*100/Gasto_o_ing_per_capita!$D272</f>
        <v>0</v>
      </c>
      <c r="J272" s="336">
        <f>Gasto_o_ing_per_capita!J272*100/Gasto_o_ing_per_capita!$D272</f>
        <v>0</v>
      </c>
      <c r="K272" s="336">
        <f>Gasto_o_ing_per_capita!K272*100/Gasto_o_ing_per_capita!$D272</f>
        <v>0</v>
      </c>
      <c r="L272" s="336">
        <f>Gasto_o_ing_per_capita!L272*100/Gasto_o_ing_per_capita!$D272</f>
        <v>0</v>
      </c>
      <c r="M272" s="336">
        <f>Gasto_o_ing_per_capita!M272*100/Gasto_o_ing_per_capita!$D272</f>
        <v>0</v>
      </c>
      <c r="N272" s="336">
        <f>Gasto_o_ing_per_capita!N272*100/Gasto_o_ing_per_capita!$D272</f>
        <v>0</v>
      </c>
      <c r="O272" s="336">
        <f>Gasto_o_ing_per_capita!O272*100/Gasto_o_ing_per_capita!$D272</f>
        <v>543.29793025780054</v>
      </c>
      <c r="P272" s="336">
        <f>Gasto_o_ing_per_capita!P272*100/Gasto_o_ing_per_capita!$D272</f>
        <v>0</v>
      </c>
      <c r="Q272" s="336">
        <f>Gasto_o_ing_per_capita!Q272*100/Gasto_o_ing_per_capita!$D272</f>
        <v>0</v>
      </c>
      <c r="R272" s="336">
        <f>Gasto_o_ing_per_capita!R272*100/Gasto_o_ing_per_capita!$D272</f>
        <v>0</v>
      </c>
      <c r="S272" s="336">
        <f>Gasto_o_ing_per_capita!S272*100/Gasto_o_ing_per_capita!$D272</f>
        <v>0</v>
      </c>
      <c r="T272" s="336">
        <f>Gasto_o_ing_per_capita!T272*100/Gasto_o_ing_per_capita!$D272</f>
        <v>0</v>
      </c>
      <c r="U272" s="336">
        <f>Gasto_o_ing_per_capita!U272*100/Gasto_o_ing_per_capita!$D272</f>
        <v>0</v>
      </c>
      <c r="V272" s="336">
        <f>Gasto_o_ing_per_capita!V272*100/Gasto_o_ing_per_capita!$D272</f>
        <v>0</v>
      </c>
    </row>
    <row r="273" spans="1:22" s="102" customFormat="1" ht="13.15">
      <c r="A273" s="355" t="str">
        <f>IF(B273="","",(IF(ISERROR(MATCH(B273,Tot_res!C:C,0)),"Eliminar!!!","")))</f>
        <v/>
      </c>
      <c r="B273" s="115" t="s">
        <v>295</v>
      </c>
      <c r="C273" s="333" t="str">
        <f>VLOOKUP(B273,Tot_res!C:D,2,FALSE)</f>
        <v>Incentivos regionales a la localización industrial</v>
      </c>
      <c r="D273" s="336">
        <f>Gasto_o_ing_per_capita!D273*100/Gasto_o_ing_per_capita!$D273</f>
        <v>100</v>
      </c>
      <c r="E273" s="336">
        <f>Gasto_o_ing_per_capita!E273*100/Gasto_o_ing_per_capita!$D273</f>
        <v>101.51487199077208</v>
      </c>
      <c r="F273" s="336">
        <f>Gasto_o_ing_per_capita!F273*100/Gasto_o_ing_per_capita!$D273</f>
        <v>37.734168216217014</v>
      </c>
      <c r="G273" s="336">
        <f>Gasto_o_ing_per_capita!G273*100/Gasto_o_ing_per_capita!$D273</f>
        <v>194.3443197725577</v>
      </c>
      <c r="H273" s="336">
        <f>Gasto_o_ing_per_capita!H273*100/Gasto_o_ing_per_capita!$D273</f>
        <v>0</v>
      </c>
      <c r="I273" s="336">
        <f>Gasto_o_ing_per_capita!I273*100/Gasto_o_ing_per_capita!$D273</f>
        <v>175.43927753788475</v>
      </c>
      <c r="J273" s="336">
        <f>Gasto_o_ing_per_capita!J273*100/Gasto_o_ing_per_capita!$D273</f>
        <v>0</v>
      </c>
      <c r="K273" s="336">
        <f>Gasto_o_ing_per_capita!K273*100/Gasto_o_ing_per_capita!$D273</f>
        <v>285.69062964513512</v>
      </c>
      <c r="L273" s="336">
        <f>Gasto_o_ing_per_capita!L273*100/Gasto_o_ing_per_capita!$D273</f>
        <v>245.44317736739714</v>
      </c>
      <c r="M273" s="336">
        <f>Gasto_o_ing_per_capita!M273*100/Gasto_o_ing_per_capita!$D273</f>
        <v>0</v>
      </c>
      <c r="N273" s="336">
        <f>Gasto_o_ing_per_capita!N273*100/Gasto_o_ing_per_capita!$D273</f>
        <v>207.89230993831791</v>
      </c>
      <c r="O273" s="336">
        <f>Gasto_o_ing_per_capita!O273*100/Gasto_o_ing_per_capita!$D273</f>
        <v>425.05493741384964</v>
      </c>
      <c r="P273" s="336">
        <f>Gasto_o_ing_per_capita!P273*100/Gasto_o_ing_per_capita!$D273</f>
        <v>128.30271156934518</v>
      </c>
      <c r="Q273" s="336">
        <f>Gasto_o_ing_per_capita!Q273*100/Gasto_o_ing_per_capita!$D273</f>
        <v>0</v>
      </c>
      <c r="R273" s="336">
        <f>Gasto_o_ing_per_capita!R273*100/Gasto_o_ing_per_capita!$D273</f>
        <v>74.275952920359217</v>
      </c>
      <c r="S273" s="336">
        <f>Gasto_o_ing_per_capita!S273*100/Gasto_o_ing_per_capita!$D273</f>
        <v>0</v>
      </c>
      <c r="T273" s="336">
        <f>Gasto_o_ing_per_capita!T273*100/Gasto_o_ing_per_capita!$D273</f>
        <v>0</v>
      </c>
      <c r="U273" s="336">
        <f>Gasto_o_ing_per_capita!U273*100/Gasto_o_ing_per_capita!$D273</f>
        <v>0</v>
      </c>
      <c r="V273" s="336">
        <f>Gasto_o_ing_per_capita!V273*100/Gasto_o_ing_per_capita!$D273</f>
        <v>0</v>
      </c>
    </row>
    <row r="274" spans="1:22" s="102" customFormat="1" ht="13.15">
      <c r="A274" s="355" t="str">
        <f>IF(B274="","",(IF(ISERROR(MATCH(B274,Tot_res!C:C,0)),"Eliminar!!!","")))</f>
        <v/>
      </c>
      <c r="B274" s="115" t="s">
        <v>296</v>
      </c>
      <c r="C274" s="333" t="str">
        <f>VLOOKUP(B274,Tot_res!C:D,2,FALSE)</f>
        <v>Desarrollo alternativo de las comarcas mineras del carbón</v>
      </c>
      <c r="D274" s="336">
        <f>Gasto_o_ing_per_capita!D274*100/Gasto_o_ing_per_capita!$D274</f>
        <v>100</v>
      </c>
      <c r="E274" s="336">
        <f>Gasto_o_ing_per_capita!E274*100/Gasto_o_ing_per_capita!$D274</f>
        <v>55.655829473990792</v>
      </c>
      <c r="F274" s="336">
        <f>Gasto_o_ing_per_capita!F274*100/Gasto_o_ing_per_capita!$D274</f>
        <v>155.94675803191907</v>
      </c>
      <c r="G274" s="336">
        <f>Gasto_o_ing_per_capita!G274*100/Gasto_o_ing_per_capita!$D274</f>
        <v>2036.0915095008991</v>
      </c>
      <c r="H274" s="336">
        <f>Gasto_o_ing_per_capita!H274*100/Gasto_o_ing_per_capita!$D274</f>
        <v>0</v>
      </c>
      <c r="I274" s="336">
        <f>Gasto_o_ing_per_capita!I274*100/Gasto_o_ing_per_capita!$D274</f>
        <v>0</v>
      </c>
      <c r="J274" s="336">
        <f>Gasto_o_ing_per_capita!J274*100/Gasto_o_ing_per_capita!$D274</f>
        <v>0</v>
      </c>
      <c r="K274" s="336">
        <f>Gasto_o_ing_per_capita!K274*100/Gasto_o_ing_per_capita!$D274</f>
        <v>173.37173838040908</v>
      </c>
      <c r="L274" s="336">
        <f>Gasto_o_ing_per_capita!L274*100/Gasto_o_ing_per_capita!$D274</f>
        <v>131.93768102711664</v>
      </c>
      <c r="M274" s="336">
        <f>Gasto_o_ing_per_capita!M274*100/Gasto_o_ing_per_capita!$D274</f>
        <v>4.0148370220400231</v>
      </c>
      <c r="N274" s="336">
        <f>Gasto_o_ing_per_capita!N274*100/Gasto_o_ing_per_capita!$D274</f>
        <v>0</v>
      </c>
      <c r="O274" s="336">
        <f>Gasto_o_ing_per_capita!O274*100/Gasto_o_ing_per_capita!$D274</f>
        <v>0</v>
      </c>
      <c r="P274" s="336">
        <f>Gasto_o_ing_per_capita!P274*100/Gasto_o_ing_per_capita!$D274</f>
        <v>402.17948493983658</v>
      </c>
      <c r="Q274" s="336">
        <f>Gasto_o_ing_per_capita!Q274*100/Gasto_o_ing_per_capita!$D274</f>
        <v>0</v>
      </c>
      <c r="R274" s="336">
        <f>Gasto_o_ing_per_capita!R274*100/Gasto_o_ing_per_capita!$D274</f>
        <v>0</v>
      </c>
      <c r="S274" s="336">
        <f>Gasto_o_ing_per_capita!S274*100/Gasto_o_ing_per_capita!$D274</f>
        <v>0</v>
      </c>
      <c r="T274" s="336">
        <f>Gasto_o_ing_per_capita!T274*100/Gasto_o_ing_per_capita!$D274</f>
        <v>0</v>
      </c>
      <c r="U274" s="336">
        <f>Gasto_o_ing_per_capita!U274*100/Gasto_o_ing_per_capita!$D274</f>
        <v>0</v>
      </c>
      <c r="V274" s="336">
        <f>Gasto_o_ing_per_capita!V274*100/Gasto_o_ing_per_capita!$D274</f>
        <v>0</v>
      </c>
    </row>
    <row r="275" spans="1:22" s="102" customFormat="1" ht="13.15">
      <c r="A275" s="355" t="str">
        <f>IF(B275="","",(IF(ISERROR(MATCH(B275,Tot_res!C:C,0)),"Eliminar!!!","")))</f>
        <v/>
      </c>
      <c r="B275" s="115" t="s">
        <v>642</v>
      </c>
      <c r="C275" s="333" t="str">
        <f>VLOOKUP(B275,Tot_res!C:D,2,FALSE)</f>
        <v>Explotación minera</v>
      </c>
      <c r="D275" s="336">
        <f>Gasto_o_ing_per_capita!D275*100/Gasto_o_ing_per_capita!$D275</f>
        <v>100</v>
      </c>
      <c r="E275" s="336">
        <f>Gasto_o_ing_per_capita!E275*100/Gasto_o_ing_per_capita!$D275</f>
        <v>26.881978772594415</v>
      </c>
      <c r="F275" s="336">
        <f>Gasto_o_ing_per_capita!F275*100/Gasto_o_ing_per_capita!$D275</f>
        <v>381.24335510605778</v>
      </c>
      <c r="G275" s="336">
        <f>Gasto_o_ing_per_capita!G275*100/Gasto_o_ing_per_capita!$D275</f>
        <v>1027.8483052216504</v>
      </c>
      <c r="H275" s="336">
        <f>Gasto_o_ing_per_capita!H275*100/Gasto_o_ing_per_capita!$D275</f>
        <v>1.0098825890583563</v>
      </c>
      <c r="I275" s="336">
        <f>Gasto_o_ing_per_capita!I275*100/Gasto_o_ing_per_capita!$D275</f>
        <v>0.94061083999800899</v>
      </c>
      <c r="J275" s="336">
        <f>Gasto_o_ing_per_capita!J275*100/Gasto_o_ing_per_capita!$D275</f>
        <v>12.507937779192508</v>
      </c>
      <c r="K275" s="336">
        <f>Gasto_o_ing_per_capita!K275*100/Gasto_o_ing_per_capita!$D275</f>
        <v>806.29671841004006</v>
      </c>
      <c r="L275" s="336">
        <f>Gasto_o_ing_per_capita!L275*100/Gasto_o_ing_per_capita!$D275</f>
        <v>31.405415783636947</v>
      </c>
      <c r="M275" s="336">
        <f>Gasto_o_ing_per_capita!M275*100/Gasto_o_ing_per_capita!$D275</f>
        <v>8.3846470045080501</v>
      </c>
      <c r="N275" s="336">
        <f>Gasto_o_ing_per_capita!N275*100/Gasto_o_ing_per_capita!$D275</f>
        <v>4.1084021023128532</v>
      </c>
      <c r="O275" s="336">
        <f>Gasto_o_ing_per_capita!O275*100/Gasto_o_ing_per_capita!$D275</f>
        <v>2.5194920603937785</v>
      </c>
      <c r="P275" s="336">
        <f>Gasto_o_ing_per_capita!P275*100/Gasto_o_ing_per_capita!$D275</f>
        <v>233.61404344243871</v>
      </c>
      <c r="Q275" s="336">
        <f>Gasto_o_ing_per_capita!Q275*100/Gasto_o_ing_per_capita!$D275</f>
        <v>4.9985567668385915</v>
      </c>
      <c r="R275" s="336">
        <f>Gasto_o_ing_per_capita!R275*100/Gasto_o_ing_per_capita!$D275</f>
        <v>0.61632065197008157</v>
      </c>
      <c r="S275" s="336">
        <f>Gasto_o_ing_per_capita!S275*100/Gasto_o_ing_per_capita!$D275</f>
        <v>1.1278905358640468</v>
      </c>
      <c r="T275" s="336">
        <f>Gasto_o_ing_per_capita!T275*100/Gasto_o_ing_per_capita!$D275</f>
        <v>0.70540276743910124</v>
      </c>
      <c r="U275" s="336">
        <f>Gasto_o_ing_per_capita!U275*100/Gasto_o_ing_per_capita!$D275</f>
        <v>1.2506623793366112</v>
      </c>
      <c r="V275" s="336">
        <f>Gasto_o_ing_per_capita!V275*100/Gasto_o_ing_per_capita!$D275</f>
        <v>0</v>
      </c>
    </row>
    <row r="276" spans="1:22" s="102" customFormat="1" ht="13.15">
      <c r="A276" s="355" t="str">
        <f>IF(B276="","",(IF(ISERROR(MATCH(B276,Tot_res!C:C,0)),"Eliminar!!!","")))</f>
        <v/>
      </c>
      <c r="B276" s="115" t="s">
        <v>1188</v>
      </c>
      <c r="C276" s="333" t="str">
        <f>VLOOKUP(B276,Tot_res!C:D,2,FALSE)</f>
        <v>Sobrecostes sistemas eléctricos extrapeninsulares</v>
      </c>
      <c r="D276" s="336">
        <f>Gasto_o_ing_per_capita!D276*100/Gasto_o_ing_per_capita!$D276</f>
        <v>100.00000000000001</v>
      </c>
      <c r="E276" s="336">
        <f>Gasto_o_ing_per_capita!E276*100/Gasto_o_ing_per_capita!$D276</f>
        <v>0</v>
      </c>
      <c r="F276" s="336">
        <f>Gasto_o_ing_per_capita!F276*100/Gasto_o_ing_per_capita!$D276</f>
        <v>0</v>
      </c>
      <c r="G276" s="336">
        <f>Gasto_o_ing_per_capita!G276*100/Gasto_o_ing_per_capita!$D276</f>
        <v>0</v>
      </c>
      <c r="H276" s="336">
        <f>Gasto_o_ing_per_capita!H276*100/Gasto_o_ing_per_capita!$D276</f>
        <v>912.18214081015662</v>
      </c>
      <c r="I276" s="336">
        <f>Gasto_o_ing_per_capita!I276*100/Gasto_o_ing_per_capita!$D276</f>
        <v>1614.179839193195</v>
      </c>
      <c r="J276" s="336">
        <f>Gasto_o_ing_per_capita!J276*100/Gasto_o_ing_per_capita!$D276</f>
        <v>0</v>
      </c>
      <c r="K276" s="336">
        <f>Gasto_o_ing_per_capita!K276*100/Gasto_o_ing_per_capita!$D276</f>
        <v>0</v>
      </c>
      <c r="L276" s="336">
        <f>Gasto_o_ing_per_capita!L276*100/Gasto_o_ing_per_capita!$D276</f>
        <v>0</v>
      </c>
      <c r="M276" s="336">
        <f>Gasto_o_ing_per_capita!M276*100/Gasto_o_ing_per_capita!$D276</f>
        <v>0</v>
      </c>
      <c r="N276" s="336">
        <f>Gasto_o_ing_per_capita!N276*100/Gasto_o_ing_per_capita!$D276</f>
        <v>0</v>
      </c>
      <c r="O276" s="336">
        <f>Gasto_o_ing_per_capita!O276*100/Gasto_o_ing_per_capita!$D276</f>
        <v>0</v>
      </c>
      <c r="P276" s="336">
        <f>Gasto_o_ing_per_capita!P276*100/Gasto_o_ing_per_capita!$D276</f>
        <v>0</v>
      </c>
      <c r="Q276" s="336">
        <f>Gasto_o_ing_per_capita!Q276*100/Gasto_o_ing_per_capita!$D276</f>
        <v>0</v>
      </c>
      <c r="R276" s="336">
        <f>Gasto_o_ing_per_capita!R276*100/Gasto_o_ing_per_capita!$D276</f>
        <v>0</v>
      </c>
      <c r="S276" s="336">
        <f>Gasto_o_ing_per_capita!S276*100/Gasto_o_ing_per_capita!$D276</f>
        <v>0</v>
      </c>
      <c r="T276" s="336">
        <f>Gasto_o_ing_per_capita!T276*100/Gasto_o_ing_per_capita!$D276</f>
        <v>0</v>
      </c>
      <c r="U276" s="336">
        <f>Gasto_o_ing_per_capita!U276*100/Gasto_o_ing_per_capita!$D276</f>
        <v>0</v>
      </c>
      <c r="V276" s="336">
        <f>Gasto_o_ing_per_capita!V276*100/Gasto_o_ing_per_capita!$D276</f>
        <v>1636.5062185916629</v>
      </c>
    </row>
    <row r="277" spans="1:22" s="102" customFormat="1" ht="13.15">
      <c r="A277" s="355" t="str">
        <f>IF(B277="","",(IF(ISERROR(MATCH(B277,Tot_res!C:C,0)),"Eliminar!!!","")))</f>
        <v/>
      </c>
      <c r="B277" s="115" t="s">
        <v>297</v>
      </c>
      <c r="C277" s="333" t="str">
        <f>VLOOKUP(B277,Tot_res!C:D,2,FALSE)</f>
        <v>Subvenciones y apoyo al transporte marítimo</v>
      </c>
      <c r="D277" s="336">
        <f>Gasto_o_ing_per_capita!D277*100/Gasto_o_ing_per_capita!$D277</f>
        <v>100</v>
      </c>
      <c r="E277" s="336">
        <f>Gasto_o_ing_per_capita!E277*100/Gasto_o_ing_per_capita!$D277</f>
        <v>4.4776613620224976</v>
      </c>
      <c r="F277" s="336">
        <f>Gasto_o_ing_per_capita!F277*100/Gasto_o_ing_per_capita!$D277</f>
        <v>1.7556117920380614</v>
      </c>
      <c r="G277" s="336">
        <f>Gasto_o_ing_per_capita!G277*100/Gasto_o_ing_per_capita!$D277</f>
        <v>0.67752617583474817</v>
      </c>
      <c r="H277" s="336">
        <f>Gasto_o_ing_per_capita!H277*100/Gasto_o_ing_per_capita!$D277</f>
        <v>922.52948752276359</v>
      </c>
      <c r="I277" s="336">
        <f>Gasto_o_ing_per_capita!I277*100/Gasto_o_ing_per_capita!$D277</f>
        <v>924.51595959152269</v>
      </c>
      <c r="J277" s="336">
        <f>Gasto_o_ing_per_capita!J277*100/Gasto_o_ing_per_capita!$D277</f>
        <v>2.0897938801794829</v>
      </c>
      <c r="K277" s="336">
        <f>Gasto_o_ing_per_capita!K277*100/Gasto_o_ing_per_capita!$D277</f>
        <v>0.41333473498147039</v>
      </c>
      <c r="L277" s="336">
        <f>Gasto_o_ing_per_capita!L277*100/Gasto_o_ing_per_capita!$D277</f>
        <v>0.91076648251046621</v>
      </c>
      <c r="M277" s="336">
        <f>Gasto_o_ing_per_capita!M277*100/Gasto_o_ing_per_capita!$D277</f>
        <v>3.5948349515978095</v>
      </c>
      <c r="N277" s="336">
        <f>Gasto_o_ing_per_capita!N277*100/Gasto_o_ing_per_capita!$D277</f>
        <v>3.4471709089164442</v>
      </c>
      <c r="O277" s="336">
        <f>Gasto_o_ing_per_capita!O277*100/Gasto_o_ing_per_capita!$D277</f>
        <v>1.0101643580969564</v>
      </c>
      <c r="P277" s="336">
        <f>Gasto_o_ing_per_capita!P277*100/Gasto_o_ing_per_capita!$D277</f>
        <v>0.47761779927164888</v>
      </c>
      <c r="Q277" s="336">
        <f>Gasto_o_ing_per_capita!Q277*100/Gasto_o_ing_per_capita!$D277</f>
        <v>1.5857058786811591</v>
      </c>
      <c r="R277" s="336">
        <f>Gasto_o_ing_per_capita!R277*100/Gasto_o_ing_per_capita!$D277</f>
        <v>1.8747025214653037</v>
      </c>
      <c r="S277" s="336">
        <f>Gasto_o_ing_per_capita!S277*100/Gasto_o_ing_per_capita!$D277</f>
        <v>2.1274969118321585</v>
      </c>
      <c r="T277" s="336">
        <f>Gasto_o_ing_per_capita!T277*100/Gasto_o_ing_per_capita!$D277</f>
        <v>0.60937855762402471</v>
      </c>
      <c r="U277" s="336">
        <f>Gasto_o_ing_per_capita!U277*100/Gasto_o_ing_per_capita!$D277</f>
        <v>2.1498337252712658</v>
      </c>
      <c r="V277" s="336">
        <f>Gasto_o_ing_per_capita!V277*100/Gasto_o_ing_per_capita!$D277</f>
        <v>9561.1361370252926</v>
      </c>
    </row>
    <row r="278" spans="1:22" s="102" customFormat="1" ht="13.15">
      <c r="A278" s="355" t="str">
        <f>IF(B278="","",(IF(ISERROR(MATCH(B278,Tot_res!C:C,0)),"Eliminar!!!","")))</f>
        <v/>
      </c>
      <c r="B278" s="115" t="s">
        <v>298</v>
      </c>
      <c r="C278" s="333" t="str">
        <f>VLOOKUP(B278,Tot_res!C:D,2,FALSE)</f>
        <v>Subvenciones y apoyo al transporte aéreo</v>
      </c>
      <c r="D278" s="336">
        <f>Gasto_o_ing_per_capita!D278*100/Gasto_o_ing_per_capita!$D278</f>
        <v>100</v>
      </c>
      <c r="E278" s="336">
        <f>Gasto_o_ing_per_capita!E278*100/Gasto_o_ing_per_capita!$D278</f>
        <v>2.1766785839982963</v>
      </c>
      <c r="F278" s="336">
        <f>Gasto_o_ing_per_capita!F278*100/Gasto_o_ing_per_capita!$D278</f>
        <v>2.1760568904316822</v>
      </c>
      <c r="G278" s="336">
        <f>Gasto_o_ing_per_capita!G278*100/Gasto_o_ing_per_capita!$D278</f>
        <v>2.2933991121936455</v>
      </c>
      <c r="H278" s="336">
        <f>Gasto_o_ing_per_capita!H278*100/Gasto_o_ing_per_capita!$D278</f>
        <v>1509.5072786260646</v>
      </c>
      <c r="I278" s="336">
        <f>Gasto_o_ing_per_capita!I278*100/Gasto_o_ing_per_capita!$D278</f>
        <v>1375.5672227186856</v>
      </c>
      <c r="J278" s="336">
        <f>Gasto_o_ing_per_capita!J278*100/Gasto_o_ing_per_capita!$D278</f>
        <v>2.4383402641110421</v>
      </c>
      <c r="K278" s="336">
        <f>Gasto_o_ing_per_capita!K278*100/Gasto_o_ing_per_capita!$D278</f>
        <v>2.1325959922316953</v>
      </c>
      <c r="L278" s="336">
        <f>Gasto_o_ing_per_capita!L278*100/Gasto_o_ing_per_capita!$D278</f>
        <v>2.0758445255284288</v>
      </c>
      <c r="M278" s="336">
        <f>Gasto_o_ing_per_capita!M278*100/Gasto_o_ing_per_capita!$D278</f>
        <v>2.3996840858688437</v>
      </c>
      <c r="N278" s="336">
        <f>Gasto_o_ing_per_capita!N278*100/Gasto_o_ing_per_capita!$D278</f>
        <v>2.1948583722408834</v>
      </c>
      <c r="O278" s="336">
        <f>Gasto_o_ing_per_capita!O278*100/Gasto_o_ing_per_capita!$D278</f>
        <v>2.118731188790858</v>
      </c>
      <c r="P278" s="336">
        <f>Gasto_o_ing_per_capita!P278*100/Gasto_o_ing_per_capita!$D278</f>
        <v>2.1847435830970463</v>
      </c>
      <c r="Q278" s="336">
        <f>Gasto_o_ing_per_capita!Q278*100/Gasto_o_ing_per_capita!$D278</f>
        <v>2.3413332288089461</v>
      </c>
      <c r="R278" s="336">
        <f>Gasto_o_ing_per_capita!R278*100/Gasto_o_ing_per_capita!$D278</f>
        <v>2.0764623270569946</v>
      </c>
      <c r="S278" s="336">
        <f>Gasto_o_ing_per_capita!S278*100/Gasto_o_ing_per_capita!$D278</f>
        <v>2.1913050101970124</v>
      </c>
      <c r="T278" s="336">
        <f>Gasto_o_ing_per_capita!T278*100/Gasto_o_ing_per_capita!$D278</f>
        <v>2.3502983633862042</v>
      </c>
      <c r="U278" s="336">
        <f>Gasto_o_ing_per_capita!U278*100/Gasto_o_ing_per_capita!$D278</f>
        <v>2.1745767842154611</v>
      </c>
      <c r="V278" s="336">
        <f>Gasto_o_ing_per_capita!V278*100/Gasto_o_ing_per_capita!$D278</f>
        <v>121.67315999328368</v>
      </c>
    </row>
    <row r="279" spans="1:22" s="102" customFormat="1" ht="13.15">
      <c r="A279" s="355" t="str">
        <f>IF(B279="","",(IF(ISERROR(MATCH(B279,Tot_res!C:C,0)),"Eliminar!!!","")))</f>
        <v/>
      </c>
      <c r="B279" s="115" t="s">
        <v>299</v>
      </c>
      <c r="C279" s="333" t="str">
        <f>VLOOKUP(B279,Tot_res!C:D,2,FALSE)</f>
        <v>Subvenciones al transporte extrapeninsular de mercancías</v>
      </c>
      <c r="D279" s="336">
        <f>Gasto_o_ing_per_capita!D279*100/Gasto_o_ing_per_capita!$D279</f>
        <v>100</v>
      </c>
      <c r="E279" s="336">
        <f>Gasto_o_ing_per_capita!E279*100/Gasto_o_ing_per_capita!$D279</f>
        <v>0</v>
      </c>
      <c r="F279" s="336">
        <f>Gasto_o_ing_per_capita!F279*100/Gasto_o_ing_per_capita!$D279</f>
        <v>0</v>
      </c>
      <c r="G279" s="336">
        <f>Gasto_o_ing_per_capita!G279*100/Gasto_o_ing_per_capita!$D279</f>
        <v>0</v>
      </c>
      <c r="H279" s="336">
        <f>Gasto_o_ing_per_capita!H279*100/Gasto_o_ing_per_capita!$D279</f>
        <v>250.04259811331704</v>
      </c>
      <c r="I279" s="336">
        <f>Gasto_o_ing_per_capita!I279*100/Gasto_o_ing_per_capita!$D279</f>
        <v>2092.1632752970932</v>
      </c>
      <c r="J279" s="336">
        <f>Gasto_o_ing_per_capita!J279*100/Gasto_o_ing_per_capita!$D279</f>
        <v>0</v>
      </c>
      <c r="K279" s="336">
        <f>Gasto_o_ing_per_capita!K279*100/Gasto_o_ing_per_capita!$D279</f>
        <v>0</v>
      </c>
      <c r="L279" s="336">
        <f>Gasto_o_ing_per_capita!L279*100/Gasto_o_ing_per_capita!$D279</f>
        <v>0</v>
      </c>
      <c r="M279" s="336">
        <f>Gasto_o_ing_per_capita!M279*100/Gasto_o_ing_per_capita!$D279</f>
        <v>0</v>
      </c>
      <c r="N279" s="336">
        <f>Gasto_o_ing_per_capita!N279*100/Gasto_o_ing_per_capita!$D279</f>
        <v>0</v>
      </c>
      <c r="O279" s="336">
        <f>Gasto_o_ing_per_capita!O279*100/Gasto_o_ing_per_capita!$D279</f>
        <v>0</v>
      </c>
      <c r="P279" s="336">
        <f>Gasto_o_ing_per_capita!P279*100/Gasto_o_ing_per_capita!$D279</f>
        <v>0</v>
      </c>
      <c r="Q279" s="336">
        <f>Gasto_o_ing_per_capita!Q279*100/Gasto_o_ing_per_capita!$D279</f>
        <v>0</v>
      </c>
      <c r="R279" s="336">
        <f>Gasto_o_ing_per_capita!R279*100/Gasto_o_ing_per_capita!$D279</f>
        <v>0</v>
      </c>
      <c r="S279" s="336">
        <f>Gasto_o_ing_per_capita!S279*100/Gasto_o_ing_per_capita!$D279</f>
        <v>0</v>
      </c>
      <c r="T279" s="336">
        <f>Gasto_o_ing_per_capita!T279*100/Gasto_o_ing_per_capita!$D279</f>
        <v>0</v>
      </c>
      <c r="U279" s="336">
        <f>Gasto_o_ing_per_capita!U279*100/Gasto_o_ing_per_capita!$D279</f>
        <v>0</v>
      </c>
      <c r="V279" s="336">
        <f>Gasto_o_ing_per_capita!V279*100/Gasto_o_ing_per_capita!$D279</f>
        <v>0</v>
      </c>
    </row>
    <row r="280" spans="1:22" s="102" customFormat="1" ht="13.15">
      <c r="A280" s="355" t="str">
        <f>IF(B280="","",(IF(ISERROR(MATCH(B280,Tot_res!C:C,0)),"Eliminar!!!","")))</f>
        <v/>
      </c>
      <c r="B280" s="115" t="s">
        <v>300</v>
      </c>
      <c r="C280" s="333" t="str">
        <f>VLOOKUP(B280,Tot_res!C:D,2,FALSE)</f>
        <v>Infraestructuras en comarcas mineras del carbón</v>
      </c>
      <c r="D280" s="336">
        <f>Gasto_o_ing_per_capita!D280*100/Gasto_o_ing_per_capita!$D280</f>
        <v>100</v>
      </c>
      <c r="E280" s="336">
        <f>Gasto_o_ing_per_capita!E280*100/Gasto_o_ing_per_capita!$D280</f>
        <v>21.862297471210834</v>
      </c>
      <c r="F280" s="336">
        <f>Gasto_o_ing_per_capita!F280*100/Gasto_o_ing_per_capita!$D280</f>
        <v>242.56247841410078</v>
      </c>
      <c r="G280" s="336">
        <f>Gasto_o_ing_per_capita!G280*100/Gasto_o_ing_per_capita!$D280</f>
        <v>0</v>
      </c>
      <c r="H280" s="336">
        <f>Gasto_o_ing_per_capita!H280*100/Gasto_o_ing_per_capita!$D280</f>
        <v>0</v>
      </c>
      <c r="I280" s="336">
        <f>Gasto_o_ing_per_capita!I280*100/Gasto_o_ing_per_capita!$D280</f>
        <v>0</v>
      </c>
      <c r="J280" s="336">
        <f>Gasto_o_ing_per_capita!J280*100/Gasto_o_ing_per_capita!$D280</f>
        <v>0</v>
      </c>
      <c r="K280" s="336">
        <f>Gasto_o_ing_per_capita!K280*100/Gasto_o_ing_per_capita!$D280</f>
        <v>1669.8299180606218</v>
      </c>
      <c r="L280" s="336">
        <f>Gasto_o_ing_per_capita!L280*100/Gasto_o_ing_per_capita!$D280</f>
        <v>0</v>
      </c>
      <c r="M280" s="336">
        <f>Gasto_o_ing_per_capita!M280*100/Gasto_o_ing_per_capita!$D280</f>
        <v>0</v>
      </c>
      <c r="N280" s="336">
        <f>Gasto_o_ing_per_capita!N280*100/Gasto_o_ing_per_capita!$D280</f>
        <v>0</v>
      </c>
      <c r="O280" s="336">
        <f>Gasto_o_ing_per_capita!O280*100/Gasto_o_ing_per_capita!$D280</f>
        <v>0</v>
      </c>
      <c r="P280" s="336">
        <f>Gasto_o_ing_per_capita!P280*100/Gasto_o_ing_per_capita!$D280</f>
        <v>0</v>
      </c>
      <c r="Q280" s="336">
        <f>Gasto_o_ing_per_capita!Q280*100/Gasto_o_ing_per_capita!$D280</f>
        <v>0</v>
      </c>
      <c r="R280" s="336">
        <f>Gasto_o_ing_per_capita!R280*100/Gasto_o_ing_per_capita!$D280</f>
        <v>0</v>
      </c>
      <c r="S280" s="336">
        <f>Gasto_o_ing_per_capita!S280*100/Gasto_o_ing_per_capita!$D280</f>
        <v>0</v>
      </c>
      <c r="T280" s="336">
        <f>Gasto_o_ing_per_capita!T280*100/Gasto_o_ing_per_capita!$D280</f>
        <v>0</v>
      </c>
      <c r="U280" s="336">
        <f>Gasto_o_ing_per_capita!U280*100/Gasto_o_ing_per_capita!$D280</f>
        <v>0</v>
      </c>
      <c r="V280" s="336">
        <f>Gasto_o_ing_per_capita!V280*100/Gasto_o_ing_per_capita!$D280</f>
        <v>0</v>
      </c>
    </row>
    <row r="281" spans="1:22" s="102" customFormat="1" ht="15.65">
      <c r="A281" s="355" t="str">
        <f>IF(B281="","",(IF(ISERROR(MATCH(B281,Tot_res!C:C,0)),"Eliminar!!!","")))</f>
        <v/>
      </c>
      <c r="B281" s="150" t="s">
        <v>643</v>
      </c>
      <c r="C281" s="333" t="str">
        <f>VLOOKUP(B281,Tot_res!C:D,2,FALSE)</f>
        <v>Direc. y serv. grales. de hacienda y admones. Públicas, transferencias a la ZEC</v>
      </c>
      <c r="D281" s="336">
        <f>Gasto_o_ing_per_capita!D281*100/Gasto_o_ing_per_capita!$D281</f>
        <v>100</v>
      </c>
      <c r="E281" s="336">
        <f>Gasto_o_ing_per_capita!E281*100/Gasto_o_ing_per_capita!$D281</f>
        <v>0</v>
      </c>
      <c r="F281" s="336">
        <f>Gasto_o_ing_per_capita!F281*100/Gasto_o_ing_per_capita!$D281</f>
        <v>0</v>
      </c>
      <c r="G281" s="336">
        <f>Gasto_o_ing_per_capita!G281*100/Gasto_o_ing_per_capita!$D281</f>
        <v>0</v>
      </c>
      <c r="H281" s="336">
        <f>Gasto_o_ing_per_capita!H281*100/Gasto_o_ing_per_capita!$D281</f>
        <v>0</v>
      </c>
      <c r="I281" s="336">
        <f>Gasto_o_ing_per_capita!I281*100/Gasto_o_ing_per_capita!$D281</f>
        <v>2223.3043068132688</v>
      </c>
      <c r="J281" s="336">
        <f>Gasto_o_ing_per_capita!J281*100/Gasto_o_ing_per_capita!$D281</f>
        <v>0</v>
      </c>
      <c r="K281" s="336">
        <f>Gasto_o_ing_per_capita!K281*100/Gasto_o_ing_per_capita!$D281</f>
        <v>0</v>
      </c>
      <c r="L281" s="336">
        <f>Gasto_o_ing_per_capita!L281*100/Gasto_o_ing_per_capita!$D281</f>
        <v>0</v>
      </c>
      <c r="M281" s="336">
        <f>Gasto_o_ing_per_capita!M281*100/Gasto_o_ing_per_capita!$D281</f>
        <v>0</v>
      </c>
      <c r="N281" s="336">
        <f>Gasto_o_ing_per_capita!N281*100/Gasto_o_ing_per_capita!$D281</f>
        <v>0</v>
      </c>
      <c r="O281" s="336">
        <f>Gasto_o_ing_per_capita!O281*100/Gasto_o_ing_per_capita!$D281</f>
        <v>0</v>
      </c>
      <c r="P281" s="336">
        <f>Gasto_o_ing_per_capita!P281*100/Gasto_o_ing_per_capita!$D281</f>
        <v>0</v>
      </c>
      <c r="Q281" s="336">
        <f>Gasto_o_ing_per_capita!Q281*100/Gasto_o_ing_per_capita!$D281</f>
        <v>0</v>
      </c>
      <c r="R281" s="336">
        <f>Gasto_o_ing_per_capita!R281*100/Gasto_o_ing_per_capita!$D281</f>
        <v>0</v>
      </c>
      <c r="S281" s="336">
        <f>Gasto_o_ing_per_capita!S281*100/Gasto_o_ing_per_capita!$D281</f>
        <v>0</v>
      </c>
      <c r="T281" s="336">
        <f>Gasto_o_ing_per_capita!T281*100/Gasto_o_ing_per_capita!$D281</f>
        <v>0</v>
      </c>
      <c r="U281" s="336">
        <f>Gasto_o_ing_per_capita!U281*100/Gasto_o_ing_per_capita!$D281</f>
        <v>0</v>
      </c>
      <c r="V281" s="336">
        <f>Gasto_o_ing_per_capita!V281*100/Gasto_o_ing_per_capita!$D281</f>
        <v>0</v>
      </c>
    </row>
    <row r="282" spans="1:22" s="102" customFormat="1" ht="13.15">
      <c r="A282" s="355" t="str">
        <f>IF(B282="","",(IF(ISERROR(MATCH(B282,Tot_res!C:C,0)),"Eliminar!!!","")))</f>
        <v/>
      </c>
      <c r="B282" s="115" t="s">
        <v>301</v>
      </c>
      <c r="C282" s="333" t="str">
        <f>VLOOKUP(B282,Tot_res!C:D,2,FALSE)</f>
        <v>Transfer. a cc.aa. por fondos de compens. intert.</v>
      </c>
      <c r="D282" s="336">
        <f>Gasto_o_ing_per_capita!D282*100/Gasto_o_ing_per_capita!$D282</f>
        <v>100</v>
      </c>
      <c r="E282" s="336">
        <f>Gasto_o_ing_per_capita!E282*100/Gasto_o_ing_per_capita!$D282</f>
        <v>194.06117293268511</v>
      </c>
      <c r="F282" s="336">
        <f>Gasto_o_ing_per_capita!F282*100/Gasto_o_ing_per_capita!$D282</f>
        <v>0</v>
      </c>
      <c r="G282" s="336">
        <f>Gasto_o_ing_per_capita!G282*100/Gasto_o_ing_per_capita!$D282</f>
        <v>121.67324500212041</v>
      </c>
      <c r="H282" s="336">
        <f>Gasto_o_ing_per_capita!H282*100/Gasto_o_ing_per_capita!$D282</f>
        <v>0</v>
      </c>
      <c r="I282" s="336">
        <f>Gasto_o_ing_per_capita!I282*100/Gasto_o_ing_per_capita!$D282</f>
        <v>289.4198623755953</v>
      </c>
      <c r="J282" s="336">
        <f>Gasto_o_ing_per_capita!J282*100/Gasto_o_ing_per_capita!$D282</f>
        <v>48.426145649722187</v>
      </c>
      <c r="K282" s="336">
        <f>Gasto_o_ing_per_capita!K282*100/Gasto_o_ing_per_capita!$D282</f>
        <v>79.764718191907534</v>
      </c>
      <c r="L282" s="336">
        <f>Gasto_o_ing_per_capita!L282*100/Gasto_o_ing_per_capita!$D282</f>
        <v>178.43046865832952</v>
      </c>
      <c r="M282" s="336">
        <f>Gasto_o_ing_per_capita!M282*100/Gasto_o_ing_per_capita!$D282</f>
        <v>0</v>
      </c>
      <c r="N282" s="336">
        <f>Gasto_o_ing_per_capita!N282*100/Gasto_o_ing_per_capita!$D282</f>
        <v>114.99230444373713</v>
      </c>
      <c r="O282" s="336">
        <f>Gasto_o_ing_per_capita!O282*100/Gasto_o_ing_per_capita!$D282</f>
        <v>210.43917379802562</v>
      </c>
      <c r="P282" s="336">
        <f>Gasto_o_ing_per_capita!P282*100/Gasto_o_ing_per_capita!$D282</f>
        <v>212.52233366707898</v>
      </c>
      <c r="Q282" s="336">
        <f>Gasto_o_ing_per_capita!Q282*100/Gasto_o_ing_per_capita!$D282</f>
        <v>0</v>
      </c>
      <c r="R282" s="336">
        <f>Gasto_o_ing_per_capita!R282*100/Gasto_o_ing_per_capita!$D282</f>
        <v>157.48610535405246</v>
      </c>
      <c r="S282" s="336">
        <f>Gasto_o_ing_per_capita!S282*100/Gasto_o_ing_per_capita!$D282</f>
        <v>0</v>
      </c>
      <c r="T282" s="336">
        <f>Gasto_o_ing_per_capita!T282*100/Gasto_o_ing_per_capita!$D282</f>
        <v>0</v>
      </c>
      <c r="U282" s="336">
        <f>Gasto_o_ing_per_capita!U282*100/Gasto_o_ing_per_capita!$D282</f>
        <v>0</v>
      </c>
      <c r="V282" s="336">
        <f>Gasto_o_ing_per_capita!V282*100/Gasto_o_ing_per_capita!$D282</f>
        <v>518.93856377811267</v>
      </c>
    </row>
    <row r="283" spans="1:22" s="102" customFormat="1" ht="13.15">
      <c r="A283" s="355" t="str">
        <f>IF(B283="","",(IF(ISERROR(MATCH(B283,Tot_res!C:C,0)),"Eliminar!!!","")))</f>
        <v/>
      </c>
      <c r="B283" s="115" t="s">
        <v>644</v>
      </c>
      <c r="C283" s="333" t="str">
        <f>VLOOKUP(B283,Tot_res!C:D,2,FALSE)</f>
        <v>Otras transferencias a Comunidades Autónomas: Transferencias de capital a Aragón para proyectos de inversión en Teruel y a la CA de Extremadura para proyectos de inversión.</v>
      </c>
      <c r="D283" s="336">
        <f>Gasto_o_ing_per_capita!D283*100/Gasto_o_ing_per_capita!$D283</f>
        <v>100</v>
      </c>
      <c r="E283" s="336">
        <f>Gasto_o_ing_per_capita!E283*100/Gasto_o_ing_per_capita!$D283</f>
        <v>0</v>
      </c>
      <c r="F283" s="336">
        <f>Gasto_o_ing_per_capita!F283*100/Gasto_o_ing_per_capita!$D283</f>
        <v>2108.1360730542351</v>
      </c>
      <c r="G283" s="336">
        <f>Gasto_o_ing_per_capita!G283*100/Gasto_o_ing_per_capita!$D283</f>
        <v>0</v>
      </c>
      <c r="H283" s="336">
        <f>Gasto_o_ing_per_capita!H283*100/Gasto_o_ing_per_capita!$D283</f>
        <v>0</v>
      </c>
      <c r="I283" s="336">
        <f>Gasto_o_ing_per_capita!I283*100/Gasto_o_ing_per_capita!$D283</f>
        <v>0</v>
      </c>
      <c r="J283" s="336">
        <f>Gasto_o_ing_per_capita!J283*100/Gasto_o_ing_per_capita!$D283</f>
        <v>0</v>
      </c>
      <c r="K283" s="336">
        <f>Gasto_o_ing_per_capita!K283*100/Gasto_o_ing_per_capita!$D283</f>
        <v>0</v>
      </c>
      <c r="L283" s="336">
        <f>Gasto_o_ing_per_capita!L283*100/Gasto_o_ing_per_capita!$D283</f>
        <v>0</v>
      </c>
      <c r="M283" s="336">
        <f>Gasto_o_ing_per_capita!M283*100/Gasto_o_ing_per_capita!$D283</f>
        <v>0</v>
      </c>
      <c r="N283" s="336">
        <f>Gasto_o_ing_per_capita!N283*100/Gasto_o_ing_per_capita!$D283</f>
        <v>0</v>
      </c>
      <c r="O283" s="336">
        <f>Gasto_o_ing_per_capita!O283*100/Gasto_o_ing_per_capita!$D283</f>
        <v>1704.4761294515065</v>
      </c>
      <c r="P283" s="336">
        <f>Gasto_o_ing_per_capita!P283*100/Gasto_o_ing_per_capita!$D283</f>
        <v>0</v>
      </c>
      <c r="Q283" s="336">
        <f>Gasto_o_ing_per_capita!Q283*100/Gasto_o_ing_per_capita!$D283</f>
        <v>0</v>
      </c>
      <c r="R283" s="336">
        <f>Gasto_o_ing_per_capita!R283*100/Gasto_o_ing_per_capita!$D283</f>
        <v>0</v>
      </c>
      <c r="S283" s="336">
        <f>Gasto_o_ing_per_capita!S283*100/Gasto_o_ing_per_capita!$D283</f>
        <v>0</v>
      </c>
      <c r="T283" s="336">
        <f>Gasto_o_ing_per_capita!T283*100/Gasto_o_ing_per_capita!$D283</f>
        <v>0</v>
      </c>
      <c r="U283" s="336">
        <f>Gasto_o_ing_per_capita!U283*100/Gasto_o_ing_per_capita!$D283</f>
        <v>0</v>
      </c>
      <c r="V283" s="336">
        <f>Gasto_o_ing_per_capita!V283*100/Gasto_o_ing_per_capita!$D283</f>
        <v>0</v>
      </c>
    </row>
    <row r="284" spans="1:22" s="102" customFormat="1" ht="13.15">
      <c r="A284" s="355" t="str">
        <f>IF(B284="","",(IF(ISERROR(MATCH(B284,Tot_res!C:C,0)),"Eliminar!!!","")))</f>
        <v/>
      </c>
      <c r="B284" s="115" t="s">
        <v>302</v>
      </c>
      <c r="C284" s="333" t="str">
        <f>VLOOKUP(B284,Tot_res!C:D,2,FALSE)</f>
        <v>Infraestructuras REF Canarias</v>
      </c>
      <c r="D284" s="336">
        <f>Gasto_o_ing_per_capita!D284*100/Gasto_o_ing_per_capita!$D284</f>
        <v>100</v>
      </c>
      <c r="E284" s="336">
        <f>Gasto_o_ing_per_capita!E284*100/Gasto_o_ing_per_capita!$D284</f>
        <v>0</v>
      </c>
      <c r="F284" s="336">
        <f>Gasto_o_ing_per_capita!F284*100/Gasto_o_ing_per_capita!$D284</f>
        <v>0</v>
      </c>
      <c r="G284" s="336">
        <f>Gasto_o_ing_per_capita!G284*100/Gasto_o_ing_per_capita!$D284</f>
        <v>0</v>
      </c>
      <c r="H284" s="336">
        <f>Gasto_o_ing_per_capita!H284*100/Gasto_o_ing_per_capita!$D284</f>
        <v>0</v>
      </c>
      <c r="I284" s="336">
        <f>Gasto_o_ing_per_capita!I284*100/Gasto_o_ing_per_capita!$D284</f>
        <v>2223.3043068132688</v>
      </c>
      <c r="J284" s="336">
        <f>Gasto_o_ing_per_capita!J284*100/Gasto_o_ing_per_capita!$D284</f>
        <v>0</v>
      </c>
      <c r="K284" s="336">
        <f>Gasto_o_ing_per_capita!K284*100/Gasto_o_ing_per_capita!$D284</f>
        <v>0</v>
      </c>
      <c r="L284" s="336">
        <f>Gasto_o_ing_per_capita!L284*100/Gasto_o_ing_per_capita!$D284</f>
        <v>0</v>
      </c>
      <c r="M284" s="336">
        <f>Gasto_o_ing_per_capita!M284*100/Gasto_o_ing_per_capita!$D284</f>
        <v>0</v>
      </c>
      <c r="N284" s="336">
        <f>Gasto_o_ing_per_capita!N284*100/Gasto_o_ing_per_capita!$D284</f>
        <v>0</v>
      </c>
      <c r="O284" s="336">
        <f>Gasto_o_ing_per_capita!O284*100/Gasto_o_ing_per_capita!$D284</f>
        <v>0</v>
      </c>
      <c r="P284" s="336">
        <f>Gasto_o_ing_per_capita!P284*100/Gasto_o_ing_per_capita!$D284</f>
        <v>0</v>
      </c>
      <c r="Q284" s="336">
        <f>Gasto_o_ing_per_capita!Q284*100/Gasto_o_ing_per_capita!$D284</f>
        <v>0</v>
      </c>
      <c r="R284" s="336">
        <f>Gasto_o_ing_per_capita!R284*100/Gasto_o_ing_per_capita!$D284</f>
        <v>0</v>
      </c>
      <c r="S284" s="336">
        <f>Gasto_o_ing_per_capita!S284*100/Gasto_o_ing_per_capita!$D284</f>
        <v>0</v>
      </c>
      <c r="T284" s="336">
        <f>Gasto_o_ing_per_capita!T284*100/Gasto_o_ing_per_capita!$D284</f>
        <v>0</v>
      </c>
      <c r="U284" s="336">
        <f>Gasto_o_ing_per_capita!U284*100/Gasto_o_ing_per_capita!$D284</f>
        <v>0</v>
      </c>
      <c r="V284" s="336">
        <f>Gasto_o_ing_per_capita!V284*100/Gasto_o_ing_per_capita!$D284</f>
        <v>0</v>
      </c>
    </row>
    <row r="285" spans="1:22" s="102" customFormat="1" ht="13.15">
      <c r="A285" s="355" t="str">
        <f>IF(B285="","",(IF(ISERROR(MATCH(B285,Tot_res!C:C,0)),"Eliminar!!!","")))</f>
        <v/>
      </c>
      <c r="B285" s="115" t="s">
        <v>303</v>
      </c>
      <c r="C285" s="333" t="str">
        <f>VLOOKUP(B285,Tot_res!C:D,2,FALSE)</f>
        <v>Transporte interinsular Canarias</v>
      </c>
      <c r="D285" s="336">
        <f>Gasto_o_ing_per_capita!D285*100/Gasto_o_ing_per_capita!$D285</f>
        <v>100</v>
      </c>
      <c r="E285" s="336">
        <f>Gasto_o_ing_per_capita!E285*100/Gasto_o_ing_per_capita!$D285</f>
        <v>0</v>
      </c>
      <c r="F285" s="336">
        <f>Gasto_o_ing_per_capita!F285*100/Gasto_o_ing_per_capita!$D285</f>
        <v>0</v>
      </c>
      <c r="G285" s="336">
        <f>Gasto_o_ing_per_capita!G285*100/Gasto_o_ing_per_capita!$D285</f>
        <v>0</v>
      </c>
      <c r="H285" s="336">
        <f>Gasto_o_ing_per_capita!H285*100/Gasto_o_ing_per_capita!$D285</f>
        <v>0</v>
      </c>
      <c r="I285" s="336">
        <f>Gasto_o_ing_per_capita!I285*100/Gasto_o_ing_per_capita!$D285</f>
        <v>2223.3043068132688</v>
      </c>
      <c r="J285" s="336">
        <f>Gasto_o_ing_per_capita!J285*100/Gasto_o_ing_per_capita!$D285</f>
        <v>0</v>
      </c>
      <c r="K285" s="336">
        <f>Gasto_o_ing_per_capita!K285*100/Gasto_o_ing_per_capita!$D285</f>
        <v>0</v>
      </c>
      <c r="L285" s="336">
        <f>Gasto_o_ing_per_capita!L285*100/Gasto_o_ing_per_capita!$D285</f>
        <v>0</v>
      </c>
      <c r="M285" s="336">
        <f>Gasto_o_ing_per_capita!M285*100/Gasto_o_ing_per_capita!$D285</f>
        <v>0</v>
      </c>
      <c r="N285" s="336">
        <f>Gasto_o_ing_per_capita!N285*100/Gasto_o_ing_per_capita!$D285</f>
        <v>0</v>
      </c>
      <c r="O285" s="336">
        <f>Gasto_o_ing_per_capita!O285*100/Gasto_o_ing_per_capita!$D285</f>
        <v>0</v>
      </c>
      <c r="P285" s="336">
        <f>Gasto_o_ing_per_capita!P285*100/Gasto_o_ing_per_capita!$D285</f>
        <v>0</v>
      </c>
      <c r="Q285" s="336">
        <f>Gasto_o_ing_per_capita!Q285*100/Gasto_o_ing_per_capita!$D285</f>
        <v>0</v>
      </c>
      <c r="R285" s="336">
        <f>Gasto_o_ing_per_capita!R285*100/Gasto_o_ing_per_capita!$D285</f>
        <v>0</v>
      </c>
      <c r="S285" s="336">
        <f>Gasto_o_ing_per_capita!S285*100/Gasto_o_ing_per_capita!$D285</f>
        <v>0</v>
      </c>
      <c r="T285" s="336">
        <f>Gasto_o_ing_per_capita!T285*100/Gasto_o_ing_per_capita!$D285</f>
        <v>0</v>
      </c>
      <c r="U285" s="336">
        <f>Gasto_o_ing_per_capita!U285*100/Gasto_o_ing_per_capita!$D285</f>
        <v>0</v>
      </c>
      <c r="V285" s="336">
        <f>Gasto_o_ing_per_capita!V285*100/Gasto_o_ing_per_capita!$D285</f>
        <v>0</v>
      </c>
    </row>
    <row r="286" spans="1:22" s="102" customFormat="1" ht="13.15">
      <c r="A286" s="355" t="str">
        <f>IF(B286="","",(IF(ISERROR(MATCH(B286,Tot_res!C:C,0)),"Eliminar!!!","")))</f>
        <v/>
      </c>
      <c r="B286" s="115" t="s">
        <v>304</v>
      </c>
      <c r="C286" s="333" t="str">
        <f>VLOOKUP(B286,Tot_res!C:D,2,FALSE)</f>
        <v>Ayudas de la UE gestionadas por las comunidades autónomas, excepto FEOGA Garantía</v>
      </c>
      <c r="D286" s="336">
        <f>Gasto_o_ing_per_capita!D286*100/Gasto_o_ing_per_capita!$D286</f>
        <v>100</v>
      </c>
      <c r="E286" s="336">
        <f>Gasto_o_ing_per_capita!E286*100/Gasto_o_ing_per_capita!$D286</f>
        <v>190.53403534536193</v>
      </c>
      <c r="F286" s="336">
        <f>Gasto_o_ing_per_capita!F286*100/Gasto_o_ing_per_capita!$D286</f>
        <v>67.859755091902016</v>
      </c>
      <c r="G286" s="336">
        <f>Gasto_o_ing_per_capita!G286*100/Gasto_o_ing_per_capita!$D286</f>
        <v>86.83725190803024</v>
      </c>
      <c r="H286" s="336">
        <f>Gasto_o_ing_per_capita!H286*100/Gasto_o_ing_per_capita!$D286</f>
        <v>63.084353250228375</v>
      </c>
      <c r="I286" s="336">
        <f>Gasto_o_ing_per_capita!I286*100/Gasto_o_ing_per_capita!$D286</f>
        <v>140.27742234410843</v>
      </c>
      <c r="J286" s="336">
        <f>Gasto_o_ing_per_capita!J286*100/Gasto_o_ing_per_capita!$D286</f>
        <v>96.191722580593165</v>
      </c>
      <c r="K286" s="336">
        <f>Gasto_o_ing_per_capita!K286*100/Gasto_o_ing_per_capita!$D286</f>
        <v>84.899295613269402</v>
      </c>
      <c r="L286" s="336">
        <f>Gasto_o_ing_per_capita!L286*100/Gasto_o_ing_per_capita!$D286</f>
        <v>162.17842704952247</v>
      </c>
      <c r="M286" s="336">
        <f>Gasto_o_ing_per_capita!M286*100/Gasto_o_ing_per_capita!$D286</f>
        <v>1.6535067047210918</v>
      </c>
      <c r="N286" s="336">
        <f>Gasto_o_ing_per_capita!N286*100/Gasto_o_ing_per_capita!$D286</f>
        <v>74.649062578767555</v>
      </c>
      <c r="O286" s="336">
        <f>Gasto_o_ing_per_capita!O286*100/Gasto_o_ing_per_capita!$D286</f>
        <v>334.65143541973396</v>
      </c>
      <c r="P286" s="336">
        <f>Gasto_o_ing_per_capita!P286*100/Gasto_o_ing_per_capita!$D286</f>
        <v>228.11877047814139</v>
      </c>
      <c r="Q286" s="336">
        <f>Gasto_o_ing_per_capita!Q286*100/Gasto_o_ing_per_capita!$D286</f>
        <v>27.954390935087947</v>
      </c>
      <c r="R286" s="336">
        <f>Gasto_o_ing_per_capita!R286*100/Gasto_o_ing_per_capita!$D286</f>
        <v>96.588378499630608</v>
      </c>
      <c r="S286" s="336">
        <f>Gasto_o_ing_per_capita!S286*100/Gasto_o_ing_per_capita!$D286</f>
        <v>57.168266556208103</v>
      </c>
      <c r="T286" s="336">
        <f>Gasto_o_ing_per_capita!T286*100/Gasto_o_ing_per_capita!$D286</f>
        <v>61.221800251312082</v>
      </c>
      <c r="U286" s="336">
        <f>Gasto_o_ing_per_capita!U286*100/Gasto_o_ing_per_capita!$D286</f>
        <v>84.778858384853251</v>
      </c>
      <c r="V286" s="336">
        <f>Gasto_o_ing_per_capita!V286*100/Gasto_o_ing_per_capita!$D286</f>
        <v>141.61055194833105</v>
      </c>
    </row>
    <row r="287" spans="1:22" ht="13.15">
      <c r="A287" s="356"/>
      <c r="B287" s="9"/>
      <c r="C287" s="11"/>
      <c r="D287" s="19"/>
      <c r="E287" s="19"/>
      <c r="F287" s="19"/>
      <c r="G287" s="19"/>
      <c r="H287" s="19"/>
      <c r="I287" s="19"/>
      <c r="J287" s="19"/>
      <c r="K287" s="19"/>
      <c r="L287" s="19"/>
      <c r="M287" s="19"/>
      <c r="N287" s="19"/>
      <c r="O287" s="19"/>
      <c r="P287" s="19"/>
      <c r="Q287" s="19"/>
      <c r="R287" s="19"/>
      <c r="S287" s="19"/>
      <c r="T287" s="19"/>
      <c r="U287" s="19"/>
      <c r="V287" s="19"/>
    </row>
    <row r="288" spans="1:22" s="102" customFormat="1" ht="13.15">
      <c r="A288" s="356"/>
      <c r="B288" s="115"/>
      <c r="C288" s="112" t="s">
        <v>22</v>
      </c>
      <c r="D288" s="113">
        <f>Gasto_o_ing_per_capita!D288*100/Gasto_o_ing_per_capita!$D288</f>
        <v>100</v>
      </c>
      <c r="E288" s="113">
        <f>Gasto_o_ing_per_capita!E288*100/Gasto_o_ing_per_capita!$D288</f>
        <v>91.597003658939684</v>
      </c>
      <c r="F288" s="113">
        <f>Gasto_o_ing_per_capita!F288*100/Gasto_o_ing_per_capita!$D288</f>
        <v>109.88945983063944</v>
      </c>
      <c r="G288" s="113">
        <f>Gasto_o_ing_per_capita!G288*100/Gasto_o_ing_per_capita!$D288</f>
        <v>96.480286292796052</v>
      </c>
      <c r="H288" s="113">
        <f>Gasto_o_ing_per_capita!H288*100/Gasto_o_ing_per_capita!$D288</f>
        <v>98.146038349144703</v>
      </c>
      <c r="I288" s="113">
        <f>Gasto_o_ing_per_capita!I288*100/Gasto_o_ing_per_capita!$D288</f>
        <v>92.959151387857261</v>
      </c>
      <c r="J288" s="113">
        <f>Gasto_o_ing_per_capita!J288*100/Gasto_o_ing_per_capita!$D288</f>
        <v>96.571888505769365</v>
      </c>
      <c r="K288" s="113">
        <f>Gasto_o_ing_per_capita!K288*100/Gasto_o_ing_per_capita!$D288</f>
        <v>110.5668278477186</v>
      </c>
      <c r="L288" s="113">
        <f>Gasto_o_ing_per_capita!L288*100/Gasto_o_ing_per_capita!$D288</f>
        <v>94.883028915383676</v>
      </c>
      <c r="M288" s="113">
        <f>Gasto_o_ing_per_capita!M288*100/Gasto_o_ing_per_capita!$D288</f>
        <v>105.52551521593067</v>
      </c>
      <c r="N288" s="113">
        <f>Gasto_o_ing_per_capita!N288*100/Gasto_o_ing_per_capita!$D288</f>
        <v>84.366841088932787</v>
      </c>
      <c r="O288" s="113">
        <f>Gasto_o_ing_per_capita!O288*100/Gasto_o_ing_per_capita!$D288</f>
        <v>96.273984031465801</v>
      </c>
      <c r="P288" s="113">
        <f>Gasto_o_ing_per_capita!P288*100/Gasto_o_ing_per_capita!$D288</f>
        <v>96.584268743417724</v>
      </c>
      <c r="Q288" s="113">
        <f>Gasto_o_ing_per_capita!Q288*100/Gasto_o_ing_per_capita!$D288</f>
        <v>106.4247531847418</v>
      </c>
      <c r="R288" s="113">
        <f>Gasto_o_ing_per_capita!R288*100/Gasto_o_ing_per_capita!$D288</f>
        <v>86.977363485953475</v>
      </c>
      <c r="S288" s="113">
        <f>Gasto_o_ing_per_capita!S288*100/Gasto_o_ing_per_capita!$D288</f>
        <v>114.57360528267505</v>
      </c>
      <c r="T288" s="113">
        <f>Gasto_o_ing_per_capita!T288*100/Gasto_o_ing_per_capita!$D288</f>
        <v>124.94160061238432</v>
      </c>
      <c r="U288" s="113">
        <f>Gasto_o_ing_per_capita!U288*100/Gasto_o_ing_per_capita!$D288</f>
        <v>128.02980153235353</v>
      </c>
      <c r="V288" s="113">
        <f>Gasto_o_ing_per_capita!V288*100/Gasto_o_ing_per_capita!$D288</f>
        <v>218.41653915157445</v>
      </c>
    </row>
    <row r="289" spans="1:22" s="102" customFormat="1" ht="13.15">
      <c r="A289" s="356"/>
      <c r="B289" s="115"/>
      <c r="D289" s="110"/>
      <c r="E289" s="110"/>
      <c r="F289" s="110"/>
      <c r="G289" s="110"/>
      <c r="H289" s="110"/>
      <c r="I289" s="110"/>
      <c r="J289" s="110"/>
      <c r="K289" s="110"/>
      <c r="L289" s="110"/>
      <c r="M289" s="110"/>
      <c r="N289" s="110"/>
      <c r="O289" s="110"/>
      <c r="P289" s="110"/>
      <c r="Q289" s="110"/>
      <c r="R289" s="110"/>
      <c r="S289" s="110"/>
      <c r="T289" s="110"/>
      <c r="U289" s="110"/>
      <c r="V289" s="110"/>
    </row>
    <row r="290" spans="1:22" s="102" customFormat="1" ht="13.15">
      <c r="A290" s="356"/>
      <c r="B290" s="115"/>
      <c r="C290" s="117" t="s">
        <v>28</v>
      </c>
      <c r="D290" s="113">
        <f>Gasto_o_ing_per_capita!D290*100/Gasto_o_ing_per_capita!$D290</f>
        <v>100</v>
      </c>
      <c r="E290" s="113">
        <f>Gasto_o_ing_per_capita!E290*100/Gasto_o_ing_per_capita!$D290</f>
        <v>100.8006863810959</v>
      </c>
      <c r="F290" s="113">
        <f>Gasto_o_ing_per_capita!F290*100/Gasto_o_ing_per_capita!$D290</f>
        <v>129.77320793518638</v>
      </c>
      <c r="G290" s="113">
        <f>Gasto_o_ing_per_capita!G290*100/Gasto_o_ing_per_capita!$D290</f>
        <v>101.04108549238707</v>
      </c>
      <c r="H290" s="113">
        <f>Gasto_o_ing_per_capita!H290*100/Gasto_o_ing_per_capita!$D290</f>
        <v>83.294961084434746</v>
      </c>
      <c r="I290" s="113">
        <f>Gasto_o_ing_per_capita!I290*100/Gasto_o_ing_per_capita!$D290</f>
        <v>95.848341933639006</v>
      </c>
      <c r="J290" s="113">
        <f>Gasto_o_ing_per_capita!J290*100/Gasto_o_ing_per_capita!$D290</f>
        <v>114.52519100268391</v>
      </c>
      <c r="K290" s="113">
        <f>Gasto_o_ing_per_capita!K290*100/Gasto_o_ing_per_capita!$D290</f>
        <v>115.42446866951909</v>
      </c>
      <c r="L290" s="113">
        <f>Gasto_o_ing_per_capita!L290*100/Gasto_o_ing_per_capita!$D290</f>
        <v>96.119099024029822</v>
      </c>
      <c r="M290" s="113">
        <f>Gasto_o_ing_per_capita!M290*100/Gasto_o_ing_per_capita!$D290</f>
        <v>79.780781394866239</v>
      </c>
      <c r="N290" s="113">
        <f>Gasto_o_ing_per_capita!N290*100/Gasto_o_ing_per_capita!$D290</f>
        <v>88.99797482671579</v>
      </c>
      <c r="O290" s="113">
        <f>Gasto_o_ing_per_capita!O290*100/Gasto_o_ing_per_capita!$D290</f>
        <v>106.55277477213038</v>
      </c>
      <c r="P290" s="113">
        <f>Gasto_o_ing_per_capita!P290*100/Gasto_o_ing_per_capita!$D290</f>
        <v>132.85104743105521</v>
      </c>
      <c r="Q290" s="113">
        <f>Gasto_o_ing_per_capita!Q290*100/Gasto_o_ing_per_capita!$D290</f>
        <v>111.82033171351091</v>
      </c>
      <c r="R290" s="113">
        <f>Gasto_o_ing_per_capita!R290*100/Gasto_o_ing_per_capita!$D290</f>
        <v>105.8851572011407</v>
      </c>
      <c r="S290" s="113">
        <f>Gasto_o_ing_per_capita!S290*100/Gasto_o_ing_per_capita!$D290</f>
        <v>83.515854808686214</v>
      </c>
      <c r="T290" s="113">
        <f>Gasto_o_ing_per_capita!T290*100/Gasto_o_ing_per_capita!$D290</f>
        <v>75.796529499219375</v>
      </c>
      <c r="U290" s="113">
        <f>Gasto_o_ing_per_capita!U290*100/Gasto_o_ing_per_capita!$D290</f>
        <v>100.68392133699503</v>
      </c>
      <c r="V290" s="113">
        <f>Gasto_o_ing_per_capita!V290*100/Gasto_o_ing_per_capita!$D290</f>
        <v>271.5693482429196</v>
      </c>
    </row>
    <row r="291" spans="1:22" s="102" customFormat="1" ht="13.15">
      <c r="A291" s="355" t="str">
        <f>IF(B291="","",(IF(ISERROR(MATCH(B291,Tot_res!C:C,0)),"Eliminar!!!","")))</f>
        <v/>
      </c>
      <c r="B291" s="119" t="s">
        <v>305</v>
      </c>
      <c r="C291" s="333" t="str">
        <f>VLOOKUP(B291,Tot_res!C:D,2,FALSE)</f>
        <v>Plan nacional sobre drogas + AF 11/1</v>
      </c>
      <c r="D291" s="336">
        <f>Gasto_o_ing_per_capita!D291*100/Gasto_o_ing_per_capita!$D291</f>
        <v>99.999999999999986</v>
      </c>
      <c r="E291" s="336">
        <f>Gasto_o_ing_per_capita!E291*100/Gasto_o_ing_per_capita!$D291</f>
        <v>83.489489824753292</v>
      </c>
      <c r="F291" s="336">
        <f>Gasto_o_ing_per_capita!F291*100/Gasto_o_ing_per_capita!$D291</f>
        <v>95.531169809790825</v>
      </c>
      <c r="G291" s="336">
        <f>Gasto_o_ing_per_capita!G291*100/Gasto_o_ing_per_capita!$D291</f>
        <v>127.5698228569497</v>
      </c>
      <c r="H291" s="336">
        <f>Gasto_o_ing_per_capita!H291*100/Gasto_o_ing_per_capita!$D291</f>
        <v>101.73749074372279</v>
      </c>
      <c r="I291" s="336">
        <f>Gasto_o_ing_per_capita!I291*100/Gasto_o_ing_per_capita!$D291</f>
        <v>83.832005724705553</v>
      </c>
      <c r="J291" s="336">
        <f>Gasto_o_ing_per_capita!J291*100/Gasto_o_ing_per_capita!$D291</f>
        <v>157.07183657945887</v>
      </c>
      <c r="K291" s="336">
        <f>Gasto_o_ing_per_capita!K291*100/Gasto_o_ing_per_capita!$D291</f>
        <v>138.07172311950168</v>
      </c>
      <c r="L291" s="336">
        <f>Gasto_o_ing_per_capita!L291*100/Gasto_o_ing_per_capita!$D291</f>
        <v>105.43192066523697</v>
      </c>
      <c r="M291" s="336">
        <f>Gasto_o_ing_per_capita!M291*100/Gasto_o_ing_per_capita!$D291</f>
        <v>86.066461819902344</v>
      </c>
      <c r="N291" s="336">
        <f>Gasto_o_ing_per_capita!N291*100/Gasto_o_ing_per_capita!$D291</f>
        <v>68.806832409767651</v>
      </c>
      <c r="O291" s="336">
        <f>Gasto_o_ing_per_capita!O291*100/Gasto_o_ing_per_capita!$D291</f>
        <v>130.39492999123641</v>
      </c>
      <c r="P291" s="336">
        <f>Gasto_o_ing_per_capita!P291*100/Gasto_o_ing_per_capita!$D291</f>
        <v>98.245432732342422</v>
      </c>
      <c r="Q291" s="336">
        <f>Gasto_o_ing_per_capita!Q291*100/Gasto_o_ing_per_capita!$D291</f>
        <v>105.522809948408</v>
      </c>
      <c r="R291" s="336">
        <f>Gasto_o_ing_per_capita!R291*100/Gasto_o_ing_per_capita!$D291</f>
        <v>82.481847828303941</v>
      </c>
      <c r="S291" s="336">
        <f>Gasto_o_ing_per_capita!S291*100/Gasto_o_ing_per_capita!$D291</f>
        <v>169.22045914590183</v>
      </c>
      <c r="T291" s="336">
        <f>Gasto_o_ing_per_capita!T291*100/Gasto_o_ing_per_capita!$D291</f>
        <v>169.2204591459018</v>
      </c>
      <c r="U291" s="336">
        <f>Gasto_o_ing_per_capita!U291*100/Gasto_o_ing_per_capita!$D291</f>
        <v>117.74481675382538</v>
      </c>
      <c r="V291" s="336">
        <f>Gasto_o_ing_per_capita!V291*100/Gasto_o_ing_per_capita!$D291</f>
        <v>276.31148229478163</v>
      </c>
    </row>
    <row r="292" spans="1:22" s="102" customFormat="1" ht="13.15">
      <c r="A292" s="355" t="str">
        <f>IF(B292="","",(IF(ISERROR(MATCH(B292,Tot_res!C:C,0)),"Eliminar!!!","")))</f>
        <v/>
      </c>
      <c r="B292" s="119" t="s">
        <v>306</v>
      </c>
      <c r="C292" s="333" t="str">
        <f>VLOOKUP(B292,Tot_res!C:D,2,FALSE)</f>
        <v>Direc. y serv. grales. de sanidad, serv. soc. e igualdad</v>
      </c>
      <c r="D292" s="336">
        <f>Gasto_o_ing_per_capita!D292*100/Gasto_o_ing_per_capita!$D292</f>
        <v>100</v>
      </c>
      <c r="E292" s="336">
        <f>Gasto_o_ing_per_capita!E292*100/Gasto_o_ing_per_capita!$D292</f>
        <v>74.440568842988839</v>
      </c>
      <c r="F292" s="336">
        <f>Gasto_o_ing_per_capita!F292*100/Gasto_o_ing_per_capita!$D292</f>
        <v>82.134230286026551</v>
      </c>
      <c r="G292" s="336">
        <f>Gasto_o_ing_per_capita!G292*100/Gasto_o_ing_per_capita!$D292</f>
        <v>87.429330313299275</v>
      </c>
      <c r="H292" s="336">
        <f>Gasto_o_ing_per_capita!H292*100/Gasto_o_ing_per_capita!$D292</f>
        <v>72.980030977172731</v>
      </c>
      <c r="I292" s="336">
        <f>Gasto_o_ing_per_capita!I292*100/Gasto_o_ing_per_capita!$D292</f>
        <v>72.631734903600346</v>
      </c>
      <c r="J292" s="336">
        <f>Gasto_o_ing_per_capita!J292*100/Gasto_o_ing_per_capita!$D292</f>
        <v>81.506963052732218</v>
      </c>
      <c r="K292" s="336">
        <f>Gasto_o_ing_per_capita!K292*100/Gasto_o_ing_per_capita!$D292</f>
        <v>87.07277812190074</v>
      </c>
      <c r="L292" s="336">
        <f>Gasto_o_ing_per_capita!L292*100/Gasto_o_ing_per_capita!$D292</f>
        <v>77.645967783791932</v>
      </c>
      <c r="M292" s="336">
        <f>Gasto_o_ing_per_capita!M292*100/Gasto_o_ing_per_capita!$D292</f>
        <v>215.10761903597549</v>
      </c>
      <c r="N292" s="336">
        <f>Gasto_o_ing_per_capita!N292*100/Gasto_o_ing_per_capita!$D292</f>
        <v>77.778922408281346</v>
      </c>
      <c r="O292" s="336">
        <f>Gasto_o_ing_per_capita!O292*100/Gasto_o_ing_per_capita!$D292</f>
        <v>80.354648615987159</v>
      </c>
      <c r="P292" s="336">
        <f>Gasto_o_ing_per_capita!P292*100/Gasto_o_ing_per_capita!$D292</f>
        <v>86.335687728709814</v>
      </c>
      <c r="Q292" s="336">
        <f>Gasto_o_ing_per_capita!Q292*100/Gasto_o_ing_per_capita!$D292</f>
        <v>75.093514637598702</v>
      </c>
      <c r="R292" s="336">
        <f>Gasto_o_ing_per_capita!R292*100/Gasto_o_ing_per_capita!$D292</f>
        <v>72.416476194948089</v>
      </c>
      <c r="S292" s="336">
        <f>Gasto_o_ing_per_capita!S292*100/Gasto_o_ing_per_capita!$D292</f>
        <v>78.821244990420027</v>
      </c>
      <c r="T292" s="336">
        <f>Gasto_o_ing_per_capita!T292*100/Gasto_o_ing_per_capita!$D292</f>
        <v>82.630066003053841</v>
      </c>
      <c r="U292" s="336">
        <f>Gasto_o_ing_per_capita!U292*100/Gasto_o_ing_per_capita!$D292</f>
        <v>80.192730217897051</v>
      </c>
      <c r="V292" s="336">
        <f>Gasto_o_ing_per_capita!V292*100/Gasto_o_ing_per_capita!$D292</f>
        <v>66.438355561519302</v>
      </c>
    </row>
    <row r="293" spans="1:22" s="102" customFormat="1" ht="13.15">
      <c r="A293" s="355" t="str">
        <f>IF(B293="","",(IF(ISERROR(MATCH(B293,Tot_res!C:C,0)),"Eliminar!!!","")))</f>
        <v/>
      </c>
      <c r="B293" s="119" t="s">
        <v>307</v>
      </c>
      <c r="C293" s="333" t="str">
        <f>VLOOKUP(B293,Tot_res!C:D,2,FALSE)</f>
        <v>Políticas de salud y ordenación profesional</v>
      </c>
      <c r="D293" s="336">
        <f>Gasto_o_ing_per_capita!D293*100/Gasto_o_ing_per_capita!$D293</f>
        <v>100</v>
      </c>
      <c r="E293" s="336">
        <f>Gasto_o_ing_per_capita!E293*100/Gasto_o_ing_per_capita!$D293</f>
        <v>82.13569819574144</v>
      </c>
      <c r="F293" s="336">
        <f>Gasto_o_ing_per_capita!F293*100/Gasto_o_ing_per_capita!$D293</f>
        <v>89.383839524066659</v>
      </c>
      <c r="G293" s="336">
        <f>Gasto_o_ing_per_capita!G293*100/Gasto_o_ing_per_capita!$D293</f>
        <v>92.268975969821042</v>
      </c>
      <c r="H293" s="336">
        <f>Gasto_o_ing_per_capita!H293*100/Gasto_o_ing_per_capita!$D293</f>
        <v>75.509160934927507</v>
      </c>
      <c r="I293" s="336">
        <f>Gasto_o_ing_per_capita!I293*100/Gasto_o_ing_per_capita!$D293</f>
        <v>75.027410205116539</v>
      </c>
      <c r="J293" s="336">
        <f>Gasto_o_ing_per_capita!J293*100/Gasto_o_ing_per_capita!$D293</f>
        <v>470.69300142834436</v>
      </c>
      <c r="K293" s="336">
        <f>Gasto_o_ing_per_capita!K293*100/Gasto_o_ing_per_capita!$D293</f>
        <v>91.546320098611417</v>
      </c>
      <c r="L293" s="336">
        <f>Gasto_o_ing_per_capita!L293*100/Gasto_o_ing_per_capita!$D293</f>
        <v>98.958362149624676</v>
      </c>
      <c r="M293" s="336">
        <f>Gasto_o_ing_per_capita!M293*100/Gasto_o_ing_per_capita!$D293</f>
        <v>121.42643211260877</v>
      </c>
      <c r="N293" s="336">
        <f>Gasto_o_ing_per_capita!N293*100/Gasto_o_ing_per_capita!$D293</f>
        <v>81.281998456786795</v>
      </c>
      <c r="O293" s="336">
        <f>Gasto_o_ing_per_capita!O293*100/Gasto_o_ing_per_capita!$D293</f>
        <v>83.735661889728462</v>
      </c>
      <c r="P293" s="336">
        <f>Gasto_o_ing_per_capita!P293*100/Gasto_o_ing_per_capita!$D293</f>
        <v>98.415385953941865</v>
      </c>
      <c r="Q293" s="336">
        <f>Gasto_o_ing_per_capita!Q293*100/Gasto_o_ing_per_capita!$D293</f>
        <v>98.954811278793414</v>
      </c>
      <c r="R293" s="336">
        <f>Gasto_o_ing_per_capita!R293*100/Gasto_o_ing_per_capita!$D293</f>
        <v>93.894571746344525</v>
      </c>
      <c r="S293" s="336">
        <f>Gasto_o_ing_per_capita!S293*100/Gasto_o_ing_per_capita!$D293</f>
        <v>142.10386969201767</v>
      </c>
      <c r="T293" s="336">
        <f>Gasto_o_ing_per_capita!T293*100/Gasto_o_ing_per_capita!$D293</f>
        <v>105.8835645001856</v>
      </c>
      <c r="U293" s="336">
        <f>Gasto_o_ing_per_capita!U293*100/Gasto_o_ing_per_capita!$D293</f>
        <v>87.631248293479629</v>
      </c>
      <c r="V293" s="336">
        <f>Gasto_o_ing_per_capita!V293*100/Gasto_o_ing_per_capita!$D293</f>
        <v>55.876421480276193</v>
      </c>
    </row>
    <row r="294" spans="1:22" s="102" customFormat="1" ht="13.15">
      <c r="A294" s="355" t="str">
        <f>IF(B294="","",(IF(ISERROR(MATCH(B294,Tot_res!C:C,0)),"Eliminar!!!","")))</f>
        <v/>
      </c>
      <c r="B294" s="119" t="s">
        <v>308</v>
      </c>
      <c r="C294" s="333" t="str">
        <f>VLOOKUP(B294,Tot_res!C:D,2,FALSE)</f>
        <v>Asistencia sanitaria del mutualismo administrativo</v>
      </c>
      <c r="D294" s="336">
        <f>Gasto_o_ing_per_capita!D294*100/Gasto_o_ing_per_capita!$D294</f>
        <v>99.999999999999986</v>
      </c>
      <c r="E294" s="336">
        <f>Gasto_o_ing_per_capita!E294*100/Gasto_o_ing_per_capita!$D294</f>
        <v>124.38837226547255</v>
      </c>
      <c r="F294" s="336">
        <f>Gasto_o_ing_per_capita!F294*100/Gasto_o_ing_per_capita!$D294</f>
        <v>126.29410391103252</v>
      </c>
      <c r="G294" s="336">
        <f>Gasto_o_ing_per_capita!G294*100/Gasto_o_ing_per_capita!$D294</f>
        <v>93.435860727618845</v>
      </c>
      <c r="H294" s="336">
        <f>Gasto_o_ing_per_capita!H294*100/Gasto_o_ing_per_capita!$D294</f>
        <v>71.861679162570539</v>
      </c>
      <c r="I294" s="336">
        <f>Gasto_o_ing_per_capita!I294*100/Gasto_o_ing_per_capita!$D294</f>
        <v>97.078383509028242</v>
      </c>
      <c r="J294" s="336">
        <f>Gasto_o_ing_per_capita!J294*100/Gasto_o_ing_per_capita!$D294</f>
        <v>89.446638597348155</v>
      </c>
      <c r="K294" s="336">
        <f>Gasto_o_ing_per_capita!K294*100/Gasto_o_ing_per_capita!$D294</f>
        <v>142.68425699883022</v>
      </c>
      <c r="L294" s="336">
        <f>Gasto_o_ing_per_capita!L294*100/Gasto_o_ing_per_capita!$D294</f>
        <v>106.06604170197956</v>
      </c>
      <c r="M294" s="336">
        <f>Gasto_o_ing_per_capita!M294*100/Gasto_o_ing_per_capita!$D294</f>
        <v>49.360011372981013</v>
      </c>
      <c r="N294" s="336">
        <f>Gasto_o_ing_per_capita!N294*100/Gasto_o_ing_per_capita!$D294</f>
        <v>82.362341607002904</v>
      </c>
      <c r="O294" s="336">
        <f>Gasto_o_ing_per_capita!O294*100/Gasto_o_ing_per_capita!$D294</f>
        <v>141.13066544343295</v>
      </c>
      <c r="P294" s="336">
        <f>Gasto_o_ing_per_capita!P294*100/Gasto_o_ing_per_capita!$D294</f>
        <v>117.28379134026495</v>
      </c>
      <c r="Q294" s="336">
        <f>Gasto_o_ing_per_capita!Q294*100/Gasto_o_ing_per_capita!$D294</f>
        <v>121.33710596575374</v>
      </c>
      <c r="R294" s="336">
        <f>Gasto_o_ing_per_capita!R294*100/Gasto_o_ing_per_capita!$D294</f>
        <v>124.82361919388542</v>
      </c>
      <c r="S294" s="336">
        <f>Gasto_o_ing_per_capita!S294*100/Gasto_o_ing_per_capita!$D294</f>
        <v>67.47822831244477</v>
      </c>
      <c r="T294" s="336">
        <f>Gasto_o_ing_per_capita!T294*100/Gasto_o_ing_per_capita!$D294</f>
        <v>39.373565837110341</v>
      </c>
      <c r="U294" s="336">
        <f>Gasto_o_ing_per_capita!U294*100/Gasto_o_ing_per_capita!$D294</f>
        <v>99.895726526912483</v>
      </c>
      <c r="V294" s="336">
        <f>Gasto_o_ing_per_capita!V294*100/Gasto_o_ing_per_capita!$D294</f>
        <v>380.57438552945092</v>
      </c>
    </row>
    <row r="295" spans="1:22" s="102" customFormat="1" ht="13.15">
      <c r="A295" s="355" t="str">
        <f>IF(B295="","",(IF(ISERROR(MATCH(B295,Tot_res!C:C,0)),"Eliminar!!!","")))</f>
        <v/>
      </c>
      <c r="B295" s="119" t="s">
        <v>310</v>
      </c>
      <c r="C295" s="333" t="str">
        <f>VLOOKUP(B295,Tot_res!C:D,2,FALSE)</f>
        <v>Prestaciones y farmacia</v>
      </c>
      <c r="D295" s="336">
        <f>Gasto_o_ing_per_capita!D295*100/Gasto_o_ing_per_capita!$D295</f>
        <v>100.00000000000001</v>
      </c>
      <c r="E295" s="336">
        <f>Gasto_o_ing_per_capita!E295*100/Gasto_o_ing_per_capita!$D295</f>
        <v>88.801008614949538</v>
      </c>
      <c r="F295" s="336">
        <f>Gasto_o_ing_per_capita!F295*100/Gasto_o_ing_per_capita!$D295</f>
        <v>123.39496707320798</v>
      </c>
      <c r="G295" s="336">
        <f>Gasto_o_ing_per_capita!G295*100/Gasto_o_ing_per_capita!$D295</f>
        <v>101.81338529404903</v>
      </c>
      <c r="H295" s="336">
        <f>Gasto_o_ing_per_capita!H295*100/Gasto_o_ing_per_capita!$D295</f>
        <v>95.240915791854093</v>
      </c>
      <c r="I295" s="336">
        <f>Gasto_o_ing_per_capita!I295*100/Gasto_o_ing_per_capita!$D295</f>
        <v>92.244976786026385</v>
      </c>
      <c r="J295" s="336">
        <f>Gasto_o_ing_per_capita!J295*100/Gasto_o_ing_per_capita!$D295</f>
        <v>101.56987665695914</v>
      </c>
      <c r="K295" s="336">
        <f>Gasto_o_ing_per_capita!K295*100/Gasto_o_ing_per_capita!$D295</f>
        <v>126.22034811081781</v>
      </c>
      <c r="L295" s="336">
        <f>Gasto_o_ing_per_capita!L295*100/Gasto_o_ing_per_capita!$D295</f>
        <v>125.86230185973771</v>
      </c>
      <c r="M295" s="336">
        <f>Gasto_o_ing_per_capita!M295*100/Gasto_o_ing_per_capita!$D295</f>
        <v>91.823191136475344</v>
      </c>
      <c r="N295" s="336">
        <f>Gasto_o_ing_per_capita!N295*100/Gasto_o_ing_per_capita!$D295</f>
        <v>94.895409705267667</v>
      </c>
      <c r="O295" s="336">
        <f>Gasto_o_ing_per_capita!O295*100/Gasto_o_ing_per_capita!$D295</f>
        <v>114.0068135858873</v>
      </c>
      <c r="P295" s="336">
        <f>Gasto_o_ing_per_capita!P295*100/Gasto_o_ing_per_capita!$D295</f>
        <v>93.756723076311985</v>
      </c>
      <c r="Q295" s="336">
        <f>Gasto_o_ing_per_capita!Q295*100/Gasto_o_ing_per_capita!$D295</f>
        <v>100.11453963066495</v>
      </c>
      <c r="R295" s="336">
        <f>Gasto_o_ing_per_capita!R295*100/Gasto_o_ing_per_capita!$D295</f>
        <v>93.48946534374177</v>
      </c>
      <c r="S295" s="336">
        <f>Gasto_o_ing_per_capita!S295*100/Gasto_o_ing_per_capita!$D295</f>
        <v>95.957596323226966</v>
      </c>
      <c r="T295" s="336">
        <f>Gasto_o_ing_per_capita!T295*100/Gasto_o_ing_per_capita!$D295</f>
        <v>108.24852823921918</v>
      </c>
      <c r="U295" s="336">
        <f>Gasto_o_ing_per_capita!U295*100/Gasto_o_ing_per_capita!$D295</f>
        <v>112.71294811080652</v>
      </c>
      <c r="V295" s="336">
        <f>Gasto_o_ing_per_capita!V295*100/Gasto_o_ing_per_capita!$D295</f>
        <v>340.47066771340025</v>
      </c>
    </row>
    <row r="296" spans="1:22" s="102" customFormat="1" ht="13.15">
      <c r="A296" s="355" t="str">
        <f>IF(B296="","",(IF(ISERROR(MATCH(B296,Tot_res!C:C,0)),"Eliminar!!!","")))</f>
        <v/>
      </c>
      <c r="B296" s="119" t="s">
        <v>311</v>
      </c>
      <c r="C296" s="333" t="str">
        <f>VLOOKUP(B296,Tot_res!C:D,2,FALSE)</f>
        <v>Salud pública, sanidad exterior y calidad + AF11/2</v>
      </c>
      <c r="D296" s="336">
        <f>Gasto_o_ing_per_capita!D296*100/Gasto_o_ing_per_capita!$D296</f>
        <v>100</v>
      </c>
      <c r="E296" s="336">
        <f>Gasto_o_ing_per_capita!E296*100/Gasto_o_ing_per_capita!$D296</f>
        <v>96.864329212307894</v>
      </c>
      <c r="F296" s="336">
        <f>Gasto_o_ing_per_capita!F296*100/Gasto_o_ing_per_capita!$D296</f>
        <v>108.08352461555765</v>
      </c>
      <c r="G296" s="336">
        <f>Gasto_o_ing_per_capita!G296*100/Gasto_o_ing_per_capita!$D296</f>
        <v>104.49965059402774</v>
      </c>
      <c r="H296" s="336">
        <f>Gasto_o_ing_per_capita!H296*100/Gasto_o_ing_per_capita!$D296</f>
        <v>104.1293882574891</v>
      </c>
      <c r="I296" s="336">
        <f>Gasto_o_ing_per_capita!I296*100/Gasto_o_ing_per_capita!$D296</f>
        <v>99.747594447603518</v>
      </c>
      <c r="J296" s="336">
        <f>Gasto_o_ing_per_capita!J296*100/Gasto_o_ing_per_capita!$D296</f>
        <v>125.8538310417065</v>
      </c>
      <c r="K296" s="336">
        <f>Gasto_o_ing_per_capita!K296*100/Gasto_o_ing_per_capita!$D296</f>
        <v>99.058952805797546</v>
      </c>
      <c r="L296" s="336">
        <f>Gasto_o_ing_per_capita!L296*100/Gasto_o_ing_per_capita!$D296</f>
        <v>102.08470464058657</v>
      </c>
      <c r="M296" s="336">
        <f>Gasto_o_ing_per_capita!M296*100/Gasto_o_ing_per_capita!$D296</f>
        <v>97.751173644865887</v>
      </c>
      <c r="N296" s="336">
        <f>Gasto_o_ing_per_capita!N296*100/Gasto_o_ing_per_capita!$D296</f>
        <v>100.99159216635616</v>
      </c>
      <c r="O296" s="336">
        <f>Gasto_o_ing_per_capita!O296*100/Gasto_o_ing_per_capita!$D296</f>
        <v>104.14985576496201</v>
      </c>
      <c r="P296" s="336">
        <f>Gasto_o_ing_per_capita!P296*100/Gasto_o_ing_per_capita!$D296</f>
        <v>98.65719462345875</v>
      </c>
      <c r="Q296" s="336">
        <f>Gasto_o_ing_per_capita!Q296*100/Gasto_o_ing_per_capita!$D296</f>
        <v>97.970867160015473</v>
      </c>
      <c r="R296" s="336">
        <f>Gasto_o_ing_per_capita!R296*100/Gasto_o_ing_per_capita!$D296</f>
        <v>105.69543420672585</v>
      </c>
      <c r="S296" s="336">
        <f>Gasto_o_ing_per_capita!S296*100/Gasto_o_ing_per_capita!$D296</f>
        <v>99.5075825077205</v>
      </c>
      <c r="T296" s="336">
        <f>Gasto_o_ing_per_capita!T296*100/Gasto_o_ing_per_capita!$D296</f>
        <v>99.5075825077205</v>
      </c>
      <c r="U296" s="336">
        <f>Gasto_o_ing_per_capita!U296*100/Gasto_o_ing_per_capita!$D296</f>
        <v>126.5385791583</v>
      </c>
      <c r="V296" s="336">
        <f>Gasto_o_ing_per_capita!V296*100/Gasto_o_ing_per_capita!$D296</f>
        <v>89.529684590987486</v>
      </c>
    </row>
    <row r="297" spans="1:22" s="102" customFormat="1" ht="13.15">
      <c r="A297" s="355" t="str">
        <f>IF(B297="","",(IF(ISERROR(MATCH(B297,Tot_res!C:C,0)),"Eliminar!!!","")))</f>
        <v/>
      </c>
      <c r="B297" s="119" t="s">
        <v>312</v>
      </c>
      <c r="C297" s="333" t="str">
        <f>VLOOKUP(B297,Tot_res!C:D,2,FALSE)</f>
        <v>Seguridad alimentaria y nutrición</v>
      </c>
      <c r="D297" s="336">
        <f>Gasto_o_ing_per_capita!D297*100/Gasto_o_ing_per_capita!$D297</f>
        <v>100</v>
      </c>
      <c r="E297" s="336">
        <f>Gasto_o_ing_per_capita!E297*100/Gasto_o_ing_per_capita!$D297</f>
        <v>100.00000000000001</v>
      </c>
      <c r="F297" s="336">
        <f>Gasto_o_ing_per_capita!F297*100/Gasto_o_ing_per_capita!$D297</f>
        <v>100.00000000000001</v>
      </c>
      <c r="G297" s="336">
        <f>Gasto_o_ing_per_capita!G297*100/Gasto_o_ing_per_capita!$D297</f>
        <v>100.00000000000001</v>
      </c>
      <c r="H297" s="336">
        <f>Gasto_o_ing_per_capita!H297*100/Gasto_o_ing_per_capita!$D297</f>
        <v>100.00000000000001</v>
      </c>
      <c r="I297" s="336">
        <f>Gasto_o_ing_per_capita!I297*100/Gasto_o_ing_per_capita!$D297</f>
        <v>100.00000000000003</v>
      </c>
      <c r="J297" s="336">
        <f>Gasto_o_ing_per_capita!J297*100/Gasto_o_ing_per_capita!$D297</f>
        <v>100.00000000000001</v>
      </c>
      <c r="K297" s="336">
        <f>Gasto_o_ing_per_capita!K297*100/Gasto_o_ing_per_capita!$D297</f>
        <v>100.00000000000003</v>
      </c>
      <c r="L297" s="336">
        <f>Gasto_o_ing_per_capita!L297*100/Gasto_o_ing_per_capita!$D297</f>
        <v>100.00000000000001</v>
      </c>
      <c r="M297" s="336">
        <f>Gasto_o_ing_per_capita!M297*100/Gasto_o_ing_per_capita!$D297</f>
        <v>100.00000000000001</v>
      </c>
      <c r="N297" s="336">
        <f>Gasto_o_ing_per_capita!N297*100/Gasto_o_ing_per_capita!$D297</f>
        <v>100.00000000000001</v>
      </c>
      <c r="O297" s="336">
        <f>Gasto_o_ing_per_capita!O297*100/Gasto_o_ing_per_capita!$D297</f>
        <v>100.00000000000001</v>
      </c>
      <c r="P297" s="336">
        <f>Gasto_o_ing_per_capita!P297*100/Gasto_o_ing_per_capita!$D297</f>
        <v>100.00000000000001</v>
      </c>
      <c r="Q297" s="336">
        <f>Gasto_o_ing_per_capita!Q297*100/Gasto_o_ing_per_capita!$D297</f>
        <v>100.00000000000001</v>
      </c>
      <c r="R297" s="336">
        <f>Gasto_o_ing_per_capita!R297*100/Gasto_o_ing_per_capita!$D297</f>
        <v>100.00000000000001</v>
      </c>
      <c r="S297" s="336">
        <f>Gasto_o_ing_per_capita!S297*100/Gasto_o_ing_per_capita!$D297</f>
        <v>100.00000000000003</v>
      </c>
      <c r="T297" s="336">
        <f>Gasto_o_ing_per_capita!T297*100/Gasto_o_ing_per_capita!$D297</f>
        <v>100.00000000000001</v>
      </c>
      <c r="U297" s="336">
        <f>Gasto_o_ing_per_capita!U297*100/Gasto_o_ing_per_capita!$D297</f>
        <v>100.00000000000001</v>
      </c>
      <c r="V297" s="336">
        <f>Gasto_o_ing_per_capita!V297*100/Gasto_o_ing_per_capita!$D297</f>
        <v>100.00000000000001</v>
      </c>
    </row>
    <row r="298" spans="1:22" s="102" customFormat="1" ht="13.15">
      <c r="A298" s="355" t="str">
        <f>IF(B298="","",(IF(ISERROR(MATCH(B298,Tot_res!C:C,0)),"Eliminar!!!","")))</f>
        <v/>
      </c>
      <c r="B298" s="119" t="s">
        <v>313</v>
      </c>
      <c r="C298" s="333" t="str">
        <f>VLOOKUP(B298,Tot_res!C:D,2,FALSE)</f>
        <v>Donación y trasplante de órganos, tejidos y células</v>
      </c>
      <c r="D298" s="336">
        <f>Gasto_o_ing_per_capita!D298*100/Gasto_o_ing_per_capita!$D298</f>
        <v>100</v>
      </c>
      <c r="E298" s="336">
        <f>Gasto_o_ing_per_capita!E298*100/Gasto_o_ing_per_capita!$D298</f>
        <v>95.453569208280484</v>
      </c>
      <c r="F298" s="336">
        <f>Gasto_o_ing_per_capita!F298*100/Gasto_o_ing_per_capita!$D298</f>
        <v>105.58056535459201</v>
      </c>
      <c r="G298" s="336">
        <f>Gasto_o_ing_per_capita!G298*100/Gasto_o_ing_per_capita!$D298</f>
        <v>112.55038823639438</v>
      </c>
      <c r="H298" s="336">
        <f>Gasto_o_ing_per_capita!H298*100/Gasto_o_ing_per_capita!$D298</f>
        <v>93.531095565767103</v>
      </c>
      <c r="I298" s="336">
        <f>Gasto_o_ing_per_capita!I298*100/Gasto_o_ing_per_capita!$D298</f>
        <v>93.072641158725943</v>
      </c>
      <c r="J298" s="336">
        <f>Gasto_o_ing_per_capita!J298*100/Gasto_o_ing_per_capita!$D298</f>
        <v>104.75490738909527</v>
      </c>
      <c r="K298" s="336">
        <f>Gasto_o_ing_per_capita!K298*100/Gasto_o_ing_per_capita!$D298</f>
        <v>112.08106648432803</v>
      </c>
      <c r="L298" s="336">
        <f>Gasto_o_ing_per_capita!L298*100/Gasto_o_ing_per_capita!$D298</f>
        <v>99.672764835907117</v>
      </c>
      <c r="M298" s="336">
        <f>Gasto_o_ing_per_capita!M298*100/Gasto_o_ing_per_capita!$D298</f>
        <v>99.338615969445172</v>
      </c>
      <c r="N298" s="336">
        <f>Gasto_o_ing_per_capita!N298*100/Gasto_o_ing_per_capita!$D298</f>
        <v>99.847770063237036</v>
      </c>
      <c r="O298" s="336">
        <f>Gasto_o_ing_per_capita!O298*100/Gasto_o_ing_per_capita!$D298</f>
        <v>103.23814141925703</v>
      </c>
      <c r="P298" s="336">
        <f>Gasto_o_ing_per_capita!P298*100/Gasto_o_ing_per_capita!$D298</f>
        <v>111.11085072599329</v>
      </c>
      <c r="Q298" s="336">
        <f>Gasto_o_ing_per_capita!Q298*100/Gasto_o_ing_per_capita!$D298</f>
        <v>96.313027295268185</v>
      </c>
      <c r="R298" s="336">
        <f>Gasto_o_ing_per_capita!R298*100/Gasto_o_ing_per_capita!$D298</f>
        <v>92.789300888411077</v>
      </c>
      <c r="S298" s="336">
        <f>Gasto_o_ing_per_capita!S298*100/Gasto_o_ing_per_capita!$D298</f>
        <v>101.2197561911273</v>
      </c>
      <c r="T298" s="336">
        <f>Gasto_o_ing_per_capita!T298*100/Gasto_o_ing_per_capita!$D298</f>
        <v>106.23322292637573</v>
      </c>
      <c r="U298" s="336">
        <f>Gasto_o_ing_per_capita!U298*100/Gasto_o_ing_per_capita!$D298</f>
        <v>103.02501181827108</v>
      </c>
      <c r="V298" s="336">
        <f>Gasto_o_ing_per_capita!V298*100/Gasto_o_ing_per_capita!$D298</f>
        <v>84.920433111326332</v>
      </c>
    </row>
    <row r="299" spans="1:22" s="102" customFormat="1" ht="13.15">
      <c r="A299" s="355" t="str">
        <f>IF(B299="","",(IF(ISERROR(MATCH(B299,Tot_res!C:C,0)),"Eliminar!!!","")))</f>
        <v/>
      </c>
      <c r="B299" s="115" t="s">
        <v>314</v>
      </c>
      <c r="C299" s="333" t="str">
        <f>VLOOKUP(B299,Tot_res!C:D,2,FALSE)</f>
        <v>Protec. y promoc. de derechos de consum. y usuar.</v>
      </c>
      <c r="D299" s="336">
        <f>Gasto_o_ing_per_capita!D299*100/Gasto_o_ing_per_capita!$D299</f>
        <v>100</v>
      </c>
      <c r="E299" s="336">
        <f>Gasto_o_ing_per_capita!E299*100/Gasto_o_ing_per_capita!$D299</f>
        <v>100</v>
      </c>
      <c r="F299" s="336">
        <f>Gasto_o_ing_per_capita!F299*100/Gasto_o_ing_per_capita!$D299</f>
        <v>99.999999999999986</v>
      </c>
      <c r="G299" s="336">
        <f>Gasto_o_ing_per_capita!G299*100/Gasto_o_ing_per_capita!$D299</f>
        <v>100</v>
      </c>
      <c r="H299" s="336">
        <f>Gasto_o_ing_per_capita!H299*100/Gasto_o_ing_per_capita!$D299</f>
        <v>100</v>
      </c>
      <c r="I299" s="336">
        <f>Gasto_o_ing_per_capita!I299*100/Gasto_o_ing_per_capita!$D299</f>
        <v>100</v>
      </c>
      <c r="J299" s="336">
        <f>Gasto_o_ing_per_capita!J299*100/Gasto_o_ing_per_capita!$D299</f>
        <v>100</v>
      </c>
      <c r="K299" s="336">
        <f>Gasto_o_ing_per_capita!K299*100/Gasto_o_ing_per_capita!$D299</f>
        <v>100</v>
      </c>
      <c r="L299" s="336">
        <f>Gasto_o_ing_per_capita!L299*100/Gasto_o_ing_per_capita!$D299</f>
        <v>100</v>
      </c>
      <c r="M299" s="336">
        <f>Gasto_o_ing_per_capita!M299*100/Gasto_o_ing_per_capita!$D299</f>
        <v>100.00000000000003</v>
      </c>
      <c r="N299" s="336">
        <f>Gasto_o_ing_per_capita!N299*100/Gasto_o_ing_per_capita!$D299</f>
        <v>100</v>
      </c>
      <c r="O299" s="336">
        <f>Gasto_o_ing_per_capita!O299*100/Gasto_o_ing_per_capita!$D299</f>
        <v>100</v>
      </c>
      <c r="P299" s="336">
        <f>Gasto_o_ing_per_capita!P299*100/Gasto_o_ing_per_capita!$D299</f>
        <v>100</v>
      </c>
      <c r="Q299" s="336">
        <f>Gasto_o_ing_per_capita!Q299*100/Gasto_o_ing_per_capita!$D299</f>
        <v>99.999999999999986</v>
      </c>
      <c r="R299" s="336">
        <f>Gasto_o_ing_per_capita!R299*100/Gasto_o_ing_per_capita!$D299</f>
        <v>99.999999999999986</v>
      </c>
      <c r="S299" s="336">
        <f>Gasto_o_ing_per_capita!S299*100/Gasto_o_ing_per_capita!$D299</f>
        <v>100</v>
      </c>
      <c r="T299" s="336">
        <f>Gasto_o_ing_per_capita!T299*100/Gasto_o_ing_per_capita!$D299</f>
        <v>100</v>
      </c>
      <c r="U299" s="336">
        <f>Gasto_o_ing_per_capita!U299*100/Gasto_o_ing_per_capita!$D299</f>
        <v>100</v>
      </c>
      <c r="V299" s="336">
        <f>Gasto_o_ing_per_capita!V299*100/Gasto_o_ing_per_capita!$D299</f>
        <v>99.999999999999986</v>
      </c>
    </row>
    <row r="300" spans="1:22" s="102" customFormat="1" ht="13.15">
      <c r="A300" s="355" t="str">
        <f>IF(B300="","",(IF(ISERROR(MATCH(B300,Tot_res!C:C,0)),"Eliminar!!!","")))</f>
        <v/>
      </c>
      <c r="B300" s="115" t="s">
        <v>801</v>
      </c>
      <c r="C300" s="333" t="str">
        <f>VLOOKUP(B300,Tot_res!C:D,2,FALSE)</f>
        <v>Atención Primaria de Salud, ISM</v>
      </c>
      <c r="D300" s="336">
        <f>Gasto_o_ing_per_capita!D300*100/Gasto_o_ing_per_capita!$D300</f>
        <v>100</v>
      </c>
      <c r="E300" s="336">
        <f>Gasto_o_ing_per_capita!E300*100/Gasto_o_ing_per_capita!$D300</f>
        <v>0</v>
      </c>
      <c r="F300" s="336">
        <f>Gasto_o_ing_per_capita!F300*100/Gasto_o_ing_per_capita!$D300</f>
        <v>0</v>
      </c>
      <c r="G300" s="336">
        <f>Gasto_o_ing_per_capita!G300*100/Gasto_o_ing_per_capita!$D300</f>
        <v>0</v>
      </c>
      <c r="H300" s="336">
        <f>Gasto_o_ing_per_capita!H300*100/Gasto_o_ing_per_capita!$D300</f>
        <v>0</v>
      </c>
      <c r="I300" s="336">
        <f>Gasto_o_ing_per_capita!I300*100/Gasto_o_ing_per_capita!$D300</f>
        <v>0</v>
      </c>
      <c r="J300" s="336">
        <f>Gasto_o_ing_per_capita!J300*100/Gasto_o_ing_per_capita!$D300</f>
        <v>0</v>
      </c>
      <c r="K300" s="336">
        <f>Gasto_o_ing_per_capita!K300*100/Gasto_o_ing_per_capita!$D300</f>
        <v>0</v>
      </c>
      <c r="L300" s="336">
        <f>Gasto_o_ing_per_capita!L300*100/Gasto_o_ing_per_capita!$D300</f>
        <v>0</v>
      </c>
      <c r="M300" s="336">
        <f>Gasto_o_ing_per_capita!M300*100/Gasto_o_ing_per_capita!$D300</f>
        <v>0</v>
      </c>
      <c r="N300" s="336">
        <f>Gasto_o_ing_per_capita!N300*100/Gasto_o_ing_per_capita!$D300</f>
        <v>0</v>
      </c>
      <c r="O300" s="336">
        <f>Gasto_o_ing_per_capita!O300*100/Gasto_o_ing_per_capita!$D300</f>
        <v>0</v>
      </c>
      <c r="P300" s="336">
        <f>Gasto_o_ing_per_capita!P300*100/Gasto_o_ing_per_capita!$D300</f>
        <v>0</v>
      </c>
      <c r="Q300" s="336">
        <f>Gasto_o_ing_per_capita!Q300*100/Gasto_o_ing_per_capita!$D300</f>
        <v>725.1057085676739</v>
      </c>
      <c r="R300" s="336">
        <f>Gasto_o_ing_per_capita!R300*100/Gasto_o_ing_per_capita!$D300</f>
        <v>0</v>
      </c>
      <c r="S300" s="336">
        <f>Gasto_o_ing_per_capita!S300*100/Gasto_o_ing_per_capita!$D300</f>
        <v>0</v>
      </c>
      <c r="T300" s="336">
        <f>Gasto_o_ing_per_capita!T300*100/Gasto_o_ing_per_capita!$D300</f>
        <v>0</v>
      </c>
      <c r="U300" s="336">
        <f>Gasto_o_ing_per_capita!U300*100/Gasto_o_ing_per_capita!$D300</f>
        <v>0</v>
      </c>
      <c r="V300" s="336">
        <f>Gasto_o_ing_per_capita!V300*100/Gasto_o_ing_per_capita!$D300</f>
        <v>0</v>
      </c>
    </row>
    <row r="301" spans="1:22" s="102" customFormat="1" ht="13.15">
      <c r="A301" s="355" t="str">
        <f>IF(B301="","",(IF(ISERROR(MATCH(B301,Tot_res!C:C,0)),"Eliminar!!!","")))</f>
        <v/>
      </c>
      <c r="B301" s="115" t="s">
        <v>802</v>
      </c>
      <c r="C301" s="333" t="str">
        <f>VLOOKUP(B301,Tot_res!C:D,2,FALSE)</f>
        <v xml:space="preserve">Medicina Ambulatoria de Mutuas de Accidentes de Trabajo, mutuas de enfermedades profesionales y accidentes de trabajo de la Seguridad Social </v>
      </c>
      <c r="D301" s="336">
        <f>Gasto_o_ing_per_capita!D301*100/Gasto_o_ing_per_capita!$D301</f>
        <v>100</v>
      </c>
      <c r="E301" s="336">
        <f>Gasto_o_ing_per_capita!E301*100/Gasto_o_ing_per_capita!$D301</f>
        <v>73.574236330079771</v>
      </c>
      <c r="F301" s="336">
        <f>Gasto_o_ing_per_capita!F301*100/Gasto_o_ing_per_capita!$D301</f>
        <v>91.410322462686864</v>
      </c>
      <c r="G301" s="336">
        <f>Gasto_o_ing_per_capita!G301*100/Gasto_o_ing_per_capita!$D301</f>
        <v>131.73314864552512</v>
      </c>
      <c r="H301" s="336">
        <f>Gasto_o_ing_per_capita!H301*100/Gasto_o_ing_per_capita!$D301</f>
        <v>111.56067081420352</v>
      </c>
      <c r="I301" s="336">
        <f>Gasto_o_ing_per_capita!I301*100/Gasto_o_ing_per_capita!$D301</f>
        <v>97.829285162285075</v>
      </c>
      <c r="J301" s="336">
        <f>Gasto_o_ing_per_capita!J301*100/Gasto_o_ing_per_capita!$D301</f>
        <v>106.29600810436796</v>
      </c>
      <c r="K301" s="336">
        <f>Gasto_o_ing_per_capita!K301*100/Gasto_o_ing_per_capita!$D301</f>
        <v>92.583446821798319</v>
      </c>
      <c r="L301" s="336">
        <f>Gasto_o_ing_per_capita!L301*100/Gasto_o_ing_per_capita!$D301</f>
        <v>100.24424451402814</v>
      </c>
      <c r="M301" s="336">
        <f>Gasto_o_ing_per_capita!M301*100/Gasto_o_ing_per_capita!$D301</f>
        <v>130.88758044664192</v>
      </c>
      <c r="N301" s="336">
        <f>Gasto_o_ing_per_capita!N301*100/Gasto_o_ing_per_capita!$D301</f>
        <v>111.38616289320009</v>
      </c>
      <c r="O301" s="336">
        <f>Gasto_o_ing_per_capita!O301*100/Gasto_o_ing_per_capita!$D301</f>
        <v>68.758865974713828</v>
      </c>
      <c r="P301" s="336">
        <f>Gasto_o_ing_per_capita!P301*100/Gasto_o_ing_per_capita!$D301</f>
        <v>98.637960092714778</v>
      </c>
      <c r="Q301" s="336">
        <f>Gasto_o_ing_per_capita!Q301*100/Gasto_o_ing_per_capita!$D301</f>
        <v>89.935799344099252</v>
      </c>
      <c r="R301" s="336">
        <f>Gasto_o_ing_per_capita!R301*100/Gasto_o_ing_per_capita!$D301</f>
        <v>87.386695201104374</v>
      </c>
      <c r="S301" s="336">
        <f>Gasto_o_ing_per_capita!S301*100/Gasto_o_ing_per_capita!$D301</f>
        <v>137.16618181083618</v>
      </c>
      <c r="T301" s="336">
        <f>Gasto_o_ing_per_capita!T301*100/Gasto_o_ing_per_capita!$D301</f>
        <v>102.66894653083986</v>
      </c>
      <c r="U301" s="336">
        <f>Gasto_o_ing_per_capita!U301*100/Gasto_o_ing_per_capita!$D301</f>
        <v>138.23931836081178</v>
      </c>
      <c r="V301" s="336">
        <f>Gasto_o_ing_per_capita!V301*100/Gasto_o_ing_per_capita!$D301</f>
        <v>75.569372268582185</v>
      </c>
    </row>
    <row r="302" spans="1:22" s="102" customFormat="1" ht="13.15">
      <c r="A302" s="355" t="str">
        <f>IF(B302="","",(IF(ISERROR(MATCH(B302,Tot_res!C:C,0)),"Eliminar!!!","")))</f>
        <v/>
      </c>
      <c r="B302" s="115" t="s">
        <v>804</v>
      </c>
      <c r="C302" s="333" t="str">
        <f>VLOOKUP(B302,Tot_res!C:D,2,FALSE)</f>
        <v>Atenció Primaria de Salud INGESA neto de Ceuta y Melilla</v>
      </c>
      <c r="D302" s="336">
        <f>Gasto_o_ing_per_capita!D302*100/Gasto_o_ing_per_capita!$D302</f>
        <v>100</v>
      </c>
      <c r="E302" s="336">
        <f>Gasto_o_ing_per_capita!E302*100/Gasto_o_ing_per_capita!$D302</f>
        <v>0</v>
      </c>
      <c r="F302" s="336">
        <f>Gasto_o_ing_per_capita!F302*100/Gasto_o_ing_per_capita!$D302</f>
        <v>274.56711254482803</v>
      </c>
      <c r="G302" s="336">
        <f>Gasto_o_ing_per_capita!G302*100/Gasto_o_ing_per_capita!$D302</f>
        <v>297.27291452848419</v>
      </c>
      <c r="H302" s="336">
        <f>Gasto_o_ing_per_capita!H302*100/Gasto_o_ing_per_capita!$D302</f>
        <v>235.79389478319951</v>
      </c>
      <c r="I302" s="336">
        <f>Gasto_o_ing_per_capita!I302*100/Gasto_o_ing_per_capita!$D302</f>
        <v>0</v>
      </c>
      <c r="J302" s="336">
        <f>Gasto_o_ing_per_capita!J302*100/Gasto_o_ing_per_capita!$D302</f>
        <v>269.90666303363969</v>
      </c>
      <c r="K302" s="336">
        <f>Gasto_o_ing_per_capita!K302*100/Gasto_o_ing_per_capita!$D302</f>
        <v>286.05031943761048</v>
      </c>
      <c r="L302" s="336">
        <f>Gasto_o_ing_per_capita!L302*100/Gasto_o_ing_per_capita!$D302</f>
        <v>256.23894923338776</v>
      </c>
      <c r="M302" s="336">
        <f>Gasto_o_ing_per_capita!M302*100/Gasto_o_ing_per_capita!$D302</f>
        <v>0</v>
      </c>
      <c r="N302" s="336">
        <f>Gasto_o_ing_per_capita!N302*100/Gasto_o_ing_per_capita!$D302</f>
        <v>0</v>
      </c>
      <c r="O302" s="336">
        <f>Gasto_o_ing_per_capita!O302*100/Gasto_o_ing_per_capita!$D302</f>
        <v>268.6396799301001</v>
      </c>
      <c r="P302" s="336">
        <f>Gasto_o_ing_per_capita!P302*100/Gasto_o_ing_per_capita!$D302</f>
        <v>0</v>
      </c>
      <c r="Q302" s="336">
        <f>Gasto_o_ing_per_capita!Q302*100/Gasto_o_ing_per_capita!$D302</f>
        <v>244.59000663268915</v>
      </c>
      <c r="R302" s="336">
        <f>Gasto_o_ing_per_capita!R302*100/Gasto_o_ing_per_capita!$D302</f>
        <v>232.05533122091825</v>
      </c>
      <c r="S302" s="336">
        <f>Gasto_o_ing_per_capita!S302*100/Gasto_o_ing_per_capita!$D302</f>
        <v>0</v>
      </c>
      <c r="T302" s="336">
        <f>Gasto_o_ing_per_capita!T302*100/Gasto_o_ing_per_capita!$D302</f>
        <v>0</v>
      </c>
      <c r="U302" s="336">
        <f>Gasto_o_ing_per_capita!U302*100/Gasto_o_ing_per_capita!$D302</f>
        <v>267.55567432577567</v>
      </c>
      <c r="V302" s="336">
        <f>Gasto_o_ing_per_capita!V302*100/Gasto_o_ing_per_capita!$D302</f>
        <v>189.33492207146318</v>
      </c>
    </row>
    <row r="303" spans="1:22" s="102" customFormat="1" ht="13.15">
      <c r="A303" s="355" t="str">
        <f>IF(B303="","",(IF(ISERROR(MATCH(B303,Tot_res!C:C,0)),"Eliminar!!!","")))</f>
        <v/>
      </c>
      <c r="B303" s="115" t="s">
        <v>806</v>
      </c>
      <c r="C303" s="333" t="str">
        <f>VLOOKUP(B303,Tot_res!C:D,2,FALSE)</f>
        <v>Atención Especializada, INGESA neto de Ceuta y Melilla</v>
      </c>
      <c r="D303" s="336">
        <f>Gasto_o_ing_per_capita!D303*100/Gasto_o_ing_per_capita!$D303</f>
        <v>100</v>
      </c>
      <c r="E303" s="336">
        <f>Gasto_o_ing_per_capita!E303*100/Gasto_o_ing_per_capita!$D303</f>
        <v>41.856215445452392</v>
      </c>
      <c r="F303" s="336">
        <f>Gasto_o_ing_per_capita!F303*100/Gasto_o_ing_per_capita!$D303</f>
        <v>200.51788225567427</v>
      </c>
      <c r="G303" s="336">
        <f>Gasto_o_ing_per_capita!G303*100/Gasto_o_ing_per_capita!$D303</f>
        <v>216.23475472395901</v>
      </c>
      <c r="H303" s="336">
        <f>Gasto_o_ing_per_capita!H303*100/Gasto_o_ing_per_capita!$D303</f>
        <v>173.56312840134873</v>
      </c>
      <c r="I303" s="336">
        <f>Gasto_o_ing_per_capita!I303*100/Gasto_o_ing_per_capita!$D303</f>
        <v>40.863123916558443</v>
      </c>
      <c r="J303" s="336">
        <f>Gasto_o_ing_per_capita!J303*100/Gasto_o_ing_per_capita!$D303</f>
        <v>197.2993453119114</v>
      </c>
      <c r="K303" s="336">
        <f>Gasto_o_ing_per_capita!K303*100/Gasto_o_ing_per_capita!$D303</f>
        <v>209.86074183855507</v>
      </c>
      <c r="L303" s="336">
        <f>Gasto_o_ing_per_capita!L303*100/Gasto_o_ing_per_capita!$D303</f>
        <v>187.69667482851139</v>
      </c>
      <c r="M303" s="336">
        <f>Gasto_o_ing_per_capita!M303*100/Gasto_o_ing_per_capita!$D303</f>
        <v>43.534605499139857</v>
      </c>
      <c r="N303" s="336">
        <f>Gasto_o_ing_per_capita!N303*100/Gasto_o_ing_per_capita!$D303</f>
        <v>44.197499623312218</v>
      </c>
      <c r="O303" s="336">
        <f>Gasto_o_ing_per_capita!O303*100/Gasto_o_ing_per_capita!$D303</f>
        <v>196.01309105872036</v>
      </c>
      <c r="P303" s="336">
        <f>Gasto_o_ing_per_capita!P303*100/Gasto_o_ing_per_capita!$D303</f>
        <v>48.856180094684369</v>
      </c>
      <c r="Q303" s="336">
        <f>Gasto_o_ing_per_capita!Q303*100/Gasto_o_ing_per_capita!$D303</f>
        <v>179.25783228951693</v>
      </c>
      <c r="R303" s="336">
        <f>Gasto_o_ing_per_capita!R303*100/Gasto_o_ing_per_capita!$D303</f>
        <v>170.80795170111685</v>
      </c>
      <c r="S303" s="336">
        <f>Gasto_o_ing_per_capita!S303*100/Gasto_o_ing_per_capita!$D303</f>
        <v>44.341787044986191</v>
      </c>
      <c r="T303" s="336">
        <f>Gasto_o_ing_per_capita!T303*100/Gasto_o_ing_per_capita!$D303</f>
        <v>46.40472229158312</v>
      </c>
      <c r="U303" s="336">
        <f>Gasto_o_ing_per_capita!U303*100/Gasto_o_ing_per_capita!$D303</f>
        <v>195.31979770427293</v>
      </c>
      <c r="V303" s="336">
        <f>Gasto_o_ing_per_capita!V303*100/Gasto_o_ing_per_capita!$D303</f>
        <v>142.97651558638904</v>
      </c>
    </row>
    <row r="304" spans="1:22" s="102" customFormat="1" ht="13.15">
      <c r="A304" s="355" t="str">
        <f>IF(B304="","",(IF(ISERROR(MATCH(B304,Tot_res!C:C,0)),"Eliminar!!!","")))</f>
        <v/>
      </c>
      <c r="B304" s="115" t="s">
        <v>808</v>
      </c>
      <c r="C304" s="333" t="str">
        <f>VLOOKUP(B304,Tot_res!C:D,2,FALSE)</f>
        <v>Atención Especializada, ISM</v>
      </c>
      <c r="D304" s="336">
        <f>Gasto_o_ing_per_capita!D304*100/Gasto_o_ing_per_capita!$D304</f>
        <v>100</v>
      </c>
      <c r="E304" s="336">
        <f>Gasto_o_ing_per_capita!E304*100/Gasto_o_ing_per_capita!$D304</f>
        <v>0</v>
      </c>
      <c r="F304" s="336">
        <f>Gasto_o_ing_per_capita!F304*100/Gasto_o_ing_per_capita!$D304</f>
        <v>0</v>
      </c>
      <c r="G304" s="336">
        <f>Gasto_o_ing_per_capita!G304*100/Gasto_o_ing_per_capita!$D304</f>
        <v>2.9445086811240082</v>
      </c>
      <c r="H304" s="336">
        <f>Gasto_o_ing_per_capita!H304*100/Gasto_o_ing_per_capita!$D304</f>
        <v>0</v>
      </c>
      <c r="I304" s="336">
        <f>Gasto_o_ing_per_capita!I304*100/Gasto_o_ing_per_capita!$D304</f>
        <v>2.4828309440685676</v>
      </c>
      <c r="J304" s="336">
        <f>Gasto_o_ing_per_capita!J304*100/Gasto_o_ing_per_capita!$D304</f>
        <v>0</v>
      </c>
      <c r="K304" s="336">
        <f>Gasto_o_ing_per_capita!K304*100/Gasto_o_ing_per_capita!$D304</f>
        <v>0</v>
      </c>
      <c r="L304" s="336">
        <f>Gasto_o_ing_per_capita!L304*100/Gasto_o_ing_per_capita!$D304</f>
        <v>0</v>
      </c>
      <c r="M304" s="336">
        <f>Gasto_o_ing_per_capita!M304*100/Gasto_o_ing_per_capita!$D304</f>
        <v>0</v>
      </c>
      <c r="N304" s="336">
        <f>Gasto_o_ing_per_capita!N304*100/Gasto_o_ing_per_capita!$D304</f>
        <v>0</v>
      </c>
      <c r="O304" s="336">
        <f>Gasto_o_ing_per_capita!O304*100/Gasto_o_ing_per_capita!$D304</f>
        <v>0</v>
      </c>
      <c r="P304" s="336">
        <f>Gasto_o_ing_per_capita!P304*100/Gasto_o_ing_per_capita!$D304</f>
        <v>0</v>
      </c>
      <c r="Q304" s="336">
        <f>Gasto_o_ing_per_capita!Q304*100/Gasto_o_ing_per_capita!$D304</f>
        <v>723.8116696397783</v>
      </c>
      <c r="R304" s="336">
        <f>Gasto_o_ing_per_capita!R304*100/Gasto_o_ing_per_capita!$D304</f>
        <v>0</v>
      </c>
      <c r="S304" s="336">
        <f>Gasto_o_ing_per_capita!S304*100/Gasto_o_ing_per_capita!$D304</f>
        <v>0</v>
      </c>
      <c r="T304" s="336">
        <f>Gasto_o_ing_per_capita!T304*100/Gasto_o_ing_per_capita!$D304</f>
        <v>0</v>
      </c>
      <c r="U304" s="336">
        <f>Gasto_o_ing_per_capita!U304*100/Gasto_o_ing_per_capita!$D304</f>
        <v>0</v>
      </c>
      <c r="V304" s="336">
        <f>Gasto_o_ing_per_capita!V304*100/Gasto_o_ing_per_capita!$D304</f>
        <v>0</v>
      </c>
    </row>
    <row r="305" spans="1:22" s="102" customFormat="1" ht="13.15">
      <c r="A305" s="355" t="str">
        <f>IF(B305="","",(IF(ISERROR(MATCH(B305,Tot_res!C:C,0)),"Eliminar!!!","")))</f>
        <v/>
      </c>
      <c r="B305" s="115" t="s">
        <v>810</v>
      </c>
      <c r="C305" s="333" t="str">
        <f>VLOOKUP(B305,Tot_res!C:D,2,FALSE)</f>
        <v>Atención Especializada, mutuas de la Seg. Social</v>
      </c>
      <c r="D305" s="336">
        <f>Gasto_o_ing_per_capita!D305*100/Gasto_o_ing_per_capita!$D305</f>
        <v>100</v>
      </c>
      <c r="E305" s="336">
        <f>Gasto_o_ing_per_capita!E305*100/Gasto_o_ing_per_capita!$D305</f>
        <v>48.105775318483772</v>
      </c>
      <c r="F305" s="336">
        <f>Gasto_o_ing_per_capita!F305*100/Gasto_o_ing_per_capita!$D305</f>
        <v>272.51095310658008</v>
      </c>
      <c r="G305" s="336">
        <f>Gasto_o_ing_per_capita!G305*100/Gasto_o_ing_per_capita!$D305</f>
        <v>52.247733927117679</v>
      </c>
      <c r="H305" s="336">
        <f>Gasto_o_ing_per_capita!H305*100/Gasto_o_ing_per_capita!$D305</f>
        <v>89.693262261695494</v>
      </c>
      <c r="I305" s="336">
        <f>Gasto_o_ing_per_capita!I305*100/Gasto_o_ing_per_capita!$D305</f>
        <v>45.747252868106308</v>
      </c>
      <c r="J305" s="336">
        <f>Gasto_o_ing_per_capita!J305*100/Gasto_o_ing_per_capita!$D305</f>
        <v>117.42935507534638</v>
      </c>
      <c r="K305" s="336">
        <f>Gasto_o_ing_per_capita!K305*100/Gasto_o_ing_per_capita!$D305</f>
        <v>35.852537487399118</v>
      </c>
      <c r="L305" s="336">
        <f>Gasto_o_ing_per_capita!L305*100/Gasto_o_ing_per_capita!$D305</f>
        <v>31.313854779951505</v>
      </c>
      <c r="M305" s="336">
        <f>Gasto_o_ing_per_capita!M305*100/Gasto_o_ing_per_capita!$D305</f>
        <v>137.36918930410451</v>
      </c>
      <c r="N305" s="336">
        <f>Gasto_o_ing_per_capita!N305*100/Gasto_o_ing_per_capita!$D305</f>
        <v>95.512590230290172</v>
      </c>
      <c r="O305" s="336">
        <f>Gasto_o_ing_per_capita!O305*100/Gasto_o_ing_per_capita!$D305</f>
        <v>22.025266110016361</v>
      </c>
      <c r="P305" s="336">
        <f>Gasto_o_ing_per_capita!P305*100/Gasto_o_ing_per_capita!$D305</f>
        <v>105.62349704921736</v>
      </c>
      <c r="Q305" s="336">
        <f>Gasto_o_ing_per_capita!Q305*100/Gasto_o_ing_per_capita!$D305</f>
        <v>151.86800624711742</v>
      </c>
      <c r="R305" s="336">
        <f>Gasto_o_ing_per_capita!R305*100/Gasto_o_ing_per_capita!$D305</f>
        <v>76.197844052446897</v>
      </c>
      <c r="S305" s="336">
        <f>Gasto_o_ing_per_capita!S305*100/Gasto_o_ing_per_capita!$D305</f>
        <v>77.178061505598279</v>
      </c>
      <c r="T305" s="336">
        <f>Gasto_o_ing_per_capita!T305*100/Gasto_o_ing_per_capita!$D305</f>
        <v>207.20664433782267</v>
      </c>
      <c r="U305" s="336">
        <f>Gasto_o_ing_per_capita!U305*100/Gasto_o_ing_per_capita!$D305</f>
        <v>44.791624579458123</v>
      </c>
      <c r="V305" s="336">
        <f>Gasto_o_ing_per_capita!V305*100/Gasto_o_ing_per_capita!$D305</f>
        <v>14.540083355356314</v>
      </c>
    </row>
    <row r="306" spans="1:22" s="102" customFormat="1" ht="13.15">
      <c r="A306" s="355" t="str">
        <f>IF(B306="","",(IF(ISERROR(MATCH(B306,Tot_res!C:C,0)),"Eliminar!!!","")))</f>
        <v/>
      </c>
      <c r="B306" s="115" t="s">
        <v>633</v>
      </c>
      <c r="C306" s="333" t="str">
        <f>VLOOKUP(B306,Tot_res!C:D,2,FALSE)</f>
        <v xml:space="preserve">Medicina Marítima </v>
      </c>
      <c r="D306" s="336">
        <f>Gasto_o_ing_per_capita!D306*100/Gasto_o_ing_per_capita!$D306</f>
        <v>100</v>
      </c>
      <c r="E306" s="336">
        <f>Gasto_o_ing_per_capita!E306*100/Gasto_o_ing_per_capita!$D306</f>
        <v>52.422660956890397</v>
      </c>
      <c r="F306" s="336">
        <f>Gasto_o_ing_per_capita!F306*100/Gasto_o_ing_per_capita!$D306</f>
        <v>0</v>
      </c>
      <c r="G306" s="336">
        <f>Gasto_o_ing_per_capita!G306*100/Gasto_o_ing_per_capita!$D306</f>
        <v>100.40641492357338</v>
      </c>
      <c r="H306" s="336">
        <f>Gasto_o_ing_per_capita!H306*100/Gasto_o_ing_per_capita!$D306</f>
        <v>55.349232978152138</v>
      </c>
      <c r="I306" s="336">
        <f>Gasto_o_ing_per_capita!I306*100/Gasto_o_ing_per_capita!$D306</f>
        <v>634.11871033420016</v>
      </c>
      <c r="J306" s="336">
        <f>Gasto_o_ing_per_capita!J306*100/Gasto_o_ing_per_capita!$D306</f>
        <v>2257.2663620078742</v>
      </c>
      <c r="K306" s="336">
        <f>Gasto_o_ing_per_capita!K306*100/Gasto_o_ing_per_capita!$D306</f>
        <v>0</v>
      </c>
      <c r="L306" s="336">
        <f>Gasto_o_ing_per_capita!L306*100/Gasto_o_ing_per_capita!$D306</f>
        <v>0</v>
      </c>
      <c r="M306" s="336">
        <f>Gasto_o_ing_per_capita!M306*100/Gasto_o_ing_per_capita!$D306</f>
        <v>27.59575616122855</v>
      </c>
      <c r="N306" s="336">
        <f>Gasto_o_ing_per_capita!N306*100/Gasto_o_ing_per_capita!$D306</f>
        <v>28.086408656220922</v>
      </c>
      <c r="O306" s="336">
        <f>Gasto_o_ing_per_capita!O306*100/Gasto_o_ing_per_capita!$D306</f>
        <v>0</v>
      </c>
      <c r="P306" s="336">
        <f>Gasto_o_ing_per_capita!P306*100/Gasto_o_ing_per_capita!$D306</f>
        <v>268.59871322313563</v>
      </c>
      <c r="Q306" s="336">
        <f>Gasto_o_ing_per_capita!Q306*100/Gasto_o_ing_per_capita!$D306</f>
        <v>2.7410471557368448</v>
      </c>
      <c r="R306" s="336">
        <f>Gasto_o_ing_per_capita!R306*100/Gasto_o_ing_per_capita!$D306</f>
        <v>39.116957313329877</v>
      </c>
      <c r="S306" s="336">
        <f>Gasto_o_ing_per_capita!S306*100/Gasto_o_ing_per_capita!$D306</f>
        <v>0</v>
      </c>
      <c r="T306" s="336">
        <f>Gasto_o_ing_per_capita!T306*100/Gasto_o_ing_per_capita!$D306</f>
        <v>79.780502319890772</v>
      </c>
      <c r="U306" s="336">
        <f>Gasto_o_ing_per_capita!U306*100/Gasto_o_ing_per_capita!$D306</f>
        <v>0</v>
      </c>
      <c r="V306" s="336">
        <f>Gasto_o_ing_per_capita!V306*100/Gasto_o_ing_per_capita!$D306</f>
        <v>434.02372768038515</v>
      </c>
    </row>
    <row r="307" spans="1:22" s="102" customFormat="1" ht="13.15">
      <c r="A307" s="355" t="str">
        <f>IF(B307="","",(IF(ISERROR(MATCH(B307,Tot_res!C:C,0)),"Eliminar!!!","")))</f>
        <v/>
      </c>
      <c r="B307" s="115" t="s">
        <v>812</v>
      </c>
      <c r="C307" s="333" t="str">
        <f>VLOOKUP(B307,Tot_res!C:D,2,FALSE)</f>
        <v>Admón.,Ser.Grales.y Cont.Int.Asist.San., neto CyMel</v>
      </c>
      <c r="D307" s="336">
        <f>Gasto_o_ing_per_capita!D307*100/Gasto_o_ing_per_capita!$D307</f>
        <v>100</v>
      </c>
      <c r="E307" s="336">
        <f>Gasto_o_ing_per_capita!E307*100/Gasto_o_ing_per_capita!$D307</f>
        <v>21.815998375233939</v>
      </c>
      <c r="F307" s="336">
        <f>Gasto_o_ing_per_capita!F307*100/Gasto_o_ing_per_capita!$D307</f>
        <v>235.97041211111377</v>
      </c>
      <c r="G307" s="336">
        <f>Gasto_o_ing_per_capita!G307*100/Gasto_o_ing_per_capita!$D307</f>
        <v>255.03480354669369</v>
      </c>
      <c r="H307" s="336">
        <f>Gasto_o_ing_per_capita!H307*100/Gasto_o_ing_per_capita!$D307</f>
        <v>203.35508370941537</v>
      </c>
      <c r="I307" s="336">
        <f>Gasto_o_ing_per_capita!I307*100/Gasto_o_ing_per_capita!$D307</f>
        <v>21.2976249249182</v>
      </c>
      <c r="J307" s="336">
        <f>Gasto_o_ing_per_capita!J307*100/Gasto_o_ing_per_capita!$D307</f>
        <v>232.06122509085225</v>
      </c>
      <c r="K307" s="336">
        <f>Gasto_o_ing_per_capita!K307*100/Gasto_o_ing_per_capita!$D307</f>
        <v>246.33642309753847</v>
      </c>
      <c r="L307" s="336">
        <f>Gasto_o_ing_per_capita!L307*100/Gasto_o_ing_per_capita!$D307</f>
        <v>220.51170821682339</v>
      </c>
      <c r="M307" s="336">
        <f>Gasto_o_ing_per_capita!M307*100/Gasto_o_ing_per_capita!$D307</f>
        <v>22.69369788480531</v>
      </c>
      <c r="N307" s="336">
        <f>Gasto_o_ing_per_capita!N307*100/Gasto_o_ing_per_capita!$D307</f>
        <v>23.034796049111975</v>
      </c>
      <c r="O307" s="336">
        <f>Gasto_o_ing_per_capita!O307*100/Gasto_o_ing_per_capita!$D307</f>
        <v>230.78479427263747</v>
      </c>
      <c r="P307" s="336">
        <f>Gasto_o_ing_per_capita!P307*100/Gasto_o_ing_per_capita!$D307</f>
        <v>25.469074299428556</v>
      </c>
      <c r="Q307" s="336">
        <f>Gasto_o_ing_per_capita!Q307*100/Gasto_o_ing_per_capita!$D307</f>
        <v>210.53585374615062</v>
      </c>
      <c r="R307" s="336">
        <f>Gasto_o_ing_per_capita!R307*100/Gasto_o_ing_per_capita!$D307</f>
        <v>200.129132301552</v>
      </c>
      <c r="S307" s="336">
        <f>Gasto_o_ing_per_capita!S307*100/Gasto_o_ing_per_capita!$D307</f>
        <v>23.111745528542325</v>
      </c>
      <c r="T307" s="336">
        <f>Gasto_o_ing_per_capita!T307*100/Gasto_o_ing_per_capita!$D307</f>
        <v>24.193319293902935</v>
      </c>
      <c r="U307" s="336">
        <f>Gasto_o_ing_per_capita!U307*100/Gasto_o_ing_per_capita!$D307</f>
        <v>229.90427704394949</v>
      </c>
      <c r="V307" s="336">
        <f>Gasto_o_ing_per_capita!V307*100/Gasto_o_ing_per_capita!$D307</f>
        <v>165.16373722599019</v>
      </c>
    </row>
    <row r="308" spans="1:22" s="102" customFormat="1" ht="13.15">
      <c r="A308" s="355" t="str">
        <f>IF(B308="","",(IF(ISERROR(MATCH(B308,Tot_res!C:C,0)),"Eliminar!!!","")))</f>
        <v/>
      </c>
      <c r="B308" s="115" t="s">
        <v>814</v>
      </c>
      <c r="C308" s="333" t="str">
        <f>VLOOKUP(B308,Tot_res!C:D,2,FALSE)</f>
        <v>Formación del Personal Sanitario, neto de CyMel</v>
      </c>
      <c r="D308" s="336">
        <f>Gasto_o_ing_per_capita!D308*100/Gasto_o_ing_per_capita!$D308</f>
        <v>100</v>
      </c>
      <c r="E308" s="336">
        <f>Gasto_o_ing_per_capita!E308*100/Gasto_o_ing_per_capita!$D308</f>
        <v>92.296879045701118</v>
      </c>
      <c r="F308" s="336">
        <f>Gasto_o_ing_per_capita!F308*100/Gasto_o_ing_per_capita!$D308</f>
        <v>109.54573252223646</v>
      </c>
      <c r="G308" s="336">
        <f>Gasto_o_ing_per_capita!G308*100/Gasto_o_ing_per_capita!$D308</f>
        <v>118.6048062319415</v>
      </c>
      <c r="H308" s="336">
        <f>Gasto_o_ing_per_capita!H308*100/Gasto_o_ing_per_capita!$D308</f>
        <v>94.076142946943435</v>
      </c>
      <c r="I308" s="336">
        <f>Gasto_o_ing_per_capita!I308*100/Gasto_o_ing_per_capita!$D308</f>
        <v>89.08110357036459</v>
      </c>
      <c r="J308" s="336">
        <f>Gasto_o_ing_per_capita!J308*100/Gasto_o_ing_per_capita!$D308</f>
        <v>107.68632426735061</v>
      </c>
      <c r="K308" s="336">
        <f>Gasto_o_ing_per_capita!K308*100/Gasto_o_ing_per_capita!$D308</f>
        <v>114.12725832521794</v>
      </c>
      <c r="L308" s="336">
        <f>Gasto_o_ing_per_capita!L308*100/Gasto_o_ing_per_capita!$D308</f>
        <v>102.23323228457201</v>
      </c>
      <c r="M308" s="336">
        <f>Gasto_o_ing_per_capita!M308*100/Gasto_o_ing_per_capita!$D308</f>
        <v>99.906926960962707</v>
      </c>
      <c r="N308" s="336">
        <f>Gasto_o_ing_per_capita!N308*100/Gasto_o_ing_per_capita!$D308</f>
        <v>95.425230786581011</v>
      </c>
      <c r="O308" s="336">
        <f>Gasto_o_ing_per_capita!O308*100/Gasto_o_ing_per_capita!$D308</f>
        <v>107.18082821254585</v>
      </c>
      <c r="P308" s="336">
        <f>Gasto_o_ing_per_capita!P308*100/Gasto_o_ing_per_capita!$D308</f>
        <v>113.9365520252822</v>
      </c>
      <c r="Q308" s="336">
        <f>Gasto_o_ing_per_capita!Q308*100/Gasto_o_ing_per_capita!$D308</f>
        <v>97.585581885092097</v>
      </c>
      <c r="R308" s="336">
        <f>Gasto_o_ing_per_capita!R308*100/Gasto_o_ing_per_capita!$D308</f>
        <v>92.584545208907059</v>
      </c>
      <c r="S308" s="336">
        <f>Gasto_o_ing_per_capita!S308*100/Gasto_o_ing_per_capita!$D308</f>
        <v>98.094771062536665</v>
      </c>
      <c r="T308" s="336">
        <f>Gasto_o_ing_per_capita!T308*100/Gasto_o_ing_per_capita!$D308</f>
        <v>111.19396381355422</v>
      </c>
      <c r="U308" s="336">
        <f>Gasto_o_ing_per_capita!U308*100/Gasto_o_ing_per_capita!$D308</f>
        <v>106.74833581794222</v>
      </c>
      <c r="V308" s="336">
        <f>Gasto_o_ing_per_capita!V308*100/Gasto_o_ing_per_capita!$D308</f>
        <v>75.540120366646903</v>
      </c>
    </row>
    <row r="309" spans="1:22" s="102" customFormat="1" ht="13.15">
      <c r="A309" s="355" t="str">
        <f>IF(B309="","",(IF(ISERROR(MATCH(B309,Tot_res!C:C,0)),"Eliminar!!!","")))</f>
        <v/>
      </c>
      <c r="B309" s="115" t="s">
        <v>317</v>
      </c>
      <c r="C309" s="333" t="str">
        <f>VLOOKUP(B309,Tot_res!C:D,2,FALSE)</f>
        <v>ISM sanidad transferida</v>
      </c>
      <c r="D309" s="336">
        <f>Gasto_o_ing_per_capita!D309*100/Gasto_o_ing_per_capita!$D309</f>
        <v>100</v>
      </c>
      <c r="E309" s="336">
        <f>Gasto_o_ing_per_capita!E309*100/Gasto_o_ing_per_capita!$D309</f>
        <v>415.43716352384723</v>
      </c>
      <c r="F309" s="336">
        <f>Gasto_o_ing_per_capita!F309*100/Gasto_o_ing_per_capita!$D309</f>
        <v>0</v>
      </c>
      <c r="G309" s="336">
        <f>Gasto_o_ing_per_capita!G309*100/Gasto_o_ing_per_capita!$D309</f>
        <v>557.5651464606226</v>
      </c>
      <c r="H309" s="336">
        <f>Gasto_o_ing_per_capita!H309*100/Gasto_o_ing_per_capita!$D309</f>
        <v>133.86406637422587</v>
      </c>
      <c r="I309" s="336">
        <f>Gasto_o_ing_per_capita!I309*100/Gasto_o_ing_per_capita!$D309</f>
        <v>0</v>
      </c>
      <c r="J309" s="336">
        <f>Gasto_o_ing_per_capita!J309*100/Gasto_o_ing_per_capita!$D309</f>
        <v>375.75762693749806</v>
      </c>
      <c r="K309" s="336">
        <f>Gasto_o_ing_per_capita!K309*100/Gasto_o_ing_per_capita!$D309</f>
        <v>0</v>
      </c>
      <c r="L309" s="336">
        <f>Gasto_o_ing_per_capita!L309*100/Gasto_o_ing_per_capita!$D309</f>
        <v>0</v>
      </c>
      <c r="M309" s="336">
        <f>Gasto_o_ing_per_capita!M309*100/Gasto_o_ing_per_capita!$D309</f>
        <v>0</v>
      </c>
      <c r="N309" s="336">
        <f>Gasto_o_ing_per_capita!N309*100/Gasto_o_ing_per_capita!$D309</f>
        <v>0</v>
      </c>
      <c r="O309" s="336">
        <f>Gasto_o_ing_per_capita!O309*100/Gasto_o_ing_per_capita!$D309</f>
        <v>0</v>
      </c>
      <c r="P309" s="336">
        <f>Gasto_o_ing_per_capita!P309*100/Gasto_o_ing_per_capita!$D309</f>
        <v>0</v>
      </c>
      <c r="Q309" s="336">
        <f>Gasto_o_ing_per_capita!Q309*100/Gasto_o_ing_per_capita!$D309</f>
        <v>0</v>
      </c>
      <c r="R309" s="336">
        <f>Gasto_o_ing_per_capita!R309*100/Gasto_o_ing_per_capita!$D309</f>
        <v>158.35211016591217</v>
      </c>
      <c r="S309" s="336">
        <f>Gasto_o_ing_per_capita!S309*100/Gasto_o_ing_per_capita!$D309</f>
        <v>0</v>
      </c>
      <c r="T309" s="336">
        <f>Gasto_o_ing_per_capita!T309*100/Gasto_o_ing_per_capita!$D309</f>
        <v>0</v>
      </c>
      <c r="U309" s="336">
        <f>Gasto_o_ing_per_capita!U309*100/Gasto_o_ing_per_capita!$D309</f>
        <v>0</v>
      </c>
      <c r="V309" s="336">
        <f>Gasto_o_ing_per_capita!V309*100/Gasto_o_ing_per_capita!$D309</f>
        <v>0</v>
      </c>
    </row>
    <row r="310" spans="1:22" s="102" customFormat="1" ht="13.15">
      <c r="A310" s="355" t="str">
        <f>IF(B310="","",(IF(ISERROR(MATCH(B310,Tot_res!C:C,0)),"Eliminar!!!","")))</f>
        <v/>
      </c>
      <c r="B310" s="115" t="s">
        <v>816</v>
      </c>
      <c r="C310" s="333" t="str">
        <f>VLOOKUP(B310,Tot_res!C:D,2,FALSE)</f>
        <v>ISM transf. antes de 2002, sanidad</v>
      </c>
      <c r="D310" s="336">
        <f>Gasto_o_ing_per_capita!D310*100/Gasto_o_ing_per_capita!$D310</f>
        <v>100</v>
      </c>
      <c r="E310" s="336">
        <f>Gasto_o_ing_per_capita!E310*100/Gasto_o_ing_per_capita!$D310</f>
        <v>0</v>
      </c>
      <c r="F310" s="336">
        <f>Gasto_o_ing_per_capita!F310*100/Gasto_o_ing_per_capita!$D310</f>
        <v>0</v>
      </c>
      <c r="G310" s="336">
        <f>Gasto_o_ing_per_capita!G310*100/Gasto_o_ing_per_capita!$D310</f>
        <v>0</v>
      </c>
      <c r="H310" s="336">
        <f>Gasto_o_ing_per_capita!H310*100/Gasto_o_ing_per_capita!$D310</f>
        <v>0</v>
      </c>
      <c r="I310" s="336">
        <f>Gasto_o_ing_per_capita!I310*100/Gasto_o_ing_per_capita!$D310</f>
        <v>242.66946721109119</v>
      </c>
      <c r="J310" s="336">
        <f>Gasto_o_ing_per_capita!J310*100/Gasto_o_ing_per_capita!$D310</f>
        <v>0</v>
      </c>
      <c r="K310" s="336">
        <f>Gasto_o_ing_per_capita!K310*100/Gasto_o_ing_per_capita!$D310</f>
        <v>0</v>
      </c>
      <c r="L310" s="336">
        <f>Gasto_o_ing_per_capita!L310*100/Gasto_o_ing_per_capita!$D310</f>
        <v>0</v>
      </c>
      <c r="M310" s="336">
        <f>Gasto_o_ing_per_capita!M310*100/Gasto_o_ing_per_capita!$D310</f>
        <v>19.452043054602054</v>
      </c>
      <c r="N310" s="336">
        <f>Gasto_o_ing_per_capita!N310*100/Gasto_o_ing_per_capita!$D310</f>
        <v>98.636603237456697</v>
      </c>
      <c r="O310" s="336">
        <f>Gasto_o_ing_per_capita!O310*100/Gasto_o_ing_per_capita!$D310</f>
        <v>0</v>
      </c>
      <c r="P310" s="336">
        <f>Gasto_o_ing_per_capita!P310*100/Gasto_o_ing_per_capita!$D310</f>
        <v>1282.757110538389</v>
      </c>
      <c r="Q310" s="336">
        <f>Gasto_o_ing_per_capita!Q310*100/Gasto_o_ing_per_capita!$D310</f>
        <v>0</v>
      </c>
      <c r="R310" s="336">
        <f>Gasto_o_ing_per_capita!R310*100/Gasto_o_ing_per_capita!$D310</f>
        <v>0</v>
      </c>
      <c r="S310" s="336">
        <f>Gasto_o_ing_per_capita!S310*100/Gasto_o_ing_per_capita!$D310</f>
        <v>0</v>
      </c>
      <c r="T310" s="336">
        <f>Gasto_o_ing_per_capita!T310*100/Gasto_o_ing_per_capita!$D310</f>
        <v>0</v>
      </c>
      <c r="U310" s="336">
        <f>Gasto_o_ing_per_capita!U310*100/Gasto_o_ing_per_capita!$D310</f>
        <v>0</v>
      </c>
      <c r="V310" s="336">
        <f>Gasto_o_ing_per_capita!V310*100/Gasto_o_ing_per_capita!$D310</f>
        <v>0</v>
      </c>
    </row>
    <row r="311" spans="1:22" s="102" customFormat="1" ht="13.15">
      <c r="A311" s="355" t="str">
        <f>IF(B311="","",(IF(ISERROR(MATCH(B311,Tot_res!C:C,0)),"Eliminar!!!","")))</f>
        <v/>
      </c>
      <c r="B311" s="115" t="s">
        <v>634</v>
      </c>
      <c r="C311" s="333" t="str">
        <f>VLOOKUP(B311,Tot_res!C:D,2,FALSE)</f>
        <v>Compensación Fondo Cohesión Sanitaria, extrapresupuestario</v>
      </c>
      <c r="D311" s="336">
        <f>Gasto_o_ing_per_capita!D311*100/Gasto_o_ing_per_capita!$D311</f>
        <v>100</v>
      </c>
      <c r="E311" s="336">
        <f>Gasto_o_ing_per_capita!E311*100/Gasto_o_ing_per_capita!$D311</f>
        <v>22.953640866452169</v>
      </c>
      <c r="F311" s="336">
        <f>Gasto_o_ing_per_capita!F311*100/Gasto_o_ing_per_capita!$D311</f>
        <v>270.91705841249092</v>
      </c>
      <c r="G311" s="336">
        <f>Gasto_o_ing_per_capita!G311*100/Gasto_o_ing_per_capita!$D311</f>
        <v>82.419153857942376</v>
      </c>
      <c r="H311" s="336">
        <f>Gasto_o_ing_per_capita!H311*100/Gasto_o_ing_per_capita!$D311</f>
        <v>78.800883052592852</v>
      </c>
      <c r="I311" s="336">
        <f>Gasto_o_ing_per_capita!I311*100/Gasto_o_ing_per_capita!$D311</f>
        <v>56.261627310283416</v>
      </c>
      <c r="J311" s="336">
        <f>Gasto_o_ing_per_capita!J311*100/Gasto_o_ing_per_capita!$D311</f>
        <v>100.32483036209015</v>
      </c>
      <c r="K311" s="336">
        <f>Gasto_o_ing_per_capita!K311*100/Gasto_o_ing_per_capita!$D311</f>
        <v>276.73520856996112</v>
      </c>
      <c r="L311" s="336">
        <f>Gasto_o_ing_per_capita!L311*100/Gasto_o_ing_per_capita!$D311</f>
        <v>305.47005980727278</v>
      </c>
      <c r="M311" s="336">
        <f>Gasto_o_ing_per_capita!M311*100/Gasto_o_ing_per_capita!$D311</f>
        <v>36.982967766852873</v>
      </c>
      <c r="N311" s="336">
        <f>Gasto_o_ing_per_capita!N311*100/Gasto_o_ing_per_capita!$D311</f>
        <v>59.996806768559559</v>
      </c>
      <c r="O311" s="336">
        <f>Gasto_o_ing_per_capita!O311*100/Gasto_o_ing_per_capita!$D311</f>
        <v>202.59189279931573</v>
      </c>
      <c r="P311" s="336">
        <f>Gasto_o_ing_per_capita!P311*100/Gasto_o_ing_per_capita!$D311</f>
        <v>22.332489421616479</v>
      </c>
      <c r="Q311" s="336">
        <f>Gasto_o_ing_per_capita!Q311*100/Gasto_o_ing_per_capita!$D311</f>
        <v>110.28631962772384</v>
      </c>
      <c r="R311" s="336">
        <f>Gasto_o_ing_per_capita!R311*100/Gasto_o_ing_per_capita!$D311</f>
        <v>66.829588120627307</v>
      </c>
      <c r="S311" s="336">
        <f>Gasto_o_ing_per_capita!S311*100/Gasto_o_ing_per_capita!$D311</f>
        <v>64.91097817664685</v>
      </c>
      <c r="T311" s="336">
        <f>Gasto_o_ing_per_capita!T311*100/Gasto_o_ing_per_capita!$D311</f>
        <v>149.40921984733285</v>
      </c>
      <c r="U311" s="336">
        <f>Gasto_o_ing_per_capita!U311*100/Gasto_o_ing_per_capita!$D311</f>
        <v>192.89630059130491</v>
      </c>
      <c r="V311" s="336">
        <f>Gasto_o_ing_per_capita!V311*100/Gasto_o_ing_per_capita!$D311</f>
        <v>2041.1073618713958</v>
      </c>
    </row>
    <row r="312" spans="1:22" ht="13.15">
      <c r="A312" s="356"/>
      <c r="B312" s="9"/>
      <c r="C312" s="12"/>
      <c r="D312" s="19"/>
      <c r="E312" s="19"/>
      <c r="F312" s="19"/>
      <c r="G312" s="19"/>
      <c r="H312" s="19"/>
      <c r="I312" s="19"/>
      <c r="J312" s="19"/>
      <c r="K312" s="19"/>
      <c r="L312" s="19"/>
      <c r="M312" s="19"/>
      <c r="N312" s="19"/>
      <c r="O312" s="19"/>
      <c r="P312" s="19"/>
      <c r="Q312" s="19"/>
      <c r="R312" s="19"/>
      <c r="S312" s="19"/>
      <c r="T312" s="19"/>
      <c r="U312" s="19"/>
      <c r="V312" s="19"/>
    </row>
    <row r="313" spans="1:22" ht="13.15">
      <c r="A313" s="356"/>
      <c r="B313" s="9"/>
      <c r="C313" s="2"/>
      <c r="D313" s="19"/>
      <c r="E313" s="19"/>
      <c r="F313" s="19"/>
      <c r="G313" s="19"/>
      <c r="H313" s="19"/>
      <c r="I313" s="19"/>
      <c r="J313" s="19"/>
      <c r="K313" s="19"/>
      <c r="L313" s="19"/>
      <c r="M313" s="19"/>
      <c r="N313" s="19"/>
      <c r="O313" s="19"/>
      <c r="P313" s="19"/>
      <c r="Q313" s="19"/>
      <c r="R313" s="19"/>
      <c r="S313" s="19"/>
      <c r="T313" s="19"/>
      <c r="U313" s="19"/>
      <c r="V313" s="19"/>
    </row>
    <row r="314" spans="1:22" s="102" customFormat="1" ht="13.15">
      <c r="A314" s="364"/>
      <c r="B314" s="115"/>
      <c r="C314" s="117" t="s">
        <v>58</v>
      </c>
      <c r="D314" s="113">
        <f>Gasto_o_ing_per_capita!D314*100/Gasto_o_ing_per_capita!$D314</f>
        <v>100</v>
      </c>
      <c r="E314" s="113">
        <f>Gasto_o_ing_per_capita!E314*100/Gasto_o_ing_per_capita!$D314</f>
        <v>112.30732209094428</v>
      </c>
      <c r="F314" s="113">
        <f>Gasto_o_ing_per_capita!F314*100/Gasto_o_ing_per_capita!$D314</f>
        <v>111.58556854194745</v>
      </c>
      <c r="G314" s="113">
        <f>Gasto_o_ing_per_capita!G314*100/Gasto_o_ing_per_capita!$D314</f>
        <v>108.2263153855571</v>
      </c>
      <c r="H314" s="113">
        <f>Gasto_o_ing_per_capita!H314*100/Gasto_o_ing_per_capita!$D314</f>
        <v>79.313471798478687</v>
      </c>
      <c r="I314" s="113">
        <f>Gasto_o_ing_per_capita!I314*100/Gasto_o_ing_per_capita!$D314</f>
        <v>120.91088487278321</v>
      </c>
      <c r="J314" s="113">
        <f>Gasto_o_ing_per_capita!J314*100/Gasto_o_ing_per_capita!$D314</f>
        <v>110.6599954129204</v>
      </c>
      <c r="K314" s="113">
        <f>Gasto_o_ing_per_capita!K314*100/Gasto_o_ing_per_capita!$D314</f>
        <v>97.311762296009874</v>
      </c>
      <c r="L314" s="113">
        <f>Gasto_o_ing_per_capita!L314*100/Gasto_o_ing_per_capita!$D314</f>
        <v>113.02043797473988</v>
      </c>
      <c r="M314" s="113">
        <f>Gasto_o_ing_per_capita!M314*100/Gasto_o_ing_per_capita!$D314</f>
        <v>58.82022493801044</v>
      </c>
      <c r="N314" s="113">
        <f>Gasto_o_ing_per_capita!N314*100/Gasto_o_ing_per_capita!$D314</f>
        <v>93.56997798150914</v>
      </c>
      <c r="O314" s="113">
        <f>Gasto_o_ing_per_capita!O314*100/Gasto_o_ing_per_capita!$D314</f>
        <v>110.00235738613351</v>
      </c>
      <c r="P314" s="113">
        <f>Gasto_o_ing_per_capita!P314*100/Gasto_o_ing_per_capita!$D314</f>
        <v>101.50089970680159</v>
      </c>
      <c r="Q314" s="113">
        <f>Gasto_o_ing_per_capita!Q314*100/Gasto_o_ing_per_capita!$D314</f>
        <v>118.5975754797001</v>
      </c>
      <c r="R314" s="113">
        <f>Gasto_o_ing_per_capita!R314*100/Gasto_o_ing_per_capita!$D314</f>
        <v>133.31203358701813</v>
      </c>
      <c r="S314" s="113">
        <f>Gasto_o_ing_per_capita!S314*100/Gasto_o_ing_per_capita!$D314</f>
        <v>113.92114734360875</v>
      </c>
      <c r="T314" s="113">
        <f>Gasto_o_ing_per_capita!T314*100/Gasto_o_ing_per_capita!$D314</f>
        <v>89.361260865304544</v>
      </c>
      <c r="U314" s="113">
        <f>Gasto_o_ing_per_capita!U314*100/Gasto_o_ing_per_capita!$D314</f>
        <v>95.116631004918943</v>
      </c>
      <c r="V314" s="113">
        <f>Gasto_o_ing_per_capita!V314*100/Gasto_o_ing_per_capita!$D314</f>
        <v>90.347470352444759</v>
      </c>
    </row>
    <row r="315" spans="1:22" s="102" customFormat="1" ht="13.15">
      <c r="A315" s="355" t="str">
        <f>IF(B315="","",(IF(ISERROR(MATCH(B315,Tot_res!C:C,0)),"Eliminar!!!","")))</f>
        <v/>
      </c>
      <c r="B315" s="119" t="s">
        <v>649</v>
      </c>
      <c r="C315" s="333" t="str">
        <f>VLOOKUP(B315,Tot_res!C:D,2,FALSE)</f>
        <v xml:space="preserve">Dirección y servicios generales de la educación,cultura y deporte, neto del gasto directo del Estado en Ceuta y Melilla </v>
      </c>
      <c r="D315" s="336">
        <f>Gasto_o_ing_per_capita!D315*100/Gasto_o_ing_per_capita!$D315</f>
        <v>99.999999999999986</v>
      </c>
      <c r="E315" s="336">
        <f>Gasto_o_ing_per_capita!E315*100/Gasto_o_ing_per_capita!$D315</f>
        <v>108.83460297817339</v>
      </c>
      <c r="F315" s="336">
        <f>Gasto_o_ing_per_capita!F315*100/Gasto_o_ing_per_capita!$D315</f>
        <v>92.844947359078034</v>
      </c>
      <c r="G315" s="336">
        <f>Gasto_o_ing_per_capita!G315*100/Gasto_o_ing_per_capita!$D315</f>
        <v>76.016946102480119</v>
      </c>
      <c r="H315" s="336">
        <f>Gasto_o_ing_per_capita!H315*100/Gasto_o_ing_per_capita!$D315</f>
        <v>87.39426278656488</v>
      </c>
      <c r="I315" s="336">
        <f>Gasto_o_ing_per_capita!I315*100/Gasto_o_ing_per_capita!$D315</f>
        <v>94.520949181073775</v>
      </c>
      <c r="J315" s="336">
        <f>Gasto_o_ing_per_capita!J315*100/Gasto_o_ing_per_capita!$D315</f>
        <v>88.029561506920132</v>
      </c>
      <c r="K315" s="336">
        <f>Gasto_o_ing_per_capita!K315*100/Gasto_o_ing_per_capita!$D315</f>
        <v>81.568920785630652</v>
      </c>
      <c r="L315" s="336">
        <f>Gasto_o_ing_per_capita!L315*100/Gasto_o_ing_per_capita!$D315</f>
        <v>108.51232859153581</v>
      </c>
      <c r="M315" s="336">
        <f>Gasto_o_ing_per_capita!M315*100/Gasto_o_ing_per_capita!$D315</f>
        <v>100.30583399943386</v>
      </c>
      <c r="N315" s="336">
        <f>Gasto_o_ing_per_capita!N315*100/Gasto_o_ing_per_capita!$D315</f>
        <v>98.621521233646163</v>
      </c>
      <c r="O315" s="336">
        <f>Gasto_o_ing_per_capita!O315*100/Gasto_o_ing_per_capita!$D315</f>
        <v>96.716694416097312</v>
      </c>
      <c r="P315" s="336">
        <f>Gasto_o_ing_per_capita!P315*100/Gasto_o_ing_per_capita!$D315</f>
        <v>85.773639707084939</v>
      </c>
      <c r="Q315" s="336">
        <f>Gasto_o_ing_per_capita!Q315*100/Gasto_o_ing_per_capita!$D315</f>
        <v>109.1986087989949</v>
      </c>
      <c r="R315" s="336">
        <f>Gasto_o_ing_per_capita!R315*100/Gasto_o_ing_per_capita!$D315</f>
        <v>112.2134226196108</v>
      </c>
      <c r="S315" s="336">
        <f>Gasto_o_ing_per_capita!S315*100/Gasto_o_ing_per_capita!$D315</f>
        <v>96.873602886318906</v>
      </c>
      <c r="T315" s="336">
        <f>Gasto_o_ing_per_capita!T315*100/Gasto_o_ing_per_capita!$D315</f>
        <v>94.843681226284318</v>
      </c>
      <c r="U315" s="336">
        <f>Gasto_o_ing_per_capita!U315*100/Gasto_o_ing_per_capita!$D315</f>
        <v>104.10852612481681</v>
      </c>
      <c r="V315" s="336">
        <f>Gasto_o_ing_per_capita!V315*100/Gasto_o_ing_per_capita!$D315</f>
        <v>122.03664466015555</v>
      </c>
    </row>
    <row r="316" spans="1:22" s="102" customFormat="1" ht="13.15">
      <c r="A316" s="355" t="str">
        <f>IF(B316="","",(IF(ISERROR(MATCH(B316,Tot_res!C:C,0)),"Eliminar!!!","")))</f>
        <v/>
      </c>
      <c r="B316" s="115" t="s">
        <v>650</v>
      </c>
      <c r="C316" s="333" t="str">
        <f>VLOOKUP(B316,Tot_res!C:D,2,FALSE)</f>
        <v xml:space="preserve">Formac. permanente del profesorado de educación, neto del gasto directo del Estado en Ceuta y Melilla </v>
      </c>
      <c r="D316" s="336">
        <f>Gasto_o_ing_per_capita!D316*100/Gasto_o_ing_per_capita!$D316</f>
        <v>100</v>
      </c>
      <c r="E316" s="336">
        <f>Gasto_o_ing_per_capita!E316*100/Gasto_o_ing_per_capita!$D316</f>
        <v>117.75316155562601</v>
      </c>
      <c r="F316" s="336">
        <f>Gasto_o_ing_per_capita!F316*100/Gasto_o_ing_per_capita!$D316</f>
        <v>100.5108152942279</v>
      </c>
      <c r="G316" s="336">
        <f>Gasto_o_ing_per_capita!G316*100/Gasto_o_ing_per_capita!$D316</f>
        <v>94.275918787605391</v>
      </c>
      <c r="H316" s="336">
        <f>Gasto_o_ing_per_capita!H316*100/Gasto_o_ing_per_capita!$D316</f>
        <v>92.4492848425527</v>
      </c>
      <c r="I316" s="336">
        <f>Gasto_o_ing_per_capita!I316*100/Gasto_o_ing_per_capita!$D316</f>
        <v>98.893876143955481</v>
      </c>
      <c r="J316" s="336">
        <f>Gasto_o_ing_per_capita!J316*100/Gasto_o_ing_per_capita!$D316</f>
        <v>102.1647842728876</v>
      </c>
      <c r="K316" s="336">
        <f>Gasto_o_ing_per_capita!K316*100/Gasto_o_ing_per_capita!$D316</f>
        <v>107.63981697869697</v>
      </c>
      <c r="L316" s="336">
        <f>Gasto_o_ing_per_capita!L316*100/Gasto_o_ing_per_capita!$D316</f>
        <v>122.4080905377523</v>
      </c>
      <c r="M316" s="336">
        <f>Gasto_o_ing_per_capita!M316*100/Gasto_o_ing_per_capita!$D316</f>
        <v>92.113648583463203</v>
      </c>
      <c r="N316" s="336">
        <f>Gasto_o_ing_per_capita!N316*100/Gasto_o_ing_per_capita!$D316</f>
        <v>91.844345906665495</v>
      </c>
      <c r="O316" s="336">
        <f>Gasto_o_ing_per_capita!O316*100/Gasto_o_ing_per_capita!$D316</f>
        <v>124.50224960303139</v>
      </c>
      <c r="P316" s="336">
        <f>Gasto_o_ing_per_capita!P316*100/Gasto_o_ing_per_capita!$D316</f>
        <v>106.45111510813778</v>
      </c>
      <c r="Q316" s="336">
        <f>Gasto_o_ing_per_capita!Q316*100/Gasto_o_ing_per_capita!$D316</f>
        <v>74.237042335625389</v>
      </c>
      <c r="R316" s="336">
        <f>Gasto_o_ing_per_capita!R316*100/Gasto_o_ing_per_capita!$D316</f>
        <v>116.40350333278472</v>
      </c>
      <c r="S316" s="336">
        <f>Gasto_o_ing_per_capita!S316*100/Gasto_o_ing_per_capita!$D316</f>
        <v>113.07205193018292</v>
      </c>
      <c r="T316" s="336">
        <f>Gasto_o_ing_per_capita!T316*100/Gasto_o_ing_per_capita!$D316</f>
        <v>92.495337073918208</v>
      </c>
      <c r="U316" s="336">
        <f>Gasto_o_ing_per_capita!U316*100/Gasto_o_ing_per_capita!$D316</f>
        <v>100.26197354622585</v>
      </c>
      <c r="V316" s="336">
        <f>Gasto_o_ing_per_capita!V316*100/Gasto_o_ing_per_capita!$D316</f>
        <v>135.10415257557585</v>
      </c>
    </row>
    <row r="317" spans="1:22" s="102" customFormat="1" ht="13.15">
      <c r="A317" s="355" t="str">
        <f>IF(B317="","",(IF(ISERROR(MATCH(B317,Tot_res!C:C,0)),"Eliminar!!!","")))</f>
        <v/>
      </c>
      <c r="B317" s="115" t="s">
        <v>651</v>
      </c>
      <c r="C317" s="333" t="str">
        <f>VLOOKUP(B317,Tot_res!C:D,2,FALSE)</f>
        <v>Educación infantil y primaria +AF12/1</v>
      </c>
      <c r="D317" s="336">
        <f>Gasto_o_ing_per_capita!D317*100/Gasto_o_ing_per_capita!$D317</f>
        <v>100</v>
      </c>
      <c r="E317" s="336">
        <f>Gasto_o_ing_per_capita!E317*100/Gasto_o_ing_per_capita!$D317</f>
        <v>322.86263826881469</v>
      </c>
      <c r="F317" s="336">
        <f>Gasto_o_ing_per_capita!F317*100/Gasto_o_ing_per_capita!$D317</f>
        <v>233.40105469187608</v>
      </c>
      <c r="G317" s="336">
        <f>Gasto_o_ing_per_capita!G317*100/Gasto_o_ing_per_capita!$D317</f>
        <v>4.3259555330075763</v>
      </c>
      <c r="H317" s="336">
        <f>Gasto_o_ing_per_capita!H317*100/Gasto_o_ing_per_capita!$D317</f>
        <v>5.9777777299221526</v>
      </c>
      <c r="I317" s="336">
        <f>Gasto_o_ing_per_capita!I317*100/Gasto_o_ing_per_capita!$D317</f>
        <v>355.27693310137988</v>
      </c>
      <c r="J317" s="336">
        <f>Gasto_o_ing_per_capita!J317*100/Gasto_o_ing_per_capita!$D317</f>
        <v>238.15521102645684</v>
      </c>
      <c r="K317" s="336">
        <f>Gasto_o_ing_per_capita!K317*100/Gasto_o_ing_per_capita!$D317</f>
        <v>4.8545517525844408</v>
      </c>
      <c r="L317" s="336">
        <f>Gasto_o_ing_per_capita!L317*100/Gasto_o_ing_per_capita!$D317</f>
        <v>6.3929321648695741</v>
      </c>
      <c r="M317" s="336">
        <f>Gasto_o_ing_per_capita!M317*100/Gasto_o_ing_per_capita!$D317</f>
        <v>6.4441677662135453</v>
      </c>
      <c r="N317" s="336">
        <f>Gasto_o_ing_per_capita!N317*100/Gasto_o_ing_per_capita!$D317</f>
        <v>6.0344401300385426</v>
      </c>
      <c r="O317" s="336">
        <f>Gasto_o_ing_per_capita!O317*100/Gasto_o_ing_per_capita!$D317</f>
        <v>5.6822156988429624</v>
      </c>
      <c r="P317" s="336">
        <f>Gasto_o_ing_per_capita!P317*100/Gasto_o_ing_per_capita!$D317</f>
        <v>5.0190110231586633</v>
      </c>
      <c r="Q317" s="336">
        <f>Gasto_o_ing_per_capita!Q317*100/Gasto_o_ing_per_capita!$D317</f>
        <v>6.591182360413911</v>
      </c>
      <c r="R317" s="336">
        <f>Gasto_o_ing_per_capita!R317*100/Gasto_o_ing_per_capita!$D317</f>
        <v>6.9493345350776154</v>
      </c>
      <c r="S317" s="336">
        <f>Gasto_o_ing_per_capita!S317*100/Gasto_o_ing_per_capita!$D317</f>
        <v>205.10856588986036</v>
      </c>
      <c r="T317" s="336">
        <f>Gasto_o_ing_per_capita!T317*100/Gasto_o_ing_per_capita!$D317</f>
        <v>205.20888133937399</v>
      </c>
      <c r="U317" s="336">
        <f>Gasto_o_ing_per_capita!U317*100/Gasto_o_ing_per_capita!$D317</f>
        <v>6.041530133517484</v>
      </c>
      <c r="V317" s="336">
        <f>Gasto_o_ing_per_capita!V317*100/Gasto_o_ing_per_capita!$D317</f>
        <v>7.9956740695316668</v>
      </c>
    </row>
    <row r="318" spans="1:22" s="102" customFormat="1" ht="13.15">
      <c r="A318" s="355" t="str">
        <f>IF(B318="","",(IF(ISERROR(MATCH(B318,Tot_res!C:C,0)),"Eliminar!!!","")))</f>
        <v/>
      </c>
      <c r="B318" s="115" t="s">
        <v>652</v>
      </c>
      <c r="C318" s="333" t="str">
        <f>VLOOKUP(B318,Tot_res!C:D,2,FALSE)</f>
        <v xml:space="preserve">Educ. secund., formac. profesional y EEOO Idiomas, neto del gasto directo del Estado en Ceuta y Melilla </v>
      </c>
      <c r="D318" s="336">
        <f>Gasto_o_ing_per_capita!D318*100/Gasto_o_ing_per_capita!$D318</f>
        <v>100</v>
      </c>
      <c r="E318" s="336">
        <f>Gasto_o_ing_per_capita!E318*100/Gasto_o_ing_per_capita!$D318</f>
        <v>108.24816487095949</v>
      </c>
      <c r="F318" s="336">
        <f>Gasto_o_ing_per_capita!F318*100/Gasto_o_ing_per_capita!$D318</f>
        <v>112.73266796699467</v>
      </c>
      <c r="G318" s="336">
        <f>Gasto_o_ing_per_capita!G318*100/Gasto_o_ing_per_capita!$D318</f>
        <v>88.257771782886664</v>
      </c>
      <c r="H318" s="336">
        <f>Gasto_o_ing_per_capita!H318*100/Gasto_o_ing_per_capita!$D318</f>
        <v>74.721299166196076</v>
      </c>
      <c r="I318" s="336">
        <f>Gasto_o_ing_per_capita!I318*100/Gasto_o_ing_per_capita!$D318</f>
        <v>105.23348183244916</v>
      </c>
      <c r="J318" s="336">
        <f>Gasto_o_ing_per_capita!J318*100/Gasto_o_ing_per_capita!$D318</f>
        <v>105.6003523527454</v>
      </c>
      <c r="K318" s="336">
        <f>Gasto_o_ing_per_capita!K318*100/Gasto_o_ing_per_capita!$D318</f>
        <v>135.85594809722389</v>
      </c>
      <c r="L318" s="336">
        <f>Gasto_o_ing_per_capita!L318*100/Gasto_o_ing_per_capita!$D318</f>
        <v>126.3512748941602</v>
      </c>
      <c r="M318" s="336">
        <f>Gasto_o_ing_per_capita!M318*100/Gasto_o_ing_per_capita!$D318</f>
        <v>91.007444348522483</v>
      </c>
      <c r="N318" s="336">
        <f>Gasto_o_ing_per_capita!N318*100/Gasto_o_ing_per_capita!$D318</f>
        <v>105.04608859589037</v>
      </c>
      <c r="O318" s="336">
        <f>Gasto_o_ing_per_capita!O318*100/Gasto_o_ing_per_capita!$D318</f>
        <v>128.25978213022569</v>
      </c>
      <c r="P318" s="336">
        <f>Gasto_o_ing_per_capita!P318*100/Gasto_o_ing_per_capita!$D318</f>
        <v>99.273188800596913</v>
      </c>
      <c r="Q318" s="336">
        <f>Gasto_o_ing_per_capita!Q318*100/Gasto_o_ing_per_capita!$D318</f>
        <v>74.111682679499523</v>
      </c>
      <c r="R318" s="336">
        <f>Gasto_o_ing_per_capita!R318*100/Gasto_o_ing_per_capita!$D318</f>
        <v>95.249107833877858</v>
      </c>
      <c r="S318" s="336">
        <f>Gasto_o_ing_per_capita!S318*100/Gasto_o_ing_per_capita!$D318</f>
        <v>98.571212227828042</v>
      </c>
      <c r="T318" s="336">
        <f>Gasto_o_ing_per_capita!T318*100/Gasto_o_ing_per_capita!$D318</f>
        <v>92.321995992483323</v>
      </c>
      <c r="U318" s="336">
        <f>Gasto_o_ing_per_capita!U318*100/Gasto_o_ing_per_capita!$D318</f>
        <v>120.00656708496626</v>
      </c>
      <c r="V318" s="336">
        <f>Gasto_o_ing_per_capita!V318*100/Gasto_o_ing_per_capita!$D318</f>
        <v>62.869053772198889</v>
      </c>
    </row>
    <row r="319" spans="1:22" s="102" customFormat="1" ht="13.15">
      <c r="A319" s="355" t="str">
        <f>IF(B319="","",(IF(ISERROR(MATCH(B319,Tot_res!C:C,0)),"Eliminar!!!","")))</f>
        <v/>
      </c>
      <c r="B319" s="115" t="s">
        <v>653</v>
      </c>
      <c r="C319" s="333" t="str">
        <f>VLOOKUP(B319,Tot_res!C:D,2,FALSE)</f>
        <v>Enseñanzas universitarias, neto del gasto directo del Estado en Ceuta y Melilla</v>
      </c>
      <c r="D319" s="336">
        <f>Gasto_o_ing_per_capita!D319*100/Gasto_o_ing_per_capita!$D319</f>
        <v>100</v>
      </c>
      <c r="E319" s="336">
        <f>Gasto_o_ing_per_capita!E319*100/Gasto_o_ing_per_capita!$D319</f>
        <v>85.35375830059705</v>
      </c>
      <c r="F319" s="336">
        <f>Gasto_o_ing_per_capita!F319*100/Gasto_o_ing_per_capita!$D319</f>
        <v>129.90503154891988</v>
      </c>
      <c r="G319" s="336">
        <f>Gasto_o_ing_per_capita!G319*100/Gasto_o_ing_per_capita!$D319</f>
        <v>103.33658200149159</v>
      </c>
      <c r="H319" s="336">
        <f>Gasto_o_ing_per_capita!H319*100/Gasto_o_ing_per_capita!$D319</f>
        <v>96.840846465540196</v>
      </c>
      <c r="I319" s="336">
        <f>Gasto_o_ing_per_capita!I319*100/Gasto_o_ing_per_capita!$D319</f>
        <v>102.26832871915219</v>
      </c>
      <c r="J319" s="336">
        <f>Gasto_o_ing_per_capita!J319*100/Gasto_o_ing_per_capita!$D319</f>
        <v>123.56462790001291</v>
      </c>
      <c r="K319" s="336">
        <f>Gasto_o_ing_per_capita!K319*100/Gasto_o_ing_per_capita!$D319</f>
        <v>103.07497704404538</v>
      </c>
      <c r="L319" s="336">
        <f>Gasto_o_ing_per_capita!L319*100/Gasto_o_ing_per_capita!$D319</f>
        <v>127.88386326426327</v>
      </c>
      <c r="M319" s="336">
        <f>Gasto_o_ing_per_capita!M319*100/Gasto_o_ing_per_capita!$D319</f>
        <v>53.992731029650507</v>
      </c>
      <c r="N319" s="336">
        <f>Gasto_o_ing_per_capita!N319*100/Gasto_o_ing_per_capita!$D319</f>
        <v>83.567610778109611</v>
      </c>
      <c r="O319" s="336">
        <f>Gasto_o_ing_per_capita!O319*100/Gasto_o_ing_per_capita!$D319</f>
        <v>97.841926323307717</v>
      </c>
      <c r="P319" s="336">
        <f>Gasto_o_ing_per_capita!P319*100/Gasto_o_ing_per_capita!$D319</f>
        <v>113.11610741783096</v>
      </c>
      <c r="Q319" s="336">
        <f>Gasto_o_ing_per_capita!Q319*100/Gasto_o_ing_per_capita!$D319</f>
        <v>161.74205308841783</v>
      </c>
      <c r="R319" s="336">
        <f>Gasto_o_ing_per_capita!R319*100/Gasto_o_ing_per_capita!$D319</f>
        <v>97.900005621488617</v>
      </c>
      <c r="S319" s="336">
        <f>Gasto_o_ing_per_capita!S319*100/Gasto_o_ing_per_capita!$D319</f>
        <v>150.9501260018335</v>
      </c>
      <c r="T319" s="336">
        <f>Gasto_o_ing_per_capita!T319*100/Gasto_o_ing_per_capita!$D319</f>
        <v>78.444658527007022</v>
      </c>
      <c r="U319" s="336">
        <f>Gasto_o_ing_per_capita!U319*100/Gasto_o_ing_per_capita!$D319</f>
        <v>106.6540541568468</v>
      </c>
      <c r="V319" s="336">
        <f>Gasto_o_ing_per_capita!V319*100/Gasto_o_ing_per_capita!$D319</f>
        <v>161.42949276151538</v>
      </c>
    </row>
    <row r="320" spans="1:22" s="102" customFormat="1" ht="13.15">
      <c r="A320" s="355" t="str">
        <f>IF(B320="","",(IF(ISERROR(MATCH(B320,Tot_res!C:C,0)),"Eliminar!!!","")))</f>
        <v/>
      </c>
      <c r="B320" s="115" t="s">
        <v>654</v>
      </c>
      <c r="C320" s="333" t="str">
        <f>VLOOKUP(B320,Tot_res!C:D,2,FALSE)</f>
        <v xml:space="preserve">Enseñanzas artísticas, neto del gasto directo del Estado en Ceuta y Melilla </v>
      </c>
      <c r="D320" s="336">
        <f>Gasto_o_ing_per_capita!D320*100/Gasto_o_ing_per_capita!$D320</f>
        <v>100</v>
      </c>
      <c r="E320" s="336">
        <f>Gasto_o_ing_per_capita!E320*100/Gasto_o_ing_per_capita!$D320</f>
        <v>81.604164715522487</v>
      </c>
      <c r="F320" s="336">
        <f>Gasto_o_ing_per_capita!F320*100/Gasto_o_ing_per_capita!$D320</f>
        <v>116.88043938355204</v>
      </c>
      <c r="G320" s="336">
        <f>Gasto_o_ing_per_capita!G320*100/Gasto_o_ing_per_capita!$D320</f>
        <v>34.439786601501062</v>
      </c>
      <c r="H320" s="336">
        <f>Gasto_o_ing_per_capita!H320*100/Gasto_o_ing_per_capita!$D320</f>
        <v>24.259991402243035</v>
      </c>
      <c r="I320" s="336">
        <f>Gasto_o_ing_per_capita!I320*100/Gasto_o_ing_per_capita!$D320</f>
        <v>140.25229314125835</v>
      </c>
      <c r="J320" s="336">
        <f>Gasto_o_ing_per_capita!J320*100/Gasto_o_ing_per_capita!$D320</f>
        <v>40.76495609020548</v>
      </c>
      <c r="K320" s="336">
        <f>Gasto_o_ing_per_capita!K320*100/Gasto_o_ing_per_capita!$D320</f>
        <v>106.57683874636189</v>
      </c>
      <c r="L320" s="336">
        <f>Gasto_o_ing_per_capita!L320*100/Gasto_o_ing_per_capita!$D320</f>
        <v>103.37937139071106</v>
      </c>
      <c r="M320" s="336">
        <f>Gasto_o_ing_per_capita!M320*100/Gasto_o_ing_per_capita!$D320</f>
        <v>124.29965337473779</v>
      </c>
      <c r="N320" s="336">
        <f>Gasto_o_ing_per_capita!N320*100/Gasto_o_ing_per_capita!$D320</f>
        <v>57.159567625063104</v>
      </c>
      <c r="O320" s="336">
        <f>Gasto_o_ing_per_capita!O320*100/Gasto_o_ing_per_capita!$D320</f>
        <v>27.077130036854999</v>
      </c>
      <c r="P320" s="336">
        <f>Gasto_o_ing_per_capita!P320*100/Gasto_o_ing_per_capita!$D320</f>
        <v>107.585204076295</v>
      </c>
      <c r="Q320" s="336">
        <f>Gasto_o_ing_per_capita!Q320*100/Gasto_o_ing_per_capita!$D320</f>
        <v>102.73271412245414</v>
      </c>
      <c r="R320" s="336">
        <f>Gasto_o_ing_per_capita!R320*100/Gasto_o_ing_per_capita!$D320</f>
        <v>41.357872057956314</v>
      </c>
      <c r="S320" s="336">
        <f>Gasto_o_ing_per_capita!S320*100/Gasto_o_ing_per_capita!$D320</f>
        <v>281.80473055163225</v>
      </c>
      <c r="T320" s="336">
        <f>Gasto_o_ing_per_capita!T320*100/Gasto_o_ing_per_capita!$D320</f>
        <v>216.45963658504041</v>
      </c>
      <c r="U320" s="336">
        <f>Gasto_o_ing_per_capita!U320*100/Gasto_o_ing_per_capita!$D320</f>
        <v>130.8197774162384</v>
      </c>
      <c r="V320" s="336">
        <f>Gasto_o_ing_per_capita!V320*100/Gasto_o_ing_per_capita!$D320</f>
        <v>53.766540939462772</v>
      </c>
    </row>
    <row r="321" spans="1:22" s="102" customFormat="1" ht="13.15">
      <c r="A321" s="355" t="str">
        <f>IF(B321="","",(IF(ISERROR(MATCH(B321,Tot_res!C:C,0)),"Eliminar!!!","")))</f>
        <v/>
      </c>
      <c r="B321" s="115" t="s">
        <v>655</v>
      </c>
      <c r="C321" s="333" t="str">
        <f>VLOOKUP(B321,Tot_res!C:D,2,FALSE)</f>
        <v>Educación compensatoria,neto del gasto directo del Estado en Ceuta y Melilla  +AF12/2</v>
      </c>
      <c r="D321" s="336">
        <f>Gasto_o_ing_per_capita!D321*100/Gasto_o_ing_per_capita!$D321</f>
        <v>100</v>
      </c>
      <c r="E321" s="336">
        <f>Gasto_o_ing_per_capita!E321*100/Gasto_o_ing_per_capita!$D321</f>
        <v>108.08571149207241</v>
      </c>
      <c r="F321" s="336">
        <f>Gasto_o_ing_per_capita!F321*100/Gasto_o_ing_per_capita!$D321</f>
        <v>92.795917551351366</v>
      </c>
      <c r="G321" s="336">
        <f>Gasto_o_ing_per_capita!G321*100/Gasto_o_ing_per_capita!$D321</f>
        <v>76.300335158949935</v>
      </c>
      <c r="H321" s="336">
        <f>Gasto_o_ing_per_capita!H321*100/Gasto_o_ing_per_capita!$D321</f>
        <v>76.863204428468535</v>
      </c>
      <c r="I321" s="336">
        <f>Gasto_o_ing_per_capita!I321*100/Gasto_o_ing_per_capita!$D321</f>
        <v>105.58920281354605</v>
      </c>
      <c r="J321" s="336">
        <f>Gasto_o_ing_per_capita!J321*100/Gasto_o_ing_per_capita!$D321</f>
        <v>76.335298217766535</v>
      </c>
      <c r="K321" s="336">
        <f>Gasto_o_ing_per_capita!K321*100/Gasto_o_ing_per_capita!$D321</f>
        <v>67.514531636327106</v>
      </c>
      <c r="L321" s="336">
        <f>Gasto_o_ing_per_capita!L321*100/Gasto_o_ing_per_capita!$D321</f>
        <v>86.841155204035715</v>
      </c>
      <c r="M321" s="336">
        <f>Gasto_o_ing_per_capita!M321*100/Gasto_o_ing_per_capita!$D321</f>
        <v>131.02977742550453</v>
      </c>
      <c r="N321" s="336">
        <f>Gasto_o_ing_per_capita!N321*100/Gasto_o_ing_per_capita!$D321</f>
        <v>83.468165542500159</v>
      </c>
      <c r="O321" s="336">
        <f>Gasto_o_ing_per_capita!O321*100/Gasto_o_ing_per_capita!$D321</f>
        <v>84.577811246614289</v>
      </c>
      <c r="P321" s="336">
        <f>Gasto_o_ing_per_capita!P321*100/Gasto_o_ing_per_capita!$D321</f>
        <v>68.018499285389083</v>
      </c>
      <c r="Q321" s="336">
        <f>Gasto_o_ing_per_capita!Q321*100/Gasto_o_ing_per_capita!$D321</f>
        <v>103.32125676655339</v>
      </c>
      <c r="R321" s="336">
        <f>Gasto_o_ing_per_capita!R321*100/Gasto_o_ing_per_capita!$D321</f>
        <v>139.61857406341451</v>
      </c>
      <c r="S321" s="336">
        <f>Gasto_o_ing_per_capita!S321*100/Gasto_o_ing_per_capita!$D321</f>
        <v>116.00790062442636</v>
      </c>
      <c r="T321" s="336">
        <f>Gasto_o_ing_per_capita!T321*100/Gasto_o_ing_per_capita!$D321</f>
        <v>77.158361428977287</v>
      </c>
      <c r="U321" s="336">
        <f>Gasto_o_ing_per_capita!U321*100/Gasto_o_ing_per_capita!$D321</f>
        <v>128.95143637820524</v>
      </c>
      <c r="V321" s="336">
        <f>Gasto_o_ing_per_capita!V321*100/Gasto_o_ing_per_capita!$D321</f>
        <v>154.69220665216676</v>
      </c>
    </row>
    <row r="322" spans="1:22" s="102" customFormat="1" ht="13.15">
      <c r="A322" s="355" t="str">
        <f>IF(B322="","",(IF(ISERROR(MATCH(B322,Tot_res!C:C,0)),"Eliminar!!!","")))</f>
        <v/>
      </c>
      <c r="B322" s="102" t="s">
        <v>656</v>
      </c>
      <c r="C322" s="333" t="str">
        <f>VLOOKUP(B322,Tot_res!C:D,2,FALSE)</f>
        <v xml:space="preserve">Deporte en edad escolar y en la universidad, neto del gasto directo del Estado en Ceuta y Melilla  </v>
      </c>
      <c r="D322" s="336">
        <f>Gasto_o_ing_per_capita!D322*100/Gasto_o_ing_per_capita!$D322</f>
        <v>99.999999999999986</v>
      </c>
      <c r="E322" s="336">
        <f>Gasto_o_ing_per_capita!E322*100/Gasto_o_ing_per_capita!$D322</f>
        <v>109.12111807769192</v>
      </c>
      <c r="F322" s="336">
        <f>Gasto_o_ing_per_capita!F322*100/Gasto_o_ing_per_capita!$D322</f>
        <v>93.089368513788486</v>
      </c>
      <c r="G322" s="336">
        <f>Gasto_o_ing_per_capita!G322*100/Gasto_o_ing_per_capita!$D322</f>
        <v>76.217066305812992</v>
      </c>
      <c r="H322" s="336">
        <f>Gasto_o_ing_per_capita!H322*100/Gasto_o_ing_per_capita!$D322</f>
        <v>87.624334613120467</v>
      </c>
      <c r="I322" s="336">
        <f>Gasto_o_ing_per_capita!I322*100/Gasto_o_ing_per_capita!$D322</f>
        <v>94.769782533887437</v>
      </c>
      <c r="J322" s="336">
        <f>Gasto_o_ing_per_capita!J322*100/Gasto_o_ing_per_capita!$D322</f>
        <v>88.261305804097248</v>
      </c>
      <c r="K322" s="336">
        <f>Gasto_o_ing_per_capita!K322*100/Gasto_o_ing_per_capita!$D322</f>
        <v>81.783656970786751</v>
      </c>
      <c r="L322" s="336">
        <f>Gasto_o_ing_per_capita!L322*100/Gasto_o_ing_per_capita!$D322</f>
        <v>108.79799528002114</v>
      </c>
      <c r="M322" s="336">
        <f>Gasto_o_ing_per_capita!M322*100/Gasto_o_ing_per_capita!$D322</f>
        <v>100.56989648713731</v>
      </c>
      <c r="N322" s="336">
        <f>Gasto_o_ing_per_capita!N322*100/Gasto_o_ing_per_capita!$D322</f>
        <v>98.881149644075464</v>
      </c>
      <c r="O322" s="336">
        <f>Gasto_o_ing_per_capita!O322*100/Gasto_o_ing_per_capita!$D322</f>
        <v>96.971308229787496</v>
      </c>
      <c r="P322" s="336">
        <f>Gasto_o_ing_per_capita!P322*100/Gasto_o_ing_per_capita!$D322</f>
        <v>85.999445124151336</v>
      </c>
      <c r="Q322" s="336">
        <f>Gasto_o_ing_per_capita!Q322*100/Gasto_o_ing_per_capita!$D322</f>
        <v>107.57718804534208</v>
      </c>
      <c r="R322" s="336">
        <f>Gasto_o_ing_per_capita!R322*100/Gasto_o_ing_per_capita!$D322</f>
        <v>112.50883271042191</v>
      </c>
      <c r="S322" s="336">
        <f>Gasto_o_ing_per_capita!S322*100/Gasto_o_ing_per_capita!$D322</f>
        <v>97.128629773101025</v>
      </c>
      <c r="T322" s="336">
        <f>Gasto_o_ing_per_capita!T322*100/Gasto_o_ing_per_capita!$D322</f>
        <v>95.093364194950993</v>
      </c>
      <c r="U322" s="336">
        <f>Gasto_o_ing_per_capita!U322*100/Gasto_o_ing_per_capita!$D322</f>
        <v>104.38259947931196</v>
      </c>
      <c r="V322" s="336">
        <f>Gasto_o_ing_per_capita!V322*100/Gasto_o_ing_per_capita!$D322</f>
        <v>122.35791510570242</v>
      </c>
    </row>
    <row r="323" spans="1:22" s="102" customFormat="1" ht="13.15">
      <c r="A323" s="355" t="str">
        <f>IF(B323="","",(IF(ISERROR(MATCH(B323,Tot_res!C:C,0)),"Eliminar!!!","")))</f>
        <v/>
      </c>
      <c r="B323" s="102" t="s">
        <v>657</v>
      </c>
      <c r="C323" s="333" t="str">
        <f>VLOOKUP(B323,Tot_res!C:D,2,FALSE)</f>
        <v xml:space="preserve">Otras enseñanzas y actividades educativas, neto del gasto directo del Estado en Ceuta y Melilla  </v>
      </c>
      <c r="D323" s="336">
        <f>Gasto_o_ing_per_capita!D323*100/Gasto_o_ing_per_capita!$D323</f>
        <v>100</v>
      </c>
      <c r="E323" s="336">
        <f>Gasto_o_ing_per_capita!E323*100/Gasto_o_ing_per_capita!$D323</f>
        <v>109.25979190020749</v>
      </c>
      <c r="F323" s="336">
        <f>Gasto_o_ing_per_capita!F323*100/Gasto_o_ing_per_capita!$D323</f>
        <v>140.66009177926392</v>
      </c>
      <c r="G323" s="336">
        <f>Gasto_o_ing_per_capita!G323*100/Gasto_o_ing_per_capita!$D323</f>
        <v>157.8258044902291</v>
      </c>
      <c r="H323" s="336">
        <f>Gasto_o_ing_per_capita!H323*100/Gasto_o_ing_per_capita!$D323</f>
        <v>80.912675620802617</v>
      </c>
      <c r="I323" s="336">
        <f>Gasto_o_ing_per_capita!I323*100/Gasto_o_ing_per_capita!$D323</f>
        <v>62.171707995634549</v>
      </c>
      <c r="J323" s="336">
        <f>Gasto_o_ing_per_capita!J323*100/Gasto_o_ing_per_capita!$D323</f>
        <v>219.04201247357761</v>
      </c>
      <c r="K323" s="336">
        <f>Gasto_o_ing_per_capita!K323*100/Gasto_o_ing_per_capita!$D323</f>
        <v>121.4844541742397</v>
      </c>
      <c r="L323" s="336">
        <f>Gasto_o_ing_per_capita!L323*100/Gasto_o_ing_per_capita!$D323</f>
        <v>139.22585928311992</v>
      </c>
      <c r="M323" s="336">
        <f>Gasto_o_ing_per_capita!M323*100/Gasto_o_ing_per_capita!$D323</f>
        <v>58.984669738758669</v>
      </c>
      <c r="N323" s="336">
        <f>Gasto_o_ing_per_capita!N323*100/Gasto_o_ing_per_capita!$D323</f>
        <v>65.074868290069318</v>
      </c>
      <c r="O323" s="336">
        <f>Gasto_o_ing_per_capita!O323*100/Gasto_o_ing_per_capita!$D323</f>
        <v>97.360953444076941</v>
      </c>
      <c r="P323" s="336">
        <f>Gasto_o_ing_per_capita!P323*100/Gasto_o_ing_per_capita!$D323</f>
        <v>59.386851091995787</v>
      </c>
      <c r="Q323" s="336">
        <f>Gasto_o_ing_per_capita!Q323*100/Gasto_o_ing_per_capita!$D323</f>
        <v>93.997216155313865</v>
      </c>
      <c r="R323" s="336">
        <f>Gasto_o_ing_per_capita!R323*100/Gasto_o_ing_per_capita!$D323</f>
        <v>73.741783013327861</v>
      </c>
      <c r="S323" s="336">
        <f>Gasto_o_ing_per_capita!S323*100/Gasto_o_ing_per_capita!$D323</f>
        <v>114.86978372265838</v>
      </c>
      <c r="T323" s="336">
        <f>Gasto_o_ing_per_capita!T323*100/Gasto_o_ing_per_capita!$D323</f>
        <v>236.1751422672111</v>
      </c>
      <c r="U323" s="336">
        <f>Gasto_o_ing_per_capita!U323*100/Gasto_o_ing_per_capita!$D323</f>
        <v>84.764285853464884</v>
      </c>
      <c r="V323" s="336">
        <f>Gasto_o_ing_per_capita!V323*100/Gasto_o_ing_per_capita!$D323</f>
        <v>551.91403932877404</v>
      </c>
    </row>
    <row r="324" spans="1:22" s="102" customFormat="1" ht="13.15">
      <c r="A324" s="355" t="str">
        <f>IF(B324="","",(IF(ISERROR(MATCH(B324,Tot_res!C:C,0)),"Eliminar!!!","")))</f>
        <v/>
      </c>
      <c r="B324" s="115" t="s">
        <v>658</v>
      </c>
      <c r="C324" s="333" t="str">
        <f>VLOOKUP(B324,Tot_res!C:D,2,FALSE)</f>
        <v xml:space="preserve">Servicios complementarios de la enseñanza, neto del gasto directo del Estado en Ceuta y Melilla  </v>
      </c>
      <c r="D324" s="336">
        <f>Gasto_o_ing_per_capita!D324*100/Gasto_o_ing_per_capita!$D324</f>
        <v>100</v>
      </c>
      <c r="E324" s="336">
        <f>Gasto_o_ing_per_capita!E324*100/Gasto_o_ing_per_capita!$D324</f>
        <v>105.6651061594209</v>
      </c>
      <c r="F324" s="336">
        <f>Gasto_o_ing_per_capita!F324*100/Gasto_o_ing_per_capita!$D324</f>
        <v>94.021184429747976</v>
      </c>
      <c r="G324" s="336">
        <f>Gasto_o_ing_per_capita!G324*100/Gasto_o_ing_per_capita!$D324</f>
        <v>85.773406329925649</v>
      </c>
      <c r="H324" s="336">
        <f>Gasto_o_ing_per_capita!H324*100/Gasto_o_ing_per_capita!$D324</f>
        <v>82.776743833812503</v>
      </c>
      <c r="I324" s="336">
        <f>Gasto_o_ing_per_capita!I324*100/Gasto_o_ing_per_capita!$D324</f>
        <v>100.3738124679449</v>
      </c>
      <c r="J324" s="336">
        <f>Gasto_o_ing_per_capita!J324*100/Gasto_o_ing_per_capita!$D324</f>
        <v>91.371055585566538</v>
      </c>
      <c r="K324" s="336">
        <f>Gasto_o_ing_per_capita!K324*100/Gasto_o_ing_per_capita!$D324</f>
        <v>87.856633651979564</v>
      </c>
      <c r="L324" s="336">
        <f>Gasto_o_ing_per_capita!L324*100/Gasto_o_ing_per_capita!$D324</f>
        <v>111.08786011390104</v>
      </c>
      <c r="M324" s="336">
        <f>Gasto_o_ing_per_capita!M324*100/Gasto_o_ing_per_capita!$D324</f>
        <v>97.369955634031172</v>
      </c>
      <c r="N324" s="336">
        <f>Gasto_o_ing_per_capita!N324*100/Gasto_o_ing_per_capita!$D324</f>
        <v>99.92440421368461</v>
      </c>
      <c r="O324" s="336">
        <f>Gasto_o_ing_per_capita!O324*100/Gasto_o_ing_per_capita!$D324</f>
        <v>101.39305111154981</v>
      </c>
      <c r="P324" s="336">
        <f>Gasto_o_ing_per_capita!P324*100/Gasto_o_ing_per_capita!$D324</f>
        <v>92.448276885712289</v>
      </c>
      <c r="Q324" s="336">
        <f>Gasto_o_ing_per_capita!Q324*100/Gasto_o_ing_per_capita!$D324</f>
        <v>106.61639489624308</v>
      </c>
      <c r="R324" s="336">
        <f>Gasto_o_ing_per_capita!R324*100/Gasto_o_ing_per_capita!$D324</f>
        <v>109.86951962998454</v>
      </c>
      <c r="S324" s="336">
        <f>Gasto_o_ing_per_capita!S324*100/Gasto_o_ing_per_capita!$D324</f>
        <v>97.644670328247628</v>
      </c>
      <c r="T324" s="336">
        <f>Gasto_o_ing_per_capita!T324*100/Gasto_o_ing_per_capita!$D324</f>
        <v>93.131568108536555</v>
      </c>
      <c r="U324" s="336">
        <f>Gasto_o_ing_per_capita!U324*100/Gasto_o_ing_per_capita!$D324</f>
        <v>108.56809523802545</v>
      </c>
      <c r="V324" s="336">
        <f>Gasto_o_ing_per_capita!V324*100/Gasto_o_ing_per_capita!$D324</f>
        <v>112.13597532267757</v>
      </c>
    </row>
    <row r="325" spans="1:22" s="102" customFormat="1" ht="13.15">
      <c r="A325" s="355" t="str">
        <f>IF(B325="","",(IF(ISERROR(MATCH(B325,Tot_res!C:C,0)),"Eliminar!!!","")))</f>
        <v/>
      </c>
      <c r="B325" s="115" t="s">
        <v>319</v>
      </c>
      <c r="C325" s="333" t="str">
        <f>VLOOKUP(B325,Tot_res!C:D,2,FALSE)</f>
        <v>Investigación y evaluación educativa</v>
      </c>
      <c r="D325" s="336">
        <f>Gasto_o_ing_per_capita!D325*100/Gasto_o_ing_per_capita!$D325</f>
        <v>100</v>
      </c>
      <c r="E325" s="336">
        <f>Gasto_o_ing_per_capita!E325*100/Gasto_o_ing_per_capita!$D325</f>
        <v>111.2632490528668</v>
      </c>
      <c r="F325" s="336">
        <f>Gasto_o_ing_per_capita!F325*100/Gasto_o_ing_per_capita!$D325</f>
        <v>93.104423179208922</v>
      </c>
      <c r="G325" s="336">
        <f>Gasto_o_ing_per_capita!G325*100/Gasto_o_ing_per_capita!$D325</f>
        <v>74.834520724049796</v>
      </c>
      <c r="H325" s="336">
        <f>Gasto_o_ing_per_capita!H325*100/Gasto_o_ing_per_capita!$D325</f>
        <v>93.237255814401308</v>
      </c>
      <c r="I325" s="336">
        <f>Gasto_o_ing_per_capita!I325*100/Gasto_o_ing_per_capita!$D325</f>
        <v>97.838260961679964</v>
      </c>
      <c r="J325" s="336">
        <f>Gasto_o_ing_per_capita!J325*100/Gasto_o_ing_per_capita!$D325</f>
        <v>90.232616449445757</v>
      </c>
      <c r="K325" s="336">
        <f>Gasto_o_ing_per_capita!K325*100/Gasto_o_ing_per_capita!$D325</f>
        <v>85.120730542989634</v>
      </c>
      <c r="L325" s="336">
        <f>Gasto_o_ing_per_capita!L325*100/Gasto_o_ing_per_capita!$D325</f>
        <v>105.40791893455764</v>
      </c>
      <c r="M325" s="336">
        <f>Gasto_o_ing_per_capita!M325*100/Gasto_o_ing_per_capita!$D325</f>
        <v>101.15106021645002</v>
      </c>
      <c r="N325" s="336">
        <f>Gasto_o_ing_per_capita!N325*100/Gasto_o_ing_per_capita!$D325</f>
        <v>98.588097675200956</v>
      </c>
      <c r="O325" s="336">
        <f>Gasto_o_ing_per_capita!O325*100/Gasto_o_ing_per_capita!$D325</f>
        <v>98.577424368062779</v>
      </c>
      <c r="P325" s="336">
        <f>Gasto_o_ing_per_capita!P325*100/Gasto_o_ing_per_capita!$D325</f>
        <v>85.570534092047794</v>
      </c>
      <c r="Q325" s="336">
        <f>Gasto_o_ing_per_capita!Q325*100/Gasto_o_ing_per_capita!$D325</f>
        <v>101.84457913446407</v>
      </c>
      <c r="R325" s="336">
        <f>Gasto_o_ing_per_capita!R325*100/Gasto_o_ing_per_capita!$D325</f>
        <v>112.72177085177663</v>
      </c>
      <c r="S325" s="336">
        <f>Gasto_o_ing_per_capita!S325*100/Gasto_o_ing_per_capita!$D325</f>
        <v>96.414649057926141</v>
      </c>
      <c r="T325" s="336">
        <f>Gasto_o_ing_per_capita!T325*100/Gasto_o_ing_per_capita!$D325</f>
        <v>96.207492555597199</v>
      </c>
      <c r="U325" s="336">
        <f>Gasto_o_ing_per_capita!U325*100/Gasto_o_ing_per_capita!$D325</f>
        <v>97.773911383309667</v>
      </c>
      <c r="V325" s="336">
        <f>Gasto_o_ing_per_capita!V325*100/Gasto_o_ing_per_capita!$D325</f>
        <v>132.60483022535448</v>
      </c>
    </row>
    <row r="326" spans="1:22" s="102" customFormat="1" ht="13.15">
      <c r="A326" s="355" t="str">
        <f>IF(B326="","",(IF(ISERROR(MATCH(B326,Tot_res!C:C,0)),"Eliminar!!!","")))</f>
        <v/>
      </c>
      <c r="B326" s="115" t="s">
        <v>659</v>
      </c>
      <c r="C326" s="333" t="str">
        <f>VLOOKUP(B326,Tot_res!C:D,2,FALSE)</f>
        <v>Formación del personal de las administraciones públicas + AF12/3</v>
      </c>
      <c r="D326" s="336">
        <f>Gasto_o_ing_per_capita!D326*100/Gasto_o_ing_per_capita!$D326</f>
        <v>100</v>
      </c>
      <c r="E326" s="336">
        <f>Gasto_o_ing_per_capita!E326*100/Gasto_o_ing_per_capita!$D326</f>
        <v>108.68009381371581</v>
      </c>
      <c r="F326" s="336">
        <f>Gasto_o_ing_per_capita!F326*100/Gasto_o_ing_per_capita!$D326</f>
        <v>99.193300144295918</v>
      </c>
      <c r="G326" s="336">
        <f>Gasto_o_ing_per_capita!G326*100/Gasto_o_ing_per_capita!$D326</f>
        <v>98.73967958386541</v>
      </c>
      <c r="H326" s="336">
        <f>Gasto_o_ing_per_capita!H326*100/Gasto_o_ing_per_capita!$D326</f>
        <v>86.979486755491834</v>
      </c>
      <c r="I326" s="336">
        <f>Gasto_o_ing_per_capita!I326*100/Gasto_o_ing_per_capita!$D326</f>
        <v>99.769700608043593</v>
      </c>
      <c r="J326" s="336">
        <f>Gasto_o_ing_per_capita!J326*100/Gasto_o_ing_per_capita!$D326</f>
        <v>92.350202043765208</v>
      </c>
      <c r="K326" s="336">
        <f>Gasto_o_ing_per_capita!K326*100/Gasto_o_ing_per_capita!$D326</f>
        <v>110.99645947441547</v>
      </c>
      <c r="L326" s="336">
        <f>Gasto_o_ing_per_capita!L326*100/Gasto_o_ing_per_capita!$D326</f>
        <v>108.85274678534695</v>
      </c>
      <c r="M326" s="336">
        <f>Gasto_o_ing_per_capita!M326*100/Gasto_o_ing_per_capita!$D326</f>
        <v>88.968120511647598</v>
      </c>
      <c r="N326" s="336">
        <f>Gasto_o_ing_per_capita!N326*100/Gasto_o_ing_per_capita!$D326</f>
        <v>97.054698986159451</v>
      </c>
      <c r="O326" s="336">
        <f>Gasto_o_ing_per_capita!O326*100/Gasto_o_ing_per_capita!$D326</f>
        <v>166.8955858552645</v>
      </c>
      <c r="P326" s="336">
        <f>Gasto_o_ing_per_capita!P326*100/Gasto_o_ing_per_capita!$D326</f>
        <v>106.03570098664269</v>
      </c>
      <c r="Q326" s="336">
        <f>Gasto_o_ing_per_capita!Q326*100/Gasto_o_ing_per_capita!$D326</f>
        <v>87.087947010479795</v>
      </c>
      <c r="R326" s="336">
        <f>Gasto_o_ing_per_capita!R326*100/Gasto_o_ing_per_capita!$D326</f>
        <v>100.46084421897962</v>
      </c>
      <c r="S326" s="336">
        <f>Gasto_o_ing_per_capita!S326*100/Gasto_o_ing_per_capita!$D326</f>
        <v>109.76667761295869</v>
      </c>
      <c r="T326" s="336">
        <f>Gasto_o_ing_per_capita!T326*100/Gasto_o_ing_per_capita!$D326</f>
        <v>100.00000000000003</v>
      </c>
      <c r="U326" s="336">
        <f>Gasto_o_ing_per_capita!U326*100/Gasto_o_ing_per_capita!$D326</f>
        <v>90.450875992188955</v>
      </c>
      <c r="V326" s="336">
        <f>Gasto_o_ing_per_capita!V326*100/Gasto_o_ing_per_capita!$D326</f>
        <v>41.167119896354841</v>
      </c>
    </row>
    <row r="327" spans="1:22" s="102" customFormat="1" ht="13.15">
      <c r="A327" s="355" t="str">
        <f>IF(B327="","",(IF(ISERROR(MATCH(B327,Tot_res!C:C,0)),"Eliminar!!!","")))</f>
        <v/>
      </c>
      <c r="B327" s="115" t="s">
        <v>320</v>
      </c>
      <c r="C327" s="333" t="str">
        <f>VLOOKUP(B327,Tot_res!C:D,2,FALSE)</f>
        <v>Profesores de religión</v>
      </c>
      <c r="D327" s="336">
        <f>Gasto_o_ing_per_capita!D327*100/Gasto_o_ing_per_capita!$D327</f>
        <v>100</v>
      </c>
      <c r="E327" s="336">
        <f>Gasto_o_ing_per_capita!E327*100/Gasto_o_ing_per_capita!$D327</f>
        <v>0</v>
      </c>
      <c r="F327" s="336">
        <f>Gasto_o_ing_per_capita!F327*100/Gasto_o_ing_per_capita!$D327</f>
        <v>0</v>
      </c>
      <c r="G327" s="336">
        <f>Gasto_o_ing_per_capita!G327*100/Gasto_o_ing_per_capita!$D327</f>
        <v>209.67553885588907</v>
      </c>
      <c r="H327" s="336">
        <f>Gasto_o_ing_per_capita!H327*100/Gasto_o_ing_per_capita!$D327</f>
        <v>102.70092760587212</v>
      </c>
      <c r="I327" s="336">
        <f>Gasto_o_ing_per_capita!I327*100/Gasto_o_ing_per_capita!$D327</f>
        <v>0</v>
      </c>
      <c r="J327" s="336">
        <f>Gasto_o_ing_per_capita!J327*100/Gasto_o_ing_per_capita!$D327</f>
        <v>0</v>
      </c>
      <c r="K327" s="336">
        <f>Gasto_o_ing_per_capita!K327*100/Gasto_o_ing_per_capita!$D327</f>
        <v>150.02463168884972</v>
      </c>
      <c r="L327" s="336">
        <f>Gasto_o_ing_per_capita!L327*100/Gasto_o_ing_per_capita!$D327</f>
        <v>167.05326234672393</v>
      </c>
      <c r="M327" s="336">
        <f>Gasto_o_ing_per_capita!M327*100/Gasto_o_ing_per_capita!$D327</f>
        <v>72.558091070846999</v>
      </c>
      <c r="N327" s="336">
        <f>Gasto_o_ing_per_capita!N327*100/Gasto_o_ing_per_capita!$D327</f>
        <v>171.79950733372311</v>
      </c>
      <c r="O327" s="336">
        <f>Gasto_o_ing_per_capita!O327*100/Gasto_o_ing_per_capita!$D327</f>
        <v>196.96461539095506</v>
      </c>
      <c r="P327" s="336">
        <f>Gasto_o_ing_per_capita!P327*100/Gasto_o_ing_per_capita!$D327</f>
        <v>166.12114745533091</v>
      </c>
      <c r="Q327" s="336">
        <f>Gasto_o_ing_per_capita!Q327*100/Gasto_o_ing_per_capita!$D327</f>
        <v>160.08627384751418</v>
      </c>
      <c r="R327" s="336">
        <f>Gasto_o_ing_per_capita!R327*100/Gasto_o_ing_per_capita!$D327</f>
        <v>314.0961437136217</v>
      </c>
      <c r="S327" s="336">
        <f>Gasto_o_ing_per_capita!S327*100/Gasto_o_ing_per_capita!$D327</f>
        <v>0</v>
      </c>
      <c r="T327" s="336">
        <f>Gasto_o_ing_per_capita!T327*100/Gasto_o_ing_per_capita!$D327</f>
        <v>0</v>
      </c>
      <c r="U327" s="336">
        <f>Gasto_o_ing_per_capita!U327*100/Gasto_o_ing_per_capita!$D327</f>
        <v>135.92255192987625</v>
      </c>
      <c r="V327" s="336">
        <f>Gasto_o_ing_per_capita!V327*100/Gasto_o_ing_per_capita!$D327</f>
        <v>0</v>
      </c>
    </row>
    <row r="328" spans="1:22" s="102" customFormat="1" ht="13.15">
      <c r="A328" s="356"/>
      <c r="B328" s="115"/>
      <c r="D328" s="110"/>
      <c r="E328" s="110"/>
      <c r="F328" s="110"/>
      <c r="G328" s="110"/>
      <c r="H328" s="110"/>
      <c r="I328" s="110"/>
      <c r="J328" s="110"/>
      <c r="K328" s="110"/>
      <c r="L328" s="110"/>
      <c r="M328" s="110"/>
      <c r="N328" s="110"/>
      <c r="O328" s="110"/>
      <c r="P328" s="110"/>
      <c r="Q328" s="110"/>
      <c r="R328" s="110"/>
      <c r="S328" s="110"/>
      <c r="T328" s="110"/>
      <c r="U328" s="110"/>
      <c r="V328" s="110"/>
    </row>
    <row r="329" spans="1:22" s="102" customFormat="1" ht="13.15">
      <c r="A329" s="356"/>
      <c r="B329" s="115"/>
      <c r="C329" s="117" t="s">
        <v>76</v>
      </c>
      <c r="D329" s="113">
        <f>Gasto_o_ing_per_capita!D329*100/Gasto_o_ing_per_capita!$D329</f>
        <v>100</v>
      </c>
      <c r="E329" s="113">
        <f>Gasto_o_ing_per_capita!E329*100/Gasto_o_ing_per_capita!$D329</f>
        <v>90.663695481418443</v>
      </c>
      <c r="F329" s="113">
        <f>Gasto_o_ing_per_capita!F329*100/Gasto_o_ing_per_capita!$D329</f>
        <v>101.8120263000216</v>
      </c>
      <c r="G329" s="113">
        <f>Gasto_o_ing_per_capita!G329*100/Gasto_o_ing_per_capita!$D329</f>
        <v>96.05394727452952</v>
      </c>
      <c r="H329" s="113">
        <f>Gasto_o_ing_per_capita!H329*100/Gasto_o_ing_per_capita!$D329</f>
        <v>99.652547806902405</v>
      </c>
      <c r="I329" s="113">
        <f>Gasto_o_ing_per_capita!I329*100/Gasto_o_ing_per_capita!$D329</f>
        <v>93.598166379494074</v>
      </c>
      <c r="J329" s="113">
        <f>Gasto_o_ing_per_capita!J329*100/Gasto_o_ing_per_capita!$D329</f>
        <v>90.151522390639315</v>
      </c>
      <c r="K329" s="113">
        <f>Gasto_o_ing_per_capita!K329*100/Gasto_o_ing_per_capita!$D329</f>
        <v>112.27188681938473</v>
      </c>
      <c r="L329" s="113">
        <f>Gasto_o_ing_per_capita!L329*100/Gasto_o_ing_per_capita!$D329</f>
        <v>93.551636611894452</v>
      </c>
      <c r="M329" s="113">
        <f>Gasto_o_ing_per_capita!M329*100/Gasto_o_ing_per_capita!$D329</f>
        <v>117.22345846383311</v>
      </c>
      <c r="N329" s="113">
        <f>Gasto_o_ing_per_capita!N329*100/Gasto_o_ing_per_capita!$D329</f>
        <v>80.771910368198931</v>
      </c>
      <c r="O329" s="113">
        <f>Gasto_o_ing_per_capita!O329*100/Gasto_o_ing_per_capita!$D329</f>
        <v>93.927232608227513</v>
      </c>
      <c r="P329" s="113">
        <f>Gasto_o_ing_per_capita!P329*100/Gasto_o_ing_per_capita!$D329</f>
        <v>87.09669688071665</v>
      </c>
      <c r="Q329" s="113">
        <f>Gasto_o_ing_per_capita!Q329*100/Gasto_o_ing_per_capita!$D329</f>
        <v>95.582857163857753</v>
      </c>
      <c r="R329" s="113">
        <f>Gasto_o_ing_per_capita!R329*100/Gasto_o_ing_per_capita!$D329</f>
        <v>80.720167893480365</v>
      </c>
      <c r="S329" s="113">
        <f>Gasto_o_ing_per_capita!S329*100/Gasto_o_ing_per_capita!$D329</f>
        <v>125.86836123290971</v>
      </c>
      <c r="T329" s="113">
        <f>Gasto_o_ing_per_capita!T329*100/Gasto_o_ing_per_capita!$D329</f>
        <v>145.02167123163989</v>
      </c>
      <c r="U329" s="113">
        <f>Gasto_o_ing_per_capita!U329*100/Gasto_o_ing_per_capita!$D329</f>
        <v>135.49786360847756</v>
      </c>
      <c r="V329" s="113">
        <f>Gasto_o_ing_per_capita!V329*100/Gasto_o_ing_per_capita!$D329</f>
        <v>235.74633115970744</v>
      </c>
    </row>
    <row r="330" spans="1:22" s="102" customFormat="1" ht="13.15">
      <c r="A330" s="355" t="str">
        <f>IF(B330="","",(IF(ISERROR(MATCH(B330,Tot_res!C:C,0)),"Eliminar!!!","")))</f>
        <v/>
      </c>
      <c r="B330" s="115" t="s">
        <v>322</v>
      </c>
      <c r="C330" s="333" t="str">
        <f>VLOOKUP(B330,Tot_res!C:D,2,FALSE)</f>
        <v>Dirección y servicios generales de justicia</v>
      </c>
      <c r="D330" s="337">
        <f>Gasto_o_ing_per_capita!D330*100/Gasto_o_ing_per_capita!$D330</f>
        <v>100</v>
      </c>
      <c r="E330" s="337">
        <f>Gasto_o_ing_per_capita!E330*100/Gasto_o_ing_per_capita!$D330</f>
        <v>86.069049400100411</v>
      </c>
      <c r="F330" s="337">
        <f>Gasto_o_ing_per_capita!F330*100/Gasto_o_ing_per_capita!$D330</f>
        <v>88.003849682259357</v>
      </c>
      <c r="G330" s="337">
        <f>Gasto_o_ing_per_capita!G330*100/Gasto_o_ing_per_capita!$D330</f>
        <v>91.52236352177718</v>
      </c>
      <c r="H330" s="337">
        <f>Gasto_o_ing_per_capita!H330*100/Gasto_o_ing_per_capita!$D330</f>
        <v>153.82101228766146</v>
      </c>
      <c r="I330" s="337">
        <f>Gasto_o_ing_per_capita!I330*100/Gasto_o_ing_per_capita!$D330</f>
        <v>90.437204042625652</v>
      </c>
      <c r="J330" s="337">
        <f>Gasto_o_ing_per_capita!J330*100/Gasto_o_ing_per_capita!$D330</f>
        <v>89.863525679127449</v>
      </c>
      <c r="K330" s="337">
        <f>Gasto_o_ing_per_capita!K330*100/Gasto_o_ing_per_capita!$D330</f>
        <v>155.0097477720827</v>
      </c>
      <c r="L330" s="337">
        <f>Gasto_o_ing_per_capita!L330*100/Gasto_o_ing_per_capita!$D330</f>
        <v>158.78975709548857</v>
      </c>
      <c r="M330" s="337">
        <f>Gasto_o_ing_per_capita!M330*100/Gasto_o_ing_per_capita!$D330</f>
        <v>88.65518806240533</v>
      </c>
      <c r="N330" s="337">
        <f>Gasto_o_ing_per_capita!N330*100/Gasto_o_ing_per_capita!$D330</f>
        <v>85.898372294304195</v>
      </c>
      <c r="O330" s="337">
        <f>Gasto_o_ing_per_capita!O330*100/Gasto_o_ing_per_capita!$D330</f>
        <v>142.81764345672298</v>
      </c>
      <c r="P330" s="337">
        <f>Gasto_o_ing_per_capita!P330*100/Gasto_o_ing_per_capita!$D330</f>
        <v>89.292207248849536</v>
      </c>
      <c r="Q330" s="337">
        <f>Gasto_o_ing_per_capita!Q330*100/Gasto_o_ing_per_capita!$D330</f>
        <v>91.606684760687756</v>
      </c>
      <c r="R330" s="337">
        <f>Gasto_o_ing_per_capita!R330*100/Gasto_o_ing_per_capita!$D330</f>
        <v>138.31643467002206</v>
      </c>
      <c r="S330" s="337">
        <f>Gasto_o_ing_per_capita!S330*100/Gasto_o_ing_per_capita!$D330</f>
        <v>86.056759325777705</v>
      </c>
      <c r="T330" s="337">
        <f>Gasto_o_ing_per_capita!T330*100/Gasto_o_ing_per_capita!$D330</f>
        <v>89.55152980652359</v>
      </c>
      <c r="U330" s="337">
        <f>Gasto_o_ing_per_capita!U330*100/Gasto_o_ing_per_capita!$D330</f>
        <v>152.72833002201921</v>
      </c>
      <c r="V330" s="337">
        <f>Gasto_o_ing_per_capita!V330*100/Gasto_o_ing_per_capita!$D330</f>
        <v>101.98582042876403</v>
      </c>
    </row>
    <row r="331" spans="1:22" s="102" customFormat="1" ht="13.15">
      <c r="A331" s="355" t="str">
        <f>IF(B331="","",(IF(ISERROR(MATCH(B331,Tot_res!C:C,0)),"Eliminar!!!","")))</f>
        <v/>
      </c>
      <c r="B331" s="115" t="s">
        <v>323</v>
      </c>
      <c r="C331" s="333" t="str">
        <f>VLOOKUP(B331,Tot_res!C:D,2,FALSE)</f>
        <v>Formación del personal de la administración de justicia</v>
      </c>
      <c r="D331" s="337">
        <f>Gasto_o_ing_per_capita!D331*100/Gasto_o_ing_per_capita!$D331</f>
        <v>100</v>
      </c>
      <c r="E331" s="337">
        <f>Gasto_o_ing_per_capita!E331*100/Gasto_o_ing_per_capita!$D331</f>
        <v>88.673854690574828</v>
      </c>
      <c r="F331" s="337">
        <f>Gasto_o_ing_per_capita!F331*100/Gasto_o_ing_per_capita!$D331</f>
        <v>97.1154408562887</v>
      </c>
      <c r="G331" s="337">
        <f>Gasto_o_ing_per_capita!G331*100/Gasto_o_ing_per_capita!$D331</f>
        <v>111.13071692640717</v>
      </c>
      <c r="H331" s="337">
        <f>Gasto_o_ing_per_capita!H331*100/Gasto_o_ing_per_capita!$D331</f>
        <v>103.41040340630391</v>
      </c>
      <c r="I331" s="337">
        <f>Gasto_o_ing_per_capita!I331*100/Gasto_o_ing_per_capita!$D331</f>
        <v>101.08710016433608</v>
      </c>
      <c r="J331" s="337">
        <f>Gasto_o_ing_per_capita!J331*100/Gasto_o_ing_per_capita!$D331</f>
        <v>106.06757744456985</v>
      </c>
      <c r="K331" s="337">
        <f>Gasto_o_ing_per_capita!K331*100/Gasto_o_ing_per_capita!$D331</f>
        <v>103.65496818771564</v>
      </c>
      <c r="L331" s="337">
        <f>Gasto_o_ing_per_capita!L331*100/Gasto_o_ing_per_capita!$D331</f>
        <v>181.32251430304956</v>
      </c>
      <c r="M331" s="337">
        <f>Gasto_o_ing_per_capita!M331*100/Gasto_o_ing_per_capita!$D331</f>
        <v>96.958536786154795</v>
      </c>
      <c r="N331" s="337">
        <f>Gasto_o_ing_per_capita!N331*100/Gasto_o_ing_per_capita!$D331</f>
        <v>89.801029828877105</v>
      </c>
      <c r="O331" s="337">
        <f>Gasto_o_ing_per_capita!O331*100/Gasto_o_ing_per_capita!$D331</f>
        <v>89.351730330429049</v>
      </c>
      <c r="P331" s="337">
        <f>Gasto_o_ing_per_capita!P331*100/Gasto_o_ing_per_capita!$D331</f>
        <v>100.81703743661089</v>
      </c>
      <c r="Q331" s="337">
        <f>Gasto_o_ing_per_capita!Q331*100/Gasto_o_ing_per_capita!$D331</f>
        <v>98.990538232071827</v>
      </c>
      <c r="R331" s="337">
        <f>Gasto_o_ing_per_capita!R331*100/Gasto_o_ing_per_capita!$D331</f>
        <v>89.910040916250551</v>
      </c>
      <c r="S331" s="337">
        <f>Gasto_o_ing_per_capita!S331*100/Gasto_o_ing_per_capita!$D331</f>
        <v>92.240383832461532</v>
      </c>
      <c r="T331" s="337">
        <f>Gasto_o_ing_per_capita!T331*100/Gasto_o_ing_per_capita!$D331</f>
        <v>100.94721623693964</v>
      </c>
      <c r="U331" s="337">
        <f>Gasto_o_ing_per_capita!U331*100/Gasto_o_ing_per_capita!$D331</f>
        <v>102.22021761967535</v>
      </c>
      <c r="V331" s="337">
        <f>Gasto_o_ing_per_capita!V331*100/Gasto_o_ing_per_capita!$D331</f>
        <v>136.63339996856229</v>
      </c>
    </row>
    <row r="332" spans="1:22" s="102" customFormat="1" ht="13.15">
      <c r="A332" s="355" t="str">
        <f>IF(B332="","",(IF(ISERROR(MATCH(B332,Tot_res!C:C,0)),"Eliminar!!!","")))</f>
        <v/>
      </c>
      <c r="B332" s="115" t="s">
        <v>324</v>
      </c>
      <c r="C332" s="333" t="str">
        <f>VLOOKUP(B332,Tot_res!C:D,2,FALSE)</f>
        <v>Formación de la carrera fiscal</v>
      </c>
      <c r="D332" s="337">
        <f>Gasto_o_ing_per_capita!D332*100/Gasto_o_ing_per_capita!$D332</f>
        <v>100</v>
      </c>
      <c r="E332" s="337">
        <f>Gasto_o_ing_per_capita!E332*100/Gasto_o_ing_per_capita!$D332</f>
        <v>99.819949659873444</v>
      </c>
      <c r="F332" s="337">
        <f>Gasto_o_ing_per_capita!F332*100/Gasto_o_ing_per_capita!$D332</f>
        <v>97.046243981286182</v>
      </c>
      <c r="G332" s="337">
        <f>Gasto_o_ing_per_capita!G332*100/Gasto_o_ing_per_capita!$D332</f>
        <v>96.599233810218223</v>
      </c>
      <c r="H332" s="337">
        <f>Gasto_o_ing_per_capita!H332*100/Gasto_o_ing_per_capita!$D332</f>
        <v>107.12492270099123</v>
      </c>
      <c r="I332" s="337">
        <f>Gasto_o_ing_per_capita!I332*100/Gasto_o_ing_per_capita!$D332</f>
        <v>109.8935466289804</v>
      </c>
      <c r="J332" s="337">
        <f>Gasto_o_ing_per_capita!J332*100/Gasto_o_ing_per_capita!$D332</f>
        <v>97.622017076368763</v>
      </c>
      <c r="K332" s="337">
        <f>Gasto_o_ing_per_capita!K332*100/Gasto_o_ing_per_capita!$D332</f>
        <v>102.88518768504206</v>
      </c>
      <c r="L332" s="337">
        <f>Gasto_o_ing_per_capita!L332*100/Gasto_o_ing_per_capita!$D332</f>
        <v>84.145543744798033</v>
      </c>
      <c r="M332" s="337">
        <f>Gasto_o_ing_per_capita!M332*100/Gasto_o_ing_per_capita!$D332</f>
        <v>105.01901149003911</v>
      </c>
      <c r="N332" s="337">
        <f>Gasto_o_ing_per_capita!N332*100/Gasto_o_ing_per_capita!$D332</f>
        <v>98.6828568678268</v>
      </c>
      <c r="O332" s="337">
        <f>Gasto_o_ing_per_capita!O332*100/Gasto_o_ing_per_capita!$D332</f>
        <v>99.362656079371604</v>
      </c>
      <c r="P332" s="337">
        <f>Gasto_o_ing_per_capita!P332*100/Gasto_o_ing_per_capita!$D332</f>
        <v>104.32158328632977</v>
      </c>
      <c r="Q332" s="337">
        <f>Gasto_o_ing_per_capita!Q332*100/Gasto_o_ing_per_capita!$D332</f>
        <v>100.87871485432908</v>
      </c>
      <c r="R332" s="337">
        <f>Gasto_o_ing_per_capita!R332*100/Gasto_o_ing_per_capita!$D332</f>
        <v>85.823270973939671</v>
      </c>
      <c r="S332" s="337">
        <f>Gasto_o_ing_per_capita!S332*100/Gasto_o_ing_per_capita!$D332</f>
        <v>81.164265771466631</v>
      </c>
      <c r="T332" s="337">
        <f>Gasto_o_ing_per_capita!T332*100/Gasto_o_ing_per_capita!$D332</f>
        <v>96.979670395098537</v>
      </c>
      <c r="U332" s="337">
        <f>Gasto_o_ing_per_capita!U332*100/Gasto_o_ing_per_capita!$D332</f>
        <v>90.192350296533164</v>
      </c>
      <c r="V332" s="337">
        <f>Gasto_o_ing_per_capita!V332*100/Gasto_o_ing_per_capita!$D332</f>
        <v>113.2469699221643</v>
      </c>
    </row>
    <row r="333" spans="1:22" s="102" customFormat="1" ht="13.15">
      <c r="A333" s="355" t="str">
        <f>IF(B333="","",(IF(ISERROR(MATCH(B333,Tot_res!C:C,0)),"Eliminar!!!","")))</f>
        <v/>
      </c>
      <c r="B333" s="115" t="s">
        <v>326</v>
      </c>
      <c r="C333" s="333" t="str">
        <f>VLOOKUP(B333,Tot_res!C:D,2,FALSE)</f>
        <v>Tribunales de justicia y ministerio fiscal</v>
      </c>
      <c r="D333" s="337">
        <f>Gasto_o_ing_per_capita!D333*100/Gasto_o_ing_per_capita!$D333</f>
        <v>100</v>
      </c>
      <c r="E333" s="337">
        <f>Gasto_o_ing_per_capita!E333*100/Gasto_o_ing_per_capita!$D333</f>
        <v>70.977556518084569</v>
      </c>
      <c r="F333" s="337">
        <f>Gasto_o_ing_per_capita!F333*100/Gasto_o_ing_per_capita!$D333</f>
        <v>74.981995737681501</v>
      </c>
      <c r="G333" s="337">
        <f>Gasto_o_ing_per_capita!G333*100/Gasto_o_ing_per_capita!$D333</f>
        <v>82.261157271233941</v>
      </c>
      <c r="H333" s="337">
        <f>Gasto_o_ing_per_capita!H333*100/Gasto_o_ing_per_capita!$D333</f>
        <v>212.3006796841369</v>
      </c>
      <c r="I333" s="337">
        <f>Gasto_o_ing_per_capita!I333*100/Gasto_o_ing_per_capita!$D333</f>
        <v>80.016199367126561</v>
      </c>
      <c r="J333" s="337">
        <f>Gasto_o_ing_per_capita!J333*100/Gasto_o_ing_per_capita!$D333</f>
        <v>78.820485052747543</v>
      </c>
      <c r="K333" s="337">
        <f>Gasto_o_ing_per_capita!K333*100/Gasto_o_ing_per_capita!$D333</f>
        <v>214.78915403249957</v>
      </c>
      <c r="L333" s="337">
        <f>Gasto_o_ing_per_capita!L333*100/Gasto_o_ing_per_capita!$D333</f>
        <v>222.35449393678047</v>
      </c>
      <c r="M333" s="337">
        <f>Gasto_o_ing_per_capita!M333*100/Gasto_o_ing_per_capita!$D333</f>
        <v>76.326017089964637</v>
      </c>
      <c r="N333" s="337">
        <f>Gasto_o_ing_per_capita!N333*100/Gasto_o_ing_per_capita!$D333</f>
        <v>70.618381038009517</v>
      </c>
      <c r="O333" s="337">
        <f>Gasto_o_ing_per_capita!O333*100/Gasto_o_ing_per_capita!$D333</f>
        <v>189.41652976060632</v>
      </c>
      <c r="P333" s="337">
        <f>Gasto_o_ing_per_capita!P333*100/Gasto_o_ing_per_capita!$D333</f>
        <v>77.638984764424706</v>
      </c>
      <c r="Q333" s="337">
        <f>Gasto_o_ing_per_capita!Q333*100/Gasto_o_ing_per_capita!$D333</f>
        <v>82.485057816497246</v>
      </c>
      <c r="R333" s="337">
        <f>Gasto_o_ing_per_capita!R333*100/Gasto_o_ing_per_capita!$D333</f>
        <v>180.04675438690535</v>
      </c>
      <c r="S333" s="337">
        <f>Gasto_o_ing_per_capita!S333*100/Gasto_o_ing_per_capita!$D333</f>
        <v>70.973034152916824</v>
      </c>
      <c r="T333" s="337">
        <f>Gasto_o_ing_per_capita!T333*100/Gasto_o_ing_per_capita!$D333</f>
        <v>78.194471434934314</v>
      </c>
      <c r="U333" s="337">
        <f>Gasto_o_ing_per_capita!U333*100/Gasto_o_ing_per_capita!$D333</f>
        <v>210.0599264908025</v>
      </c>
      <c r="V333" s="337">
        <f>Gasto_o_ing_per_capita!V333*100/Gasto_o_ing_per_capita!$D333</f>
        <v>103.94713964919112</v>
      </c>
    </row>
    <row r="334" spans="1:22" s="102" customFormat="1" ht="13.15">
      <c r="A334" s="355" t="str">
        <f>IF(B334="","",(IF(ISERROR(MATCH(B334,Tot_res!C:C,0)),"Eliminar!!!","")))</f>
        <v/>
      </c>
      <c r="B334" s="115" t="s">
        <v>327</v>
      </c>
      <c r="C334" s="333" t="str">
        <f>VLOOKUP(B334,Tot_res!C:D,2,FALSE)</f>
        <v>Dirección y serv. grales. seguridad y protecc. civil</v>
      </c>
      <c r="D334" s="337">
        <f>Gasto_o_ing_per_capita!D334*100/Gasto_o_ing_per_capita!$D334</f>
        <v>100</v>
      </c>
      <c r="E334" s="337">
        <f>Gasto_o_ing_per_capita!E334*100/Gasto_o_ing_per_capita!$D334</f>
        <v>104.61672816216533</v>
      </c>
      <c r="F334" s="337">
        <f>Gasto_o_ing_per_capita!F334*100/Gasto_o_ing_per_capita!$D334</f>
        <v>105.19657913018123</v>
      </c>
      <c r="G334" s="337">
        <f>Gasto_o_ing_per_capita!G334*100/Gasto_o_ing_per_capita!$D334</f>
        <v>108.49528186286663</v>
      </c>
      <c r="H334" s="337">
        <f>Gasto_o_ing_per_capita!H334*100/Gasto_o_ing_per_capita!$D334</f>
        <v>103.12951510904476</v>
      </c>
      <c r="I334" s="337">
        <f>Gasto_o_ing_per_capita!I334*100/Gasto_o_ing_per_capita!$D334</f>
        <v>103.09425630040957</v>
      </c>
      <c r="J334" s="337">
        <f>Gasto_o_ing_per_capita!J334*100/Gasto_o_ing_per_capita!$D334</f>
        <v>97.809711214496048</v>
      </c>
      <c r="K334" s="337">
        <f>Gasto_o_ing_per_capita!K334*100/Gasto_o_ing_per_capita!$D334</f>
        <v>109.07911473554346</v>
      </c>
      <c r="L334" s="337">
        <f>Gasto_o_ing_per_capita!L334*100/Gasto_o_ing_per_capita!$D334</f>
        <v>98.204229335305385</v>
      </c>
      <c r="M334" s="337">
        <f>Gasto_o_ing_per_capita!M334*100/Gasto_o_ing_per_capita!$D334</f>
        <v>81.790494555525143</v>
      </c>
      <c r="N334" s="337">
        <f>Gasto_o_ing_per_capita!N334*100/Gasto_o_ing_per_capita!$D334</f>
        <v>96.320950062736713</v>
      </c>
      <c r="O334" s="337">
        <f>Gasto_o_ing_per_capita!O334*100/Gasto_o_ing_per_capita!$D334</f>
        <v>102.58945423140494</v>
      </c>
      <c r="P334" s="337">
        <f>Gasto_o_ing_per_capita!P334*100/Gasto_o_ing_per_capita!$D334</f>
        <v>99.732707706559609</v>
      </c>
      <c r="Q334" s="337">
        <f>Gasto_o_ing_per_capita!Q334*100/Gasto_o_ing_per_capita!$D334</f>
        <v>109.93028750941706</v>
      </c>
      <c r="R334" s="337">
        <f>Gasto_o_ing_per_capita!R334*100/Gasto_o_ing_per_capita!$D334</f>
        <v>94.640487359537801</v>
      </c>
      <c r="S334" s="337">
        <f>Gasto_o_ing_per_capita!S334*100/Gasto_o_ing_per_capita!$D334</f>
        <v>113.59147898507318</v>
      </c>
      <c r="T334" s="337">
        <f>Gasto_o_ing_per_capita!T334*100/Gasto_o_ing_per_capita!$D334</f>
        <v>94.307613229858433</v>
      </c>
      <c r="U334" s="337">
        <f>Gasto_o_ing_per_capita!U334*100/Gasto_o_ing_per_capita!$D334</f>
        <v>113.41587172613569</v>
      </c>
      <c r="V334" s="337">
        <f>Gasto_o_ing_per_capita!V334*100/Gasto_o_ing_per_capita!$D334</f>
        <v>183.89959761322126</v>
      </c>
    </row>
    <row r="335" spans="1:22" s="102" customFormat="1" ht="13.15">
      <c r="A335" s="355" t="str">
        <f>IF(B335="","",(IF(ISERROR(MATCH(B335,Tot_res!C:C,0)),"Eliminar!!!","")))</f>
        <v/>
      </c>
      <c r="B335" s="115" t="s">
        <v>328</v>
      </c>
      <c r="C335" s="333" t="str">
        <f>VLOOKUP(B335,Tot_res!C:D,2,FALSE)</f>
        <v>Formac. fuerzas y cuerpos de segur. del estado</v>
      </c>
      <c r="D335" s="337">
        <f>Gasto_o_ing_per_capita!D335*100/Gasto_o_ing_per_capita!$D335</f>
        <v>99.999999999999986</v>
      </c>
      <c r="E335" s="337">
        <f>Gasto_o_ing_per_capita!E335*100/Gasto_o_ing_per_capita!$D335</f>
        <v>104.64378401780809</v>
      </c>
      <c r="F335" s="337">
        <f>Gasto_o_ing_per_capita!F335*100/Gasto_o_ing_per_capita!$D335</f>
        <v>124.60867499346863</v>
      </c>
      <c r="G335" s="337">
        <f>Gasto_o_ing_per_capita!G335*100/Gasto_o_ing_per_capita!$D335</f>
        <v>109.2273853692071</v>
      </c>
      <c r="H335" s="337">
        <f>Gasto_o_ing_per_capita!H335*100/Gasto_o_ing_per_capita!$D335</f>
        <v>113.66038065756324</v>
      </c>
      <c r="I335" s="337">
        <f>Gasto_o_ing_per_capita!I335*100/Gasto_o_ing_per_capita!$D335</f>
        <v>113.76589675628797</v>
      </c>
      <c r="J335" s="337">
        <f>Gasto_o_ing_per_capita!J335*100/Gasto_o_ing_per_capita!$D335</f>
        <v>100.52094487947348</v>
      </c>
      <c r="K335" s="337">
        <f>Gasto_o_ing_per_capita!K335*100/Gasto_o_ing_per_capita!$D335</f>
        <v>125.08725894965899</v>
      </c>
      <c r="L335" s="337">
        <f>Gasto_o_ing_per_capita!L335*100/Gasto_o_ing_per_capita!$D335</f>
        <v>105.27019220554263</v>
      </c>
      <c r="M335" s="337">
        <f>Gasto_o_ing_per_capita!M335*100/Gasto_o_ing_per_capita!$D335</f>
        <v>58.311255146483944</v>
      </c>
      <c r="N335" s="337">
        <f>Gasto_o_ing_per_capita!N335*100/Gasto_o_ing_per_capita!$D335</f>
        <v>95.494116286780752</v>
      </c>
      <c r="O335" s="337">
        <f>Gasto_o_ing_per_capita!O335*100/Gasto_o_ing_per_capita!$D335</f>
        <v>113.31943179996357</v>
      </c>
      <c r="P335" s="337">
        <f>Gasto_o_ing_per_capita!P335*100/Gasto_o_ing_per_capita!$D335</f>
        <v>103.47675524966323</v>
      </c>
      <c r="Q335" s="337">
        <f>Gasto_o_ing_per_capita!Q335*100/Gasto_o_ing_per_capita!$D335</f>
        <v>113.98899779745003</v>
      </c>
      <c r="R335" s="337">
        <f>Gasto_o_ing_per_capita!R335*100/Gasto_o_ing_per_capita!$D335</f>
        <v>87.546614922997193</v>
      </c>
      <c r="S335" s="337">
        <f>Gasto_o_ing_per_capita!S335*100/Gasto_o_ing_per_capita!$D335</f>
        <v>124.12047010882029</v>
      </c>
      <c r="T335" s="337">
        <f>Gasto_o_ing_per_capita!T335*100/Gasto_o_ing_per_capita!$D335</f>
        <v>85.087243892548798</v>
      </c>
      <c r="U335" s="337">
        <f>Gasto_o_ing_per_capita!U335*100/Gasto_o_ing_per_capita!$D335</f>
        <v>154.66522487674271</v>
      </c>
      <c r="V335" s="337">
        <f>Gasto_o_ing_per_capita!V335*100/Gasto_o_ing_per_capita!$D335</f>
        <v>336.17903652758366</v>
      </c>
    </row>
    <row r="336" spans="1:22" s="102" customFormat="1" ht="13.15">
      <c r="A336" s="355" t="str">
        <f>IF(B336="","",(IF(ISERROR(MATCH(B336,Tot_res!C:C,0)),"Eliminar!!!","")))</f>
        <v/>
      </c>
      <c r="B336" s="115" t="s">
        <v>329</v>
      </c>
      <c r="C336" s="333" t="str">
        <f>VLOOKUP(B336,Tot_res!C:D,2,FALSE)</f>
        <v>Fuerzas y cuerpos en reserva</v>
      </c>
      <c r="D336" s="337">
        <f>Gasto_o_ing_per_capita!D336*100/Gasto_o_ing_per_capita!$D336</f>
        <v>100.00000000000001</v>
      </c>
      <c r="E336" s="337">
        <f>Gasto_o_ing_per_capita!E336*100/Gasto_o_ing_per_capita!$D336</f>
        <v>143.65882449145414</v>
      </c>
      <c r="F336" s="337">
        <f>Gasto_o_ing_per_capita!F336*100/Gasto_o_ing_per_capita!$D336</f>
        <v>102.72213434510797</v>
      </c>
      <c r="G336" s="337">
        <f>Gasto_o_ing_per_capita!G336*100/Gasto_o_ing_per_capita!$D336</f>
        <v>119.7508620766673</v>
      </c>
      <c r="H336" s="337">
        <f>Gasto_o_ing_per_capita!H336*100/Gasto_o_ing_per_capita!$D336</f>
        <v>83.711316598796827</v>
      </c>
      <c r="I336" s="337">
        <f>Gasto_o_ing_per_capita!I336*100/Gasto_o_ing_per_capita!$D336</f>
        <v>101.49234429590872</v>
      </c>
      <c r="J336" s="337">
        <f>Gasto_o_ing_per_capita!J336*100/Gasto_o_ing_per_capita!$D336</f>
        <v>104.39894707190595</v>
      </c>
      <c r="K336" s="337">
        <f>Gasto_o_ing_per_capita!K336*100/Gasto_o_ing_per_capita!$D336</f>
        <v>111.96190359410456</v>
      </c>
      <c r="L336" s="337">
        <f>Gasto_o_ing_per_capita!L336*100/Gasto_o_ing_per_capita!$D336</f>
        <v>77.665811697372689</v>
      </c>
      <c r="M336" s="337">
        <f>Gasto_o_ing_per_capita!M336*100/Gasto_o_ing_per_capita!$D336</f>
        <v>53.375456843464981</v>
      </c>
      <c r="N336" s="337">
        <f>Gasto_o_ing_per_capita!N336*100/Gasto_o_ing_per_capita!$D336</f>
        <v>92.12300505335088</v>
      </c>
      <c r="O336" s="337">
        <f>Gasto_o_ing_per_capita!O336*100/Gasto_o_ing_per_capita!$D336</f>
        <v>94.678492675693434</v>
      </c>
      <c r="P336" s="337">
        <f>Gasto_o_ing_per_capita!P336*100/Gasto_o_ing_per_capita!$D336</f>
        <v>113.4098102247242</v>
      </c>
      <c r="Q336" s="337">
        <f>Gasto_o_ing_per_capita!Q336*100/Gasto_o_ing_per_capita!$D336</f>
        <v>95.689458192544123</v>
      </c>
      <c r="R336" s="337">
        <f>Gasto_o_ing_per_capita!R336*100/Gasto_o_ing_per_capita!$D336</f>
        <v>87.609253927426465</v>
      </c>
      <c r="S336" s="337">
        <f>Gasto_o_ing_per_capita!S336*100/Gasto_o_ing_per_capita!$D336</f>
        <v>94.46824379161221</v>
      </c>
      <c r="T336" s="337">
        <f>Gasto_o_ing_per_capita!T336*100/Gasto_o_ing_per_capita!$D336</f>
        <v>74.858251725666591</v>
      </c>
      <c r="U336" s="337">
        <f>Gasto_o_ing_per_capita!U336*100/Gasto_o_ing_per_capita!$D336</f>
        <v>161.51293899468524</v>
      </c>
      <c r="V336" s="337">
        <f>Gasto_o_ing_per_capita!V336*100/Gasto_o_ing_per_capita!$D336</f>
        <v>584.86926770741047</v>
      </c>
    </row>
    <row r="337" spans="1:22" s="102" customFormat="1" ht="13.15">
      <c r="A337" s="355" t="str">
        <f>IF(B337="","",(IF(ISERROR(MATCH(B337,Tot_res!C:C,0)),"Eliminar!!!","")))</f>
        <v/>
      </c>
      <c r="B337" s="115" t="s">
        <v>330</v>
      </c>
      <c r="C337" s="333" t="str">
        <f>VLOOKUP(B337,Tot_res!C:D,2,FALSE)</f>
        <v>Seguridad ciudadana</v>
      </c>
      <c r="D337" s="337">
        <f>Gasto_o_ing_per_capita!D337*100/Gasto_o_ing_per_capita!$D337</f>
        <v>100</v>
      </c>
      <c r="E337" s="337">
        <f>Gasto_o_ing_per_capita!E337*100/Gasto_o_ing_per_capita!$D337</f>
        <v>104.6209316375772</v>
      </c>
      <c r="F337" s="337">
        <f>Gasto_o_ing_per_capita!F337*100/Gasto_o_ing_per_capita!$D337</f>
        <v>119.32607270713446</v>
      </c>
      <c r="G337" s="337">
        <f>Gasto_o_ing_per_capita!G337*100/Gasto_o_ing_per_capita!$D337</f>
        <v>106.85919302634989</v>
      </c>
      <c r="H337" s="337">
        <f>Gasto_o_ing_per_capita!H337*100/Gasto_o_ing_per_capita!$D337</f>
        <v>114.58655626183483</v>
      </c>
      <c r="I337" s="337">
        <f>Gasto_o_ing_per_capita!I337*100/Gasto_o_ing_per_capita!$D337</f>
        <v>113.95493496616604</v>
      </c>
      <c r="J337" s="337">
        <f>Gasto_o_ing_per_capita!J337*100/Gasto_o_ing_per_capita!$D337</f>
        <v>97.945825945996901</v>
      </c>
      <c r="K337" s="337">
        <f>Gasto_o_ing_per_capita!K337*100/Gasto_o_ing_per_capita!$D337</f>
        <v>117.508352329331</v>
      </c>
      <c r="L337" s="337">
        <f>Gasto_o_ing_per_capita!L337*100/Gasto_o_ing_per_capita!$D337</f>
        <v>100.84157742582781</v>
      </c>
      <c r="M337" s="337">
        <f>Gasto_o_ing_per_capita!M337*100/Gasto_o_ing_per_capita!$D337</f>
        <v>61.165504606527875</v>
      </c>
      <c r="N337" s="337">
        <f>Gasto_o_ing_per_capita!N337*100/Gasto_o_ing_per_capita!$D337</f>
        <v>95.734994384787939</v>
      </c>
      <c r="O337" s="337">
        <f>Gasto_o_ing_per_capita!O337*100/Gasto_o_ing_per_capita!$D337</f>
        <v>109.14040689318018</v>
      </c>
      <c r="P337" s="337">
        <f>Gasto_o_ing_per_capita!P337*100/Gasto_o_ing_per_capita!$D337</f>
        <v>99.993303511541683</v>
      </c>
      <c r="Q337" s="337">
        <f>Gasto_o_ing_per_capita!Q337*100/Gasto_o_ing_per_capita!$D337</f>
        <v>116.42411977287479</v>
      </c>
      <c r="R337" s="337">
        <f>Gasto_o_ing_per_capita!R337*100/Gasto_o_ing_per_capita!$D337</f>
        <v>87.180668101485139</v>
      </c>
      <c r="S337" s="337">
        <f>Gasto_o_ing_per_capita!S337*100/Gasto_o_ing_per_capita!$D337</f>
        <v>122.71299614916478</v>
      </c>
      <c r="T337" s="337">
        <f>Gasto_o_ing_per_capita!T337*100/Gasto_o_ing_per_capita!$D337</f>
        <v>89.626116470162117</v>
      </c>
      <c r="U337" s="337">
        <f>Gasto_o_ing_per_capita!U337*100/Gasto_o_ing_per_capita!$D337</f>
        <v>153.22875217105954</v>
      </c>
      <c r="V337" s="337">
        <f>Gasto_o_ing_per_capita!V337*100/Gasto_o_ing_per_capita!$D337</f>
        <v>370.56811519547841</v>
      </c>
    </row>
    <row r="338" spans="1:22" s="102" customFormat="1" ht="13.15">
      <c r="A338" s="355" t="str">
        <f>IF(B338="","",(IF(ISERROR(MATCH(B338,Tot_res!C:C,0)),"Eliminar!!!","")))</f>
        <v/>
      </c>
      <c r="B338" s="115" t="s">
        <v>332</v>
      </c>
      <c r="C338" s="333" t="str">
        <f>VLOOKUP(B338,Tot_res!C:D,2,FALSE)</f>
        <v>Seguridad vial</v>
      </c>
      <c r="D338" s="337">
        <f>Gasto_o_ing_per_capita!D338*100/Gasto_o_ing_per_capita!$D338</f>
        <v>100</v>
      </c>
      <c r="E338" s="337">
        <f>Gasto_o_ing_per_capita!E338*100/Gasto_o_ing_per_capita!$D338</f>
        <v>99.399603849754058</v>
      </c>
      <c r="F338" s="337">
        <f>Gasto_o_ing_per_capita!F338*100/Gasto_o_ing_per_capita!$D338</f>
        <v>179.78214686958432</v>
      </c>
      <c r="G338" s="337">
        <f>Gasto_o_ing_per_capita!G338*100/Gasto_o_ing_per_capita!$D338</f>
        <v>126.1775479974563</v>
      </c>
      <c r="H338" s="337">
        <f>Gasto_o_ing_per_capita!H338*100/Gasto_o_ing_per_capita!$D338</f>
        <v>105.76091326887233</v>
      </c>
      <c r="I338" s="337">
        <f>Gasto_o_ing_per_capita!I338*100/Gasto_o_ing_per_capita!$D338</f>
        <v>96.641082214575519</v>
      </c>
      <c r="J338" s="337">
        <f>Gasto_o_ing_per_capita!J338*100/Gasto_o_ing_per_capita!$D338</f>
        <v>130.36181591422181</v>
      </c>
      <c r="K338" s="337">
        <f>Gasto_o_ing_per_capita!K338*100/Gasto_o_ing_per_capita!$D338</f>
        <v>209.41516775590185</v>
      </c>
      <c r="L338" s="337">
        <f>Gasto_o_ing_per_capita!L338*100/Gasto_o_ing_per_capita!$D338</f>
        <v>149.96146157518189</v>
      </c>
      <c r="M338" s="337">
        <f>Gasto_o_ing_per_capita!M338*100/Gasto_o_ing_per_capita!$D338</f>
        <v>41.271261749189087</v>
      </c>
      <c r="N338" s="337">
        <f>Gasto_o_ing_per_capita!N338*100/Gasto_o_ing_per_capita!$D338</f>
        <v>90.683615816321236</v>
      </c>
      <c r="O338" s="337">
        <f>Gasto_o_ing_per_capita!O338*100/Gasto_o_ing_per_capita!$D338</f>
        <v>144.7451569094215</v>
      </c>
      <c r="P338" s="337">
        <f>Gasto_o_ing_per_capita!P338*100/Gasto_o_ing_per_capita!$D338</f>
        <v>143.95368123882565</v>
      </c>
      <c r="Q338" s="337">
        <f>Gasto_o_ing_per_capita!Q338*100/Gasto_o_ing_per_capita!$D338</f>
        <v>85.656624996990843</v>
      </c>
      <c r="R338" s="337">
        <f>Gasto_o_ing_per_capita!R338*100/Gasto_o_ing_per_capita!$D338</f>
        <v>86.051393924881523</v>
      </c>
      <c r="S338" s="337">
        <f>Gasto_o_ing_per_capita!S338*100/Gasto_o_ing_per_capita!$D338</f>
        <v>122.566676712468</v>
      </c>
      <c r="T338" s="337">
        <f>Gasto_o_ing_per_capita!T338*100/Gasto_o_ing_per_capita!$D338</f>
        <v>43.621617467229562</v>
      </c>
      <c r="U338" s="337">
        <f>Gasto_o_ing_per_capita!U338*100/Gasto_o_ing_per_capita!$D338</f>
        <v>167.68897160483908</v>
      </c>
      <c r="V338" s="337">
        <f>Gasto_o_ing_per_capita!V338*100/Gasto_o_ing_per_capita!$D338</f>
        <v>67.415272670280686</v>
      </c>
    </row>
    <row r="339" spans="1:22" s="102" customFormat="1" ht="13.15">
      <c r="A339" s="355" t="str">
        <f>IF(B339="","",(IF(ISERROR(MATCH(B339,Tot_res!C:C,0)),"Eliminar!!!","")))</f>
        <v/>
      </c>
      <c r="B339" s="115" t="s">
        <v>333</v>
      </c>
      <c r="C339" s="333" t="str">
        <f>VLOOKUP(B339,Tot_res!C:D,2,FALSE)</f>
        <v>Actuaciones policiales en materia de droga</v>
      </c>
      <c r="D339" s="337">
        <f>Gasto_o_ing_per_capita!D339*100/Gasto_o_ing_per_capita!$D339</f>
        <v>100</v>
      </c>
      <c r="E339" s="337">
        <f>Gasto_o_ing_per_capita!E339*100/Gasto_o_ing_per_capita!$D339</f>
        <v>107.03798624954871</v>
      </c>
      <c r="F339" s="337">
        <f>Gasto_o_ing_per_capita!F339*100/Gasto_o_ing_per_capita!$D339</f>
        <v>113.5989896086737</v>
      </c>
      <c r="G339" s="337">
        <f>Gasto_o_ing_per_capita!G339*100/Gasto_o_ing_per_capita!$D339</f>
        <v>106.67978014342738</v>
      </c>
      <c r="H339" s="337">
        <f>Gasto_o_ing_per_capita!H339*100/Gasto_o_ing_per_capita!$D339</f>
        <v>109.86018515361444</v>
      </c>
      <c r="I339" s="337">
        <f>Gasto_o_ing_per_capita!I339*100/Gasto_o_ing_per_capita!$D339</f>
        <v>112.8410092441168</v>
      </c>
      <c r="J339" s="337">
        <f>Gasto_o_ing_per_capita!J339*100/Gasto_o_ing_per_capita!$D339</f>
        <v>98.88801567961417</v>
      </c>
      <c r="K339" s="337">
        <f>Gasto_o_ing_per_capita!K339*100/Gasto_o_ing_per_capita!$D339</f>
        <v>113.98147141011644</v>
      </c>
      <c r="L339" s="337">
        <f>Gasto_o_ing_per_capita!L339*100/Gasto_o_ing_per_capita!$D339</f>
        <v>103.16185795874559</v>
      </c>
      <c r="M339" s="337">
        <f>Gasto_o_ing_per_capita!M339*100/Gasto_o_ing_per_capita!$D339</f>
        <v>67.721092231341103</v>
      </c>
      <c r="N339" s="337">
        <f>Gasto_o_ing_per_capita!N339*100/Gasto_o_ing_per_capita!$D339</f>
        <v>98.640708044767962</v>
      </c>
      <c r="O339" s="337">
        <f>Gasto_o_ing_per_capita!O339*100/Gasto_o_ing_per_capita!$D339</f>
        <v>111.47935061163714</v>
      </c>
      <c r="P339" s="337">
        <f>Gasto_o_ing_per_capita!P339*100/Gasto_o_ing_per_capita!$D339</f>
        <v>101.58719775824987</v>
      </c>
      <c r="Q339" s="337">
        <f>Gasto_o_ing_per_capita!Q339*100/Gasto_o_ing_per_capita!$D339</f>
        <v>108.00496947294495</v>
      </c>
      <c r="R339" s="337">
        <f>Gasto_o_ing_per_capita!R339*100/Gasto_o_ing_per_capita!$D339</f>
        <v>92.899660507934527</v>
      </c>
      <c r="S339" s="337">
        <f>Gasto_o_ing_per_capita!S339*100/Gasto_o_ing_per_capita!$D339</f>
        <v>114.36584331699272</v>
      </c>
      <c r="T339" s="337">
        <f>Gasto_o_ing_per_capita!T339*100/Gasto_o_ing_per_capita!$D339</f>
        <v>87.675956315493039</v>
      </c>
      <c r="U339" s="337">
        <f>Gasto_o_ing_per_capita!U339*100/Gasto_o_ing_per_capita!$D339</f>
        <v>139.18383833196361</v>
      </c>
      <c r="V339" s="337">
        <f>Gasto_o_ing_per_capita!V339*100/Gasto_o_ing_per_capita!$D339</f>
        <v>297.54885904825585</v>
      </c>
    </row>
    <row r="340" spans="1:22" s="102" customFormat="1" ht="13.15">
      <c r="A340" s="355" t="str">
        <f>IF(B340="","",(IF(ISERROR(MATCH(B340,Tot_res!C:C,0)),"Eliminar!!!","")))</f>
        <v/>
      </c>
      <c r="B340" s="115" t="s">
        <v>335</v>
      </c>
      <c r="C340" s="333" t="str">
        <f>VLOOKUP(B340,Tot_res!C:D,2,FALSE)</f>
        <v>Centros e instituciones penitenciarias</v>
      </c>
      <c r="D340" s="337">
        <f>Gasto_o_ing_per_capita!D340*100/Gasto_o_ing_per_capita!$D340</f>
        <v>100</v>
      </c>
      <c r="E340" s="337">
        <f>Gasto_o_ing_per_capita!E340*100/Gasto_o_ing_per_capita!$D340</f>
        <v>122.98489019939862</v>
      </c>
      <c r="F340" s="337">
        <f>Gasto_o_ing_per_capita!F340*100/Gasto_o_ing_per_capita!$D340</f>
        <v>123.56880497601325</v>
      </c>
      <c r="G340" s="337">
        <f>Gasto_o_ing_per_capita!G340*100/Gasto_o_ing_per_capita!$D340</f>
        <v>91.658214457241755</v>
      </c>
      <c r="H340" s="337">
        <f>Gasto_o_ing_per_capita!H340*100/Gasto_o_ing_per_capita!$D340</f>
        <v>122.14231452761659</v>
      </c>
      <c r="I340" s="337">
        <f>Gasto_o_ing_per_capita!I340*100/Gasto_o_ing_per_capita!$D340</f>
        <v>124.91613028690134</v>
      </c>
      <c r="J340" s="337">
        <f>Gasto_o_ing_per_capita!J340*100/Gasto_o_ing_per_capita!$D340</f>
        <v>103.87547730128948</v>
      </c>
      <c r="K340" s="337">
        <f>Gasto_o_ing_per_capita!K340*100/Gasto_o_ing_per_capita!$D340</f>
        <v>174.84410186598942</v>
      </c>
      <c r="L340" s="337">
        <f>Gasto_o_ing_per_capita!L340*100/Gasto_o_ing_per_capita!$D340</f>
        <v>88.21761785253463</v>
      </c>
      <c r="M340" s="337">
        <f>Gasto_o_ing_per_capita!M340*100/Gasto_o_ing_per_capita!$D340</f>
        <v>27.922365772333723</v>
      </c>
      <c r="N340" s="337">
        <f>Gasto_o_ing_per_capita!N340*100/Gasto_o_ing_per_capita!$D340</f>
        <v>104.64277184868099</v>
      </c>
      <c r="O340" s="337">
        <f>Gasto_o_ing_per_capita!O340*100/Gasto_o_ing_per_capita!$D340</f>
        <v>91.83353265646673</v>
      </c>
      <c r="P340" s="337">
        <f>Gasto_o_ing_per_capita!P340*100/Gasto_o_ing_per_capita!$D340</f>
        <v>111.10968442202625</v>
      </c>
      <c r="Q340" s="337">
        <f>Gasto_o_ing_per_capita!Q340*100/Gasto_o_ing_per_capita!$D340</f>
        <v>113.44570805974115</v>
      </c>
      <c r="R340" s="337">
        <f>Gasto_o_ing_per_capita!R340*100/Gasto_o_ing_per_capita!$D340</f>
        <v>90.720573490588151</v>
      </c>
      <c r="S340" s="337">
        <f>Gasto_o_ing_per_capita!S340*100/Gasto_o_ing_per_capita!$D340</f>
        <v>76.254228071095483</v>
      </c>
      <c r="T340" s="337">
        <f>Gasto_o_ing_per_capita!T340*100/Gasto_o_ing_per_capita!$D340</f>
        <v>71.230929612408929</v>
      </c>
      <c r="U340" s="337">
        <f>Gasto_o_ing_per_capita!U340*100/Gasto_o_ing_per_capita!$D340</f>
        <v>105.58910105135018</v>
      </c>
      <c r="V340" s="337">
        <f>Gasto_o_ing_per_capita!V340*100/Gasto_o_ing_per_capita!$D340</f>
        <v>351.93126197427625</v>
      </c>
    </row>
    <row r="341" spans="1:22" s="102" customFormat="1" ht="13.15">
      <c r="A341" s="355" t="str">
        <f>IF(B341="","",(IF(ISERROR(MATCH(B341,Tot_res!C:C,0)),"Eliminar!!!","")))</f>
        <v/>
      </c>
      <c r="B341" s="115" t="s">
        <v>336</v>
      </c>
      <c r="C341" s="333" t="str">
        <f>VLOOKUP(B341,Tot_res!C:D,2,FALSE)</f>
        <v>Trabajo, formación y asistencia a reclusos</v>
      </c>
      <c r="D341" s="337">
        <f>Gasto_o_ing_per_capita!D341*100/Gasto_o_ing_per_capita!$D341</f>
        <v>100</v>
      </c>
      <c r="E341" s="337">
        <f>Gasto_o_ing_per_capita!E341*100/Gasto_o_ing_per_capita!$D341</f>
        <v>107.01130862453842</v>
      </c>
      <c r="F341" s="337">
        <f>Gasto_o_ing_per_capita!F341*100/Gasto_o_ing_per_capita!$D341</f>
        <v>137.92262219030673</v>
      </c>
      <c r="G341" s="337">
        <f>Gasto_o_ing_per_capita!G341*100/Gasto_o_ing_per_capita!$D341</f>
        <v>75.077583330297188</v>
      </c>
      <c r="H341" s="337">
        <f>Gasto_o_ing_per_capita!H341*100/Gasto_o_ing_per_capita!$D341</f>
        <v>89.891888223829923</v>
      </c>
      <c r="I341" s="337">
        <f>Gasto_o_ing_per_capita!I341*100/Gasto_o_ing_per_capita!$D341</f>
        <v>85.766217071342609</v>
      </c>
      <c r="J341" s="337">
        <f>Gasto_o_ing_per_capita!J341*100/Gasto_o_ing_per_capita!$D341</f>
        <v>130.56612717871403</v>
      </c>
      <c r="K341" s="337">
        <f>Gasto_o_ing_per_capita!K341*100/Gasto_o_ing_per_capita!$D341</f>
        <v>211.97083154265229</v>
      </c>
      <c r="L341" s="337">
        <f>Gasto_o_ing_per_capita!L341*100/Gasto_o_ing_per_capita!$D341</f>
        <v>140.88414015054562</v>
      </c>
      <c r="M341" s="337">
        <f>Gasto_o_ing_per_capita!M341*100/Gasto_o_ing_per_capita!$D341</f>
        <v>27.182345925912038</v>
      </c>
      <c r="N341" s="337">
        <f>Gasto_o_ing_per_capita!N341*100/Gasto_o_ing_per_capita!$D341</f>
        <v>96.425504380753821</v>
      </c>
      <c r="O341" s="337">
        <f>Gasto_o_ing_per_capita!O341*100/Gasto_o_ing_per_capita!$D341</f>
        <v>125.15747828105839</v>
      </c>
      <c r="P341" s="337">
        <f>Gasto_o_ing_per_capita!P341*100/Gasto_o_ing_per_capita!$D341</f>
        <v>136.44211965559927</v>
      </c>
      <c r="Q341" s="337">
        <f>Gasto_o_ing_per_capita!Q341*100/Gasto_o_ing_per_capita!$D341</f>
        <v>105.8205662196477</v>
      </c>
      <c r="R341" s="337">
        <f>Gasto_o_ing_per_capita!R341*100/Gasto_o_ing_per_capita!$D341</f>
        <v>93.715038699781886</v>
      </c>
      <c r="S341" s="337">
        <f>Gasto_o_ing_per_capita!S341*100/Gasto_o_ing_per_capita!$D341</f>
        <v>73.305368982619328</v>
      </c>
      <c r="T341" s="337">
        <f>Gasto_o_ing_per_capita!T341*100/Gasto_o_ing_per_capita!$D341</f>
        <v>80.676409280509901</v>
      </c>
      <c r="U341" s="337">
        <f>Gasto_o_ing_per_capita!U341*100/Gasto_o_ing_per_capita!$D341</f>
        <v>118.84858384921037</v>
      </c>
      <c r="V341" s="337">
        <f>Gasto_o_ing_per_capita!V341*100/Gasto_o_ing_per_capita!$D341</f>
        <v>322.26498836016219</v>
      </c>
    </row>
    <row r="342" spans="1:22" s="102" customFormat="1" ht="13.15">
      <c r="A342" s="355" t="str">
        <f>IF(B342="","",(IF(ISERROR(MATCH(B342,Tot_res!C:C,0)),"Eliminar!!!","")))</f>
        <v/>
      </c>
      <c r="B342" s="115" t="s">
        <v>337</v>
      </c>
      <c r="C342" s="333" t="str">
        <f>VLOOKUP(B342,Tot_res!C:D,2,FALSE)</f>
        <v>Protección civil</v>
      </c>
      <c r="D342" s="337">
        <f>Gasto_o_ing_per_capita!D342*100/Gasto_o_ing_per_capita!$D342</f>
        <v>100</v>
      </c>
      <c r="E342" s="337">
        <f>Gasto_o_ing_per_capita!E342*100/Gasto_o_ing_per_capita!$D342</f>
        <v>149.15615943328518</v>
      </c>
      <c r="F342" s="337">
        <f>Gasto_o_ing_per_capita!F342*100/Gasto_o_ing_per_capita!$D342</f>
        <v>96.796378777560093</v>
      </c>
      <c r="G342" s="337">
        <f>Gasto_o_ing_per_capita!G342*100/Gasto_o_ing_per_capita!$D342</f>
        <v>56.681564975713925</v>
      </c>
      <c r="H342" s="337">
        <f>Gasto_o_ing_per_capita!H342*100/Gasto_o_ing_per_capita!$D342</f>
        <v>56.681564975713925</v>
      </c>
      <c r="I342" s="337">
        <f>Gasto_o_ing_per_capita!I342*100/Gasto_o_ing_per_capita!$D342</f>
        <v>80.975874756794497</v>
      </c>
      <c r="J342" s="337">
        <f>Gasto_o_ing_per_capita!J342*100/Gasto_o_ing_per_capita!$D342</f>
        <v>56.820467818495793</v>
      </c>
      <c r="K342" s="337">
        <f>Gasto_o_ing_per_capita!K342*100/Gasto_o_ing_per_capita!$D342</f>
        <v>72.063064731759098</v>
      </c>
      <c r="L342" s="337">
        <f>Gasto_o_ing_per_capita!L342*100/Gasto_o_ing_per_capita!$D342</f>
        <v>152.03475592315388</v>
      </c>
      <c r="M342" s="337">
        <f>Gasto_o_ing_per_capita!M342*100/Gasto_o_ing_per_capita!$D342</f>
        <v>65.298679608261892</v>
      </c>
      <c r="N342" s="337">
        <f>Gasto_o_ing_per_capita!N342*100/Gasto_o_ing_per_capita!$D342</f>
        <v>69.998283597417128</v>
      </c>
      <c r="O342" s="337">
        <f>Gasto_o_ing_per_capita!O342*100/Gasto_o_ing_per_capita!$D342</f>
        <v>214.78739089900722</v>
      </c>
      <c r="P342" s="337">
        <f>Gasto_o_ing_per_capita!P342*100/Gasto_o_ing_per_capita!$D342</f>
        <v>57.707618902228248</v>
      </c>
      <c r="Q342" s="337">
        <f>Gasto_o_ing_per_capita!Q342*100/Gasto_o_ing_per_capita!$D342</f>
        <v>73.875915056216357</v>
      </c>
      <c r="R342" s="337">
        <f>Gasto_o_ing_per_capita!R342*100/Gasto_o_ing_per_capita!$D342</f>
        <v>369.71914948576239</v>
      </c>
      <c r="S342" s="337">
        <f>Gasto_o_ing_per_capita!S342*100/Gasto_o_ing_per_capita!$D342</f>
        <v>59.87515005285357</v>
      </c>
      <c r="T342" s="337">
        <f>Gasto_o_ing_per_capita!T342*100/Gasto_o_ing_per_capita!$D342</f>
        <v>70.159668227123774</v>
      </c>
      <c r="U342" s="337">
        <f>Gasto_o_ing_per_capita!U342*100/Gasto_o_ing_per_capita!$D342</f>
        <v>56.681564975713925</v>
      </c>
      <c r="V342" s="337">
        <f>Gasto_o_ing_per_capita!V342*100/Gasto_o_ing_per_capita!$D342</f>
        <v>56.681564975713925</v>
      </c>
    </row>
    <row r="343" spans="1:22" s="102" customFormat="1" ht="13.15">
      <c r="A343" s="355" t="str">
        <f>IF(B343="","",(IF(ISERROR(MATCH(B343,Tot_res!C:C,0)),"Eliminar!!!","")))</f>
        <v/>
      </c>
      <c r="B343" s="115" t="s">
        <v>839</v>
      </c>
      <c r="C343" s="333" t="str">
        <f>VLOOKUP(B343,Tot_res!C:D,2,FALSE)</f>
        <v>Otras transferencias a Comunidades Autónomas: Transferencias a PV para prejubilaciones policía autónoma</v>
      </c>
      <c r="D343" s="337">
        <f>Gasto_o_ing_per_capita!D343*100/Gasto_o_ing_per_capita!$D343</f>
        <v>100</v>
      </c>
      <c r="E343" s="337">
        <f>Gasto_o_ing_per_capita!E343*100/Gasto_o_ing_per_capita!$D343</f>
        <v>21.873177106133696</v>
      </c>
      <c r="F343" s="337">
        <f>Gasto_o_ing_per_capita!F343*100/Gasto_o_ing_per_capita!$D343</f>
        <v>26.420436597862277</v>
      </c>
      <c r="G343" s="337">
        <f>Gasto_o_ing_per_capita!G343*100/Gasto_o_ing_per_capita!$D343</f>
        <v>23.581296590948178</v>
      </c>
      <c r="H343" s="337">
        <f>Gasto_o_ing_per_capita!H343*100/Gasto_o_ing_per_capita!$D343</f>
        <v>25.787481831091799</v>
      </c>
      <c r="I343" s="337">
        <f>Gasto_o_ing_per_capita!I343*100/Gasto_o_ing_per_capita!$D343</f>
        <v>23.284961064725696</v>
      </c>
      <c r="J343" s="337">
        <f>Gasto_o_ing_per_capita!J343*100/Gasto_o_ing_per_capita!$D343</f>
        <v>23.844757995654117</v>
      </c>
      <c r="K343" s="337">
        <f>Gasto_o_ing_per_capita!K343*100/Gasto_o_ing_per_capita!$D343</f>
        <v>24.337346713224754</v>
      </c>
      <c r="L343" s="337">
        <f>Gasto_o_ing_per_capita!L343*100/Gasto_o_ing_per_capita!$D343</f>
        <v>22.539876571668007</v>
      </c>
      <c r="M343" s="337">
        <f>Gasto_o_ing_per_capita!M343*100/Gasto_o_ing_per_capita!$D343</f>
        <v>27.182345925912038</v>
      </c>
      <c r="N343" s="337">
        <f>Gasto_o_ing_per_capita!N343*100/Gasto_o_ing_per_capita!$D343</f>
        <v>23.294555380402951</v>
      </c>
      <c r="O343" s="337">
        <f>Gasto_o_ing_per_capita!O343*100/Gasto_o_ing_per_capita!$D343</f>
        <v>21.205763735911038</v>
      </c>
      <c r="P343" s="337">
        <f>Gasto_o_ing_per_capita!P343*100/Gasto_o_ing_per_capita!$D343</f>
        <v>23.633771646007414</v>
      </c>
      <c r="Q343" s="337">
        <f>Gasto_o_ing_per_capita!Q343*100/Gasto_o_ing_per_capita!$D343</f>
        <v>29.550654336932357</v>
      </c>
      <c r="R343" s="337">
        <f>Gasto_o_ing_per_capita!R343*100/Gasto_o_ing_per_capita!$D343</f>
        <v>22.831396688425333</v>
      </c>
      <c r="S343" s="337">
        <f>Gasto_o_ing_per_capita!S343*100/Gasto_o_ing_per_capita!$D343</f>
        <v>27.969359015129619</v>
      </c>
      <c r="T343" s="337">
        <f>Gasto_o_ing_per_capita!T343*100/Gasto_o_ing_per_capita!$D343</f>
        <v>1636.4080663775853</v>
      </c>
      <c r="U343" s="337">
        <f>Gasto_o_ing_per_capita!U343*100/Gasto_o_ing_per_capita!$D343</f>
        <v>25.964279253125468</v>
      </c>
      <c r="V343" s="337">
        <f>Gasto_o_ing_per_capita!V343*100/Gasto_o_ing_per_capita!$D343</f>
        <v>22.528291521259714</v>
      </c>
    </row>
    <row r="344" spans="1:22" s="102" customFormat="1" ht="13.15">
      <c r="A344" s="355" t="str">
        <f>IF(B344="","",(IF(ISERROR(MATCH(B344,Tot_res!C:C,0)),"Eliminar!!!","")))</f>
        <v/>
      </c>
      <c r="B344" s="115" t="s">
        <v>339</v>
      </c>
      <c r="C344" s="333" t="str">
        <f>VLOOKUP(B344,Tot_res!C:D,2,FALSE)</f>
        <v>Administración de Justicia + AF13</v>
      </c>
      <c r="D344" s="337">
        <f>Gasto_o_ing_per_capita!D344*100/Gasto_o_ing_per_capita!$D344</f>
        <v>100</v>
      </c>
      <c r="E344" s="337">
        <f>Gasto_o_ing_per_capita!E344*100/Gasto_o_ing_per_capita!$D344</f>
        <v>112.67492846417761</v>
      </c>
      <c r="F344" s="337">
        <f>Gasto_o_ing_per_capita!F344*100/Gasto_o_ing_per_capita!$D344</f>
        <v>126.44326527335032</v>
      </c>
      <c r="G344" s="337">
        <f>Gasto_o_ing_per_capita!G344*100/Gasto_o_ing_per_capita!$D344</f>
        <v>166.60050711856314</v>
      </c>
      <c r="H344" s="337">
        <f>Gasto_o_ing_per_capita!H344*100/Gasto_o_ing_per_capita!$D344</f>
        <v>25.78748183109181</v>
      </c>
      <c r="I344" s="337">
        <f>Gasto_o_ing_per_capita!I344*100/Gasto_o_ing_per_capita!$D344</f>
        <v>111.06804817878864</v>
      </c>
      <c r="J344" s="337">
        <f>Gasto_o_ing_per_capita!J344*100/Gasto_o_ing_per_capita!$D344</f>
        <v>142.80507898808619</v>
      </c>
      <c r="K344" s="337">
        <f>Gasto_o_ing_per_capita!K344*100/Gasto_o_ing_per_capita!$D344</f>
        <v>24.337346713224758</v>
      </c>
      <c r="L344" s="337">
        <f>Gasto_o_ing_per_capita!L344*100/Gasto_o_ing_per_capita!$D344</f>
        <v>22.53987657166801</v>
      </c>
      <c r="M344" s="337">
        <f>Gasto_o_ing_per_capita!M344*100/Gasto_o_ing_per_capita!$D344</f>
        <v>127.01331019070848</v>
      </c>
      <c r="N344" s="337">
        <f>Gasto_o_ing_per_capita!N344*100/Gasto_o_ing_per_capita!$D344</f>
        <v>95.080438012022739</v>
      </c>
      <c r="O344" s="337">
        <f>Gasto_o_ing_per_capita!O344*100/Gasto_o_ing_per_capita!$D344</f>
        <v>21.205763735911045</v>
      </c>
      <c r="P344" s="337">
        <f>Gasto_o_ing_per_capita!P344*100/Gasto_o_ing_per_capita!$D344</f>
        <v>88.097050262095024</v>
      </c>
      <c r="Q344" s="337">
        <f>Gasto_o_ing_per_capita!Q344*100/Gasto_o_ing_per_capita!$D344</f>
        <v>125.04617557974849</v>
      </c>
      <c r="R344" s="337">
        <f>Gasto_o_ing_per_capita!R344*100/Gasto_o_ing_per_capita!$D344</f>
        <v>22.83139668842534</v>
      </c>
      <c r="S344" s="337">
        <f>Gasto_o_ing_per_capita!S344*100/Gasto_o_ing_per_capita!$D344</f>
        <v>119.24519508495933</v>
      </c>
      <c r="T344" s="337">
        <f>Gasto_o_ing_per_capita!T344*100/Gasto_o_ing_per_capita!$D344</f>
        <v>119.85073069317613</v>
      </c>
      <c r="U344" s="337">
        <f>Gasto_o_ing_per_capita!U344*100/Gasto_o_ing_per_capita!$D344</f>
        <v>167.1677146134958</v>
      </c>
      <c r="V344" s="337">
        <f>Gasto_o_ing_per_capita!V344*100/Gasto_o_ing_per_capita!$D344</f>
        <v>22.528291521259725</v>
      </c>
    </row>
    <row r="345" spans="1:22" s="102" customFormat="1" ht="13.15">
      <c r="A345" s="355" t="str">
        <f>IF(B345="","",(IF(ISERROR(MATCH(B345,Tot_res!C:C,0)),"Eliminar!!!","")))</f>
        <v/>
      </c>
      <c r="B345" s="115" t="s">
        <v>341</v>
      </c>
      <c r="C345" s="333" t="str">
        <f>VLOOKUP(B345,Tot_res!C:D,2,FALSE)</f>
        <v>Instituciones Penitenciarias transferidas, Cataluña</v>
      </c>
      <c r="D345" s="337">
        <f>Gasto_o_ing_per_capita!D345*100/Gasto_o_ing_per_capita!$D345</f>
        <v>100</v>
      </c>
      <c r="E345" s="337">
        <f>Gasto_o_ing_per_capita!E345*100/Gasto_o_ing_per_capita!$D345</f>
        <v>21.873177106133699</v>
      </c>
      <c r="F345" s="337">
        <f>Gasto_o_ing_per_capita!F345*100/Gasto_o_ing_per_capita!$D345</f>
        <v>26.420436597862281</v>
      </c>
      <c r="G345" s="337">
        <f>Gasto_o_ing_per_capita!G345*100/Gasto_o_ing_per_capita!$D345</f>
        <v>23.581296590948188</v>
      </c>
      <c r="H345" s="337">
        <f>Gasto_o_ing_per_capita!H345*100/Gasto_o_ing_per_capita!$D345</f>
        <v>25.787481831091814</v>
      </c>
      <c r="I345" s="337">
        <f>Gasto_o_ing_per_capita!I345*100/Gasto_o_ing_per_capita!$D345</f>
        <v>23.284961064725703</v>
      </c>
      <c r="J345" s="337">
        <f>Gasto_o_ing_per_capita!J345*100/Gasto_o_ing_per_capita!$D345</f>
        <v>23.844757995654131</v>
      </c>
      <c r="K345" s="337">
        <f>Gasto_o_ing_per_capita!K345*100/Gasto_o_ing_per_capita!$D345</f>
        <v>24.337346713224761</v>
      </c>
      <c r="L345" s="337">
        <f>Gasto_o_ing_per_capita!L345*100/Gasto_o_ing_per_capita!$D345</f>
        <v>22.53987657166801</v>
      </c>
      <c r="M345" s="337">
        <f>Gasto_o_ing_per_capita!M345*100/Gasto_o_ing_per_capita!$D345</f>
        <v>494.42796118432261</v>
      </c>
      <c r="N345" s="337">
        <f>Gasto_o_ing_per_capita!N345*100/Gasto_o_ing_per_capita!$D345</f>
        <v>23.294555380402961</v>
      </c>
      <c r="O345" s="337">
        <f>Gasto_o_ing_per_capita!O345*100/Gasto_o_ing_per_capita!$D345</f>
        <v>21.205763735911045</v>
      </c>
      <c r="P345" s="337">
        <f>Gasto_o_ing_per_capita!P345*100/Gasto_o_ing_per_capita!$D345</f>
        <v>23.633771646007425</v>
      </c>
      <c r="Q345" s="337">
        <f>Gasto_o_ing_per_capita!Q345*100/Gasto_o_ing_per_capita!$D345</f>
        <v>29.550654336932368</v>
      </c>
      <c r="R345" s="337">
        <f>Gasto_o_ing_per_capita!R345*100/Gasto_o_ing_per_capita!$D345</f>
        <v>22.831396688425336</v>
      </c>
      <c r="S345" s="337">
        <f>Gasto_o_ing_per_capita!S345*100/Gasto_o_ing_per_capita!$D345</f>
        <v>27.969359015129626</v>
      </c>
      <c r="T345" s="337">
        <f>Gasto_o_ing_per_capita!T345*100/Gasto_o_ing_per_capita!$D345</f>
        <v>28.756925580990071</v>
      </c>
      <c r="U345" s="337">
        <f>Gasto_o_ing_per_capita!U345*100/Gasto_o_ing_per_capita!$D345</f>
        <v>25.964279253125472</v>
      </c>
      <c r="V345" s="337">
        <f>Gasto_o_ing_per_capita!V345*100/Gasto_o_ing_per_capita!$D345</f>
        <v>22.528291521259721</v>
      </c>
    </row>
    <row r="346" spans="1:22" s="102" customFormat="1" ht="13.15">
      <c r="A346" s="355" t="str">
        <f>IF(B346="","",(IF(ISERROR(MATCH(B346,Tot_res!C:C,0)),"Eliminar!!!","")))</f>
        <v/>
      </c>
      <c r="B346" s="115" t="s">
        <v>342</v>
      </c>
      <c r="C346" s="333" t="str">
        <f>VLOOKUP(B346,Tot_res!C:D,2,FALSE)</f>
        <v>Policía áutonómica catalana y tráfico</v>
      </c>
      <c r="D346" s="337">
        <f>Gasto_o_ing_per_capita!D346*100/Gasto_o_ing_per_capita!$D346</f>
        <v>100</v>
      </c>
      <c r="E346" s="337">
        <f>Gasto_o_ing_per_capita!E346*100/Gasto_o_ing_per_capita!$D346</f>
        <v>21.873177106133696</v>
      </c>
      <c r="F346" s="337">
        <f>Gasto_o_ing_per_capita!F346*100/Gasto_o_ing_per_capita!$D346</f>
        <v>26.420436597862285</v>
      </c>
      <c r="G346" s="337">
        <f>Gasto_o_ing_per_capita!G346*100/Gasto_o_ing_per_capita!$D346</f>
        <v>23.581296590948188</v>
      </c>
      <c r="H346" s="337">
        <f>Gasto_o_ing_per_capita!H346*100/Gasto_o_ing_per_capita!$D346</f>
        <v>25.787481831091814</v>
      </c>
      <c r="I346" s="337">
        <f>Gasto_o_ing_per_capita!I346*100/Gasto_o_ing_per_capita!$D346</f>
        <v>23.28496106472571</v>
      </c>
      <c r="J346" s="337">
        <f>Gasto_o_ing_per_capita!J346*100/Gasto_o_ing_per_capita!$D346</f>
        <v>23.844757995654128</v>
      </c>
      <c r="K346" s="337">
        <f>Gasto_o_ing_per_capita!K346*100/Gasto_o_ing_per_capita!$D346</f>
        <v>24.337346713224765</v>
      </c>
      <c r="L346" s="337">
        <f>Gasto_o_ing_per_capita!L346*100/Gasto_o_ing_per_capita!$D346</f>
        <v>22.539876571668014</v>
      </c>
      <c r="M346" s="337">
        <f>Gasto_o_ing_per_capita!M346*100/Gasto_o_ing_per_capita!$D346</f>
        <v>494.42796118432256</v>
      </c>
      <c r="N346" s="337">
        <f>Gasto_o_ing_per_capita!N346*100/Gasto_o_ing_per_capita!$D346</f>
        <v>23.294555380402961</v>
      </c>
      <c r="O346" s="337">
        <f>Gasto_o_ing_per_capita!O346*100/Gasto_o_ing_per_capita!$D346</f>
        <v>21.205763735911042</v>
      </c>
      <c r="P346" s="337">
        <f>Gasto_o_ing_per_capita!P346*100/Gasto_o_ing_per_capita!$D346</f>
        <v>23.633771646007421</v>
      </c>
      <c r="Q346" s="337">
        <f>Gasto_o_ing_per_capita!Q346*100/Gasto_o_ing_per_capita!$D346</f>
        <v>29.550654336932368</v>
      </c>
      <c r="R346" s="337">
        <f>Gasto_o_ing_per_capita!R346*100/Gasto_o_ing_per_capita!$D346</f>
        <v>22.831396688425336</v>
      </c>
      <c r="S346" s="337">
        <f>Gasto_o_ing_per_capita!S346*100/Gasto_o_ing_per_capita!$D346</f>
        <v>27.96935901512963</v>
      </c>
      <c r="T346" s="337">
        <f>Gasto_o_ing_per_capita!T346*100/Gasto_o_ing_per_capita!$D346</f>
        <v>28.756925580990071</v>
      </c>
      <c r="U346" s="337">
        <f>Gasto_o_ing_per_capita!U346*100/Gasto_o_ing_per_capita!$D346</f>
        <v>25.964279253125476</v>
      </c>
      <c r="V346" s="337">
        <f>Gasto_o_ing_per_capita!V346*100/Gasto_o_ing_per_capita!$D346</f>
        <v>22.528291521259728</v>
      </c>
    </row>
    <row r="347" spans="1:22" s="102" customFormat="1" ht="13.15">
      <c r="A347" s="355" t="str">
        <f>IF(B347="","",(IF(ISERROR(MATCH(B347,Tot_res!C:C,0)),"Eliminar!!!","")))</f>
        <v/>
      </c>
      <c r="B347" s="115" t="s">
        <v>232</v>
      </c>
      <c r="C347" s="333" t="str">
        <f>VLOOKUP(B347,Tot_res!C:D,2,FALSE)</f>
        <v>Ajuste forales, seguridad ciudadana y vial</v>
      </c>
      <c r="D347" s="337">
        <f>Gasto_o_ing_per_capita!D347*100/Gasto_o_ing_per_capita!$D347</f>
        <v>100</v>
      </c>
      <c r="E347" s="337">
        <f>Gasto_o_ing_per_capita!E347*100/Gasto_o_ing_per_capita!$D347</f>
        <v>21.873177106133706</v>
      </c>
      <c r="F347" s="337">
        <f>Gasto_o_ing_per_capita!F347*100/Gasto_o_ing_per_capita!$D347</f>
        <v>26.420436597862285</v>
      </c>
      <c r="G347" s="337">
        <f>Gasto_o_ing_per_capita!G347*100/Gasto_o_ing_per_capita!$D347</f>
        <v>23.581296590948188</v>
      </c>
      <c r="H347" s="337">
        <f>Gasto_o_ing_per_capita!H347*100/Gasto_o_ing_per_capita!$D347</f>
        <v>25.78748183109181</v>
      </c>
      <c r="I347" s="337">
        <f>Gasto_o_ing_per_capita!I347*100/Gasto_o_ing_per_capita!$D347</f>
        <v>23.284961064725699</v>
      </c>
      <c r="J347" s="337">
        <f>Gasto_o_ing_per_capita!J347*100/Gasto_o_ing_per_capita!$D347</f>
        <v>23.844757995654128</v>
      </c>
      <c r="K347" s="337">
        <f>Gasto_o_ing_per_capita!K347*100/Gasto_o_ing_per_capita!$D347</f>
        <v>24.337346713224765</v>
      </c>
      <c r="L347" s="337">
        <f>Gasto_o_ing_per_capita!L347*100/Gasto_o_ing_per_capita!$D347</f>
        <v>22.539876571668014</v>
      </c>
      <c r="M347" s="337">
        <f>Gasto_o_ing_per_capita!M347*100/Gasto_o_ing_per_capita!$D347</f>
        <v>27.182345925912045</v>
      </c>
      <c r="N347" s="337">
        <f>Gasto_o_ing_per_capita!N347*100/Gasto_o_ing_per_capita!$D347</f>
        <v>23.294555380402961</v>
      </c>
      <c r="O347" s="337">
        <f>Gasto_o_ing_per_capita!O347*100/Gasto_o_ing_per_capita!$D347</f>
        <v>21.205763735911045</v>
      </c>
      <c r="P347" s="337">
        <f>Gasto_o_ing_per_capita!P347*100/Gasto_o_ing_per_capita!$D347</f>
        <v>23.633771646007425</v>
      </c>
      <c r="Q347" s="337">
        <f>Gasto_o_ing_per_capita!Q347*100/Gasto_o_ing_per_capita!$D347</f>
        <v>29.550654336932368</v>
      </c>
      <c r="R347" s="337">
        <f>Gasto_o_ing_per_capita!R347*100/Gasto_o_ing_per_capita!$D347</f>
        <v>22.831396688425347</v>
      </c>
      <c r="S347" s="337">
        <f>Gasto_o_ing_per_capita!S347*100/Gasto_o_ing_per_capita!$D347</f>
        <v>685.00526160540721</v>
      </c>
      <c r="T347" s="337">
        <f>Gasto_o_ing_per_capita!T347*100/Gasto_o_ing_per_capita!$D347</f>
        <v>1443.6368369245147</v>
      </c>
      <c r="U347" s="337">
        <f>Gasto_o_ing_per_capita!U347*100/Gasto_o_ing_per_capita!$D347</f>
        <v>25.964279253125479</v>
      </c>
      <c r="V347" s="337">
        <f>Gasto_o_ing_per_capita!V347*100/Gasto_o_ing_per_capita!$D347</f>
        <v>22.528291521259728</v>
      </c>
    </row>
    <row r="348" spans="1:22" s="102" customFormat="1" ht="13.15">
      <c r="A348" s="356"/>
      <c r="B348" s="115"/>
      <c r="D348" s="110"/>
      <c r="E348" s="110"/>
      <c r="F348" s="110"/>
      <c r="G348" s="110"/>
      <c r="H348" s="110"/>
      <c r="I348" s="110"/>
      <c r="J348" s="110"/>
      <c r="K348" s="110"/>
      <c r="L348" s="110"/>
      <c r="M348" s="110"/>
      <c r="N348" s="110"/>
      <c r="O348" s="110"/>
      <c r="P348" s="110"/>
      <c r="Q348" s="110"/>
      <c r="R348" s="110"/>
      <c r="S348" s="110"/>
      <c r="T348" s="110"/>
      <c r="U348" s="110"/>
      <c r="V348" s="110"/>
    </row>
    <row r="349" spans="1:22" s="102" customFormat="1" ht="13.15">
      <c r="A349" s="356"/>
      <c r="B349" s="115"/>
      <c r="C349" s="117" t="s">
        <v>6</v>
      </c>
      <c r="D349" s="113">
        <f>Gasto_o_ing_per_capita!D349*100/Gasto_o_ing_per_capita!$D349</f>
        <v>100</v>
      </c>
      <c r="E349" s="113">
        <f>Gasto_o_ing_per_capita!E349*100/Gasto_o_ing_per_capita!$D349</f>
        <v>96.115107382018948</v>
      </c>
      <c r="F349" s="113">
        <f>Gasto_o_ing_per_capita!F349*100/Gasto_o_ing_per_capita!$D349</f>
        <v>213.80659715369774</v>
      </c>
      <c r="G349" s="113">
        <f>Gasto_o_ing_per_capita!G349*100/Gasto_o_ing_per_capita!$D349</f>
        <v>125.91341221923599</v>
      </c>
      <c r="H349" s="113">
        <f>Gasto_o_ing_per_capita!H349*100/Gasto_o_ing_per_capita!$D349</f>
        <v>77.966065688517205</v>
      </c>
      <c r="I349" s="113">
        <f>Gasto_o_ing_per_capita!I349*100/Gasto_o_ing_per_capita!$D349</f>
        <v>93.10211617287159</v>
      </c>
      <c r="J349" s="113">
        <f>Gasto_o_ing_per_capita!J349*100/Gasto_o_ing_per_capita!$D349</f>
        <v>103.15426216639366</v>
      </c>
      <c r="K349" s="113">
        <f>Gasto_o_ing_per_capita!K349*100/Gasto_o_ing_per_capita!$D349</f>
        <v>100.6952416098607</v>
      </c>
      <c r="L349" s="113">
        <f>Gasto_o_ing_per_capita!L349*100/Gasto_o_ing_per_capita!$D349</f>
        <v>123.73076469304829</v>
      </c>
      <c r="M349" s="113">
        <f>Gasto_o_ing_per_capita!M349*100/Gasto_o_ing_per_capita!$D349</f>
        <v>84.772560230099714</v>
      </c>
      <c r="N349" s="113">
        <f>Gasto_o_ing_per_capita!N349*100/Gasto_o_ing_per_capita!$D349</f>
        <v>100.08713494878474</v>
      </c>
      <c r="O349" s="113">
        <f>Gasto_o_ing_per_capita!O349*100/Gasto_o_ing_per_capita!$D349</f>
        <v>105.36717780278055</v>
      </c>
      <c r="P349" s="113">
        <f>Gasto_o_ing_per_capita!P349*100/Gasto_o_ing_per_capita!$D349</f>
        <v>55.432778125600834</v>
      </c>
      <c r="Q349" s="113">
        <f>Gasto_o_ing_per_capita!Q349*100/Gasto_o_ing_per_capita!$D349</f>
        <v>109.40000786855518</v>
      </c>
      <c r="R349" s="113">
        <f>Gasto_o_ing_per_capita!R349*100/Gasto_o_ing_per_capita!$D349</f>
        <v>86.590763770903095</v>
      </c>
      <c r="S349" s="113">
        <f>Gasto_o_ing_per_capita!S349*100/Gasto_o_ing_per_capita!$D349</f>
        <v>98.352370772605781</v>
      </c>
      <c r="T349" s="113">
        <f>Gasto_o_ing_per_capita!T349*100/Gasto_o_ing_per_capita!$D349</f>
        <v>98.656827240996222</v>
      </c>
      <c r="U349" s="113">
        <f>Gasto_o_ing_per_capita!U349*100/Gasto_o_ing_per_capita!$D349</f>
        <v>237.1624675503395</v>
      </c>
      <c r="V349" s="113">
        <f>Gasto_o_ing_per_capita!V349*100/Gasto_o_ing_per_capita!$D349</f>
        <v>34.679357150132354</v>
      </c>
    </row>
    <row r="350" spans="1:22" s="102" customFormat="1" ht="13.15">
      <c r="A350" s="355" t="str">
        <f>IF(B350="","",(IF(ISERROR(MATCH(B350,Tot_res!C:C,0)),"Eliminar!!!","")))</f>
        <v/>
      </c>
      <c r="B350" s="119" t="s">
        <v>343</v>
      </c>
      <c r="C350" s="333" t="str">
        <f>VLOOKUP(B350,Tot_res!C:D,2,FALSE)</f>
        <v>Promoción, administración y ayudas para rehabilitación y acceso a vivienda+AF15</v>
      </c>
      <c r="D350" s="336">
        <f>Gasto_o_ing_per_capita!D350*100/Gasto_o_ing_per_capita!$D350</f>
        <v>100</v>
      </c>
      <c r="E350" s="336">
        <f>Gasto_o_ing_per_capita!E350*100/Gasto_o_ing_per_capita!$D350</f>
        <v>97.053257174943383</v>
      </c>
      <c r="F350" s="336">
        <f>Gasto_o_ing_per_capita!F350*100/Gasto_o_ing_per_capita!$D350</f>
        <v>220.00179421829614</v>
      </c>
      <c r="G350" s="336">
        <f>Gasto_o_ing_per_capita!G350*100/Gasto_o_ing_per_capita!$D350</f>
        <v>129.16112429839572</v>
      </c>
      <c r="H350" s="336">
        <f>Gasto_o_ing_per_capita!H350*100/Gasto_o_ing_per_capita!$D350</f>
        <v>59.663648479425341</v>
      </c>
      <c r="I350" s="336">
        <f>Gasto_o_ing_per_capita!I350*100/Gasto_o_ing_per_capita!$D350</f>
        <v>91.588824190365386</v>
      </c>
      <c r="J350" s="336">
        <f>Gasto_o_ing_per_capita!J350*100/Gasto_o_ing_per_capita!$D350</f>
        <v>105.33629046181481</v>
      </c>
      <c r="K350" s="336">
        <f>Gasto_o_ing_per_capita!K350*100/Gasto_o_ing_per_capita!$D350</f>
        <v>90.40203217169028</v>
      </c>
      <c r="L350" s="336">
        <f>Gasto_o_ing_per_capita!L350*100/Gasto_o_ing_per_capita!$D350</f>
        <v>126.62621184683756</v>
      </c>
      <c r="M350" s="336">
        <f>Gasto_o_ing_per_capita!M350*100/Gasto_o_ing_per_capita!$D350</f>
        <v>85.385405228563386</v>
      </c>
      <c r="N350" s="336">
        <f>Gasto_o_ing_per_capita!N350*100/Gasto_o_ing_per_capita!$D350</f>
        <v>102.3915273272774</v>
      </c>
      <c r="O350" s="336">
        <f>Gasto_o_ing_per_capita!O350*100/Gasto_o_ing_per_capita!$D350</f>
        <v>103.00730339279168</v>
      </c>
      <c r="P350" s="336">
        <f>Gasto_o_ing_per_capita!P350*100/Gasto_o_ing_per_capita!$D350</f>
        <v>53.416604669481053</v>
      </c>
      <c r="Q350" s="336">
        <f>Gasto_o_ing_per_capita!Q350*100/Gasto_o_ing_per_capita!$D350</f>
        <v>110.93099857123468</v>
      </c>
      <c r="R350" s="336">
        <f>Gasto_o_ing_per_capita!R350*100/Gasto_o_ing_per_capita!$D350</f>
        <v>86.305572124084449</v>
      </c>
      <c r="S350" s="336">
        <f>Gasto_o_ing_per_capita!S350*100/Gasto_o_ing_per_capita!$D350</f>
        <v>100.00000000000004</v>
      </c>
      <c r="T350" s="336">
        <f>Gasto_o_ing_per_capita!T350*100/Gasto_o_ing_per_capita!$D350</f>
        <v>100</v>
      </c>
      <c r="U350" s="336">
        <f>Gasto_o_ing_per_capita!U350*100/Gasto_o_ing_per_capita!$D350</f>
        <v>239.18655607789708</v>
      </c>
      <c r="V350" s="336">
        <f>Gasto_o_ing_per_capita!V350*100/Gasto_o_ing_per_capita!$D350</f>
        <v>34.899774162106866</v>
      </c>
    </row>
    <row r="351" spans="1:22" s="102" customFormat="1" ht="13.15">
      <c r="A351" s="355" t="str">
        <f>IF(B351="","",(IF(ISERROR(MATCH(B351,Tot_res!C:C,0)),"Eliminar!!!","")))</f>
        <v/>
      </c>
      <c r="B351" s="119" t="s">
        <v>844</v>
      </c>
      <c r="C351" s="333" t="str">
        <f>VLOOKUP(B351,Tot_res!C:D,2,FALSE)</f>
        <v>Ordenación y fomento de la edificación, neto de actuaciones relacionadas con el 1% cultural</v>
      </c>
      <c r="D351" s="336">
        <f>Gasto_o_ing_per_capita!D351*100/Gasto_o_ing_per_capita!$D351</f>
        <v>100</v>
      </c>
      <c r="E351" s="336">
        <f>Gasto_o_ing_per_capita!E351*100/Gasto_o_ing_per_capita!$D351</f>
        <v>66.338639957905755</v>
      </c>
      <c r="F351" s="336">
        <f>Gasto_o_ing_per_capita!F351*100/Gasto_o_ing_per_capita!$D351</f>
        <v>25.280747055179688</v>
      </c>
      <c r="G351" s="336">
        <f>Gasto_o_ing_per_capita!G351*100/Gasto_o_ing_per_capita!$D351</f>
        <v>25.120608706614757</v>
      </c>
      <c r="H351" s="336">
        <f>Gasto_o_ing_per_capita!H351*100/Gasto_o_ing_per_capita!$D351</f>
        <v>653.19020363380389</v>
      </c>
      <c r="I351" s="336">
        <f>Gasto_o_ing_per_capita!I351*100/Gasto_o_ing_per_capita!$D351</f>
        <v>140.36808369535694</v>
      </c>
      <c r="J351" s="336">
        <f>Gasto_o_ing_per_capita!J351*100/Gasto_o_ing_per_capita!$D351</f>
        <v>34.606252770834892</v>
      </c>
      <c r="K351" s="336">
        <f>Gasto_o_ing_per_capita!K351*100/Gasto_o_ing_per_capita!$D351</f>
        <v>424.95986049054682</v>
      </c>
      <c r="L351" s="336">
        <f>Gasto_o_ing_per_capita!L351*100/Gasto_o_ing_per_capita!$D351</f>
        <v>33.907019664168821</v>
      </c>
      <c r="M351" s="336">
        <f>Gasto_o_ing_per_capita!M351*100/Gasto_o_ing_per_capita!$D351</f>
        <v>64.583463570225405</v>
      </c>
      <c r="N351" s="336">
        <f>Gasto_o_ing_per_capita!N351*100/Gasto_o_ing_per_capita!$D351</f>
        <v>27.506502944539371</v>
      </c>
      <c r="O351" s="336">
        <f>Gasto_o_ing_per_capita!O351*100/Gasto_o_ing_per_capita!$D351</f>
        <v>180.01249471621722</v>
      </c>
      <c r="P351" s="336">
        <f>Gasto_o_ing_per_capita!P351*100/Gasto_o_ing_per_capita!$D351</f>
        <v>116.34917214932644</v>
      </c>
      <c r="Q351" s="336">
        <f>Gasto_o_ing_per_capita!Q351*100/Gasto_o_ing_per_capita!$D351</f>
        <v>61.722002253754738</v>
      </c>
      <c r="R351" s="336">
        <f>Gasto_o_ing_per_capita!R351*100/Gasto_o_ing_per_capita!$D351</f>
        <v>94.794477891008128</v>
      </c>
      <c r="S351" s="336">
        <f>Gasto_o_ing_per_capita!S351*100/Gasto_o_ing_per_capita!$D351</f>
        <v>46.358175459524823</v>
      </c>
      <c r="T351" s="336">
        <f>Gasto_o_ing_per_capita!T351*100/Gasto_o_ing_per_capita!$D351</f>
        <v>56.270357269654362</v>
      </c>
      <c r="U351" s="336">
        <f>Gasto_o_ing_per_capita!U351*100/Gasto_o_ing_per_capita!$D351</f>
        <v>181.37941844105865</v>
      </c>
      <c r="V351" s="336">
        <f>Gasto_o_ing_per_capita!V351*100/Gasto_o_ing_per_capita!$D351</f>
        <v>23.93931723093111</v>
      </c>
    </row>
    <row r="352" spans="1:22" s="102" customFormat="1" ht="13.15">
      <c r="A352" s="355" t="str">
        <f>IF(B352="","",(IF(ISERROR(MATCH(B352,Tot_res!C:C,0)),"Eliminar!!!","")))</f>
        <v/>
      </c>
      <c r="B352" s="119" t="s">
        <v>344</v>
      </c>
      <c r="C352" s="333" t="str">
        <f>VLOOKUP(B352,Tot_res!C:D,2,FALSE)</f>
        <v>Suelo y políticas urbanas</v>
      </c>
      <c r="D352" s="336">
        <f>Gasto_o_ing_per_capita!D352*100/Gasto_o_ing_per_capita!$D352</f>
        <v>100</v>
      </c>
      <c r="E352" s="336">
        <f>Gasto_o_ing_per_capita!E352*100/Gasto_o_ing_per_capita!$D352</f>
        <v>100</v>
      </c>
      <c r="F352" s="336">
        <f>Gasto_o_ing_per_capita!F352*100/Gasto_o_ing_per_capita!$D352</f>
        <v>100</v>
      </c>
      <c r="G352" s="336">
        <f>Gasto_o_ing_per_capita!G352*100/Gasto_o_ing_per_capita!$D352</f>
        <v>100.00000000000001</v>
      </c>
      <c r="H352" s="336">
        <f>Gasto_o_ing_per_capita!H352*100/Gasto_o_ing_per_capita!$D352</f>
        <v>100</v>
      </c>
      <c r="I352" s="336">
        <f>Gasto_o_ing_per_capita!I352*100/Gasto_o_ing_per_capita!$D352</f>
        <v>100</v>
      </c>
      <c r="J352" s="336">
        <f>Gasto_o_ing_per_capita!J352*100/Gasto_o_ing_per_capita!$D352</f>
        <v>100</v>
      </c>
      <c r="K352" s="336">
        <f>Gasto_o_ing_per_capita!K352*100/Gasto_o_ing_per_capita!$D352</f>
        <v>100</v>
      </c>
      <c r="L352" s="336">
        <f>Gasto_o_ing_per_capita!L352*100/Gasto_o_ing_per_capita!$D352</f>
        <v>100.00000000000001</v>
      </c>
      <c r="M352" s="336">
        <f>Gasto_o_ing_per_capita!M352*100/Gasto_o_ing_per_capita!$D352</f>
        <v>100.00000000000001</v>
      </c>
      <c r="N352" s="336">
        <f>Gasto_o_ing_per_capita!N352*100/Gasto_o_ing_per_capita!$D352</f>
        <v>100.00000000000001</v>
      </c>
      <c r="O352" s="336">
        <f>Gasto_o_ing_per_capita!O352*100/Gasto_o_ing_per_capita!$D352</f>
        <v>100</v>
      </c>
      <c r="P352" s="336">
        <f>Gasto_o_ing_per_capita!P352*100/Gasto_o_ing_per_capita!$D352</f>
        <v>100</v>
      </c>
      <c r="Q352" s="336">
        <f>Gasto_o_ing_per_capita!Q352*100/Gasto_o_ing_per_capita!$D352</f>
        <v>100.00000000000001</v>
      </c>
      <c r="R352" s="336">
        <f>Gasto_o_ing_per_capita!R352*100/Gasto_o_ing_per_capita!$D352</f>
        <v>100</v>
      </c>
      <c r="S352" s="336">
        <f>Gasto_o_ing_per_capita!S352*100/Gasto_o_ing_per_capita!$D352</f>
        <v>100</v>
      </c>
      <c r="T352" s="336">
        <f>Gasto_o_ing_per_capita!T352*100/Gasto_o_ing_per_capita!$D352</f>
        <v>100.00000000000001</v>
      </c>
      <c r="U352" s="336">
        <f>Gasto_o_ing_per_capita!U352*100/Gasto_o_ing_per_capita!$D352</f>
        <v>100.00000000000001</v>
      </c>
      <c r="V352" s="336">
        <f>Gasto_o_ing_per_capita!V352*100/Gasto_o_ing_per_capita!$D352</f>
        <v>100</v>
      </c>
    </row>
    <row r="353" spans="1:22" ht="13.15">
      <c r="A353" s="356"/>
      <c r="B353" s="9"/>
      <c r="D353" s="19"/>
      <c r="E353" s="19"/>
      <c r="F353" s="19"/>
      <c r="G353" s="19"/>
      <c r="H353" s="19"/>
      <c r="I353" s="19"/>
      <c r="J353" s="19"/>
      <c r="K353" s="19"/>
      <c r="L353" s="19"/>
      <c r="M353" s="19"/>
      <c r="N353" s="19"/>
      <c r="O353" s="19"/>
      <c r="P353" s="19"/>
      <c r="Q353" s="19"/>
      <c r="R353" s="19"/>
      <c r="S353" s="19"/>
      <c r="T353" s="19"/>
      <c r="U353" s="19"/>
      <c r="V353" s="19"/>
    </row>
    <row r="354" spans="1:22" s="102" customFormat="1" ht="13.15">
      <c r="A354" s="356"/>
      <c r="B354" s="115"/>
      <c r="C354" s="117" t="s">
        <v>45</v>
      </c>
      <c r="D354" s="113">
        <f>Gasto_o_ing_per_capita!D354*100/Gasto_o_ing_per_capita!$D354</f>
        <v>100</v>
      </c>
      <c r="E354" s="113">
        <f>Gasto_o_ing_per_capita!E354*100/Gasto_o_ing_per_capita!$D354</f>
        <v>65.027653403705713</v>
      </c>
      <c r="F354" s="113">
        <f>Gasto_o_ing_per_capita!F354*100/Gasto_o_ing_per_capita!$D354</f>
        <v>73.494828419887554</v>
      </c>
      <c r="G354" s="113">
        <f>Gasto_o_ing_per_capita!G354*100/Gasto_o_ing_per_capita!$D354</f>
        <v>67.508196659308283</v>
      </c>
      <c r="H354" s="113">
        <f>Gasto_o_ing_per_capita!H354*100/Gasto_o_ing_per_capita!$D354</f>
        <v>141.53387882291241</v>
      </c>
      <c r="I354" s="113">
        <f>Gasto_o_ing_per_capita!I354*100/Gasto_o_ing_per_capita!$D354</f>
        <v>67.572655583622549</v>
      </c>
      <c r="J354" s="113">
        <f>Gasto_o_ing_per_capita!J354*100/Gasto_o_ing_per_capita!$D354</f>
        <v>98.025261113455898</v>
      </c>
      <c r="K354" s="113">
        <f>Gasto_o_ing_per_capita!K354*100/Gasto_o_ing_per_capita!$D354</f>
        <v>94.750787786266869</v>
      </c>
      <c r="L354" s="113">
        <f>Gasto_o_ing_per_capita!L354*100/Gasto_o_ing_per_capita!$D354</f>
        <v>79.638639510201941</v>
      </c>
      <c r="M354" s="113">
        <f>Gasto_o_ing_per_capita!M354*100/Gasto_o_ing_per_capita!$D354</f>
        <v>99.59478073521143</v>
      </c>
      <c r="N354" s="113">
        <f>Gasto_o_ing_per_capita!N354*100/Gasto_o_ing_per_capita!$D354</f>
        <v>91.608442081344307</v>
      </c>
      <c r="O354" s="113">
        <f>Gasto_o_ing_per_capita!O354*100/Gasto_o_ing_per_capita!$D354</f>
        <v>80.024487695454582</v>
      </c>
      <c r="P354" s="113">
        <f>Gasto_o_ing_per_capita!P354*100/Gasto_o_ing_per_capita!$D354</f>
        <v>109.18521357355122</v>
      </c>
      <c r="Q354" s="113">
        <f>Gasto_o_ing_per_capita!Q354*100/Gasto_o_ing_per_capita!$D354</f>
        <v>180.90911495766775</v>
      </c>
      <c r="R354" s="113">
        <f>Gasto_o_ing_per_capita!R354*100/Gasto_o_ing_per_capita!$D354</f>
        <v>74.022154832500647</v>
      </c>
      <c r="S354" s="113">
        <f>Gasto_o_ing_per_capita!S354*100/Gasto_o_ing_per_capita!$D354</f>
        <v>102.46389655020674</v>
      </c>
      <c r="T354" s="113">
        <f>Gasto_o_ing_per_capita!T354*100/Gasto_o_ing_per_capita!$D354</f>
        <v>102.17718649152718</v>
      </c>
      <c r="U354" s="113">
        <f>Gasto_o_ing_per_capita!U354*100/Gasto_o_ing_per_capita!$D354</f>
        <v>86.21983023475606</v>
      </c>
      <c r="V354" s="113">
        <f>Gasto_o_ing_per_capita!V354*100/Gasto_o_ing_per_capita!$D354</f>
        <v>90.705081100840204</v>
      </c>
    </row>
    <row r="355" spans="1:22" s="102" customFormat="1" ht="13.15">
      <c r="A355" s="355" t="str">
        <f>IF(B355="","",(IF(ISERROR(MATCH(B355,Tot_res!C:C,0)),"Eliminar!!!","")))</f>
        <v/>
      </c>
      <c r="B355" s="115" t="s">
        <v>660</v>
      </c>
      <c r="C355" s="333" t="str">
        <f>VLOOKUP(B355,Tot_res!C:D,2,FALSE)</f>
        <v>Dirección y servicios generales de Cultura</v>
      </c>
      <c r="D355" s="336">
        <f>Gasto_o_ing_per_capita!D355*100/Gasto_o_ing_per_capita!$D355</f>
        <v>100</v>
      </c>
      <c r="E355" s="336">
        <f>Gasto_o_ing_per_capita!E355*100/Gasto_o_ing_per_capita!$D355</f>
        <v>74.053438135294996</v>
      </c>
      <c r="F355" s="336">
        <f>Gasto_o_ing_per_capita!F355*100/Gasto_o_ing_per_capita!$D355</f>
        <v>81.93535142739259</v>
      </c>
      <c r="G355" s="336">
        <f>Gasto_o_ing_per_capita!G355*100/Gasto_o_ing_per_capita!$D355</f>
        <v>75.623015151254023</v>
      </c>
      <c r="H355" s="336">
        <f>Gasto_o_ing_per_capita!H355*100/Gasto_o_ing_per_capita!$D355</f>
        <v>94.377215621953695</v>
      </c>
      <c r="I355" s="336">
        <f>Gasto_o_ing_per_capita!I355*100/Gasto_o_ing_per_capita!$D355</f>
        <v>76.974190837654703</v>
      </c>
      <c r="J355" s="336">
        <f>Gasto_o_ing_per_capita!J355*100/Gasto_o_ing_per_capita!$D355</f>
        <v>110.69619263281987</v>
      </c>
      <c r="K355" s="336">
        <f>Gasto_o_ing_per_capita!K355*100/Gasto_o_ing_per_capita!$D355</f>
        <v>102.57137855255004</v>
      </c>
      <c r="L355" s="336">
        <f>Gasto_o_ing_per_capita!L355*100/Gasto_o_ing_per_capita!$D355</f>
        <v>87.45823385196168</v>
      </c>
      <c r="M355" s="336">
        <f>Gasto_o_ing_per_capita!M355*100/Gasto_o_ing_per_capita!$D355</f>
        <v>86.556807673691225</v>
      </c>
      <c r="N355" s="336">
        <f>Gasto_o_ing_per_capita!N355*100/Gasto_o_ing_per_capita!$D355</f>
        <v>76.351268454270325</v>
      </c>
      <c r="O355" s="336">
        <f>Gasto_o_ing_per_capita!O355*100/Gasto_o_ing_per_capita!$D355</f>
        <v>87.963928781509225</v>
      </c>
      <c r="P355" s="336">
        <f>Gasto_o_ing_per_capita!P355*100/Gasto_o_ing_per_capita!$D355</f>
        <v>78.594653166877379</v>
      </c>
      <c r="Q355" s="336">
        <f>Gasto_o_ing_per_capita!Q355*100/Gasto_o_ing_per_capita!$D355</f>
        <v>209.53622628441639</v>
      </c>
      <c r="R355" s="336">
        <f>Gasto_o_ing_per_capita!R355*100/Gasto_o_ing_per_capita!$D355</f>
        <v>80.847411458725674</v>
      </c>
      <c r="S355" s="336">
        <f>Gasto_o_ing_per_capita!S355*100/Gasto_o_ing_per_capita!$D355</f>
        <v>80.342897823598904</v>
      </c>
      <c r="T355" s="336">
        <f>Gasto_o_ing_per_capita!T355*100/Gasto_o_ing_per_capita!$D355</f>
        <v>83.751546491354944</v>
      </c>
      <c r="U355" s="336">
        <f>Gasto_o_ing_per_capita!U355*100/Gasto_o_ing_per_capita!$D355</f>
        <v>96.654388626394564</v>
      </c>
      <c r="V355" s="336">
        <f>Gasto_o_ing_per_capita!V355*100/Gasto_o_ing_per_capita!$D355</f>
        <v>90.140098610385024</v>
      </c>
    </row>
    <row r="356" spans="1:22" s="102" customFormat="1" ht="13.15">
      <c r="A356" s="355" t="str">
        <f>IF(B356="","",(IF(ISERROR(MATCH(B356,Tot_res!C:C,0)),"Eliminar!!!","")))</f>
        <v/>
      </c>
      <c r="B356" s="115" t="s">
        <v>345</v>
      </c>
      <c r="C356" s="333" t="str">
        <f>VLOOKUP(B356,Tot_res!C:D,2,FALSE)</f>
        <v>Archivos</v>
      </c>
      <c r="D356" s="336">
        <f>Gasto_o_ing_per_capita!D356*100/Gasto_o_ing_per_capita!$D356</f>
        <v>100</v>
      </c>
      <c r="E356" s="336">
        <f>Gasto_o_ing_per_capita!E356*100/Gasto_o_ing_per_capita!$D356</f>
        <v>71.956791402422269</v>
      </c>
      <c r="F356" s="336">
        <f>Gasto_o_ing_per_capita!F356*100/Gasto_o_ing_per_capita!$D356</f>
        <v>54.293501326138468</v>
      </c>
      <c r="G356" s="336">
        <f>Gasto_o_ing_per_capita!G356*100/Gasto_o_ing_per_capita!$D356</f>
        <v>47.55024011929244</v>
      </c>
      <c r="H356" s="336">
        <f>Gasto_o_ing_per_capita!H356*100/Gasto_o_ing_per_capita!$D356</f>
        <v>312.15453539025054</v>
      </c>
      <c r="I356" s="336">
        <f>Gasto_o_ing_per_capita!I356*100/Gasto_o_ing_per_capita!$D356</f>
        <v>49.214089004108729</v>
      </c>
      <c r="J356" s="336">
        <f>Gasto_o_ing_per_capita!J356*100/Gasto_o_ing_per_capita!$D356</f>
        <v>51.723635077458489</v>
      </c>
      <c r="K356" s="336">
        <f>Gasto_o_ing_per_capita!K356*100/Gasto_o_ing_per_capita!$D356</f>
        <v>393.62432863537822</v>
      </c>
      <c r="L356" s="336">
        <f>Gasto_o_ing_per_capita!L356*100/Gasto_o_ing_per_capita!$D356</f>
        <v>73.805031748339388</v>
      </c>
      <c r="M356" s="336">
        <f>Gasto_o_ing_per_capita!M356*100/Gasto_o_ing_per_capita!$D356</f>
        <v>75.277499007070091</v>
      </c>
      <c r="N356" s="336">
        <f>Gasto_o_ing_per_capita!N356*100/Gasto_o_ing_per_capita!$D356</f>
        <v>46.845745605048734</v>
      </c>
      <c r="O356" s="336">
        <f>Gasto_o_ing_per_capita!O356*100/Gasto_o_ing_per_capita!$D356</f>
        <v>48.013943625440902</v>
      </c>
      <c r="P356" s="336">
        <f>Gasto_o_ing_per_capita!P356*100/Gasto_o_ing_per_capita!$D356</f>
        <v>51.543155483735433</v>
      </c>
      <c r="Q356" s="336">
        <f>Gasto_o_ing_per_capita!Q356*100/Gasto_o_ing_per_capita!$D356</f>
        <v>167.92874007097055</v>
      </c>
      <c r="R356" s="336">
        <f>Gasto_o_ing_per_capita!R356*100/Gasto_o_ing_per_capita!$D356</f>
        <v>45.805299434944992</v>
      </c>
      <c r="S356" s="336">
        <f>Gasto_o_ing_per_capita!S356*100/Gasto_o_ing_per_capita!$D356</f>
        <v>57.060986589434904</v>
      </c>
      <c r="T356" s="336">
        <f>Gasto_o_ing_per_capita!T356*100/Gasto_o_ing_per_capita!$D356</f>
        <v>58.482175483598837</v>
      </c>
      <c r="U356" s="336">
        <f>Gasto_o_ing_per_capita!U356*100/Gasto_o_ing_per_capita!$D356</f>
        <v>52.071064564345264</v>
      </c>
      <c r="V356" s="336">
        <f>Gasto_o_ing_per_capita!V356*100/Gasto_o_ing_per_capita!$D356</f>
        <v>53.833375517809245</v>
      </c>
    </row>
    <row r="357" spans="1:22" s="102" customFormat="1" ht="13.15">
      <c r="A357" s="355" t="str">
        <f>IF(B357="","",(IF(ISERROR(MATCH(B357,Tot_res!C:C,0)),"Eliminar!!!","")))</f>
        <v/>
      </c>
      <c r="B357" s="115" t="s">
        <v>347</v>
      </c>
      <c r="C357" s="333" t="str">
        <f>VLOOKUP(B357,Tot_res!C:D,2,FALSE)</f>
        <v>Bibliotecas</v>
      </c>
      <c r="D357" s="336">
        <f>Gasto_o_ing_per_capita!D357*100/Gasto_o_ing_per_capita!$D357</f>
        <v>100</v>
      </c>
      <c r="E357" s="336">
        <f>Gasto_o_ing_per_capita!E357*100/Gasto_o_ing_per_capita!$D357</f>
        <v>18.663636696902433</v>
      </c>
      <c r="F357" s="336">
        <f>Gasto_o_ing_per_capita!F357*100/Gasto_o_ing_per_capita!$D357</f>
        <v>20.796004019782099</v>
      </c>
      <c r="G357" s="336">
        <f>Gasto_o_ing_per_capita!G357*100/Gasto_o_ing_per_capita!$D357</f>
        <v>26.920693945297227</v>
      </c>
      <c r="H357" s="336">
        <f>Gasto_o_ing_per_capita!H357*100/Gasto_o_ing_per_capita!$D357</f>
        <v>18.800942863260804</v>
      </c>
      <c r="I357" s="336">
        <f>Gasto_o_ing_per_capita!I357*100/Gasto_o_ing_per_capita!$D357</f>
        <v>33.758273531471893</v>
      </c>
      <c r="J357" s="336">
        <f>Gasto_o_ing_per_capita!J357*100/Gasto_o_ing_per_capita!$D357</f>
        <v>22.426927631201856</v>
      </c>
      <c r="K357" s="336">
        <f>Gasto_o_ing_per_capita!K357*100/Gasto_o_ing_per_capita!$D357</f>
        <v>270.41195189937787</v>
      </c>
      <c r="L357" s="336">
        <f>Gasto_o_ing_per_capita!L357*100/Gasto_o_ing_per_capita!$D357</f>
        <v>37.922944468926005</v>
      </c>
      <c r="M357" s="336">
        <f>Gasto_o_ing_per_capita!M357*100/Gasto_o_ing_per_capita!$D357</f>
        <v>86.073637640123152</v>
      </c>
      <c r="N357" s="336">
        <f>Gasto_o_ing_per_capita!N357*100/Gasto_o_ing_per_capita!$D357</f>
        <v>18.58452967323969</v>
      </c>
      <c r="O357" s="336">
        <f>Gasto_o_ing_per_capita!O357*100/Gasto_o_ing_per_capita!$D357</f>
        <v>25.582929548141827</v>
      </c>
      <c r="P357" s="336">
        <f>Gasto_o_ing_per_capita!P357*100/Gasto_o_ing_per_capita!$D357</f>
        <v>25.100972109105189</v>
      </c>
      <c r="Q357" s="336">
        <f>Gasto_o_ing_per_capita!Q357*100/Gasto_o_ing_per_capita!$D357</f>
        <v>398.05683385741355</v>
      </c>
      <c r="R357" s="336">
        <f>Gasto_o_ing_per_capita!R357*100/Gasto_o_ing_per_capita!$D357</f>
        <v>21.323522171700809</v>
      </c>
      <c r="S357" s="336">
        <f>Gasto_o_ing_per_capita!S357*100/Gasto_o_ing_per_capita!$D357</f>
        <v>20.173822913867397</v>
      </c>
      <c r="T357" s="336">
        <f>Gasto_o_ing_per_capita!T357*100/Gasto_o_ing_per_capita!$D357</f>
        <v>25.496180064152984</v>
      </c>
      <c r="U357" s="336">
        <f>Gasto_o_ing_per_capita!U357*100/Gasto_o_ing_per_capita!$D357</f>
        <v>41.947391985007741</v>
      </c>
      <c r="V357" s="336">
        <f>Gasto_o_ing_per_capita!V357*100/Gasto_o_ing_per_capita!$D357</f>
        <v>520.01304725906436</v>
      </c>
    </row>
    <row r="358" spans="1:22" s="102" customFormat="1" ht="13.15">
      <c r="A358" s="355" t="str">
        <f>IF(B358="","",(IF(ISERROR(MATCH(B358,Tot_res!C:C,0)),"Eliminar!!!","")))</f>
        <v/>
      </c>
      <c r="B358" s="115" t="s">
        <v>348</v>
      </c>
      <c r="C358" s="333" t="str">
        <f>VLOOKUP(B358,Tot_res!C:D,2,FALSE)</f>
        <v>Museos</v>
      </c>
      <c r="D358" s="336">
        <f>Gasto_o_ing_per_capita!D358*100/Gasto_o_ing_per_capita!$D358</f>
        <v>100</v>
      </c>
      <c r="E358" s="336">
        <f>Gasto_o_ing_per_capita!E358*100/Gasto_o_ing_per_capita!$D358</f>
        <v>27.948009621045504</v>
      </c>
      <c r="F358" s="336">
        <f>Gasto_o_ing_per_capita!F358*100/Gasto_o_ing_per_capita!$D358</f>
        <v>27.993909527350095</v>
      </c>
      <c r="G358" s="336">
        <f>Gasto_o_ing_per_capita!G358*100/Gasto_o_ing_per_capita!$D358</f>
        <v>23.581296590948181</v>
      </c>
      <c r="H358" s="336">
        <f>Gasto_o_ing_per_capita!H358*100/Gasto_o_ing_per_capita!$D358</f>
        <v>65.754644082154897</v>
      </c>
      <c r="I358" s="336">
        <f>Gasto_o_ing_per_capita!I358*100/Gasto_o_ing_per_capita!$D358</f>
        <v>23.557348294377789</v>
      </c>
      <c r="J358" s="336">
        <f>Gasto_o_ing_per_capita!J358*100/Gasto_o_ing_per_capita!$D358</f>
        <v>319.46005563065995</v>
      </c>
      <c r="K358" s="336">
        <f>Gasto_o_ing_per_capita!K358*100/Gasto_o_ing_per_capita!$D358</f>
        <v>81.06655266187461</v>
      </c>
      <c r="L358" s="336">
        <f>Gasto_o_ing_per_capita!L358*100/Gasto_o_ing_per_capita!$D358</f>
        <v>108.18473260264533</v>
      </c>
      <c r="M358" s="336">
        <f>Gasto_o_ing_per_capita!M358*100/Gasto_o_ing_per_capita!$D358</f>
        <v>43.192697102478775</v>
      </c>
      <c r="N358" s="336">
        <f>Gasto_o_ing_per_capita!N358*100/Gasto_o_ing_per_capita!$D358</f>
        <v>41.60145754687251</v>
      </c>
      <c r="O358" s="336">
        <f>Gasto_o_ing_per_capita!O358*100/Gasto_o_ing_per_capita!$D358</f>
        <v>133.95407633475679</v>
      </c>
      <c r="P358" s="336">
        <f>Gasto_o_ing_per_capita!P358*100/Gasto_o_ing_per_capita!$D358</f>
        <v>24.551637508303852</v>
      </c>
      <c r="Q358" s="336">
        <f>Gasto_o_ing_per_capita!Q358*100/Gasto_o_ing_per_capita!$D358</f>
        <v>401.84493963837582</v>
      </c>
      <c r="R358" s="336">
        <f>Gasto_o_ing_per_capita!R358*100/Gasto_o_ing_per_capita!$D358</f>
        <v>99.794997149894712</v>
      </c>
      <c r="S358" s="336">
        <f>Gasto_o_ing_per_capita!S358*100/Gasto_o_ing_per_capita!$D358</f>
        <v>27.969359015129616</v>
      </c>
      <c r="T358" s="336">
        <f>Gasto_o_ing_per_capita!T358*100/Gasto_o_ing_per_capita!$D358</f>
        <v>35.747414912201002</v>
      </c>
      <c r="U358" s="336">
        <f>Gasto_o_ing_per_capita!U358*100/Gasto_o_ing_per_capita!$D358</f>
        <v>177.06731629133429</v>
      </c>
      <c r="V358" s="336">
        <f>Gasto_o_ing_per_capita!V358*100/Gasto_o_ing_per_capita!$D358</f>
        <v>22.528291521259717</v>
      </c>
    </row>
    <row r="359" spans="1:22" s="102" customFormat="1" ht="13.15">
      <c r="A359" s="355" t="str">
        <f>IF(B359="","",(IF(ISERROR(MATCH(B359,Tot_res!C:C,0)),"Eliminar!!!","")))</f>
        <v/>
      </c>
      <c r="B359" s="115" t="s">
        <v>350</v>
      </c>
      <c r="C359" s="333" t="str">
        <f>VLOOKUP(B359,Tot_res!C:D,2,FALSE)</f>
        <v>Exposiciones</v>
      </c>
      <c r="D359" s="336">
        <f>Gasto_o_ing_per_capita!D359*100/Gasto_o_ing_per_capita!$D359</f>
        <v>100</v>
      </c>
      <c r="E359" s="336">
        <f>Gasto_o_ing_per_capita!E359*100/Gasto_o_ing_per_capita!$D359</f>
        <v>47.600959675009129</v>
      </c>
      <c r="F359" s="336">
        <f>Gasto_o_ing_per_capita!F359*100/Gasto_o_ing_per_capita!$D359</f>
        <v>20.180833441395674</v>
      </c>
      <c r="G359" s="336">
        <f>Gasto_o_ing_per_capita!G359*100/Gasto_o_ing_per_capita!$D359</f>
        <v>5.9097831036905877</v>
      </c>
      <c r="H359" s="336">
        <f>Gasto_o_ing_per_capita!H359*100/Gasto_o_ing_per_capita!$D359</f>
        <v>5.9097831036905859</v>
      </c>
      <c r="I359" s="336">
        <f>Gasto_o_ing_per_capita!I359*100/Gasto_o_ing_per_capita!$D359</f>
        <v>5.9097831036905859</v>
      </c>
      <c r="J359" s="336">
        <f>Gasto_o_ing_per_capita!J359*100/Gasto_o_ing_per_capita!$D359</f>
        <v>5.9097831036905859</v>
      </c>
      <c r="K359" s="336">
        <f>Gasto_o_ing_per_capita!K359*100/Gasto_o_ing_per_capita!$D359</f>
        <v>385.36877239964264</v>
      </c>
      <c r="L359" s="336">
        <f>Gasto_o_ing_per_capita!L359*100/Gasto_o_ing_per_capita!$D359</f>
        <v>5.9097831036905859</v>
      </c>
      <c r="M359" s="336">
        <f>Gasto_o_ing_per_capita!M359*100/Gasto_o_ing_per_capita!$D359</f>
        <v>118.56785336146032</v>
      </c>
      <c r="N359" s="336">
        <f>Gasto_o_ing_per_capita!N359*100/Gasto_o_ing_per_capita!$D359</f>
        <v>232.48060188600874</v>
      </c>
      <c r="O359" s="336">
        <f>Gasto_o_ing_per_capita!O359*100/Gasto_o_ing_per_capita!$D359</f>
        <v>109.75601228386007</v>
      </c>
      <c r="P359" s="336">
        <f>Gasto_o_ing_per_capita!P359*100/Gasto_o_ing_per_capita!$D359</f>
        <v>26.658145333074035</v>
      </c>
      <c r="Q359" s="336">
        <f>Gasto_o_ing_per_capita!Q359*100/Gasto_o_ing_per_capita!$D359</f>
        <v>131.72096696922389</v>
      </c>
      <c r="R359" s="336">
        <f>Gasto_o_ing_per_capita!R359*100/Gasto_o_ing_per_capita!$D359</f>
        <v>5.909783103690585</v>
      </c>
      <c r="S359" s="336">
        <f>Gasto_o_ing_per_capita!S359*100/Gasto_o_ing_per_capita!$D359</f>
        <v>5.9097831036905859</v>
      </c>
      <c r="T359" s="336">
        <f>Gasto_o_ing_per_capita!T359*100/Gasto_o_ing_per_capita!$D359</f>
        <v>58.1482411023634</v>
      </c>
      <c r="U359" s="336">
        <f>Gasto_o_ing_per_capita!U359*100/Gasto_o_ing_per_capita!$D359</f>
        <v>5.9097831036905859</v>
      </c>
      <c r="V359" s="336">
        <f>Gasto_o_ing_per_capita!V359*100/Gasto_o_ing_per_capita!$D359</f>
        <v>5.9097831036905859</v>
      </c>
    </row>
    <row r="360" spans="1:22" s="102" customFormat="1" ht="13.15">
      <c r="A360" s="355" t="str">
        <f>IF(B360="","",(IF(ISERROR(MATCH(B360,Tot_res!C:C,0)),"Eliminar!!!","")))</f>
        <v/>
      </c>
      <c r="B360" s="119" t="s">
        <v>351</v>
      </c>
      <c r="C360" s="333" t="str">
        <f>VLOOKUP(B360,Tot_res!C:D,2,FALSE)</f>
        <v>Promoción y cooperación cultural</v>
      </c>
      <c r="D360" s="336">
        <f>Gasto_o_ing_per_capita!D360*100/Gasto_o_ing_per_capita!$D360</f>
        <v>100</v>
      </c>
      <c r="E360" s="336">
        <f>Gasto_o_ing_per_capita!E360*100/Gasto_o_ing_per_capita!$D360</f>
        <v>76.752924282259102</v>
      </c>
      <c r="F360" s="336">
        <f>Gasto_o_ing_per_capita!F360*100/Gasto_o_ing_per_capita!$D360</f>
        <v>117.25729041378737</v>
      </c>
      <c r="G360" s="336">
        <f>Gasto_o_ing_per_capita!G360*100/Gasto_o_ing_per_capita!$D360</f>
        <v>159.98437934465787</v>
      </c>
      <c r="H360" s="336">
        <f>Gasto_o_ing_per_capita!H360*100/Gasto_o_ing_per_capita!$D360</f>
        <v>46.372501637776125</v>
      </c>
      <c r="I360" s="336">
        <f>Gasto_o_ing_per_capita!I360*100/Gasto_o_ing_per_capita!$D360</f>
        <v>103.27381122406204</v>
      </c>
      <c r="J360" s="336">
        <f>Gasto_o_ing_per_capita!J360*100/Gasto_o_ing_per_capita!$D360</f>
        <v>105.38360395460973</v>
      </c>
      <c r="K360" s="336">
        <f>Gasto_o_ing_per_capita!K360*100/Gasto_o_ing_per_capita!$D360</f>
        <v>122.16539911309209</v>
      </c>
      <c r="L360" s="336">
        <f>Gasto_o_ing_per_capita!L360*100/Gasto_o_ing_per_capita!$D360</f>
        <v>68.101751975581863</v>
      </c>
      <c r="M360" s="336">
        <f>Gasto_o_ing_per_capita!M360*100/Gasto_o_ing_per_capita!$D360</f>
        <v>75.417141582758887</v>
      </c>
      <c r="N360" s="336">
        <f>Gasto_o_ing_per_capita!N360*100/Gasto_o_ing_per_capita!$D360</f>
        <v>61.638902809210691</v>
      </c>
      <c r="O360" s="336">
        <f>Gasto_o_ing_per_capita!O360*100/Gasto_o_ing_per_capita!$D360</f>
        <v>58.408344490774475</v>
      </c>
      <c r="P360" s="336">
        <f>Gasto_o_ing_per_capita!P360*100/Gasto_o_ing_per_capita!$D360</f>
        <v>85.783534729513761</v>
      </c>
      <c r="Q360" s="336">
        <f>Gasto_o_ing_per_capita!Q360*100/Gasto_o_ing_per_capita!$D360</f>
        <v>222.98964663446174</v>
      </c>
      <c r="R360" s="336">
        <f>Gasto_o_ing_per_capita!R360*100/Gasto_o_ing_per_capita!$D360</f>
        <v>45.584359015593051</v>
      </c>
      <c r="S360" s="336">
        <f>Gasto_o_ing_per_capita!S360*100/Gasto_o_ing_per_capita!$D360</f>
        <v>52.298875152197944</v>
      </c>
      <c r="T360" s="336">
        <f>Gasto_o_ing_per_capita!T360*100/Gasto_o_ing_per_capita!$D360</f>
        <v>77.320679418997628</v>
      </c>
      <c r="U360" s="336">
        <f>Gasto_o_ing_per_capita!U360*100/Gasto_o_ing_per_capita!$D360</f>
        <v>117.02761834757264</v>
      </c>
      <c r="V360" s="336">
        <f>Gasto_o_ing_per_capita!V360*100/Gasto_o_ing_per_capita!$D360</f>
        <v>52.94747837057524</v>
      </c>
    </row>
    <row r="361" spans="1:22" s="102" customFormat="1" ht="13.15">
      <c r="A361" s="355" t="str">
        <f>IF(B361="","",(IF(ISERROR(MATCH(B361,Tot_res!C:C,0)),"Eliminar!!!","")))</f>
        <v/>
      </c>
      <c r="B361" s="115" t="s">
        <v>353</v>
      </c>
      <c r="C361" s="333" t="str">
        <f>VLOOKUP(B361,Tot_res!C:D,2,FALSE)</f>
        <v>Promoción del libro y publicaciones culturales</v>
      </c>
      <c r="D361" s="336">
        <f>Gasto_o_ing_per_capita!D361*100/Gasto_o_ing_per_capita!$D361</f>
        <v>100</v>
      </c>
      <c r="E361" s="336">
        <f>Gasto_o_ing_per_capita!E361*100/Gasto_o_ing_per_capita!$D361</f>
        <v>100.00000000000001</v>
      </c>
      <c r="F361" s="336">
        <f>Gasto_o_ing_per_capita!F361*100/Gasto_o_ing_per_capita!$D361</f>
        <v>100.00000000000001</v>
      </c>
      <c r="G361" s="336">
        <f>Gasto_o_ing_per_capita!G361*100/Gasto_o_ing_per_capita!$D361</f>
        <v>100.00000000000001</v>
      </c>
      <c r="H361" s="336">
        <f>Gasto_o_ing_per_capita!H361*100/Gasto_o_ing_per_capita!$D361</f>
        <v>100.00000000000001</v>
      </c>
      <c r="I361" s="336">
        <f>Gasto_o_ing_per_capita!I361*100/Gasto_o_ing_per_capita!$D361</f>
        <v>100.00000000000003</v>
      </c>
      <c r="J361" s="336">
        <f>Gasto_o_ing_per_capita!J361*100/Gasto_o_ing_per_capita!$D361</f>
        <v>100.00000000000003</v>
      </c>
      <c r="K361" s="336">
        <f>Gasto_o_ing_per_capita!K361*100/Gasto_o_ing_per_capita!$D361</f>
        <v>100.00000000000003</v>
      </c>
      <c r="L361" s="336">
        <f>Gasto_o_ing_per_capita!L361*100/Gasto_o_ing_per_capita!$D361</f>
        <v>100.00000000000001</v>
      </c>
      <c r="M361" s="336">
        <f>Gasto_o_ing_per_capita!M361*100/Gasto_o_ing_per_capita!$D361</f>
        <v>100.00000000000001</v>
      </c>
      <c r="N361" s="336">
        <f>Gasto_o_ing_per_capita!N361*100/Gasto_o_ing_per_capita!$D361</f>
        <v>100.00000000000003</v>
      </c>
      <c r="O361" s="336">
        <f>Gasto_o_ing_per_capita!O361*100/Gasto_o_ing_per_capita!$D361</f>
        <v>100.00000000000001</v>
      </c>
      <c r="P361" s="336">
        <f>Gasto_o_ing_per_capita!P361*100/Gasto_o_ing_per_capita!$D361</f>
        <v>100.00000000000001</v>
      </c>
      <c r="Q361" s="336">
        <f>Gasto_o_ing_per_capita!Q361*100/Gasto_o_ing_per_capita!$D361</f>
        <v>100.00000000000001</v>
      </c>
      <c r="R361" s="336">
        <f>Gasto_o_ing_per_capita!R361*100/Gasto_o_ing_per_capita!$D361</f>
        <v>100.00000000000001</v>
      </c>
      <c r="S361" s="336">
        <f>Gasto_o_ing_per_capita!S361*100/Gasto_o_ing_per_capita!$D361</f>
        <v>100.00000000000001</v>
      </c>
      <c r="T361" s="336">
        <f>Gasto_o_ing_per_capita!T361*100/Gasto_o_ing_per_capita!$D361</f>
        <v>100.00000000000001</v>
      </c>
      <c r="U361" s="336">
        <f>Gasto_o_ing_per_capita!U361*100/Gasto_o_ing_per_capita!$D361</f>
        <v>100.00000000000003</v>
      </c>
      <c r="V361" s="336">
        <f>Gasto_o_ing_per_capita!V361*100/Gasto_o_ing_per_capita!$D361</f>
        <v>100.00000000000001</v>
      </c>
    </row>
    <row r="362" spans="1:22" s="102" customFormat="1" ht="13.15">
      <c r="A362" s="355" t="str">
        <f>IF(B362="","",(IF(ISERROR(MATCH(B362,Tot_res!C:C,0)),"Eliminar!!!","")))</f>
        <v/>
      </c>
      <c r="B362" s="115" t="s">
        <v>355</v>
      </c>
      <c r="C362" s="333" t="str">
        <f>VLOOKUP(B362,Tot_res!C:D,2,FALSE)</f>
        <v>Fomento de las industrias culturales</v>
      </c>
      <c r="D362" s="336">
        <f>Gasto_o_ing_per_capita!D362*100/Gasto_o_ing_per_capita!$D362</f>
        <v>100</v>
      </c>
      <c r="E362" s="336">
        <f>Gasto_o_ing_per_capita!E362*100/Gasto_o_ing_per_capita!$D362</f>
        <v>59.580147773454257</v>
      </c>
      <c r="F362" s="336">
        <f>Gasto_o_ing_per_capita!F362*100/Gasto_o_ing_per_capita!$D362</f>
        <v>104.14520363482715</v>
      </c>
      <c r="G362" s="336">
        <f>Gasto_o_ing_per_capita!G362*100/Gasto_o_ing_per_capita!$D362</f>
        <v>24.682368026577201</v>
      </c>
      <c r="H362" s="336">
        <f>Gasto_o_ing_per_capita!H362*100/Gasto_o_ing_per_capita!$D362</f>
        <v>46.983356212815274</v>
      </c>
      <c r="I362" s="336">
        <f>Gasto_o_ing_per_capita!I362*100/Gasto_o_ing_per_capita!$D362</f>
        <v>44.53530415769275</v>
      </c>
      <c r="J362" s="336">
        <f>Gasto_o_ing_per_capita!J362*100/Gasto_o_ing_per_capita!$D362</f>
        <v>151.6859197066174</v>
      </c>
      <c r="K362" s="336">
        <f>Gasto_o_ing_per_capita!K362*100/Gasto_o_ing_per_capita!$D362</f>
        <v>36.12971499303579</v>
      </c>
      <c r="L362" s="336">
        <f>Gasto_o_ing_per_capita!L362*100/Gasto_o_ing_per_capita!$D362</f>
        <v>10.883152167420498</v>
      </c>
      <c r="M362" s="336">
        <f>Gasto_o_ing_per_capita!M362*100/Gasto_o_ing_per_capita!$D362</f>
        <v>183.77059474705555</v>
      </c>
      <c r="N362" s="336">
        <f>Gasto_o_ing_per_capita!N362*100/Gasto_o_ing_per_capita!$D362</f>
        <v>27.139235749154217</v>
      </c>
      <c r="O362" s="336">
        <f>Gasto_o_ing_per_capita!O362*100/Gasto_o_ing_per_capita!$D362</f>
        <v>12.125430621194358</v>
      </c>
      <c r="P362" s="336">
        <f>Gasto_o_ing_per_capita!P362*100/Gasto_o_ing_per_capita!$D362</f>
        <v>21.951458582331934</v>
      </c>
      <c r="Q362" s="336">
        <f>Gasto_o_ing_per_capita!Q362*100/Gasto_o_ing_per_capita!$D362</f>
        <v>252.95262671894068</v>
      </c>
      <c r="R362" s="336">
        <f>Gasto_o_ing_per_capita!R362*100/Gasto_o_ing_per_capita!$D362</f>
        <v>14.3759431776779</v>
      </c>
      <c r="S362" s="336">
        <f>Gasto_o_ing_per_capita!S362*100/Gasto_o_ing_per_capita!$D362</f>
        <v>31.817048591752243</v>
      </c>
      <c r="T362" s="336">
        <f>Gasto_o_ing_per_capita!T362*100/Gasto_o_ing_per_capita!$D362</f>
        <v>181.17201767463052</v>
      </c>
      <c r="U362" s="336">
        <f>Gasto_o_ing_per_capita!U362*100/Gasto_o_ing_per_capita!$D362</f>
        <v>18.17073384150272</v>
      </c>
      <c r="V362" s="336">
        <f>Gasto_o_ing_per_capita!V362*100/Gasto_o_ing_per_capita!$D362</f>
        <v>4.0334362449827239</v>
      </c>
    </row>
    <row r="363" spans="1:22" s="102" customFormat="1" ht="13.15">
      <c r="A363" s="355" t="str">
        <f>IF(B363="","",(IF(ISERROR(MATCH(B363,Tot_res!C:C,0)),"Eliminar!!!","")))</f>
        <v/>
      </c>
      <c r="B363" s="119" t="s">
        <v>357</v>
      </c>
      <c r="C363" s="333" t="str">
        <f>VLOOKUP(B363,Tot_res!C:D,2,FALSE)</f>
        <v>Música y danza</v>
      </c>
      <c r="D363" s="336">
        <f>Gasto_o_ing_per_capita!D363*100/Gasto_o_ing_per_capita!$D363</f>
        <v>100</v>
      </c>
      <c r="E363" s="336">
        <f>Gasto_o_ing_per_capita!E363*100/Gasto_o_ing_per_capita!$D363</f>
        <v>35.505022722066997</v>
      </c>
      <c r="F363" s="336">
        <f>Gasto_o_ing_per_capita!F363*100/Gasto_o_ing_per_capita!$D363</f>
        <v>33.573955614473782</v>
      </c>
      <c r="G363" s="336">
        <f>Gasto_o_ing_per_capita!G363*100/Gasto_o_ing_per_capita!$D363</f>
        <v>38.975775271296442</v>
      </c>
      <c r="H363" s="336">
        <f>Gasto_o_ing_per_capita!H363*100/Gasto_o_ing_per_capita!$D363</f>
        <v>28.728674450548024</v>
      </c>
      <c r="I363" s="336">
        <f>Gasto_o_ing_per_capita!I363*100/Gasto_o_ing_per_capita!$D363</f>
        <v>29.323180581633778</v>
      </c>
      <c r="J363" s="336">
        <f>Gasto_o_ing_per_capita!J363*100/Gasto_o_ing_per_capita!$D363</f>
        <v>34.248887960252389</v>
      </c>
      <c r="K363" s="336">
        <f>Gasto_o_ing_per_capita!K363*100/Gasto_o_ing_per_capita!$D363</f>
        <v>28.490546205133612</v>
      </c>
      <c r="L363" s="336">
        <f>Gasto_o_ing_per_capita!L363*100/Gasto_o_ing_per_capita!$D363</f>
        <v>25.737483877437324</v>
      </c>
      <c r="M363" s="336">
        <f>Gasto_o_ing_per_capita!M363*100/Gasto_o_ing_per_capita!$D363</f>
        <v>85.195997079746363</v>
      </c>
      <c r="N363" s="336">
        <f>Gasto_o_ing_per_capita!N363*100/Gasto_o_ing_per_capita!$D363</f>
        <v>30.50619595846948</v>
      </c>
      <c r="O363" s="336">
        <f>Gasto_o_ing_per_capita!O363*100/Gasto_o_ing_per_capita!$D363</f>
        <v>24.937758046891918</v>
      </c>
      <c r="P363" s="336">
        <f>Gasto_o_ing_per_capita!P363*100/Gasto_o_ing_per_capita!$D363</f>
        <v>25.551153126358056</v>
      </c>
      <c r="Q363" s="336">
        <f>Gasto_o_ing_per_capita!Q363*100/Gasto_o_ing_per_capita!$D363</f>
        <v>462.05711658952168</v>
      </c>
      <c r="R363" s="336">
        <f>Gasto_o_ing_per_capita!R363*100/Gasto_o_ing_per_capita!$D363</f>
        <v>27.045628110272158</v>
      </c>
      <c r="S363" s="336">
        <f>Gasto_o_ing_per_capita!S363*100/Gasto_o_ing_per_capita!$D363</f>
        <v>34.866591134883841</v>
      </c>
      <c r="T363" s="336">
        <f>Gasto_o_ing_per_capita!T363*100/Gasto_o_ing_per_capita!$D363</f>
        <v>50.114575368521592</v>
      </c>
      <c r="U363" s="336">
        <f>Gasto_o_ing_per_capita!U363*100/Gasto_o_ing_per_capita!$D363</f>
        <v>26.963965413014463</v>
      </c>
      <c r="V363" s="336">
        <f>Gasto_o_ing_per_capita!V363*100/Gasto_o_ing_per_capita!$D363</f>
        <v>22.528291521259717</v>
      </c>
    </row>
    <row r="364" spans="1:22" s="102" customFormat="1" ht="13.15">
      <c r="A364" s="355" t="str">
        <f>IF(B364="","",(IF(ISERROR(MATCH(B364,Tot_res!C:C,0)),"Eliminar!!!","")))</f>
        <v/>
      </c>
      <c r="B364" s="119" t="s">
        <v>358</v>
      </c>
      <c r="C364" s="333" t="str">
        <f>VLOOKUP(B364,Tot_res!C:D,2,FALSE)</f>
        <v>Teatro</v>
      </c>
      <c r="D364" s="336">
        <f>Gasto_o_ing_per_capita!D364*100/Gasto_o_ing_per_capita!$D364</f>
        <v>100</v>
      </c>
      <c r="E364" s="336">
        <f>Gasto_o_ing_per_capita!E364*100/Gasto_o_ing_per_capita!$D364</f>
        <v>40.589525963681545</v>
      </c>
      <c r="F364" s="336">
        <f>Gasto_o_ing_per_capita!F364*100/Gasto_o_ing_per_capita!$D364</f>
        <v>63.856454632979428</v>
      </c>
      <c r="G364" s="336">
        <f>Gasto_o_ing_per_capita!G364*100/Gasto_o_ing_per_capita!$D364</f>
        <v>42.024361820892466</v>
      </c>
      <c r="H364" s="336">
        <f>Gasto_o_ing_per_capita!H364*100/Gasto_o_ing_per_capita!$D364</f>
        <v>62.629220496240755</v>
      </c>
      <c r="I364" s="336">
        <f>Gasto_o_ing_per_capita!I364*100/Gasto_o_ing_per_capita!$D364</f>
        <v>35.374911628432301</v>
      </c>
      <c r="J364" s="336">
        <f>Gasto_o_ing_per_capita!J364*100/Gasto_o_ing_per_capita!$D364</f>
        <v>45.594504234823638</v>
      </c>
      <c r="K364" s="336">
        <f>Gasto_o_ing_per_capita!K364*100/Gasto_o_ing_per_capita!$D364</f>
        <v>57.061235386308567</v>
      </c>
      <c r="L364" s="336">
        <f>Gasto_o_ing_per_capita!L364*100/Gasto_o_ing_per_capita!$D364</f>
        <v>69.44623133754385</v>
      </c>
      <c r="M364" s="336">
        <f>Gasto_o_ing_per_capita!M364*100/Gasto_o_ing_per_capita!$D364</f>
        <v>76.704137092425583</v>
      </c>
      <c r="N364" s="336">
        <f>Gasto_o_ing_per_capita!N364*100/Gasto_o_ing_per_capita!$D364</f>
        <v>52.393036492105047</v>
      </c>
      <c r="O364" s="336">
        <f>Gasto_o_ing_per_capita!O364*100/Gasto_o_ing_per_capita!$D364</f>
        <v>64.125917075542219</v>
      </c>
      <c r="P364" s="336">
        <f>Gasto_o_ing_per_capita!P364*100/Gasto_o_ing_per_capita!$D364</f>
        <v>42.069776246532676</v>
      </c>
      <c r="Q364" s="336">
        <f>Gasto_o_ing_per_capita!Q364*100/Gasto_o_ing_per_capita!$D364</f>
        <v>379.08744270152147</v>
      </c>
      <c r="R364" s="336">
        <f>Gasto_o_ing_per_capita!R364*100/Gasto_o_ing_per_capita!$D364</f>
        <v>47.862859919451665</v>
      </c>
      <c r="S364" s="336">
        <f>Gasto_o_ing_per_capita!S364*100/Gasto_o_ing_per_capita!$D364</f>
        <v>42.475566428646843</v>
      </c>
      <c r="T364" s="336">
        <f>Gasto_o_ing_per_capita!T364*100/Gasto_o_ing_per_capita!$D364</f>
        <v>73.569259041820729</v>
      </c>
      <c r="U364" s="336">
        <f>Gasto_o_ing_per_capita!U364*100/Gasto_o_ing_per_capita!$D364</f>
        <v>48.444121236947389</v>
      </c>
      <c r="V364" s="336">
        <f>Gasto_o_ing_per_capita!V364*100/Gasto_o_ing_per_capita!$D364</f>
        <v>31.402897343146787</v>
      </c>
    </row>
    <row r="365" spans="1:22" s="102" customFormat="1" ht="13.15">
      <c r="A365" s="355" t="str">
        <f>IF(B365="","",(IF(ISERROR(MATCH(B365,Tot_res!C:C,0)),"Eliminar!!!","")))</f>
        <v/>
      </c>
      <c r="B365" s="115" t="s">
        <v>360</v>
      </c>
      <c r="C365" s="333" t="str">
        <f>VLOOKUP(B365,Tot_res!C:D,2,FALSE)</f>
        <v>Cinematografía</v>
      </c>
      <c r="D365" s="336">
        <f>Gasto_o_ing_per_capita!D365*100/Gasto_o_ing_per_capita!$D365</f>
        <v>100</v>
      </c>
      <c r="E365" s="336">
        <f>Gasto_o_ing_per_capita!E365*100/Gasto_o_ing_per_capita!$D365</f>
        <v>76.723125831918125</v>
      </c>
      <c r="F365" s="336">
        <f>Gasto_o_ing_per_capita!F365*100/Gasto_o_ing_per_capita!$D365</f>
        <v>96.70348958964378</v>
      </c>
      <c r="G365" s="336">
        <f>Gasto_o_ing_per_capita!G365*100/Gasto_o_ing_per_capita!$D365</f>
        <v>80.892972259052073</v>
      </c>
      <c r="H365" s="336">
        <f>Gasto_o_ing_per_capita!H365*100/Gasto_o_ing_per_capita!$D365</f>
        <v>116.67265305765417</v>
      </c>
      <c r="I365" s="336">
        <f>Gasto_o_ing_per_capita!I365*100/Gasto_o_ing_per_capita!$D365</f>
        <v>101.98643609235174</v>
      </c>
      <c r="J365" s="336">
        <f>Gasto_o_ing_per_capita!J365*100/Gasto_o_ing_per_capita!$D365</f>
        <v>72.972985490999264</v>
      </c>
      <c r="K365" s="336">
        <f>Gasto_o_ing_per_capita!K365*100/Gasto_o_ing_per_capita!$D365</f>
        <v>85.895887545315802</v>
      </c>
      <c r="L365" s="336">
        <f>Gasto_o_ing_per_capita!L365*100/Gasto_o_ing_per_capita!$D365</f>
        <v>61.834363106802257</v>
      </c>
      <c r="M365" s="336">
        <f>Gasto_o_ing_per_capita!M365*100/Gasto_o_ing_per_capita!$D365</f>
        <v>120.02639658014213</v>
      </c>
      <c r="N365" s="336">
        <f>Gasto_o_ing_per_capita!N365*100/Gasto_o_ing_per_capita!$D365</f>
        <v>102.16510332069049</v>
      </c>
      <c r="O365" s="336">
        <f>Gasto_o_ing_per_capita!O365*100/Gasto_o_ing_per_capita!$D365</f>
        <v>39.093489207603355</v>
      </c>
      <c r="P365" s="336">
        <f>Gasto_o_ing_per_capita!P365*100/Gasto_o_ing_per_capita!$D365</f>
        <v>62.486688735327895</v>
      </c>
      <c r="Q365" s="336">
        <f>Gasto_o_ing_per_capita!Q365*100/Gasto_o_ing_per_capita!$D365</f>
        <v>139.69926495340505</v>
      </c>
      <c r="R365" s="336">
        <f>Gasto_o_ing_per_capita!R365*100/Gasto_o_ing_per_capita!$D365</f>
        <v>87.939828699447332</v>
      </c>
      <c r="S365" s="336">
        <f>Gasto_o_ing_per_capita!S365*100/Gasto_o_ing_per_capita!$D365</f>
        <v>134.05435630648921</v>
      </c>
      <c r="T365" s="336">
        <f>Gasto_o_ing_per_capita!T365*100/Gasto_o_ing_per_capita!$D365</f>
        <v>137.65820165842402</v>
      </c>
      <c r="U365" s="336">
        <f>Gasto_o_ing_per_capita!U365*100/Gasto_o_ing_per_capita!$D365</f>
        <v>134.38989528318726</v>
      </c>
      <c r="V365" s="336">
        <f>Gasto_o_ing_per_capita!V365*100/Gasto_o_ing_per_capita!$D365</f>
        <v>0</v>
      </c>
    </row>
    <row r="366" spans="1:22" s="102" customFormat="1" ht="13.15">
      <c r="A366" s="355" t="str">
        <f>IF(B366="","",(IF(ISERROR(MATCH(B366,Tot_res!C:C,0)),"Eliminar!!!","")))</f>
        <v/>
      </c>
      <c r="B366" s="115" t="s">
        <v>851</v>
      </c>
      <c r="C366" s="333" t="str">
        <f>VLOOKUP(B366,Tot_res!C:D,2,FALSE)</f>
        <v>Fomento y apoyo de las actividades deportivas</v>
      </c>
      <c r="D366" s="336">
        <f>Gasto_o_ing_per_capita!D366*100/Gasto_o_ing_per_capita!$D366</f>
        <v>100</v>
      </c>
      <c r="E366" s="336">
        <f>Gasto_o_ing_per_capita!E366*100/Gasto_o_ing_per_capita!$D366</f>
        <v>90.837419094010997</v>
      </c>
      <c r="F366" s="336">
        <f>Gasto_o_ing_per_capita!F366*100/Gasto_o_ing_per_capita!$D366</f>
        <v>138.56254816387536</v>
      </c>
      <c r="G366" s="336">
        <f>Gasto_o_ing_per_capita!G366*100/Gasto_o_ing_per_capita!$D366</f>
        <v>110.0509784425069</v>
      </c>
      <c r="H366" s="336">
        <f>Gasto_o_ing_per_capita!H366*100/Gasto_o_ing_per_capita!$D366</f>
        <v>107.84071610502099</v>
      </c>
      <c r="I366" s="336">
        <f>Gasto_o_ing_per_capita!I366*100/Gasto_o_ing_per_capita!$D366</f>
        <v>107.93431258726594</v>
      </c>
      <c r="J366" s="336">
        <f>Gasto_o_ing_per_capita!J366*100/Gasto_o_ing_per_capita!$D366</f>
        <v>140.4883104359931</v>
      </c>
      <c r="K366" s="336">
        <f>Gasto_o_ing_per_capita!K366*100/Gasto_o_ing_per_capita!$D366</f>
        <v>91.070335902275687</v>
      </c>
      <c r="L366" s="336">
        <f>Gasto_o_ing_per_capita!L366*100/Gasto_o_ing_per_capita!$D366</f>
        <v>83.693820940577226</v>
      </c>
      <c r="M366" s="336">
        <f>Gasto_o_ing_per_capita!M366*100/Gasto_o_ing_per_capita!$D366</f>
        <v>109.82677852813055</v>
      </c>
      <c r="N366" s="336">
        <f>Gasto_o_ing_per_capita!N366*100/Gasto_o_ing_per_capita!$D366</f>
        <v>91.523667064886894</v>
      </c>
      <c r="O366" s="336">
        <f>Gasto_o_ing_per_capita!O366*100/Gasto_o_ing_per_capita!$D366</f>
        <v>93.783405279187747</v>
      </c>
      <c r="P366" s="336">
        <f>Gasto_o_ing_per_capita!P366*100/Gasto_o_ing_per_capita!$D366</f>
        <v>95.975469066160628</v>
      </c>
      <c r="Q366" s="336">
        <f>Gasto_o_ing_per_capita!Q366*100/Gasto_o_ing_per_capita!$D366</f>
        <v>89.400788284592721</v>
      </c>
      <c r="R366" s="336">
        <f>Gasto_o_ing_per_capita!R366*100/Gasto_o_ing_per_capita!$D366</f>
        <v>84.251822702254515</v>
      </c>
      <c r="S366" s="336">
        <f>Gasto_o_ing_per_capita!S366*100/Gasto_o_ing_per_capita!$D366</f>
        <v>150.10021377172174</v>
      </c>
      <c r="T366" s="336">
        <f>Gasto_o_ing_per_capita!T366*100/Gasto_o_ing_per_capita!$D366</f>
        <v>123.44662055874552</v>
      </c>
      <c r="U366" s="336">
        <f>Gasto_o_ing_per_capita!U366*100/Gasto_o_ing_per_capita!$D366</f>
        <v>138.81045283327958</v>
      </c>
      <c r="V366" s="336">
        <f>Gasto_o_ing_per_capita!V366*100/Gasto_o_ing_per_capita!$D366</f>
        <v>127.32139331405908</v>
      </c>
    </row>
    <row r="367" spans="1:22" s="102" customFormat="1" ht="13.15">
      <c r="A367" s="355" t="str">
        <f>IF(B367="","",(IF(ISERROR(MATCH(B367,Tot_res!C:C,0)),"Eliminar!!!","")))</f>
        <v/>
      </c>
      <c r="B367" s="115" t="s">
        <v>363</v>
      </c>
      <c r="C367" s="333" t="str">
        <f>VLOOKUP(B367,Tot_res!C:D,2,FALSE)</f>
        <v>Administración del patrimonio histórico-nacional</v>
      </c>
      <c r="D367" s="336">
        <f>Gasto_o_ing_per_capita!D367*100/Gasto_o_ing_per_capita!$D367</f>
        <v>100</v>
      </c>
      <c r="E367" s="336">
        <f>Gasto_o_ing_per_capita!E367*100/Gasto_o_ing_per_capita!$D367</f>
        <v>23.221837231576885</v>
      </c>
      <c r="F367" s="336">
        <f>Gasto_o_ing_per_capita!F367*100/Gasto_o_ing_per_capita!$D367</f>
        <v>26.420436597862277</v>
      </c>
      <c r="G367" s="336">
        <f>Gasto_o_ing_per_capita!G367*100/Gasto_o_ing_per_capita!$D367</f>
        <v>23.581296590948181</v>
      </c>
      <c r="H367" s="336">
        <f>Gasto_o_ing_per_capita!H367*100/Gasto_o_ing_per_capita!$D367</f>
        <v>77.724601935020019</v>
      </c>
      <c r="I367" s="336">
        <f>Gasto_o_ing_per_capita!I367*100/Gasto_o_ing_per_capita!$D367</f>
        <v>23.718709507223213</v>
      </c>
      <c r="J367" s="336">
        <f>Gasto_o_ing_per_capita!J367*100/Gasto_o_ing_per_capita!$D367</f>
        <v>23.84475799565412</v>
      </c>
      <c r="K367" s="336">
        <f>Gasto_o_ing_per_capita!K367*100/Gasto_o_ing_per_capita!$D367</f>
        <v>61.872677675666573</v>
      </c>
      <c r="L367" s="336">
        <f>Gasto_o_ing_per_capita!L367*100/Gasto_o_ing_per_capita!$D367</f>
        <v>22.53987657166801</v>
      </c>
      <c r="M367" s="336">
        <f>Gasto_o_ing_per_capita!M367*100/Gasto_o_ing_per_capita!$D367</f>
        <v>27.268649148540746</v>
      </c>
      <c r="N367" s="336">
        <f>Gasto_o_ing_per_capita!N367*100/Gasto_o_ing_per_capita!$D367</f>
        <v>23.294555380402954</v>
      </c>
      <c r="O367" s="336">
        <f>Gasto_o_ing_per_capita!O367*100/Gasto_o_ing_per_capita!$D367</f>
        <v>57.87372789700575</v>
      </c>
      <c r="P367" s="336">
        <f>Gasto_o_ing_per_capita!P367*100/Gasto_o_ing_per_capita!$D367</f>
        <v>23.633771646007414</v>
      </c>
      <c r="Q367" s="336">
        <f>Gasto_o_ing_per_capita!Q367*100/Gasto_o_ing_per_capita!$D367</f>
        <v>541.72552027601807</v>
      </c>
      <c r="R367" s="336">
        <f>Gasto_o_ing_per_capita!R367*100/Gasto_o_ing_per_capita!$D367</f>
        <v>22.831396688425336</v>
      </c>
      <c r="S367" s="336">
        <f>Gasto_o_ing_per_capita!S367*100/Gasto_o_ing_per_capita!$D367</f>
        <v>27.969359015129623</v>
      </c>
      <c r="T367" s="336">
        <f>Gasto_o_ing_per_capita!T367*100/Gasto_o_ing_per_capita!$D367</f>
        <v>28.756925580990064</v>
      </c>
      <c r="U367" s="336">
        <f>Gasto_o_ing_per_capita!U367*100/Gasto_o_ing_per_capita!$D367</f>
        <v>25.964279253125468</v>
      </c>
      <c r="V367" s="336">
        <f>Gasto_o_ing_per_capita!V367*100/Gasto_o_ing_per_capita!$D367</f>
        <v>22.528291521259717</v>
      </c>
    </row>
    <row r="368" spans="1:22" s="102" customFormat="1" ht="13.15">
      <c r="A368" s="355" t="str">
        <f>IF(B368="","",(IF(ISERROR(MATCH(B368,Tot_res!C:C,0)),"Eliminar!!!","")))</f>
        <v/>
      </c>
      <c r="B368" s="119" t="s">
        <v>364</v>
      </c>
      <c r="C368" s="333" t="str">
        <f>VLOOKUP(B368,Tot_res!C:D,2,FALSE)</f>
        <v>Conservación y restauración de bienes culturales + AF17/1</v>
      </c>
      <c r="D368" s="336">
        <f>Gasto_o_ing_per_capita!D368*100/Gasto_o_ing_per_capita!$D368</f>
        <v>100</v>
      </c>
      <c r="E368" s="336">
        <f>Gasto_o_ing_per_capita!E368*100/Gasto_o_ing_per_capita!$D368</f>
        <v>35.511017147166015</v>
      </c>
      <c r="F368" s="336">
        <f>Gasto_o_ing_per_capita!F368*100/Gasto_o_ing_per_capita!$D368</f>
        <v>100.33357291995058</v>
      </c>
      <c r="G368" s="336">
        <f>Gasto_o_ing_per_capita!G368*100/Gasto_o_ing_per_capita!$D368</f>
        <v>37.002234470660603</v>
      </c>
      <c r="H368" s="336">
        <f>Gasto_o_ing_per_capita!H368*100/Gasto_o_ing_per_capita!$D368</f>
        <v>178.67065704098928</v>
      </c>
      <c r="I368" s="336">
        <f>Gasto_o_ing_per_capita!I368*100/Gasto_o_ing_per_capita!$D368</f>
        <v>100.96947490122204</v>
      </c>
      <c r="J368" s="336">
        <f>Gasto_o_ing_per_capita!J368*100/Gasto_o_ing_per_capita!$D368</f>
        <v>90.84887504186068</v>
      </c>
      <c r="K368" s="336">
        <f>Gasto_o_ing_per_capita!K368*100/Gasto_o_ing_per_capita!$D368</f>
        <v>92.254969554935229</v>
      </c>
      <c r="L368" s="336">
        <f>Gasto_o_ing_per_capita!L368*100/Gasto_o_ing_per_capita!$D368</f>
        <v>292.4347210070527</v>
      </c>
      <c r="M368" s="336">
        <f>Gasto_o_ing_per_capita!M368*100/Gasto_o_ing_per_capita!$D368</f>
        <v>80.824399950853532</v>
      </c>
      <c r="N368" s="336">
        <f>Gasto_o_ing_per_capita!N368*100/Gasto_o_ing_per_capita!$D368</f>
        <v>59.743174725632613</v>
      </c>
      <c r="O368" s="336">
        <f>Gasto_o_ing_per_capita!O368*100/Gasto_o_ing_per_capita!$D368</f>
        <v>90.945610485542431</v>
      </c>
      <c r="P368" s="336">
        <f>Gasto_o_ing_per_capita!P368*100/Gasto_o_ing_per_capita!$D368</f>
        <v>302.47894891869765</v>
      </c>
      <c r="Q368" s="336">
        <f>Gasto_o_ing_per_capita!Q368*100/Gasto_o_ing_per_capita!$D368</f>
        <v>99.761024676556929</v>
      </c>
      <c r="R368" s="336">
        <f>Gasto_o_ing_per_capita!R368*100/Gasto_o_ing_per_capita!$D368</f>
        <v>53.277999234940772</v>
      </c>
      <c r="S368" s="336">
        <f>Gasto_o_ing_per_capita!S368*100/Gasto_o_ing_per_capita!$D368</f>
        <v>102.61502960906002</v>
      </c>
      <c r="T368" s="336">
        <f>Gasto_o_ing_per_capita!T368*100/Gasto_o_ing_per_capita!$D368</f>
        <v>110.99777049339477</v>
      </c>
      <c r="U368" s="336">
        <f>Gasto_o_ing_per_capita!U368*100/Gasto_o_ing_per_capita!$D368</f>
        <v>62.666145897501139</v>
      </c>
      <c r="V368" s="336">
        <f>Gasto_o_ing_per_capita!V368*100/Gasto_o_ing_per_capita!$D368</f>
        <v>96.903870762649774</v>
      </c>
    </row>
    <row r="369" spans="1:22" s="102" customFormat="1" ht="13.15">
      <c r="A369" s="355" t="str">
        <f>IF(B369="","",(IF(ISERROR(MATCH(B369,Tot_res!C:C,0)),"Eliminar!!!","")))</f>
        <v/>
      </c>
      <c r="B369" s="119" t="s">
        <v>366</v>
      </c>
      <c r="C369" s="333" t="str">
        <f>VLOOKUP(B369,Tot_res!C:D,2,FALSE)</f>
        <v>Protección del patrimonio histórico + AF17/2</v>
      </c>
      <c r="D369" s="336">
        <f>Gasto_o_ing_per_capita!D369*100/Gasto_o_ing_per_capita!$D369</f>
        <v>99.999999999999986</v>
      </c>
      <c r="E369" s="336">
        <f>Gasto_o_ing_per_capita!E369*100/Gasto_o_ing_per_capita!$D369</f>
        <v>95.995153287291629</v>
      </c>
      <c r="F369" s="336">
        <f>Gasto_o_ing_per_capita!F369*100/Gasto_o_ing_per_capita!$D369</f>
        <v>180.24548475056721</v>
      </c>
      <c r="G369" s="336">
        <f>Gasto_o_ing_per_capita!G369*100/Gasto_o_ing_per_capita!$D369</f>
        <v>59.056075356331824</v>
      </c>
      <c r="H369" s="336">
        <f>Gasto_o_ing_per_capita!H369*100/Gasto_o_ing_per_capita!$D369</f>
        <v>59.947705069521348</v>
      </c>
      <c r="I369" s="336">
        <f>Gasto_o_ing_per_capita!I369*100/Gasto_o_ing_per_capita!$D369</f>
        <v>61.350049945886667</v>
      </c>
      <c r="J369" s="336">
        <f>Gasto_o_ing_per_capita!J369*100/Gasto_o_ing_per_capita!$D369</f>
        <v>213.1751878969273</v>
      </c>
      <c r="K369" s="336">
        <f>Gasto_o_ing_per_capita!K369*100/Gasto_o_ing_per_capita!$D369</f>
        <v>186.95272511948369</v>
      </c>
      <c r="L369" s="336">
        <f>Gasto_o_ing_per_capita!L369*100/Gasto_o_ing_per_capita!$D369</f>
        <v>71.780252068586094</v>
      </c>
      <c r="M369" s="336">
        <f>Gasto_o_ing_per_capita!M369*100/Gasto_o_ing_per_capita!$D369</f>
        <v>67.928124999521003</v>
      </c>
      <c r="N369" s="336">
        <f>Gasto_o_ing_per_capita!N369*100/Gasto_o_ing_per_capita!$D369</f>
        <v>55.737312582079738</v>
      </c>
      <c r="O369" s="336">
        <f>Gasto_o_ing_per_capita!O369*100/Gasto_o_ing_per_capita!$D369</f>
        <v>146.82263801582985</v>
      </c>
      <c r="P369" s="336">
        <f>Gasto_o_ing_per_capita!P369*100/Gasto_o_ing_per_capita!$D369</f>
        <v>56.141793646785366</v>
      </c>
      <c r="Q369" s="336">
        <f>Gasto_o_ing_per_capita!Q369*100/Gasto_o_ing_per_capita!$D369</f>
        <v>155.96663654471061</v>
      </c>
      <c r="R369" s="336">
        <f>Gasto_o_ing_per_capita!R369*100/Gasto_o_ing_per_capita!$D369</f>
        <v>141.03695678905092</v>
      </c>
      <c r="S369" s="336">
        <f>Gasto_o_ing_per_capita!S369*100/Gasto_o_ing_per_capita!$D369</f>
        <v>102.96935901512961</v>
      </c>
      <c r="T369" s="336">
        <f>Gasto_o_ing_per_capita!T369*100/Gasto_o_ing_per_capita!$D369</f>
        <v>103.75692558099007</v>
      </c>
      <c r="U369" s="336">
        <f>Gasto_o_ing_per_capita!U369*100/Gasto_o_ing_per_capita!$D369</f>
        <v>44.744767637296164</v>
      </c>
      <c r="V369" s="336">
        <f>Gasto_o_ing_per_capita!V369*100/Gasto_o_ing_per_capita!$D369</f>
        <v>41.308779905430406</v>
      </c>
    </row>
    <row r="370" spans="1:22" s="102" customFormat="1" ht="13.15">
      <c r="A370" s="355" t="str">
        <f>IF(B370="","",(IF(ISERROR(MATCH(B370,Tot_res!C:C,0)),"Eliminar!!!","")))</f>
        <v/>
      </c>
      <c r="B370" s="115" t="s">
        <v>854</v>
      </c>
      <c r="C370" s="333" t="str">
        <f>VLOOKUP(B370,Tot_res!C:D,2,FALSE)</f>
        <v>Dirección y Servicios Generales de Economía y Hacienda, transferencias a RTVE</v>
      </c>
      <c r="D370" s="336">
        <f>Gasto_o_ing_per_capita!D370*100/Gasto_o_ing_per_capita!$D370</f>
        <v>100</v>
      </c>
      <c r="E370" s="336">
        <f>Gasto_o_ing_per_capita!E370*100/Gasto_o_ing_per_capita!$D370</f>
        <v>100</v>
      </c>
      <c r="F370" s="336">
        <f>Gasto_o_ing_per_capita!F370*100/Gasto_o_ing_per_capita!$D370</f>
        <v>100.00000000000001</v>
      </c>
      <c r="G370" s="336">
        <f>Gasto_o_ing_per_capita!G370*100/Gasto_o_ing_per_capita!$D370</f>
        <v>100.00000000000003</v>
      </c>
      <c r="H370" s="336">
        <f>Gasto_o_ing_per_capita!H370*100/Gasto_o_ing_per_capita!$D370</f>
        <v>99.999999999999986</v>
      </c>
      <c r="I370" s="336">
        <f>Gasto_o_ing_per_capita!I370*100/Gasto_o_ing_per_capita!$D370</f>
        <v>100.00000000000001</v>
      </c>
      <c r="J370" s="336">
        <f>Gasto_o_ing_per_capita!J370*100/Gasto_o_ing_per_capita!$D370</f>
        <v>100.00000000000001</v>
      </c>
      <c r="K370" s="336">
        <f>Gasto_o_ing_per_capita!K370*100/Gasto_o_ing_per_capita!$D370</f>
        <v>100.00000000000003</v>
      </c>
      <c r="L370" s="336">
        <f>Gasto_o_ing_per_capita!L370*100/Gasto_o_ing_per_capita!$D370</f>
        <v>100.00000000000001</v>
      </c>
      <c r="M370" s="336">
        <f>Gasto_o_ing_per_capita!M370*100/Gasto_o_ing_per_capita!$D370</f>
        <v>100.00000000000001</v>
      </c>
      <c r="N370" s="336">
        <f>Gasto_o_ing_per_capita!N370*100/Gasto_o_ing_per_capita!$D370</f>
        <v>100.00000000000003</v>
      </c>
      <c r="O370" s="336">
        <f>Gasto_o_ing_per_capita!O370*100/Gasto_o_ing_per_capita!$D370</f>
        <v>100.00000000000001</v>
      </c>
      <c r="P370" s="336">
        <f>Gasto_o_ing_per_capita!P370*100/Gasto_o_ing_per_capita!$D370</f>
        <v>100.00000000000001</v>
      </c>
      <c r="Q370" s="336">
        <f>Gasto_o_ing_per_capita!Q370*100/Gasto_o_ing_per_capita!$D370</f>
        <v>100.00000000000001</v>
      </c>
      <c r="R370" s="336">
        <f>Gasto_o_ing_per_capita!R370*100/Gasto_o_ing_per_capita!$D370</f>
        <v>99.999999999999986</v>
      </c>
      <c r="S370" s="336">
        <f>Gasto_o_ing_per_capita!S370*100/Gasto_o_ing_per_capita!$D370</f>
        <v>100.00000000000001</v>
      </c>
      <c r="T370" s="336">
        <f>Gasto_o_ing_per_capita!T370*100/Gasto_o_ing_per_capita!$D370</f>
        <v>100</v>
      </c>
      <c r="U370" s="336">
        <f>Gasto_o_ing_per_capita!U370*100/Gasto_o_ing_per_capita!$D370</f>
        <v>100.00000000000001</v>
      </c>
      <c r="V370" s="336">
        <f>Gasto_o_ing_per_capita!V370*100/Gasto_o_ing_per_capita!$D370</f>
        <v>100</v>
      </c>
    </row>
    <row r="371" spans="1:22" s="102" customFormat="1" ht="13.15">
      <c r="A371" s="355" t="str">
        <f>IF(B371="","",(IF(ISERROR(MATCH(B371,Tot_res!C:C,0)),"Eliminar!!!","")))</f>
        <v/>
      </c>
      <c r="B371" s="115" t="s">
        <v>368</v>
      </c>
      <c r="C371" s="333" t="str">
        <f>VLOOKUP(B371,Tot_res!C:D,2,FALSE)</f>
        <v>Normalización lingüística + AF08</v>
      </c>
      <c r="D371" s="336">
        <f>Gasto_o_ing_per_capita!D371*100/Gasto_o_ing_per_capita!$D371</f>
        <v>100</v>
      </c>
      <c r="E371" s="336">
        <f>Gasto_o_ing_per_capita!E371*100/Gasto_o_ing_per_capita!$D371</f>
        <v>0</v>
      </c>
      <c r="F371" s="336">
        <f>Gasto_o_ing_per_capita!F371*100/Gasto_o_ing_per_capita!$D371</f>
        <v>0</v>
      </c>
      <c r="G371" s="336">
        <f>Gasto_o_ing_per_capita!G371*100/Gasto_o_ing_per_capita!$D371</f>
        <v>0</v>
      </c>
      <c r="H371" s="336">
        <f>Gasto_o_ing_per_capita!H371*100/Gasto_o_ing_per_capita!$D371</f>
        <v>458.22587062589002</v>
      </c>
      <c r="I371" s="336">
        <f>Gasto_o_ing_per_capita!I371*100/Gasto_o_ing_per_capita!$D371</f>
        <v>0</v>
      </c>
      <c r="J371" s="336">
        <f>Gasto_o_ing_per_capita!J371*100/Gasto_o_ing_per_capita!$D371</f>
        <v>0</v>
      </c>
      <c r="K371" s="336">
        <f>Gasto_o_ing_per_capita!K371*100/Gasto_o_ing_per_capita!$D371</f>
        <v>0</v>
      </c>
      <c r="L371" s="336">
        <f>Gasto_o_ing_per_capita!L371*100/Gasto_o_ing_per_capita!$D371</f>
        <v>0</v>
      </c>
      <c r="M371" s="336">
        <f>Gasto_o_ing_per_capita!M371*100/Gasto_o_ing_per_capita!$D371</f>
        <v>221.76963506376018</v>
      </c>
      <c r="N371" s="336">
        <f>Gasto_o_ing_per_capita!N371*100/Gasto_o_ing_per_capita!$D371</f>
        <v>206.38304725919033</v>
      </c>
      <c r="O371" s="336">
        <f>Gasto_o_ing_per_capita!O371*100/Gasto_o_ing_per_capita!$D371</f>
        <v>0</v>
      </c>
      <c r="P371" s="336">
        <f>Gasto_o_ing_per_capita!P371*100/Gasto_o_ing_per_capita!$D371</f>
        <v>283.85033023731603</v>
      </c>
      <c r="Q371" s="336">
        <f>Gasto_o_ing_per_capita!Q371*100/Gasto_o_ing_per_capita!$D371</f>
        <v>0</v>
      </c>
      <c r="R371" s="336">
        <f>Gasto_o_ing_per_capita!R371*100/Gasto_o_ing_per_capita!$D371</f>
        <v>0</v>
      </c>
      <c r="S371" s="336">
        <f>Gasto_o_ing_per_capita!S371*100/Gasto_o_ing_per_capita!$D371</f>
        <v>243.3497671502324</v>
      </c>
      <c r="T371" s="336">
        <f>Gasto_o_ing_per_capita!T371*100/Gasto_o_ing_per_capita!$D371</f>
        <v>243.3497671502324</v>
      </c>
      <c r="U371" s="336">
        <f>Gasto_o_ing_per_capita!U371*100/Gasto_o_ing_per_capita!$D371</f>
        <v>0</v>
      </c>
      <c r="V371" s="336">
        <f>Gasto_o_ing_per_capita!V371*100/Gasto_o_ing_per_capita!$D371</f>
        <v>0</v>
      </c>
    </row>
    <row r="372" spans="1:22" s="102" customFormat="1" ht="13.15">
      <c r="A372" s="355" t="str">
        <f>IF(B372="","",(IF(ISERROR(MATCH(B372,Tot_res!C:C,0)),"Eliminar!!!","")))</f>
        <v/>
      </c>
      <c r="B372" s="115" t="s">
        <v>369</v>
      </c>
      <c r="C372" s="333" t="str">
        <f>VLOOKUP(B372,Tot_res!C:D,2,FALSE)</f>
        <v>Aportación a la Iglesia Católica ligadas a la casilla del IRPF</v>
      </c>
      <c r="D372" s="336">
        <f>Gasto_o_ing_per_capita!D372*100/Gasto_o_ing_per_capita!$D372</f>
        <v>100</v>
      </c>
      <c r="E372" s="336">
        <f>Gasto_o_ing_per_capita!E372*100/Gasto_o_ing_per_capita!$D372</f>
        <v>102.10330873208096</v>
      </c>
      <c r="F372" s="336">
        <f>Gasto_o_ing_per_capita!F372*100/Gasto_o_ing_per_capita!$D372</f>
        <v>111.66777369963681</v>
      </c>
      <c r="G372" s="336">
        <f>Gasto_o_ing_per_capita!G372*100/Gasto_o_ing_per_capita!$D372</f>
        <v>108.31800647465636</v>
      </c>
      <c r="H372" s="336">
        <f>Gasto_o_ing_per_capita!H372*100/Gasto_o_ing_per_capita!$D372</f>
        <v>99.453467678860605</v>
      </c>
      <c r="I372" s="336">
        <f>Gasto_o_ing_per_capita!I372*100/Gasto_o_ing_per_capita!$D372</f>
        <v>107.70203572835165</v>
      </c>
      <c r="J372" s="336">
        <f>Gasto_o_ing_per_capita!J372*100/Gasto_o_ing_per_capita!$D372</f>
        <v>101.00557204854488</v>
      </c>
      <c r="K372" s="336">
        <f>Gasto_o_ing_per_capita!K372*100/Gasto_o_ing_per_capita!$D372</f>
        <v>128.21054977675615</v>
      </c>
      <c r="L372" s="336">
        <f>Gasto_o_ing_per_capita!L372*100/Gasto_o_ing_per_capita!$D372</f>
        <v>118.9677526704405</v>
      </c>
      <c r="M372" s="336">
        <f>Gasto_o_ing_per_capita!M372*100/Gasto_o_ing_per_capita!$D372</f>
        <v>72.03294439628263</v>
      </c>
      <c r="N372" s="336">
        <f>Gasto_o_ing_per_capita!N372*100/Gasto_o_ing_per_capita!$D372</f>
        <v>95.615308873021618</v>
      </c>
      <c r="O372" s="336">
        <f>Gasto_o_ing_per_capita!O372*100/Gasto_o_ing_per_capita!$D372</f>
        <v>118.79668386333145</v>
      </c>
      <c r="P372" s="336">
        <f>Gasto_o_ing_per_capita!P372*100/Gasto_o_ing_per_capita!$D372</f>
        <v>127.34067975439432</v>
      </c>
      <c r="Q372" s="336">
        <f>Gasto_o_ing_per_capita!Q372*100/Gasto_o_ing_per_capita!$D372</f>
        <v>91.040088572581766</v>
      </c>
      <c r="R372" s="336">
        <f>Gasto_o_ing_per_capita!R372*100/Gasto_o_ing_per_capita!$D372</f>
        <v>125.84464019609628</v>
      </c>
      <c r="S372" s="336">
        <f>Gasto_o_ing_per_capita!S372*100/Gasto_o_ing_per_capita!$D372</f>
        <v>101.95259421646341</v>
      </c>
      <c r="T372" s="336">
        <f>Gasto_o_ing_per_capita!T372*100/Gasto_o_ing_per_capita!$D372</f>
        <v>92.909625047285104</v>
      </c>
      <c r="U372" s="336">
        <f>Gasto_o_ing_per_capita!U372*100/Gasto_o_ing_per_capita!$D372</f>
        <v>116.04523033615919</v>
      </c>
      <c r="V372" s="336">
        <f>Gasto_o_ing_per_capita!V372*100/Gasto_o_ing_per_capita!$D372</f>
        <v>83.62100801296441</v>
      </c>
    </row>
    <row r="373" spans="1:22" s="102" customFormat="1" ht="13.15">
      <c r="A373" s="355" t="str">
        <f>IF(B373="","",(IF(ISERROR(MATCH(B373,Tot_res!C:C,0)),"Eliminar!!!","")))</f>
        <v/>
      </c>
      <c r="B373" s="115" t="s">
        <v>857</v>
      </c>
      <c r="C373" s="333" t="str">
        <f>VLOOKUP(B373,Tot_res!C:D,2,FALSE)</f>
        <v>Ordenación y fomento de la edificación, actuaciones relacionadas con el 1% cultural</v>
      </c>
      <c r="D373" s="336">
        <f>Gasto_o_ing_per_capita!D373*100/Gasto_o_ing_per_capita!$D373</f>
        <v>100</v>
      </c>
      <c r="E373" s="336">
        <f>Gasto_o_ing_per_capita!E373*100/Gasto_o_ing_per_capita!$D373</f>
        <v>108.60501065801682</v>
      </c>
      <c r="F373" s="336">
        <f>Gasto_o_ing_per_capita!F373*100/Gasto_o_ing_per_capita!$D373</f>
        <v>103.42013813244182</v>
      </c>
      <c r="G373" s="336">
        <f>Gasto_o_ing_per_capita!G373*100/Gasto_o_ing_per_capita!$D373</f>
        <v>114.7628948994346</v>
      </c>
      <c r="H373" s="336">
        <f>Gasto_o_ing_per_capita!H373*100/Gasto_o_ing_per_capita!$D373</f>
        <v>244.0130209426994</v>
      </c>
      <c r="I373" s="336">
        <f>Gasto_o_ing_per_capita!I373*100/Gasto_o_ing_per_capita!$D373</f>
        <v>7.9653870450958939</v>
      </c>
      <c r="J373" s="336">
        <f>Gasto_o_ing_per_capita!J373*100/Gasto_o_ing_per_capita!$D373</f>
        <v>222.17873739922769</v>
      </c>
      <c r="K373" s="336">
        <f>Gasto_o_ing_per_capita!K373*100/Gasto_o_ing_per_capita!$D373</f>
        <v>144.44836918929209</v>
      </c>
      <c r="L373" s="336">
        <f>Gasto_o_ing_per_capita!L373*100/Gasto_o_ing_per_capita!$D373</f>
        <v>111.3631843665144</v>
      </c>
      <c r="M373" s="336">
        <f>Gasto_o_ing_per_capita!M373*100/Gasto_o_ing_per_capita!$D373</f>
        <v>179.69059682165627</v>
      </c>
      <c r="N373" s="336">
        <f>Gasto_o_ing_per_capita!N373*100/Gasto_o_ing_per_capita!$D373</f>
        <v>66.63900766567896</v>
      </c>
      <c r="O373" s="336">
        <f>Gasto_o_ing_per_capita!O373*100/Gasto_o_ing_per_capita!$D373</f>
        <v>108.379515353819</v>
      </c>
      <c r="P373" s="336">
        <f>Gasto_o_ing_per_capita!P373*100/Gasto_o_ing_per_capita!$D373</f>
        <v>117.68850199529241</v>
      </c>
      <c r="Q373" s="336">
        <f>Gasto_o_ing_per_capita!Q373*100/Gasto_o_ing_per_capita!$D373</f>
        <v>8.6195565632838722</v>
      </c>
      <c r="R373" s="336">
        <f>Gasto_o_ing_per_capita!R373*100/Gasto_o_ing_per_capita!$D373</f>
        <v>7.9653870450958939</v>
      </c>
      <c r="S373" s="336">
        <f>Gasto_o_ing_per_capita!S373*100/Gasto_o_ing_per_capita!$D373</f>
        <v>7.9653870450958939</v>
      </c>
      <c r="T373" s="336">
        <f>Gasto_o_ing_per_capita!T373*100/Gasto_o_ing_per_capita!$D373</f>
        <v>7.965387045095893</v>
      </c>
      <c r="U373" s="336">
        <f>Gasto_o_ing_per_capita!U373*100/Gasto_o_ing_per_capita!$D373</f>
        <v>7.9653870450958939</v>
      </c>
      <c r="V373" s="336">
        <f>Gasto_o_ing_per_capita!V373*100/Gasto_o_ing_per_capita!$D373</f>
        <v>1654.2341586461152</v>
      </c>
    </row>
    <row r="374" spans="1:22" s="102" customFormat="1" ht="13.15">
      <c r="A374" s="356"/>
      <c r="B374" s="115"/>
      <c r="D374" s="110"/>
      <c r="E374" s="110"/>
      <c r="F374" s="110"/>
      <c r="G374" s="110"/>
      <c r="H374" s="110"/>
      <c r="I374" s="110"/>
      <c r="J374" s="110"/>
      <c r="K374" s="110"/>
      <c r="L374" s="110"/>
      <c r="M374" s="110"/>
      <c r="N374" s="110"/>
      <c r="O374" s="110"/>
      <c r="P374" s="110"/>
      <c r="Q374" s="110"/>
      <c r="R374" s="110"/>
      <c r="S374" s="110"/>
      <c r="T374" s="110"/>
      <c r="U374" s="110"/>
      <c r="V374" s="110"/>
    </row>
    <row r="375" spans="1:22" s="102" customFormat="1" ht="13.15">
      <c r="A375" s="356"/>
      <c r="B375" s="115"/>
      <c r="C375" s="147" t="s">
        <v>68</v>
      </c>
      <c r="D375" s="110">
        <f>Gasto_o_ing_per_capita!D375*100/Gasto_o_ing_per_capita!$D375</f>
        <v>100</v>
      </c>
      <c r="E375" s="110">
        <f>Gasto_o_ing_per_capita!E375*100/Gasto_o_ing_per_capita!$D375</f>
        <v>86.827233096268202</v>
      </c>
      <c r="F375" s="110">
        <f>Gasto_o_ing_per_capita!F375*100/Gasto_o_ing_per_capita!$D375</f>
        <v>111.75005498010623</v>
      </c>
      <c r="G375" s="110">
        <f>Gasto_o_ing_per_capita!G375*100/Gasto_o_ing_per_capita!$D375</f>
        <v>147.6370173419416</v>
      </c>
      <c r="H375" s="110">
        <f>Gasto_o_ing_per_capita!H375*100/Gasto_o_ing_per_capita!$D375</f>
        <v>80.801754449822241</v>
      </c>
      <c r="I375" s="110">
        <f>Gasto_o_ing_per_capita!I375*100/Gasto_o_ing_per_capita!$D375</f>
        <v>76.922006543350719</v>
      </c>
      <c r="J375" s="110">
        <f>Gasto_o_ing_per_capita!J375*100/Gasto_o_ing_per_capita!$D375</f>
        <v>115.06374549544904</v>
      </c>
      <c r="K375" s="110">
        <f>Gasto_o_ing_per_capita!K375*100/Gasto_o_ing_per_capita!$D375</f>
        <v>115.46373180388103</v>
      </c>
      <c r="L375" s="110">
        <f>Gasto_o_ing_per_capita!L375*100/Gasto_o_ing_per_capita!$D375</f>
        <v>87.614913467643859</v>
      </c>
      <c r="M375" s="110">
        <f>Gasto_o_ing_per_capita!M375*100/Gasto_o_ing_per_capita!$D375</f>
        <v>107.81377576261038</v>
      </c>
      <c r="N375" s="110">
        <f>Gasto_o_ing_per_capita!N375*100/Gasto_o_ing_per_capita!$D375</f>
        <v>89.276976757394948</v>
      </c>
      <c r="O375" s="110">
        <f>Gasto_o_ing_per_capita!O375*100/Gasto_o_ing_per_capita!$D375</f>
        <v>91.721949034493804</v>
      </c>
      <c r="P375" s="110">
        <f>Gasto_o_ing_per_capita!P375*100/Gasto_o_ing_per_capita!$D375</f>
        <v>113.02952218214217</v>
      </c>
      <c r="Q375" s="110">
        <f>Gasto_o_ing_per_capita!Q375*100/Gasto_o_ing_per_capita!$D375</f>
        <v>102.75846935627467</v>
      </c>
      <c r="R375" s="110">
        <f>Gasto_o_ing_per_capita!R375*100/Gasto_o_ing_per_capita!$D375</f>
        <v>82.888642978277531</v>
      </c>
      <c r="S375" s="110">
        <f>Gasto_o_ing_per_capita!S375*100/Gasto_o_ing_per_capita!$D375</f>
        <v>108.83642772742446</v>
      </c>
      <c r="T375" s="110">
        <f>Gasto_o_ing_per_capita!T375*100/Gasto_o_ing_per_capita!$D375</f>
        <v>130.75738357006392</v>
      </c>
      <c r="U375" s="110">
        <f>Gasto_o_ing_per_capita!U375*100/Gasto_o_ing_per_capita!$D375</f>
        <v>100.96652229520407</v>
      </c>
      <c r="V375" s="110">
        <f>Gasto_o_ing_per_capita!V375*100/Gasto_o_ing_per_capita!$D375</f>
        <v>71.539364508106416</v>
      </c>
    </row>
    <row r="376" spans="1:22" s="102" customFormat="1" ht="13.15">
      <c r="A376" s="356"/>
      <c r="B376" s="115"/>
      <c r="D376" s="110"/>
      <c r="E376" s="110"/>
      <c r="F376" s="110"/>
      <c r="G376" s="110"/>
      <c r="H376" s="110"/>
      <c r="I376" s="110"/>
      <c r="J376" s="110"/>
      <c r="K376" s="110"/>
      <c r="L376" s="110"/>
      <c r="M376" s="110"/>
      <c r="N376" s="110"/>
      <c r="O376" s="110"/>
      <c r="P376" s="110"/>
      <c r="Q376" s="110"/>
      <c r="R376" s="110"/>
      <c r="S376" s="110"/>
      <c r="T376" s="110"/>
      <c r="U376" s="110"/>
      <c r="V376" s="110"/>
    </row>
    <row r="377" spans="1:22" s="102" customFormat="1" ht="13.15">
      <c r="A377" s="356"/>
      <c r="B377" s="115"/>
      <c r="C377" s="117" t="s">
        <v>3</v>
      </c>
      <c r="D377" s="113">
        <f>Gasto_o_ing_per_capita!D377*100/Gasto_o_ing_per_capita!$D377</f>
        <v>100</v>
      </c>
      <c r="E377" s="113">
        <f>Gasto_o_ing_per_capita!E377*100/Gasto_o_ing_per_capita!$D377</f>
        <v>86.510952970829322</v>
      </c>
      <c r="F377" s="113">
        <f>Gasto_o_ing_per_capita!F377*100/Gasto_o_ing_per_capita!$D377</f>
        <v>112.1066331834713</v>
      </c>
      <c r="G377" s="113">
        <f>Gasto_o_ing_per_capita!G377*100/Gasto_o_ing_per_capita!$D377</f>
        <v>148.46992448616831</v>
      </c>
      <c r="H377" s="113">
        <f>Gasto_o_ing_per_capita!H377*100/Gasto_o_ing_per_capita!$D377</f>
        <v>80.607323251012559</v>
      </c>
      <c r="I377" s="113">
        <f>Gasto_o_ing_per_capita!I377*100/Gasto_o_ing_per_capita!$D377</f>
        <v>76.985300319197378</v>
      </c>
      <c r="J377" s="113">
        <f>Gasto_o_ing_per_capita!J377*100/Gasto_o_ing_per_capita!$D377</f>
        <v>114.85911989391901</v>
      </c>
      <c r="K377" s="113">
        <f>Gasto_o_ing_per_capita!K377*100/Gasto_o_ing_per_capita!$D377</f>
        <v>115.37123809611492</v>
      </c>
      <c r="L377" s="113">
        <f>Gasto_o_ing_per_capita!L377*100/Gasto_o_ing_per_capita!$D377</f>
        <v>87.367311741795945</v>
      </c>
      <c r="M377" s="113">
        <f>Gasto_o_ing_per_capita!M377*100/Gasto_o_ing_per_capita!$D377</f>
        <v>107.95017693892633</v>
      </c>
      <c r="N377" s="113">
        <f>Gasto_o_ing_per_capita!N377*100/Gasto_o_ing_per_capita!$D377</f>
        <v>89.495817287744671</v>
      </c>
      <c r="O377" s="113">
        <f>Gasto_o_ing_per_capita!O377*100/Gasto_o_ing_per_capita!$D377</f>
        <v>91.373591432204819</v>
      </c>
      <c r="P377" s="113">
        <f>Gasto_o_ing_per_capita!P377*100/Gasto_o_ing_per_capita!$D377</f>
        <v>113.15258756602715</v>
      </c>
      <c r="Q377" s="113">
        <f>Gasto_o_ing_per_capita!Q377*100/Gasto_o_ing_per_capita!$D377</f>
        <v>102.89620837263867</v>
      </c>
      <c r="R377" s="113">
        <f>Gasto_o_ing_per_capita!R377*100/Gasto_o_ing_per_capita!$D377</f>
        <v>82.35261894361625</v>
      </c>
      <c r="S377" s="113">
        <f>Gasto_o_ing_per_capita!S377*100/Gasto_o_ing_per_capita!$D377</f>
        <v>109.20355997047858</v>
      </c>
      <c r="T377" s="113">
        <f>Gasto_o_ing_per_capita!T377*100/Gasto_o_ing_per_capita!$D377</f>
        <v>130.97585204251183</v>
      </c>
      <c r="U377" s="113">
        <f>Gasto_o_ing_per_capita!U377*100/Gasto_o_ing_per_capita!$D377</f>
        <v>100.61494293254216</v>
      </c>
      <c r="V377" s="113">
        <f>Gasto_o_ing_per_capita!V377*100/Gasto_o_ing_per_capita!$D377</f>
        <v>68.309270225814686</v>
      </c>
    </row>
    <row r="378" spans="1:22" s="102" customFormat="1" ht="13.15">
      <c r="A378" s="355" t="str">
        <f>IF(B378="","",(IF(ISERROR(MATCH(B378,Tot_res!C:C,0)),"Eliminar!!!","")))</f>
        <v/>
      </c>
      <c r="B378" s="115" t="s">
        <v>370</v>
      </c>
      <c r="C378" s="333" t="str">
        <f>VLOOKUP(B378,Tot_res!C:D,2,FALSE)</f>
        <v>Pensiones de clases pasivas</v>
      </c>
      <c r="D378" s="336">
        <f>Gasto_o_ing_per_capita!D378*100/Gasto_o_ing_per_capita!$D378</f>
        <v>100</v>
      </c>
      <c r="E378" s="336">
        <f>Gasto_o_ing_per_capita!E378*100/Gasto_o_ing_per_capita!$D378</f>
        <v>110.46486040590101</v>
      </c>
      <c r="F378" s="336">
        <f>Gasto_o_ing_per_capita!F378*100/Gasto_o_ing_per_capita!$D378</f>
        <v>128.94366058856795</v>
      </c>
      <c r="G378" s="336">
        <f>Gasto_o_ing_per_capita!G378*100/Gasto_o_ing_per_capita!$D378</f>
        <v>118.49577263654068</v>
      </c>
      <c r="H378" s="336">
        <f>Gasto_o_ing_per_capita!H378*100/Gasto_o_ing_per_capita!$D378</f>
        <v>64.02463566321704</v>
      </c>
      <c r="I378" s="336">
        <f>Gasto_o_ing_per_capita!I378*100/Gasto_o_ing_per_capita!$D378</f>
        <v>89.128226441335258</v>
      </c>
      <c r="J378" s="336">
        <f>Gasto_o_ing_per_capita!J378*100/Gasto_o_ing_per_capita!$D378</f>
        <v>98.785176092565905</v>
      </c>
      <c r="K378" s="336">
        <f>Gasto_o_ing_per_capita!K378*100/Gasto_o_ing_per_capita!$D378</f>
        <v>165.12496179898389</v>
      </c>
      <c r="L378" s="336">
        <f>Gasto_o_ing_per_capita!L378*100/Gasto_o_ing_per_capita!$D378</f>
        <v>93.317045879041871</v>
      </c>
      <c r="M378" s="336">
        <f>Gasto_o_ing_per_capita!M378*100/Gasto_o_ing_per_capita!$D378</f>
        <v>54.126038692575143</v>
      </c>
      <c r="N378" s="336">
        <f>Gasto_o_ing_per_capita!N378*100/Gasto_o_ing_per_capita!$D378</f>
        <v>77.052992515035641</v>
      </c>
      <c r="O378" s="336">
        <f>Gasto_o_ing_per_capita!O378*100/Gasto_o_ing_per_capita!$D378</f>
        <v>134.4116431649023</v>
      </c>
      <c r="P378" s="336">
        <f>Gasto_o_ing_per_capita!P378*100/Gasto_o_ing_per_capita!$D378</f>
        <v>122.73563846885138</v>
      </c>
      <c r="Q378" s="336">
        <f>Gasto_o_ing_per_capita!Q378*100/Gasto_o_ing_per_capita!$D378</f>
        <v>131.99079833932183</v>
      </c>
      <c r="R378" s="336">
        <f>Gasto_o_ing_per_capita!R378*100/Gasto_o_ing_per_capita!$D378</f>
        <v>111.72069849000454</v>
      </c>
      <c r="S378" s="336">
        <f>Gasto_o_ing_per_capita!S378*100/Gasto_o_ing_per_capita!$D378</f>
        <v>72.921832583405632</v>
      </c>
      <c r="T378" s="336">
        <f>Gasto_o_ing_per_capita!T378*100/Gasto_o_ing_per_capita!$D378</f>
        <v>53.991782650771412</v>
      </c>
      <c r="U378" s="336">
        <f>Gasto_o_ing_per_capita!U378*100/Gasto_o_ing_per_capita!$D378</f>
        <v>115.77444850233432</v>
      </c>
      <c r="V378" s="336">
        <f>Gasto_o_ing_per_capita!V378*100/Gasto_o_ing_per_capita!$D378</f>
        <v>204.71148835745157</v>
      </c>
    </row>
    <row r="379" spans="1:22" s="102" customFormat="1" ht="13.15">
      <c r="A379" s="355" t="str">
        <f>IF(B379="","",(IF(ISERROR(MATCH(B379,Tot_res!C:C,0)),"Eliminar!!!","")))</f>
        <v/>
      </c>
      <c r="B379" s="115" t="s">
        <v>371</v>
      </c>
      <c r="C379" s="333" t="str">
        <f>VLOOKUP(B379,Tot_res!C:D,2,FALSE)</f>
        <v>Otras pensiones y prestac. de clases pasivas</v>
      </c>
      <c r="D379" s="336">
        <f>Gasto_o_ing_per_capita!D379*100/Gasto_o_ing_per_capita!$D379</f>
        <v>100</v>
      </c>
      <c r="E379" s="336">
        <f>Gasto_o_ing_per_capita!E379*100/Gasto_o_ing_per_capita!$D379</f>
        <v>45.960451714312264</v>
      </c>
      <c r="F379" s="336">
        <f>Gasto_o_ing_per_capita!F379*100/Gasto_o_ing_per_capita!$D379</f>
        <v>34.094274417379907</v>
      </c>
      <c r="G379" s="336">
        <f>Gasto_o_ing_per_capita!G379*100/Gasto_o_ing_per_capita!$D379</f>
        <v>39.12479045752734</v>
      </c>
      <c r="H379" s="336">
        <f>Gasto_o_ing_per_capita!H379*100/Gasto_o_ing_per_capita!$D379</f>
        <v>24.052976358350648</v>
      </c>
      <c r="I379" s="336">
        <f>Gasto_o_ing_per_capita!I379*100/Gasto_o_ing_per_capita!$D379</f>
        <v>520.00454855749297</v>
      </c>
      <c r="J379" s="336">
        <f>Gasto_o_ing_per_capita!J379*100/Gasto_o_ing_per_capita!$D379</f>
        <v>43.556236554836104</v>
      </c>
      <c r="K379" s="336">
        <f>Gasto_o_ing_per_capita!K379*100/Gasto_o_ing_per_capita!$D379</f>
        <v>38.505371788381147</v>
      </c>
      <c r="L379" s="336">
        <f>Gasto_o_ing_per_capita!L379*100/Gasto_o_ing_per_capita!$D379</f>
        <v>44.075176947140058</v>
      </c>
      <c r="M379" s="336">
        <f>Gasto_o_ing_per_capita!M379*100/Gasto_o_ing_per_capita!$D379</f>
        <v>30.892270280735559</v>
      </c>
      <c r="N379" s="336">
        <f>Gasto_o_ing_per_capita!N379*100/Gasto_o_ing_per_capita!$D379</f>
        <v>30.624738154402433</v>
      </c>
      <c r="O379" s="336">
        <f>Gasto_o_ing_per_capita!O379*100/Gasto_o_ing_per_capita!$D379</f>
        <v>41.971044797180127</v>
      </c>
      <c r="P379" s="336">
        <f>Gasto_o_ing_per_capita!P379*100/Gasto_o_ing_per_capita!$D379</f>
        <v>37.399615594803564</v>
      </c>
      <c r="Q379" s="336">
        <f>Gasto_o_ing_per_capita!Q379*100/Gasto_o_ing_per_capita!$D379</f>
        <v>325.1436117090156</v>
      </c>
      <c r="R379" s="336">
        <f>Gasto_o_ing_per_capita!R379*100/Gasto_o_ing_per_capita!$D379</f>
        <v>37.849458110900585</v>
      </c>
      <c r="S379" s="336">
        <f>Gasto_o_ing_per_capita!S379*100/Gasto_o_ing_per_capita!$D379</f>
        <v>18.686598927749785</v>
      </c>
      <c r="T379" s="336">
        <f>Gasto_o_ing_per_capita!T379*100/Gasto_o_ing_per_capita!$D379</f>
        <v>51.976756951647872</v>
      </c>
      <c r="U379" s="336">
        <f>Gasto_o_ing_per_capita!U379*100/Gasto_o_ing_per_capita!$D379</f>
        <v>34.449727936389976</v>
      </c>
      <c r="V379" s="336">
        <f>Gasto_o_ing_per_capita!V379*100/Gasto_o_ing_per_capita!$D379</f>
        <v>277.01994103985595</v>
      </c>
    </row>
    <row r="380" spans="1:22" s="102" customFormat="1" ht="13.15">
      <c r="A380" s="355" t="str">
        <f>IF(B380="","",(IF(ISERROR(MATCH(B380,Tot_res!C:C,0)),"Eliminar!!!","")))</f>
        <v/>
      </c>
      <c r="B380" s="115" t="s">
        <v>372</v>
      </c>
      <c r="C380" s="333" t="str">
        <f>VLOOKUP(B380,Tot_res!C:D,2,FALSE)</f>
        <v>Pensiones no contrib. y prestac. asistenciales</v>
      </c>
      <c r="D380" s="336">
        <f>Gasto_o_ing_per_capita!D380*100/Gasto_o_ing_per_capita!$D380</f>
        <v>100</v>
      </c>
      <c r="E380" s="336">
        <f>Gasto_o_ing_per_capita!E380*100/Gasto_o_ing_per_capita!$D380</f>
        <v>280.07759257493143</v>
      </c>
      <c r="F380" s="336">
        <f>Gasto_o_ing_per_capita!F380*100/Gasto_o_ing_per_capita!$D380</f>
        <v>10.15226083409051</v>
      </c>
      <c r="G380" s="336">
        <f>Gasto_o_ing_per_capita!G380*100/Gasto_o_ing_per_capita!$D380</f>
        <v>11.373775469437298</v>
      </c>
      <c r="H380" s="336">
        <f>Gasto_o_ing_per_capita!H380*100/Gasto_o_ing_per_capita!$D380</f>
        <v>4.3307873338322613</v>
      </c>
      <c r="I380" s="336">
        <f>Gasto_o_ing_per_capita!I380*100/Gasto_o_ing_per_capita!$D380</f>
        <v>606.16250518240304</v>
      </c>
      <c r="J380" s="336">
        <f>Gasto_o_ing_per_capita!J380*100/Gasto_o_ing_per_capita!$D380</f>
        <v>42.354119803635975</v>
      </c>
      <c r="K380" s="336">
        <f>Gasto_o_ing_per_capita!K380*100/Gasto_o_ing_per_capita!$D380</f>
        <v>16.347696817639381</v>
      </c>
      <c r="L380" s="336">
        <f>Gasto_o_ing_per_capita!L380*100/Gasto_o_ing_per_capita!$D380</f>
        <v>64.892630652645792</v>
      </c>
      <c r="M380" s="336">
        <f>Gasto_o_ing_per_capita!M380*100/Gasto_o_ing_per_capita!$D380</f>
        <v>2.6551641120219132</v>
      </c>
      <c r="N380" s="336">
        <f>Gasto_o_ing_per_capita!N380*100/Gasto_o_ing_per_capita!$D380</f>
        <v>55.974431643751224</v>
      </c>
      <c r="O380" s="336">
        <f>Gasto_o_ing_per_capita!O380*100/Gasto_o_ing_per_capita!$D380</f>
        <v>44.412953235208988</v>
      </c>
      <c r="P380" s="336">
        <f>Gasto_o_ing_per_capita!P380*100/Gasto_o_ing_per_capita!$D380</f>
        <v>2.8465995678086227</v>
      </c>
      <c r="Q380" s="336">
        <f>Gasto_o_ing_per_capita!Q380*100/Gasto_o_ing_per_capita!$D380</f>
        <v>61.49287634112865</v>
      </c>
      <c r="R380" s="336">
        <f>Gasto_o_ing_per_capita!R380*100/Gasto_o_ing_per_capita!$D380</f>
        <v>44.288676550413385</v>
      </c>
      <c r="S380" s="336">
        <f>Gasto_o_ing_per_capita!S380*100/Gasto_o_ing_per_capita!$D380</f>
        <v>1.6586603433405382</v>
      </c>
      <c r="T380" s="336">
        <f>Gasto_o_ing_per_capita!T380*100/Gasto_o_ing_per_capita!$D380</f>
        <v>0</v>
      </c>
      <c r="U380" s="336">
        <f>Gasto_o_ing_per_capita!U380*100/Gasto_o_ing_per_capita!$D380</f>
        <v>0</v>
      </c>
      <c r="V380" s="336">
        <f>Gasto_o_ing_per_capita!V380*100/Gasto_o_ing_per_capita!$D380</f>
        <v>0</v>
      </c>
    </row>
    <row r="381" spans="1:22" s="102" customFormat="1" ht="13.15">
      <c r="A381" s="355" t="str">
        <f>IF(B381="","",(IF(ISERROR(MATCH(B381,Tot_res!C:C,0)),"Eliminar!!!","")))</f>
        <v/>
      </c>
      <c r="B381" s="115" t="s">
        <v>373</v>
      </c>
      <c r="C381" s="333" t="str">
        <f>VLOOKUP(B381,Tot_res!C:D,2,FALSE)</f>
        <v>Pensiones de guerra</v>
      </c>
      <c r="D381" s="336">
        <f>Gasto_o_ing_per_capita!D381*100/Gasto_o_ing_per_capita!$D381</f>
        <v>100</v>
      </c>
      <c r="E381" s="336">
        <f>Gasto_o_ing_per_capita!E381*100/Gasto_o_ing_per_capita!$D381</f>
        <v>52.174161539546105</v>
      </c>
      <c r="F381" s="336">
        <f>Gasto_o_ing_per_capita!F381*100/Gasto_o_ing_per_capita!$D381</f>
        <v>116.07003030608664</v>
      </c>
      <c r="G381" s="336">
        <f>Gasto_o_ing_per_capita!G381*100/Gasto_o_ing_per_capita!$D381</f>
        <v>156.49467687012745</v>
      </c>
      <c r="H381" s="336">
        <f>Gasto_o_ing_per_capita!H381*100/Gasto_o_ing_per_capita!$D381</f>
        <v>35.903790582077775</v>
      </c>
      <c r="I381" s="336">
        <f>Gasto_o_ing_per_capita!I381*100/Gasto_o_ing_per_capita!$D381</f>
        <v>5.5318726761778567</v>
      </c>
      <c r="J381" s="336">
        <f>Gasto_o_ing_per_capita!J381*100/Gasto_o_ing_per_capita!$D381</f>
        <v>123.00040236600015</v>
      </c>
      <c r="K381" s="336">
        <f>Gasto_o_ing_per_capita!K381*100/Gasto_o_ing_per_capita!$D381</f>
        <v>46.655523642418878</v>
      </c>
      <c r="L381" s="336">
        <f>Gasto_o_ing_per_capita!L381*100/Gasto_o_ing_per_capita!$D381</f>
        <v>104.40584692456649</v>
      </c>
      <c r="M381" s="336">
        <f>Gasto_o_ing_per_capita!M381*100/Gasto_o_ing_per_capita!$D381</f>
        <v>135.79101831285269</v>
      </c>
      <c r="N381" s="336">
        <f>Gasto_o_ing_per_capita!N381*100/Gasto_o_ing_per_capita!$D381</f>
        <v>142.57778160871663</v>
      </c>
      <c r="O381" s="336">
        <f>Gasto_o_ing_per_capita!O381*100/Gasto_o_ing_per_capita!$D381</f>
        <v>68.013558533665616</v>
      </c>
      <c r="P381" s="336">
        <f>Gasto_o_ing_per_capita!P381*100/Gasto_o_ing_per_capita!$D381</f>
        <v>21.997974723075096</v>
      </c>
      <c r="Q381" s="336">
        <f>Gasto_o_ing_per_capita!Q381*100/Gasto_o_ing_per_capita!$D381</f>
        <v>185.68205835541031</v>
      </c>
      <c r="R381" s="336">
        <f>Gasto_o_ing_per_capita!R381*100/Gasto_o_ing_per_capita!$D381</f>
        <v>104.11770148058199</v>
      </c>
      <c r="S381" s="336">
        <f>Gasto_o_ing_per_capita!S381*100/Gasto_o_ing_per_capita!$D381</f>
        <v>36.294342042637766</v>
      </c>
      <c r="T381" s="336">
        <f>Gasto_o_ing_per_capita!T381*100/Gasto_o_ing_per_capita!$D381</f>
        <v>92.238024415284585</v>
      </c>
      <c r="U381" s="336">
        <f>Gasto_o_ing_per_capita!U381*100/Gasto_o_ing_per_capita!$D381</f>
        <v>35.169322549271001</v>
      </c>
      <c r="V381" s="336">
        <f>Gasto_o_ing_per_capita!V381*100/Gasto_o_ing_per_capita!$D381</f>
        <v>14.74683009767843</v>
      </c>
    </row>
    <row r="382" spans="1:22" s="102" customFormat="1" ht="13.15">
      <c r="A382" s="355" t="str">
        <f>IF(B382="","",(IF(ISERROR(MATCH(B382,Tot_res!C:C,0)),"Eliminar!!!","")))</f>
        <v/>
      </c>
      <c r="B382" s="115" t="s">
        <v>374</v>
      </c>
      <c r="C382" s="333" t="str">
        <f>VLOOKUP(B382,Tot_res!C:D,2,FALSE)</f>
        <v>Gestión de pensiones de clases pasivas</v>
      </c>
      <c r="D382" s="336">
        <f>Gasto_o_ing_per_capita!D382*100/Gasto_o_ing_per_capita!$D382</f>
        <v>100</v>
      </c>
      <c r="E382" s="336">
        <f>Gasto_o_ing_per_capita!E382*100/Gasto_o_ing_per_capita!$D382</f>
        <v>108.94223013107585</v>
      </c>
      <c r="F382" s="336">
        <f>Gasto_o_ing_per_capita!F382*100/Gasto_o_ing_per_capita!$D382</f>
        <v>128.3425664571572</v>
      </c>
      <c r="G382" s="336">
        <f>Gasto_o_ing_per_capita!G382*100/Gasto_o_ing_per_capita!$D382</f>
        <v>119.08943441463752</v>
      </c>
      <c r="H382" s="336">
        <f>Gasto_o_ing_per_capita!H382*100/Gasto_o_ing_per_capita!$D382</f>
        <v>63.260995369394799</v>
      </c>
      <c r="I382" s="336">
        <f>Gasto_o_ing_per_capita!I382*100/Gasto_o_ing_per_capita!$D382</f>
        <v>88.664125931859203</v>
      </c>
      <c r="J382" s="336">
        <f>Gasto_o_ing_per_capita!J382*100/Gasto_o_ing_per_capita!$D382</f>
        <v>99.148220025717606</v>
      </c>
      <c r="K382" s="336">
        <f>Gasto_o_ing_per_capita!K382*100/Gasto_o_ing_per_capita!$D382</f>
        <v>162.04509707918439</v>
      </c>
      <c r="L382" s="336">
        <f>Gasto_o_ing_per_capita!L382*100/Gasto_o_ing_per_capita!$D382</f>
        <v>93.404603640860913</v>
      </c>
      <c r="M382" s="336">
        <f>Gasto_o_ing_per_capita!M382*100/Gasto_o_ing_per_capita!$D382</f>
        <v>55.885996505923153</v>
      </c>
      <c r="N382" s="336">
        <f>Gasto_o_ing_per_capita!N382*100/Gasto_o_ing_per_capita!$D382</f>
        <v>78.373823374426038</v>
      </c>
      <c r="O382" s="336">
        <f>Gasto_o_ing_per_capita!O382*100/Gasto_o_ing_per_capita!$D382</f>
        <v>132.61493026746305</v>
      </c>
      <c r="P382" s="336">
        <f>Gasto_o_ing_per_capita!P382*100/Gasto_o_ing_per_capita!$D382</f>
        <v>120.19011912504536</v>
      </c>
      <c r="Q382" s="336">
        <f>Gasto_o_ing_per_capita!Q382*100/Gasto_o_ing_per_capita!$D382</f>
        <v>133.83267392781599</v>
      </c>
      <c r="R382" s="336">
        <f>Gasto_o_ing_per_capita!R382*100/Gasto_o_ing_per_capita!$D382</f>
        <v>111.30704048633649</v>
      </c>
      <c r="S382" s="336">
        <f>Gasto_o_ing_per_capita!S382*100/Gasto_o_ing_per_capita!$D382</f>
        <v>71.920052618993211</v>
      </c>
      <c r="T382" s="336">
        <f>Gasto_o_ing_per_capita!T382*100/Gasto_o_ing_per_capita!$D382</f>
        <v>54.845154401392961</v>
      </c>
      <c r="U382" s="336">
        <f>Gasto_o_ing_per_capita!U382*100/Gasto_o_ing_per_capita!$D382</f>
        <v>113.69480146023703</v>
      </c>
      <c r="V382" s="336">
        <f>Gasto_o_ing_per_capita!V382*100/Gasto_o_ing_per_capita!$D382</f>
        <v>200.67757273987897</v>
      </c>
    </row>
    <row r="383" spans="1:22" s="102" customFormat="1" ht="13.15">
      <c r="A383" s="355" t="str">
        <f>IF(B383="","",(IF(ISERROR(MATCH(B383,Tot_res!C:C,0)),"Eliminar!!!","")))</f>
        <v/>
      </c>
      <c r="B383" s="115" t="s">
        <v>375</v>
      </c>
      <c r="C383" s="333" t="str">
        <f>VLOOKUP(B383,Tot_res!C:D,2,FALSE)</f>
        <v>Prestaciones económicas del mutualismo administrativo</v>
      </c>
      <c r="D383" s="336">
        <f>Gasto_o_ing_per_capita!D383*100/Gasto_o_ing_per_capita!$D383</f>
        <v>100</v>
      </c>
      <c r="E383" s="336">
        <f>Gasto_o_ing_per_capita!E383*100/Gasto_o_ing_per_capita!$D383</f>
        <v>111.72572615887303</v>
      </c>
      <c r="F383" s="336">
        <f>Gasto_o_ing_per_capita!F383*100/Gasto_o_ing_per_capita!$D383</f>
        <v>126.91683509097187</v>
      </c>
      <c r="G383" s="336">
        <f>Gasto_o_ing_per_capita!G383*100/Gasto_o_ing_per_capita!$D383</f>
        <v>104.52915063009965</v>
      </c>
      <c r="H383" s="336">
        <f>Gasto_o_ing_per_capita!H383*100/Gasto_o_ing_per_capita!$D383</f>
        <v>77.909055671768883</v>
      </c>
      <c r="I383" s="336">
        <f>Gasto_o_ing_per_capita!I383*100/Gasto_o_ing_per_capita!$D383</f>
        <v>99.763551794048979</v>
      </c>
      <c r="J383" s="336">
        <f>Gasto_o_ing_per_capita!J383*100/Gasto_o_ing_per_capita!$D383</f>
        <v>96.11278221461076</v>
      </c>
      <c r="K383" s="336">
        <f>Gasto_o_ing_per_capita!K383*100/Gasto_o_ing_per_capita!$D383</f>
        <v>142.91808956284348</v>
      </c>
      <c r="L383" s="336">
        <f>Gasto_o_ing_per_capita!L383*100/Gasto_o_ing_per_capita!$D383</f>
        <v>101.22107369819209</v>
      </c>
      <c r="M383" s="336">
        <f>Gasto_o_ing_per_capita!M383*100/Gasto_o_ing_per_capita!$D383</f>
        <v>58.542101859771371</v>
      </c>
      <c r="N383" s="336">
        <f>Gasto_o_ing_per_capita!N383*100/Gasto_o_ing_per_capita!$D383</f>
        <v>84.613287843597391</v>
      </c>
      <c r="O383" s="336">
        <f>Gasto_o_ing_per_capita!O383*100/Gasto_o_ing_per_capita!$D383</f>
        <v>126.94988477650428</v>
      </c>
      <c r="P383" s="336">
        <f>Gasto_o_ing_per_capita!P383*100/Gasto_o_ing_per_capita!$D383</f>
        <v>117.35632990980564</v>
      </c>
      <c r="Q383" s="336">
        <f>Gasto_o_ing_per_capita!Q383*100/Gasto_o_ing_per_capita!$D383</f>
        <v>126.54315053827122</v>
      </c>
      <c r="R383" s="336">
        <f>Gasto_o_ing_per_capita!R383*100/Gasto_o_ing_per_capita!$D383</f>
        <v>112.39992128021696</v>
      </c>
      <c r="S383" s="336">
        <f>Gasto_o_ing_per_capita!S383*100/Gasto_o_ing_per_capita!$D383</f>
        <v>72.314775919364152</v>
      </c>
      <c r="T383" s="336">
        <f>Gasto_o_ing_per_capita!T383*100/Gasto_o_ing_per_capita!$D383</f>
        <v>46.52376031832744</v>
      </c>
      <c r="U383" s="336">
        <f>Gasto_o_ing_per_capita!U383*100/Gasto_o_ing_per_capita!$D383</f>
        <v>103.19472499971791</v>
      </c>
      <c r="V383" s="336">
        <f>Gasto_o_ing_per_capita!V383*100/Gasto_o_ing_per_capita!$D383</f>
        <v>302.21249155258295</v>
      </c>
    </row>
    <row r="384" spans="1:22" s="102" customFormat="1" ht="13.15">
      <c r="A384" s="355" t="str">
        <f>IF(B384="","",(IF(ISERROR(MATCH(B384,Tot_res!C:C,0)),"Eliminar!!!","")))</f>
        <v/>
      </c>
      <c r="B384" s="115" t="s">
        <v>377</v>
      </c>
      <c r="C384" s="333" t="str">
        <f>VLOOKUP(B384,Tot_res!C:D,2,FALSE)</f>
        <v>Prestaciones de garantía salarial</v>
      </c>
      <c r="D384" s="336">
        <f>Gasto_o_ing_per_capita!D384*100/Gasto_o_ing_per_capita!$D384</f>
        <v>100</v>
      </c>
      <c r="E384" s="336">
        <f>Gasto_o_ing_per_capita!E384*100/Gasto_o_ing_per_capita!$D384</f>
        <v>55.457226927364445</v>
      </c>
      <c r="F384" s="336">
        <f>Gasto_o_ing_per_capita!F384*100/Gasto_o_ing_per_capita!$D384</f>
        <v>110.20557137609613</v>
      </c>
      <c r="G384" s="336">
        <f>Gasto_o_ing_per_capita!G384*100/Gasto_o_ing_per_capita!$D384</f>
        <v>81.749309840330838</v>
      </c>
      <c r="H384" s="336">
        <f>Gasto_o_ing_per_capita!H384*100/Gasto_o_ing_per_capita!$D384</f>
        <v>71.432471827027612</v>
      </c>
      <c r="I384" s="336">
        <f>Gasto_o_ing_per_capita!I384*100/Gasto_o_ing_per_capita!$D384</f>
        <v>85.869668683646026</v>
      </c>
      <c r="J384" s="336">
        <f>Gasto_o_ing_per_capita!J384*100/Gasto_o_ing_per_capita!$D384</f>
        <v>78.362656596189154</v>
      </c>
      <c r="K384" s="336">
        <f>Gasto_o_ing_per_capita!K384*100/Gasto_o_ing_per_capita!$D384</f>
        <v>76.331836028311599</v>
      </c>
      <c r="L384" s="336">
        <f>Gasto_o_ing_per_capita!L384*100/Gasto_o_ing_per_capita!$D384</f>
        <v>80.973517382904006</v>
      </c>
      <c r="M384" s="336">
        <f>Gasto_o_ing_per_capita!M384*100/Gasto_o_ing_per_capita!$D384</f>
        <v>149.0898933899031</v>
      </c>
      <c r="N384" s="336">
        <f>Gasto_o_ing_per_capita!N384*100/Gasto_o_ing_per_capita!$D384</f>
        <v>118.50258216777871</v>
      </c>
      <c r="O384" s="336">
        <f>Gasto_o_ing_per_capita!O384*100/Gasto_o_ing_per_capita!$D384</f>
        <v>50.401167083498365</v>
      </c>
      <c r="P384" s="336">
        <f>Gasto_o_ing_per_capita!P384*100/Gasto_o_ing_per_capita!$D384</f>
        <v>85.185568497053453</v>
      </c>
      <c r="Q384" s="336">
        <f>Gasto_o_ing_per_capita!Q384*100/Gasto_o_ing_per_capita!$D384</f>
        <v>97.217633873689195</v>
      </c>
      <c r="R384" s="336">
        <f>Gasto_o_ing_per_capita!R384*100/Gasto_o_ing_per_capita!$D384</f>
        <v>106.25590312565659</v>
      </c>
      <c r="S384" s="336">
        <f>Gasto_o_ing_per_capita!S384*100/Gasto_o_ing_per_capita!$D384</f>
        <v>142.20975720339061</v>
      </c>
      <c r="T384" s="336">
        <f>Gasto_o_ing_per_capita!T384*100/Gasto_o_ing_per_capita!$D384</f>
        <v>184.40329314797401</v>
      </c>
      <c r="U384" s="336">
        <f>Gasto_o_ing_per_capita!U384*100/Gasto_o_ing_per_capita!$D384</f>
        <v>92.711474053963258</v>
      </c>
      <c r="V384" s="336">
        <f>Gasto_o_ing_per_capita!V384*100/Gasto_o_ing_per_capita!$D384</f>
        <v>13.190525045258157</v>
      </c>
    </row>
    <row r="385" spans="1:22" s="102" customFormat="1" ht="13.15">
      <c r="A385" s="355" t="str">
        <f>IF(B385="","",(IF(ISERROR(MATCH(B385,Tot_res!C:C,0)),"Eliminar!!!","")))</f>
        <v/>
      </c>
      <c r="B385" s="119" t="s">
        <v>378</v>
      </c>
      <c r="C385" s="333" t="str">
        <f>VLOOKUP(B385,Tot_res!C:D,2,FALSE)</f>
        <v>Prestaciones económicas por cese de actividad</v>
      </c>
      <c r="D385" s="336">
        <f>Gasto_o_ing_per_capita!D385*100/Gasto_o_ing_per_capita!$D385</f>
        <v>100</v>
      </c>
      <c r="E385" s="336">
        <f>Gasto_o_ing_per_capita!E385*100/Gasto_o_ing_per_capita!$D385</f>
        <v>21.848712552850284</v>
      </c>
      <c r="F385" s="336">
        <f>Gasto_o_ing_per_capita!F385*100/Gasto_o_ing_per_capita!$D385</f>
        <v>54.136216568176181</v>
      </c>
      <c r="G385" s="336">
        <f>Gasto_o_ing_per_capita!G385*100/Gasto_o_ing_per_capita!$D385</f>
        <v>131.3267790134008</v>
      </c>
      <c r="H385" s="336">
        <f>Gasto_o_ing_per_capita!H385*100/Gasto_o_ing_per_capita!$D385</f>
        <v>38.039052224508254</v>
      </c>
      <c r="I385" s="336">
        <f>Gasto_o_ing_per_capita!I385*100/Gasto_o_ing_per_capita!$D385</f>
        <v>0</v>
      </c>
      <c r="J385" s="336">
        <f>Gasto_o_ing_per_capita!J385*100/Gasto_o_ing_per_capita!$D385</f>
        <v>46.253524428126177</v>
      </c>
      <c r="K385" s="336">
        <f>Gasto_o_ing_per_capita!K385*100/Gasto_o_ing_per_capita!$D385</f>
        <v>48.613697523664513</v>
      </c>
      <c r="L385" s="336">
        <f>Gasto_o_ing_per_capita!L385*100/Gasto_o_ing_per_capita!$D385</f>
        <v>35.923985817896316</v>
      </c>
      <c r="M385" s="336">
        <f>Gasto_o_ing_per_capita!M385*100/Gasto_o_ing_per_capita!$D385</f>
        <v>51.84119429834</v>
      </c>
      <c r="N385" s="336">
        <f>Gasto_o_ing_per_capita!N385*100/Gasto_o_ing_per_capita!$D385</f>
        <v>41.987629277860101</v>
      </c>
      <c r="O385" s="336">
        <f>Gasto_o_ing_per_capita!O385*100/Gasto_o_ing_per_capita!$D385</f>
        <v>25.296804767906881</v>
      </c>
      <c r="P385" s="336">
        <f>Gasto_o_ing_per_capita!P385*100/Gasto_o_ing_per_capita!$D385</f>
        <v>999.46540458848472</v>
      </c>
      <c r="Q385" s="336">
        <f>Gasto_o_ing_per_capita!Q385*100/Gasto_o_ing_per_capita!$D385</f>
        <v>44.500145409776067</v>
      </c>
      <c r="R385" s="336">
        <f>Gasto_o_ing_per_capita!R385*100/Gasto_o_ing_per_capita!$D385</f>
        <v>43.549201964002911</v>
      </c>
      <c r="S385" s="336">
        <f>Gasto_o_ing_per_capita!S385*100/Gasto_o_ing_per_capita!$D385</f>
        <v>184.99665515618537</v>
      </c>
      <c r="T385" s="336">
        <f>Gasto_o_ing_per_capita!T385*100/Gasto_o_ing_per_capita!$D385</f>
        <v>56.340734820311269</v>
      </c>
      <c r="U385" s="336">
        <f>Gasto_o_ing_per_capita!U385*100/Gasto_o_ing_per_capita!$D385</f>
        <v>159.77486092248736</v>
      </c>
      <c r="V385" s="336">
        <f>Gasto_o_ing_per_capita!V385*100/Gasto_o_ing_per_capita!$D385</f>
        <v>0</v>
      </c>
    </row>
    <row r="386" spans="1:22" s="102" customFormat="1" ht="13.15">
      <c r="A386" s="355" t="str">
        <f>IF(B386="","",(IF(ISERROR(MATCH(B386,Tot_res!C:C,0)),"Eliminar!!!","")))</f>
        <v/>
      </c>
      <c r="B386" s="119" t="s">
        <v>864</v>
      </c>
      <c r="C386" s="333" t="str">
        <f>VLOOKUP(B386,Tot_res!C:D,2,FALSE)</f>
        <v>Prestaciones a los desempleados, neto de renta y subsidio agrarios</v>
      </c>
      <c r="D386" s="336">
        <f>Gasto_o_ing_per_capita!D386*100/Gasto_o_ing_per_capita!$D386</f>
        <v>100</v>
      </c>
      <c r="E386" s="336">
        <f>Gasto_o_ing_per_capita!E386*100/Gasto_o_ing_per_capita!$D386</f>
        <v>95.347156371137217</v>
      </c>
      <c r="F386" s="336">
        <f>Gasto_o_ing_per_capita!F386*100/Gasto_o_ing_per_capita!$D386</f>
        <v>98.385812472300202</v>
      </c>
      <c r="G386" s="336">
        <f>Gasto_o_ing_per_capita!G386*100/Gasto_o_ing_per_capita!$D386</f>
        <v>101.58302812545126</v>
      </c>
      <c r="H386" s="336">
        <f>Gasto_o_ing_per_capita!H386*100/Gasto_o_ing_per_capita!$D386</f>
        <v>109.31635675777589</v>
      </c>
      <c r="I386" s="336">
        <f>Gasto_o_ing_per_capita!I386*100/Gasto_o_ing_per_capita!$D386</f>
        <v>107.2871805110555</v>
      </c>
      <c r="J386" s="336">
        <f>Gasto_o_ing_per_capita!J386*100/Gasto_o_ing_per_capita!$D386</f>
        <v>99.587834440023485</v>
      </c>
      <c r="K386" s="336">
        <f>Gasto_o_ing_per_capita!K386*100/Gasto_o_ing_per_capita!$D386</f>
        <v>92.357206371802349</v>
      </c>
      <c r="L386" s="336">
        <f>Gasto_o_ing_per_capita!L386*100/Gasto_o_ing_per_capita!$D386</f>
        <v>109.04694015166524</v>
      </c>
      <c r="M386" s="336">
        <f>Gasto_o_ing_per_capita!M386*100/Gasto_o_ing_per_capita!$D386</f>
        <v>105.21187589348025</v>
      </c>
      <c r="N386" s="336">
        <f>Gasto_o_ing_per_capita!N386*100/Gasto_o_ing_per_capita!$D386</f>
        <v>102.77638525407981</v>
      </c>
      <c r="O386" s="336">
        <f>Gasto_o_ing_per_capita!O386*100/Gasto_o_ing_per_capita!$D386</f>
        <v>98.950765436177974</v>
      </c>
      <c r="P386" s="336">
        <f>Gasto_o_ing_per_capita!P386*100/Gasto_o_ing_per_capita!$D386</f>
        <v>96.654018717897557</v>
      </c>
      <c r="Q386" s="336">
        <f>Gasto_o_ing_per_capita!Q386*100/Gasto_o_ing_per_capita!$D386</f>
        <v>99.066007816447836</v>
      </c>
      <c r="R386" s="336">
        <f>Gasto_o_ing_per_capita!R386*100/Gasto_o_ing_per_capita!$D386</f>
        <v>95.47464616024196</v>
      </c>
      <c r="S386" s="336">
        <f>Gasto_o_ing_per_capita!S386*100/Gasto_o_ing_per_capita!$D386</f>
        <v>105.72058729754103</v>
      </c>
      <c r="T386" s="336">
        <f>Gasto_o_ing_per_capita!T386*100/Gasto_o_ing_per_capita!$D386</f>
        <v>93.29524933929028</v>
      </c>
      <c r="U386" s="336">
        <f>Gasto_o_ing_per_capita!U386*100/Gasto_o_ing_per_capita!$D386</f>
        <v>101.34568015974129</v>
      </c>
      <c r="V386" s="336">
        <f>Gasto_o_ing_per_capita!V386*100/Gasto_o_ing_per_capita!$D386</f>
        <v>69.048929682104571</v>
      </c>
    </row>
    <row r="387" spans="1:22" s="102" customFormat="1" ht="13.15">
      <c r="A387" s="355" t="str">
        <f>IF(B387="","",(IF(ISERROR(MATCH(B387,Tot_res!C:C,0)),"Eliminar!!!","")))</f>
        <v/>
      </c>
      <c r="B387" s="115" t="s">
        <v>380</v>
      </c>
      <c r="C387" s="333" t="str">
        <f>VLOOKUP(B387,Tot_res!C:D,2,FALSE)</f>
        <v>Becas y ayudas a estudiantes + AF03/1</v>
      </c>
      <c r="D387" s="336">
        <f>Gasto_o_ing_per_capita!D387*100/Gasto_o_ing_per_capita!$D387</f>
        <v>100</v>
      </c>
      <c r="E387" s="336">
        <f>Gasto_o_ing_per_capita!E387*100/Gasto_o_ing_per_capita!$D387</f>
        <v>140.17629301807523</v>
      </c>
      <c r="F387" s="336">
        <f>Gasto_o_ing_per_capita!F387*100/Gasto_o_ing_per_capita!$D387</f>
        <v>71.56398176990534</v>
      </c>
      <c r="G387" s="336">
        <f>Gasto_o_ing_per_capita!G387*100/Gasto_o_ing_per_capita!$D387</f>
        <v>73.040297927998424</v>
      </c>
      <c r="H387" s="336">
        <f>Gasto_o_ing_per_capita!H387*100/Gasto_o_ing_per_capita!$D387</f>
        <v>46.469628579169871</v>
      </c>
      <c r="I387" s="336">
        <f>Gasto_o_ing_per_capita!I387*100/Gasto_o_ing_per_capita!$D387</f>
        <v>102.84672752544388</v>
      </c>
      <c r="J387" s="336">
        <f>Gasto_o_ing_per_capita!J387*100/Gasto_o_ing_per_capita!$D387</f>
        <v>72.268483156897233</v>
      </c>
      <c r="K387" s="336">
        <f>Gasto_o_ing_per_capita!K387*100/Gasto_o_ing_per_capita!$D387</f>
        <v>109.26995096334754</v>
      </c>
      <c r="L387" s="336">
        <f>Gasto_o_ing_per_capita!L387*100/Gasto_o_ing_per_capita!$D387</f>
        <v>89.71294060448254</v>
      </c>
      <c r="M387" s="336">
        <f>Gasto_o_ing_per_capita!M387*100/Gasto_o_ing_per_capita!$D387</f>
        <v>65.320638181939486</v>
      </c>
      <c r="N387" s="336">
        <f>Gasto_o_ing_per_capita!N387*100/Gasto_o_ing_per_capita!$D387</f>
        <v>106.97145456689412</v>
      </c>
      <c r="O387" s="336">
        <f>Gasto_o_ing_per_capita!O387*100/Gasto_o_ing_per_capita!$D387</f>
        <v>153.18534270153654</v>
      </c>
      <c r="P387" s="336">
        <f>Gasto_o_ing_per_capita!P387*100/Gasto_o_ing_per_capita!$D387</f>
        <v>105.26142767605002</v>
      </c>
      <c r="Q387" s="336">
        <f>Gasto_o_ing_per_capita!Q387*100/Gasto_o_ing_per_capita!$D387</f>
        <v>88.372727672546006</v>
      </c>
      <c r="R387" s="336">
        <f>Gasto_o_ing_per_capita!R387*100/Gasto_o_ing_per_capita!$D387</f>
        <v>123.26865070261269</v>
      </c>
      <c r="S387" s="336">
        <f>Gasto_o_ing_per_capita!S387*100/Gasto_o_ing_per_capita!$D387</f>
        <v>99.998719312801839</v>
      </c>
      <c r="T387" s="336">
        <f>Gasto_o_ing_per_capita!T387*100/Gasto_o_ing_per_capita!$D387</f>
        <v>99.998436303422196</v>
      </c>
      <c r="U387" s="336">
        <f>Gasto_o_ing_per_capita!U387*100/Gasto_o_ing_per_capita!$D387</f>
        <v>60.711726575938329</v>
      </c>
      <c r="V387" s="336">
        <f>Gasto_o_ing_per_capita!V387*100/Gasto_o_ing_per_capita!$D387</f>
        <v>117.42485617159434</v>
      </c>
    </row>
    <row r="388" spans="1:22" s="102" customFormat="1" ht="13.15">
      <c r="A388" s="355" t="str">
        <f>IF(B388="","",(IF(ISERROR(MATCH(B388,Tot_res!C:C,0)),"Eliminar!!!","")))</f>
        <v/>
      </c>
      <c r="B388" s="119" t="s">
        <v>867</v>
      </c>
      <c r="C388" s="333" t="str">
        <f>VLOOKUP(B388,Tot_res!C:D,2,FALSE)</f>
        <v xml:space="preserve"> Gestión de la Deuda y de la Tesorería del Estado, indemnizaciones síndrome tóxico</v>
      </c>
      <c r="D388" s="336">
        <f>Gasto_o_ing_per_capita!D388*100/Gasto_o_ing_per_capita!$D388</f>
        <v>100</v>
      </c>
      <c r="E388" s="336">
        <f>Gasto_o_ing_per_capita!E388*100/Gasto_o_ing_per_capita!$D388</f>
        <v>7.6837882644059894</v>
      </c>
      <c r="F388" s="336">
        <f>Gasto_o_ing_per_capita!F388*100/Gasto_o_ing_per_capita!$D388</f>
        <v>4.7860995248293259</v>
      </c>
      <c r="G388" s="336">
        <f>Gasto_o_ing_per_capita!G388*100/Gasto_o_ing_per_capita!$D388</f>
        <v>9.537981464679099</v>
      </c>
      <c r="H388" s="336">
        <f>Gasto_o_ing_per_capita!H388*100/Gasto_o_ing_per_capita!$D388</f>
        <v>6.7934397346604198</v>
      </c>
      <c r="I388" s="336">
        <f>Gasto_o_ing_per_capita!I388*100/Gasto_o_ing_per_capita!$D388</f>
        <v>7.1259753423502197</v>
      </c>
      <c r="J388" s="336">
        <f>Gasto_o_ing_per_capita!J388*100/Gasto_o_ing_per_capita!$D388</f>
        <v>37.603306866395535</v>
      </c>
      <c r="K388" s="336">
        <f>Gasto_o_ing_per_capita!K388*100/Gasto_o_ing_per_capita!$D388</f>
        <v>435.57336551765462</v>
      </c>
      <c r="L388" s="336">
        <f>Gasto_o_ing_per_capita!L388*100/Gasto_o_ing_per_capita!$D388</f>
        <v>113.41254579444742</v>
      </c>
      <c r="M388" s="336">
        <f>Gasto_o_ing_per_capita!M388*100/Gasto_o_ing_per_capita!$D388</f>
        <v>2.7455671836765565</v>
      </c>
      <c r="N388" s="336">
        <f>Gasto_o_ing_per_capita!N388*100/Gasto_o_ing_per_capita!$D388</f>
        <v>11.376919258007181</v>
      </c>
      <c r="O388" s="336">
        <f>Gasto_o_ing_per_capita!O388*100/Gasto_o_ing_per_capita!$D388</f>
        <v>39.265776219335585</v>
      </c>
      <c r="P388" s="336">
        <f>Gasto_o_ing_per_capita!P388*100/Gasto_o_ing_per_capita!$D388</f>
        <v>6.8219642148945709</v>
      </c>
      <c r="Q388" s="336">
        <f>Gasto_o_ing_per_capita!Q388*100/Gasto_o_ing_per_capita!$D388</f>
        <v>473.41036165139479</v>
      </c>
      <c r="R388" s="336">
        <f>Gasto_o_ing_per_capita!R388*100/Gasto_o_ing_per_capita!$D388</f>
        <v>11.520963134903559</v>
      </c>
      <c r="S388" s="336">
        <f>Gasto_o_ing_per_capita!S388*100/Gasto_o_ing_per_capita!$D388</f>
        <v>8.1957911748278249</v>
      </c>
      <c r="T388" s="336">
        <f>Gasto_o_ing_per_capita!T388*100/Gasto_o_ing_per_capita!$D388</f>
        <v>5.1527280153737038</v>
      </c>
      <c r="U388" s="336">
        <f>Gasto_o_ing_per_capita!U388*100/Gasto_o_ing_per_capita!$D388</f>
        <v>0</v>
      </c>
      <c r="V388" s="336">
        <f>Gasto_o_ing_per_capita!V388*100/Gasto_o_ing_per_capita!$D388</f>
        <v>4.4609766227479986</v>
      </c>
    </row>
    <row r="389" spans="1:22" s="102" customFormat="1" ht="13.15">
      <c r="A389" s="355" t="str">
        <f>IF(B389="","",(IF(ISERROR(MATCH(B389,Tot_res!C:C,0)),"Eliminar!!!","")))</f>
        <v/>
      </c>
      <c r="B389" s="115" t="s">
        <v>869</v>
      </c>
      <c r="C389" s="333" t="str">
        <f>VLOOKUP(B389,Tot_res!C:D,2,FALSE)</f>
        <v>Pensiones contributivas de la Seguridad Social</v>
      </c>
      <c r="D389" s="336">
        <f>Gasto_o_ing_per_capita!D389*100/Gasto_o_ing_per_capita!$D389</f>
        <v>100</v>
      </c>
      <c r="E389" s="336">
        <f>Gasto_o_ing_per_capita!E389*100/Gasto_o_ing_per_capita!$D389</f>
        <v>80.717473149338403</v>
      </c>
      <c r="F389" s="336">
        <f>Gasto_o_ing_per_capita!F389*100/Gasto_o_ing_per_capita!$D389</f>
        <v>116.89687553258844</v>
      </c>
      <c r="G389" s="336">
        <f>Gasto_o_ing_per_capita!G389*100/Gasto_o_ing_per_capita!$D389</f>
        <v>170.97415984004658</v>
      </c>
      <c r="H389" s="336">
        <f>Gasto_o_ing_per_capita!H389*100/Gasto_o_ing_per_capita!$D389</f>
        <v>75.248243824043968</v>
      </c>
      <c r="I389" s="336">
        <f>Gasto_o_ing_per_capita!I389*100/Gasto_o_ing_per_capita!$D389</f>
        <v>63.400397776271681</v>
      </c>
      <c r="J389" s="336">
        <f>Gasto_o_ing_per_capita!J389*100/Gasto_o_ing_per_capita!$D389</f>
        <v>122.61003750978325</v>
      </c>
      <c r="K389" s="336">
        <f>Gasto_o_ing_per_capita!K389*100/Gasto_o_ing_per_capita!$D389</f>
        <v>119.8245793660643</v>
      </c>
      <c r="L389" s="336">
        <f>Gasto_o_ing_per_capita!L389*100/Gasto_o_ing_per_capita!$D389</f>
        <v>81.355071598506328</v>
      </c>
      <c r="M389" s="336">
        <f>Gasto_o_ing_per_capita!M389*100/Gasto_o_ing_per_capita!$D389</f>
        <v>115.84060521012886</v>
      </c>
      <c r="N389" s="336">
        <f>Gasto_o_ing_per_capita!N389*100/Gasto_o_ing_per_capita!$D389</f>
        <v>87.061806596735551</v>
      </c>
      <c r="O389" s="336">
        <f>Gasto_o_ing_per_capita!O389*100/Gasto_o_ing_per_capita!$D389</f>
        <v>84.605258416115248</v>
      </c>
      <c r="P389" s="336">
        <f>Gasto_o_ing_per_capita!P389*100/Gasto_o_ing_per_capita!$D389</f>
        <v>116.73541356798272</v>
      </c>
      <c r="Q389" s="336">
        <f>Gasto_o_ing_per_capita!Q389*100/Gasto_o_ing_per_capita!$D389</f>
        <v>98.489764889586624</v>
      </c>
      <c r="R389" s="336">
        <f>Gasto_o_ing_per_capita!R389*100/Gasto_o_ing_per_capita!$D389</f>
        <v>72.391212462634556</v>
      </c>
      <c r="S389" s="336">
        <f>Gasto_o_ing_per_capita!S389*100/Gasto_o_ing_per_capita!$D389</f>
        <v>114.72813886389794</v>
      </c>
      <c r="T389" s="336">
        <f>Gasto_o_ing_per_capita!T389*100/Gasto_o_ing_per_capita!$D389</f>
        <v>150.67882729468081</v>
      </c>
      <c r="U389" s="336">
        <f>Gasto_o_ing_per_capita!U389*100/Gasto_o_ing_per_capita!$D389</f>
        <v>101.5968880965456</v>
      </c>
      <c r="V389" s="336">
        <f>Gasto_o_ing_per_capita!V389*100/Gasto_o_ing_per_capita!$D389</f>
        <v>47.2310101981342</v>
      </c>
    </row>
    <row r="390" spans="1:22" s="102" customFormat="1" ht="13.15">
      <c r="A390" s="355" t="str">
        <f>IF(B390="","",(IF(ISERROR(MATCH(B390,Tot_res!C:C,0)),"Eliminar!!!","")))</f>
        <v/>
      </c>
      <c r="B390" s="115" t="s">
        <v>870</v>
      </c>
      <c r="C390" s="333" t="str">
        <f>VLOOKUP(B390,Tot_res!C:D,2,FALSE)</f>
        <v>Otras prestaciones contributivas de la Seguridad Social + AF03/2</v>
      </c>
      <c r="D390" s="336">
        <f>Gasto_o_ing_per_capita!D390*100/Gasto_o_ing_per_capita!$D390</f>
        <v>100</v>
      </c>
      <c r="E390" s="336">
        <f>Gasto_o_ing_per_capita!E390*100/Gasto_o_ing_per_capita!$D390</f>
        <v>86.645041868812882</v>
      </c>
      <c r="F390" s="336">
        <f>Gasto_o_ing_per_capita!F390*100/Gasto_o_ing_per_capita!$D390</f>
        <v>99.045726142042895</v>
      </c>
      <c r="G390" s="336">
        <f>Gasto_o_ing_per_capita!G390*100/Gasto_o_ing_per_capita!$D390</f>
        <v>124.07827036306432</v>
      </c>
      <c r="H390" s="336">
        <f>Gasto_o_ing_per_capita!H390*100/Gasto_o_ing_per_capita!$D390</f>
        <v>79.336114082773491</v>
      </c>
      <c r="I390" s="336">
        <f>Gasto_o_ing_per_capita!I390*100/Gasto_o_ing_per_capita!$D390</f>
        <v>75.754956068290753</v>
      </c>
      <c r="J390" s="336">
        <f>Gasto_o_ing_per_capita!J390*100/Gasto_o_ing_per_capita!$D390</f>
        <v>109.01699244121538</v>
      </c>
      <c r="K390" s="336">
        <f>Gasto_o_ing_per_capita!K390*100/Gasto_o_ing_per_capita!$D390</f>
        <v>82.423673547829125</v>
      </c>
      <c r="L390" s="336">
        <f>Gasto_o_ing_per_capita!L390*100/Gasto_o_ing_per_capita!$D390</f>
        <v>75.015282062334137</v>
      </c>
      <c r="M390" s="336">
        <f>Gasto_o_ing_per_capita!M390*100/Gasto_o_ing_per_capita!$D390</f>
        <v>108.09966374355893</v>
      </c>
      <c r="N390" s="336">
        <f>Gasto_o_ing_per_capita!N390*100/Gasto_o_ing_per_capita!$D390</f>
        <v>80.929168648078502</v>
      </c>
      <c r="O390" s="336">
        <f>Gasto_o_ing_per_capita!O390*100/Gasto_o_ing_per_capita!$D390</f>
        <v>86.468951339661658</v>
      </c>
      <c r="P390" s="336">
        <f>Gasto_o_ing_per_capita!P390*100/Gasto_o_ing_per_capita!$D390</f>
        <v>113.25333940021063</v>
      </c>
      <c r="Q390" s="336">
        <f>Gasto_o_ing_per_capita!Q390*100/Gasto_o_ing_per_capita!$D390</f>
        <v>111.00322222123077</v>
      </c>
      <c r="R390" s="336">
        <f>Gasto_o_ing_per_capita!R390*100/Gasto_o_ing_per_capita!$D390</f>
        <v>109.45311910284435</v>
      </c>
      <c r="S390" s="336">
        <f>Gasto_o_ing_per_capita!S390*100/Gasto_o_ing_per_capita!$D390</f>
        <v>128.67096098893302</v>
      </c>
      <c r="T390" s="336">
        <f>Gasto_o_ing_per_capita!T390*100/Gasto_o_ing_per_capita!$D390</f>
        <v>180.43497958340214</v>
      </c>
      <c r="U390" s="336">
        <f>Gasto_o_ing_per_capita!U390*100/Gasto_o_ing_per_capita!$D390</f>
        <v>77.302028865176695</v>
      </c>
      <c r="V390" s="336">
        <f>Gasto_o_ing_per_capita!V390*100/Gasto_o_ing_per_capita!$D390</f>
        <v>67.323967152595785</v>
      </c>
    </row>
    <row r="391" spans="1:22" s="102" customFormat="1" ht="13.15">
      <c r="A391" s="355" t="str">
        <f>IF(B391="","",(IF(ISERROR(MATCH(B391,Tot_res!C:C,0)),"Eliminar!!!","")))</f>
        <v/>
      </c>
      <c r="B391" s="115" t="s">
        <v>872</v>
      </c>
      <c r="C391" s="333" t="str">
        <f>VLOOKUP(B391,Tot_res!C:D,2,FALSE)</f>
        <v>Prestaciones económicas contributivas, Mutuas</v>
      </c>
      <c r="D391" s="336">
        <f>Gasto_o_ing_per_capita!D391*100/Gasto_o_ing_per_capita!$D391</f>
        <v>99.999999999999986</v>
      </c>
      <c r="E391" s="336">
        <f>Gasto_o_ing_per_capita!E391*100/Gasto_o_ing_per_capita!$D391</f>
        <v>56.983679623303587</v>
      </c>
      <c r="F391" s="336">
        <f>Gasto_o_ing_per_capita!F391*100/Gasto_o_ing_per_capita!$D391</f>
        <v>102.42878049117147</v>
      </c>
      <c r="G391" s="336">
        <f>Gasto_o_ing_per_capita!G391*100/Gasto_o_ing_per_capita!$D391</f>
        <v>91.45138602481093</v>
      </c>
      <c r="H391" s="336">
        <f>Gasto_o_ing_per_capita!H391*100/Gasto_o_ing_per_capita!$D391</f>
        <v>97.267467687909587</v>
      </c>
      <c r="I391" s="336">
        <f>Gasto_o_ing_per_capita!I391*100/Gasto_o_ing_per_capita!$D391</f>
        <v>69.940449947150455</v>
      </c>
      <c r="J391" s="336">
        <f>Gasto_o_ing_per_capita!J391*100/Gasto_o_ing_per_capita!$D391</f>
        <v>107.53784997848196</v>
      </c>
      <c r="K391" s="336">
        <f>Gasto_o_ing_per_capita!K391*100/Gasto_o_ing_per_capita!$D391</f>
        <v>80.111151099913741</v>
      </c>
      <c r="L391" s="336">
        <f>Gasto_o_ing_per_capita!L391*100/Gasto_o_ing_per_capita!$D391</f>
        <v>73.774727784110908</v>
      </c>
      <c r="M391" s="336">
        <f>Gasto_o_ing_per_capita!M391*100/Gasto_o_ing_per_capita!$D391</f>
        <v>108.08167386798779</v>
      </c>
      <c r="N391" s="336">
        <f>Gasto_o_ing_per_capita!N391*100/Gasto_o_ing_per_capita!$D391</f>
        <v>79.210883983239299</v>
      </c>
      <c r="O391" s="336">
        <f>Gasto_o_ing_per_capita!O391*100/Gasto_o_ing_per_capita!$D391</f>
        <v>49.916873146763116</v>
      </c>
      <c r="P391" s="336">
        <f>Gasto_o_ing_per_capita!P391*100/Gasto_o_ing_per_capita!$D391</f>
        <v>89.912175571379152</v>
      </c>
      <c r="Q391" s="336">
        <f>Gasto_o_ing_per_capita!Q391*100/Gasto_o_ing_per_capita!$D391</f>
        <v>196.01573294451401</v>
      </c>
      <c r="R391" s="336">
        <f>Gasto_o_ing_per_capita!R391*100/Gasto_o_ing_per_capita!$D391</f>
        <v>86.343365559735958</v>
      </c>
      <c r="S391" s="336">
        <f>Gasto_o_ing_per_capita!S391*100/Gasto_o_ing_per_capita!$D391</f>
        <v>129.51715758717376</v>
      </c>
      <c r="T391" s="336">
        <f>Gasto_o_ing_per_capita!T391*100/Gasto_o_ing_per_capita!$D391</f>
        <v>122.92382553571976</v>
      </c>
      <c r="U391" s="336">
        <f>Gasto_o_ing_per_capita!U391*100/Gasto_o_ing_per_capita!$D391</f>
        <v>101.7717172625818</v>
      </c>
      <c r="V391" s="336">
        <f>Gasto_o_ing_per_capita!V391*100/Gasto_o_ing_per_capita!$D391</f>
        <v>45.042203193787351</v>
      </c>
    </row>
    <row r="392" spans="1:22" s="102" customFormat="1" ht="13.15">
      <c r="A392" s="355" t="str">
        <f>IF(B392="","",(IF(ISERROR(MATCH(B392,Tot_res!C:C,0)),"Eliminar!!!","")))</f>
        <v/>
      </c>
      <c r="B392" s="115" t="s">
        <v>874</v>
      </c>
      <c r="C392" s="333" t="str">
        <f>VLOOKUP(B392,Tot_res!C:D,2,FALSE)</f>
        <v>Pensiones no contributivas de la Seg Soc + AF03/3</v>
      </c>
      <c r="D392" s="336">
        <f>Gasto_o_ing_per_capita!D392*100/Gasto_o_ing_per_capita!$D392</f>
        <v>100</v>
      </c>
      <c r="E392" s="336">
        <f>Gasto_o_ing_per_capita!E392*100/Gasto_o_ing_per_capita!$D392</f>
        <v>135.82461825226923</v>
      </c>
      <c r="F392" s="336">
        <f>Gasto_o_ing_per_capita!F392*100/Gasto_o_ing_per_capita!$D392</f>
        <v>57.21702144422111</v>
      </c>
      <c r="G392" s="336">
        <f>Gasto_o_ing_per_capita!G392*100/Gasto_o_ing_per_capita!$D392</f>
        <v>89.489994642998056</v>
      </c>
      <c r="H392" s="336">
        <f>Gasto_o_ing_per_capita!H392*100/Gasto_o_ing_per_capita!$D392</f>
        <v>68.908134905407962</v>
      </c>
      <c r="I392" s="336">
        <f>Gasto_o_ing_per_capita!I392*100/Gasto_o_ing_per_capita!$D392</f>
        <v>215.0187191049184</v>
      </c>
      <c r="J392" s="336">
        <f>Gasto_o_ing_per_capita!J392*100/Gasto_o_ing_per_capita!$D392</f>
        <v>106.93984468169343</v>
      </c>
      <c r="K392" s="336">
        <f>Gasto_o_ing_per_capita!K392*100/Gasto_o_ing_per_capita!$D392</f>
        <v>90.443798070779565</v>
      </c>
      <c r="L392" s="336">
        <f>Gasto_o_ing_per_capita!L392*100/Gasto_o_ing_per_capita!$D392</f>
        <v>97.934792091368067</v>
      </c>
      <c r="M392" s="336">
        <f>Gasto_o_ing_per_capita!M392*100/Gasto_o_ing_per_capita!$D392</f>
        <v>78.300058906034167</v>
      </c>
      <c r="N392" s="336">
        <f>Gasto_o_ing_per_capita!N392*100/Gasto_o_ing_per_capita!$D392</f>
        <v>95.080124450009592</v>
      </c>
      <c r="O392" s="336">
        <f>Gasto_o_ing_per_capita!O392*100/Gasto_o_ing_per_capita!$D392</f>
        <v>132.13425395692104</v>
      </c>
      <c r="P392" s="336">
        <f>Gasto_o_ing_per_capita!P392*100/Gasto_o_ing_per_capita!$D392</f>
        <v>166.58153340865664</v>
      </c>
      <c r="Q392" s="336">
        <f>Gasto_o_ing_per_capita!Q392*100/Gasto_o_ing_per_capita!$D392</f>
        <v>53.97338782049723</v>
      </c>
      <c r="R392" s="336">
        <f>Gasto_o_ing_per_capita!R392*100/Gasto_o_ing_per_capita!$D392</f>
        <v>99.793560926728489</v>
      </c>
      <c r="S392" s="336">
        <f>Gasto_o_ing_per_capita!S392*100/Gasto_o_ing_per_capita!$D392</f>
        <v>37.718002581902617</v>
      </c>
      <c r="T392" s="336">
        <f>Gasto_o_ing_per_capita!T392*100/Gasto_o_ing_per_capita!$D392</f>
        <v>45.520520080372592</v>
      </c>
      <c r="U392" s="336">
        <f>Gasto_o_ing_per_capita!U392*100/Gasto_o_ing_per_capita!$D392</f>
        <v>52.491003907937753</v>
      </c>
      <c r="V392" s="336">
        <f>Gasto_o_ing_per_capita!V392*100/Gasto_o_ing_per_capita!$D392</f>
        <v>246.67476574340114</v>
      </c>
    </row>
    <row r="393" spans="1:22" s="102" customFormat="1" ht="13.15">
      <c r="A393" s="355" t="str">
        <f>IF(B393="","",(IF(ISERROR(MATCH(B393,Tot_res!C:C,0)),"Eliminar!!!","")))</f>
        <v/>
      </c>
      <c r="B393" s="115" t="s">
        <v>876</v>
      </c>
      <c r="C393" s="333" t="str">
        <f>VLOOKUP(B393,Tot_res!C:D,2,FALSE)</f>
        <v>Protección familiar y otras prestaciones no contributivas de la Seg Social</v>
      </c>
      <c r="D393" s="336">
        <f>Gasto_o_ing_per_capita!D393*100/Gasto_o_ing_per_capita!$D393</f>
        <v>100</v>
      </c>
      <c r="E393" s="336">
        <f>Gasto_o_ing_per_capita!E393*100/Gasto_o_ing_per_capita!$D393</f>
        <v>114.26960606212907</v>
      </c>
      <c r="F393" s="336">
        <f>Gasto_o_ing_per_capita!F393*100/Gasto_o_ing_per_capita!$D393</f>
        <v>87.89869351250907</v>
      </c>
      <c r="G393" s="336">
        <f>Gasto_o_ing_per_capita!G393*100/Gasto_o_ing_per_capita!$D393</f>
        <v>119.16087416361593</v>
      </c>
      <c r="H393" s="336">
        <f>Gasto_o_ing_per_capita!H393*100/Gasto_o_ing_per_capita!$D393</f>
        <v>70.062621163930046</v>
      </c>
      <c r="I393" s="336">
        <f>Gasto_o_ing_per_capita!I393*100/Gasto_o_ing_per_capita!$D393</f>
        <v>119.60992591718518</v>
      </c>
      <c r="J393" s="336">
        <f>Gasto_o_ing_per_capita!J393*100/Gasto_o_ing_per_capita!$D393</f>
        <v>106.74425806540667</v>
      </c>
      <c r="K393" s="336">
        <f>Gasto_o_ing_per_capita!K393*100/Gasto_o_ing_per_capita!$D393</f>
        <v>117.18532071453947</v>
      </c>
      <c r="L393" s="336">
        <f>Gasto_o_ing_per_capita!L393*100/Gasto_o_ing_per_capita!$D393</f>
        <v>98.667335592696602</v>
      </c>
      <c r="M393" s="336">
        <f>Gasto_o_ing_per_capita!M393*100/Gasto_o_ing_per_capita!$D393</f>
        <v>82.339330030584662</v>
      </c>
      <c r="N393" s="336">
        <f>Gasto_o_ing_per_capita!N393*100/Gasto_o_ing_per_capita!$D393</f>
        <v>99.277347373425499</v>
      </c>
      <c r="O393" s="336">
        <f>Gasto_o_ing_per_capita!O393*100/Gasto_o_ing_per_capita!$D393</f>
        <v>124.87714096461028</v>
      </c>
      <c r="P393" s="336">
        <f>Gasto_o_ing_per_capita!P393*100/Gasto_o_ing_per_capita!$D393</f>
        <v>113.98248654763155</v>
      </c>
      <c r="Q393" s="336">
        <f>Gasto_o_ing_per_capita!Q393*100/Gasto_o_ing_per_capita!$D393</f>
        <v>78.218841079027328</v>
      </c>
      <c r="R393" s="336">
        <f>Gasto_o_ing_per_capita!R393*100/Gasto_o_ing_per_capita!$D393</f>
        <v>134.16004131222888</v>
      </c>
      <c r="S393" s="336">
        <f>Gasto_o_ing_per_capita!S393*100/Gasto_o_ing_per_capita!$D393</f>
        <v>86.899764242273747</v>
      </c>
      <c r="T393" s="336">
        <f>Gasto_o_ing_per_capita!T393*100/Gasto_o_ing_per_capita!$D393</f>
        <v>90.971341945398621</v>
      </c>
      <c r="U393" s="336">
        <f>Gasto_o_ing_per_capita!U393*100/Gasto_o_ing_per_capita!$D393</f>
        <v>90.279159917243476</v>
      </c>
      <c r="V393" s="336">
        <f>Gasto_o_ing_per_capita!V393*100/Gasto_o_ing_per_capita!$D393</f>
        <v>194.81459817967684</v>
      </c>
    </row>
    <row r="394" spans="1:22" s="102" customFormat="1" ht="13.15">
      <c r="A394" s="355" t="str">
        <f>IF(B394="","",(IF(ISERROR(MATCH(B394,Tot_res!C:C,0)),"Eliminar!!!","")))</f>
        <v/>
      </c>
      <c r="B394" s="115" t="s">
        <v>383</v>
      </c>
      <c r="C394" s="333" t="str">
        <f>VLOOKUP(B394,Tot_res!C:D,2,FALSE)</f>
        <v xml:space="preserve"> Admón. y Servicios Generales prestaciones economicas</v>
      </c>
      <c r="D394" s="336">
        <f>Gasto_o_ing_per_capita!D394*100/Gasto_o_ing_per_capita!$D394</f>
        <v>100</v>
      </c>
      <c r="E394" s="336">
        <f>Gasto_o_ing_per_capita!E394*100/Gasto_o_ing_per_capita!$D394</f>
        <v>103.98288005002983</v>
      </c>
      <c r="F394" s="336">
        <f>Gasto_o_ing_per_capita!F394*100/Gasto_o_ing_per_capita!$D394</f>
        <v>123.89807409100041</v>
      </c>
      <c r="G394" s="336">
        <f>Gasto_o_ing_per_capita!G394*100/Gasto_o_ing_per_capita!$D394</f>
        <v>199.09818190141718</v>
      </c>
      <c r="H394" s="336">
        <f>Gasto_o_ing_per_capita!H394*100/Gasto_o_ing_per_capita!$D394</f>
        <v>78.429286056707866</v>
      </c>
      <c r="I394" s="336">
        <f>Gasto_o_ing_per_capita!I394*100/Gasto_o_ing_per_capita!$D394</f>
        <v>74.985889659846862</v>
      </c>
      <c r="J394" s="336">
        <f>Gasto_o_ing_per_capita!J394*100/Gasto_o_ing_per_capita!$D394</f>
        <v>108.11842940332598</v>
      </c>
      <c r="K394" s="336">
        <f>Gasto_o_ing_per_capita!K394*100/Gasto_o_ing_per_capita!$D394</f>
        <v>145.90259404800051</v>
      </c>
      <c r="L394" s="336">
        <f>Gasto_o_ing_per_capita!L394*100/Gasto_o_ing_per_capita!$D394</f>
        <v>109.91521311095973</v>
      </c>
      <c r="M394" s="336">
        <f>Gasto_o_ing_per_capita!M394*100/Gasto_o_ing_per_capita!$D394</f>
        <v>80.03949958920164</v>
      </c>
      <c r="N394" s="336">
        <f>Gasto_o_ing_per_capita!N394*100/Gasto_o_ing_per_capita!$D394</f>
        <v>87.630482474572489</v>
      </c>
      <c r="O394" s="336">
        <f>Gasto_o_ing_per_capita!O394*100/Gasto_o_ing_per_capita!$D394</f>
        <v>101.61537335893294</v>
      </c>
      <c r="P394" s="336">
        <f>Gasto_o_ing_per_capita!P394*100/Gasto_o_ing_per_capita!$D394</f>
        <v>128.86289472839809</v>
      </c>
      <c r="Q394" s="336">
        <f>Gasto_o_ing_per_capita!Q394*100/Gasto_o_ing_per_capita!$D394</f>
        <v>81.060792810930991</v>
      </c>
      <c r="R394" s="336">
        <f>Gasto_o_ing_per_capita!R394*100/Gasto_o_ing_per_capita!$D394</f>
        <v>80.973605090591107</v>
      </c>
      <c r="S394" s="336">
        <f>Gasto_o_ing_per_capita!S394*100/Gasto_o_ing_per_capita!$D394</f>
        <v>92.435304629285952</v>
      </c>
      <c r="T394" s="336">
        <f>Gasto_o_ing_per_capita!T394*100/Gasto_o_ing_per_capita!$D394</f>
        <v>114.8475310450798</v>
      </c>
      <c r="U394" s="336">
        <f>Gasto_o_ing_per_capita!U394*100/Gasto_o_ing_per_capita!$D394</f>
        <v>124.97006394110004</v>
      </c>
      <c r="V394" s="336">
        <f>Gasto_o_ing_per_capita!V394*100/Gasto_o_ing_per_capita!$D394</f>
        <v>169.18426593154902</v>
      </c>
    </row>
    <row r="395" spans="1:22" s="102" customFormat="1" ht="13.15">
      <c r="A395" s="356"/>
      <c r="B395" s="115"/>
      <c r="C395" s="146"/>
      <c r="D395" s="110"/>
      <c r="E395" s="110"/>
      <c r="F395" s="110"/>
      <c r="G395" s="110"/>
      <c r="H395" s="110"/>
      <c r="I395" s="110"/>
      <c r="J395" s="110"/>
      <c r="K395" s="110"/>
      <c r="L395" s="110"/>
      <c r="M395" s="110"/>
      <c r="N395" s="110"/>
      <c r="O395" s="110"/>
      <c r="P395" s="110"/>
      <c r="Q395" s="110"/>
      <c r="R395" s="110"/>
      <c r="S395" s="110"/>
      <c r="T395" s="110"/>
      <c r="U395" s="110"/>
      <c r="V395" s="110"/>
    </row>
    <row r="396" spans="1:22" s="102" customFormat="1" ht="13.15">
      <c r="A396" s="356"/>
      <c r="B396" s="115"/>
      <c r="C396" s="112" t="s">
        <v>4</v>
      </c>
      <c r="D396" s="113">
        <f>Gasto_o_ing_per_capita!D396*100/Gasto_o_ing_per_capita!$D396</f>
        <v>100</v>
      </c>
      <c r="E396" s="113">
        <f>Gasto_o_ing_per_capita!E396*100/Gasto_o_ing_per_capita!$D396</f>
        <v>115.23601176596894</v>
      </c>
      <c r="F396" s="113">
        <f>Gasto_o_ing_per_capita!F396*100/Gasto_o_ing_per_capita!$D396</f>
        <v>84.274116089372797</v>
      </c>
      <c r="G396" s="113">
        <f>Gasto_o_ing_per_capita!G396*100/Gasto_o_ing_per_capita!$D396</f>
        <v>94.359621565260127</v>
      </c>
      <c r="H396" s="113">
        <f>Gasto_o_ing_per_capita!H396*100/Gasto_o_ing_per_capita!$D396</f>
        <v>78.322853266680028</v>
      </c>
      <c r="I396" s="113">
        <f>Gasto_o_ing_per_capita!I396*100/Gasto_o_ing_per_capita!$D396</f>
        <v>65.165955759916869</v>
      </c>
      <c r="J396" s="113">
        <f>Gasto_o_ing_per_capita!J396*100/Gasto_o_ing_per_capita!$D396</f>
        <v>134.07565730006866</v>
      </c>
      <c r="K396" s="113">
        <f>Gasto_o_ing_per_capita!K396*100/Gasto_o_ing_per_capita!$D396</f>
        <v>128.11340456838678</v>
      </c>
      <c r="L396" s="113">
        <f>Gasto_o_ing_per_capita!L396*100/Gasto_o_ing_per_capita!$D396</f>
        <v>108.26039685125944</v>
      </c>
      <c r="M396" s="113">
        <f>Gasto_o_ing_per_capita!M396*100/Gasto_o_ing_per_capita!$D396</f>
        <v>100.37449364460912</v>
      </c>
      <c r="N396" s="113">
        <f>Gasto_o_ing_per_capita!N396*100/Gasto_o_ing_per_capita!$D396</f>
        <v>64.184820818559743</v>
      </c>
      <c r="O396" s="113">
        <f>Gasto_o_ing_per_capita!O396*100/Gasto_o_ing_per_capita!$D396</f>
        <v>124.91214833213459</v>
      </c>
      <c r="P396" s="113">
        <f>Gasto_o_ing_per_capita!P396*100/Gasto_o_ing_per_capita!$D396</f>
        <v>99.529098007672403</v>
      </c>
      <c r="Q396" s="113">
        <f>Gasto_o_ing_per_capita!Q396*100/Gasto_o_ing_per_capita!$D396</f>
        <v>90.020208987448413</v>
      </c>
      <c r="R396" s="113">
        <f>Gasto_o_ing_per_capita!R396*100/Gasto_o_ing_per_capita!$D396</f>
        <v>123.01915003561061</v>
      </c>
      <c r="S396" s="113">
        <f>Gasto_o_ing_per_capita!S396*100/Gasto_o_ing_per_capita!$D396</f>
        <v>82.267246860868255</v>
      </c>
      <c r="T396" s="113">
        <f>Gasto_o_ing_per_capita!T396*100/Gasto_o_ing_per_capita!$D396</f>
        <v>119.80274674997081</v>
      </c>
      <c r="U396" s="113">
        <f>Gasto_o_ing_per_capita!U396*100/Gasto_o_ing_per_capita!$D396</f>
        <v>128.50836052682371</v>
      </c>
      <c r="V396" s="113">
        <f>Gasto_o_ing_per_capita!V396*100/Gasto_o_ing_per_capita!$D396</f>
        <v>279.7811873657235</v>
      </c>
    </row>
    <row r="397" spans="1:22" s="102" customFormat="1" ht="13.15">
      <c r="A397" s="355" t="str">
        <f>IF(B397="","",(IF(ISERROR(MATCH(B397,Tot_res!C:C,0)),"Eliminar!!!","")))</f>
        <v/>
      </c>
      <c r="B397" s="119" t="s">
        <v>384</v>
      </c>
      <c r="C397" s="333" t="str">
        <f>VLOOKUP(B397,Tot_res!C:D,2,FALSE)</f>
        <v xml:space="preserve">Acciones en favor de los emigrantes </v>
      </c>
      <c r="D397" s="336">
        <f>Gasto_o_ing_per_capita!D397*100/Gasto_o_ing_per_capita!$D397</f>
        <v>99.999999999999986</v>
      </c>
      <c r="E397" s="336">
        <f>Gasto_o_ing_per_capita!E397*100/Gasto_o_ing_per_capita!$D397</f>
        <v>99.999999999999972</v>
      </c>
      <c r="F397" s="336">
        <f>Gasto_o_ing_per_capita!F397*100/Gasto_o_ing_per_capita!$D397</f>
        <v>99.999999999999972</v>
      </c>
      <c r="G397" s="336">
        <f>Gasto_o_ing_per_capita!G397*100/Gasto_o_ing_per_capita!$D397</f>
        <v>99.999999999999972</v>
      </c>
      <c r="H397" s="336">
        <f>Gasto_o_ing_per_capita!H397*100/Gasto_o_ing_per_capita!$D397</f>
        <v>99.999999999999972</v>
      </c>
      <c r="I397" s="336">
        <f>Gasto_o_ing_per_capita!I397*100/Gasto_o_ing_per_capita!$D397</f>
        <v>99.999999999999972</v>
      </c>
      <c r="J397" s="336">
        <f>Gasto_o_ing_per_capita!J397*100/Gasto_o_ing_per_capita!$D397</f>
        <v>99.999999999999957</v>
      </c>
      <c r="K397" s="336">
        <f>Gasto_o_ing_per_capita!K397*100/Gasto_o_ing_per_capita!$D397</f>
        <v>99.999999999999972</v>
      </c>
      <c r="L397" s="336">
        <f>Gasto_o_ing_per_capita!L397*100/Gasto_o_ing_per_capita!$D397</f>
        <v>99.999999999999957</v>
      </c>
      <c r="M397" s="336">
        <f>Gasto_o_ing_per_capita!M397*100/Gasto_o_ing_per_capita!$D397</f>
        <v>99.999999999999986</v>
      </c>
      <c r="N397" s="336">
        <f>Gasto_o_ing_per_capita!N397*100/Gasto_o_ing_per_capita!$D397</f>
        <v>99.999999999999972</v>
      </c>
      <c r="O397" s="336">
        <f>Gasto_o_ing_per_capita!O397*100/Gasto_o_ing_per_capita!$D397</f>
        <v>99.999999999999972</v>
      </c>
      <c r="P397" s="336">
        <f>Gasto_o_ing_per_capita!P397*100/Gasto_o_ing_per_capita!$D397</f>
        <v>99.999999999999986</v>
      </c>
      <c r="Q397" s="336">
        <f>Gasto_o_ing_per_capita!Q397*100/Gasto_o_ing_per_capita!$D397</f>
        <v>99.999999999999957</v>
      </c>
      <c r="R397" s="336">
        <f>Gasto_o_ing_per_capita!R397*100/Gasto_o_ing_per_capita!$D397</f>
        <v>99.999999999999972</v>
      </c>
      <c r="S397" s="336">
        <f>Gasto_o_ing_per_capita!S397*100/Gasto_o_ing_per_capita!$D397</f>
        <v>99.999999999999972</v>
      </c>
      <c r="T397" s="336">
        <f>Gasto_o_ing_per_capita!T397*100/Gasto_o_ing_per_capita!$D397</f>
        <v>99.999999999999972</v>
      </c>
      <c r="U397" s="336">
        <f>Gasto_o_ing_per_capita!U397*100/Gasto_o_ing_per_capita!$D397</f>
        <v>99.999999999999986</v>
      </c>
      <c r="V397" s="336">
        <f>Gasto_o_ing_per_capita!V397*100/Gasto_o_ing_per_capita!$D397</f>
        <v>99.999999999999972</v>
      </c>
    </row>
    <row r="398" spans="1:22" s="102" customFormat="1" ht="13.15">
      <c r="A398" s="355" t="str">
        <f>IF(B398="","",(IF(ISERROR(MATCH(B398,Tot_res!C:C,0)),"Eliminar!!!","")))</f>
        <v/>
      </c>
      <c r="B398" s="119" t="s">
        <v>385</v>
      </c>
      <c r="C398" s="333" t="str">
        <f>VLOOKUP(B398,Tot_res!C:D,2,FALSE)</f>
        <v>Otros servicios sociales del estado + AF19/1</v>
      </c>
      <c r="D398" s="336">
        <f>Gasto_o_ing_per_capita!D398*100/Gasto_o_ing_per_capita!$D398</f>
        <v>100</v>
      </c>
      <c r="E398" s="336">
        <f>Gasto_o_ing_per_capita!E398*100/Gasto_o_ing_per_capita!$D398</f>
        <v>99.056078749686151</v>
      </c>
      <c r="F398" s="336">
        <f>Gasto_o_ing_per_capita!F398*100/Gasto_o_ing_per_capita!$D398</f>
        <v>99.864173739473614</v>
      </c>
      <c r="G398" s="336">
        <f>Gasto_o_ing_per_capita!G398*100/Gasto_o_ing_per_capita!$D398</f>
        <v>101.33884383125017</v>
      </c>
      <c r="H398" s="336">
        <f>Gasto_o_ing_per_capita!H398*100/Gasto_o_ing_per_capita!$D398</f>
        <v>96.574816262548936</v>
      </c>
      <c r="I398" s="336">
        <f>Gasto_o_ing_per_capita!I398*100/Gasto_o_ing_per_capita!$D398</f>
        <v>97.744889071640557</v>
      </c>
      <c r="J398" s="336">
        <f>Gasto_o_ing_per_capita!J398*100/Gasto_o_ing_per_capita!$D398</f>
        <v>100.03109341071166</v>
      </c>
      <c r="K398" s="336">
        <f>Gasto_o_ing_per_capita!K398*100/Gasto_o_ing_per_capita!$D398</f>
        <v>101.74541695036532</v>
      </c>
      <c r="L398" s="336">
        <f>Gasto_o_ing_per_capita!L398*100/Gasto_o_ing_per_capita!$D398</f>
        <v>99.551252328460038</v>
      </c>
      <c r="M398" s="336">
        <f>Gasto_o_ing_per_capita!M398*100/Gasto_o_ing_per_capita!$D398</f>
        <v>97.080808457231058</v>
      </c>
      <c r="N398" s="336">
        <f>Gasto_o_ing_per_capita!N398*100/Gasto_o_ing_per_capita!$D398</f>
        <v>97.446199190025141</v>
      </c>
      <c r="O398" s="336">
        <f>Gasto_o_ing_per_capita!O398*100/Gasto_o_ing_per_capita!$D398</f>
        <v>101.91088369865018</v>
      </c>
      <c r="P398" s="336">
        <f>Gasto_o_ing_per_capita!P398*100/Gasto_o_ing_per_capita!$D398</f>
        <v>101.60316176084714</v>
      </c>
      <c r="Q398" s="336">
        <f>Gasto_o_ing_per_capita!Q398*100/Gasto_o_ing_per_capita!$D398</f>
        <v>96.692631594223599</v>
      </c>
      <c r="R398" s="336">
        <f>Gasto_o_ing_per_capita!R398*100/Gasto_o_ing_per_capita!$D398</f>
        <v>97.781447849445684</v>
      </c>
      <c r="S398" s="336">
        <f>Gasto_o_ing_per_capita!S398*100/Gasto_o_ing_per_capita!$D398</f>
        <v>99.999999999999972</v>
      </c>
      <c r="T398" s="336">
        <f>Gasto_o_ing_per_capita!T398*100/Gasto_o_ing_per_capita!$D398</f>
        <v>99.999999999999972</v>
      </c>
      <c r="U398" s="336">
        <f>Gasto_o_ing_per_capita!U398*100/Gasto_o_ing_per_capita!$D398</f>
        <v>108.09822794679562</v>
      </c>
      <c r="V398" s="336">
        <f>Gasto_o_ing_per_capita!V398*100/Gasto_o_ing_per_capita!$D398</f>
        <v>469.2381557630863</v>
      </c>
    </row>
    <row r="399" spans="1:22" s="102" customFormat="1" ht="13.15">
      <c r="A399" s="355" t="str">
        <f>IF(B399="","",(IF(ISERROR(MATCH(B399,Tot_res!C:C,0)),"Eliminar!!!","")))</f>
        <v/>
      </c>
      <c r="B399" s="119" t="s">
        <v>386</v>
      </c>
      <c r="C399" s="333" t="str">
        <f>VLOOKUP(B399,Tot_res!C:D,2,FALSE)</f>
        <v>Atención a la infancia y a las familias</v>
      </c>
      <c r="D399" s="336">
        <f>Gasto_o_ing_per_capita!D399*100/Gasto_o_ing_per_capita!$D399</f>
        <v>100</v>
      </c>
      <c r="E399" s="336">
        <f>Gasto_o_ing_per_capita!E399*100/Gasto_o_ing_per_capita!$D399</f>
        <v>100.00000000000003</v>
      </c>
      <c r="F399" s="336">
        <f>Gasto_o_ing_per_capita!F399*100/Gasto_o_ing_per_capita!$D399</f>
        <v>100.00000000000003</v>
      </c>
      <c r="G399" s="336">
        <f>Gasto_o_ing_per_capita!G399*100/Gasto_o_ing_per_capita!$D399</f>
        <v>100.00000000000003</v>
      </c>
      <c r="H399" s="336">
        <f>Gasto_o_ing_per_capita!H399*100/Gasto_o_ing_per_capita!$D399</f>
        <v>100.00000000000003</v>
      </c>
      <c r="I399" s="336">
        <f>Gasto_o_ing_per_capita!I399*100/Gasto_o_ing_per_capita!$D399</f>
        <v>100.00000000000003</v>
      </c>
      <c r="J399" s="336">
        <f>Gasto_o_ing_per_capita!J399*100/Gasto_o_ing_per_capita!$D399</f>
        <v>100</v>
      </c>
      <c r="K399" s="336">
        <f>Gasto_o_ing_per_capita!K399*100/Gasto_o_ing_per_capita!$D399</f>
        <v>100.00000000000003</v>
      </c>
      <c r="L399" s="336">
        <f>Gasto_o_ing_per_capita!L399*100/Gasto_o_ing_per_capita!$D399</f>
        <v>100</v>
      </c>
      <c r="M399" s="336">
        <f>Gasto_o_ing_per_capita!M399*100/Gasto_o_ing_per_capita!$D399</f>
        <v>100.00000000000003</v>
      </c>
      <c r="N399" s="336">
        <f>Gasto_o_ing_per_capita!N399*100/Gasto_o_ing_per_capita!$D399</f>
        <v>100</v>
      </c>
      <c r="O399" s="336">
        <f>Gasto_o_ing_per_capita!O399*100/Gasto_o_ing_per_capita!$D399</f>
        <v>100.00000000000003</v>
      </c>
      <c r="P399" s="336">
        <f>Gasto_o_ing_per_capita!P399*100/Gasto_o_ing_per_capita!$D399</f>
        <v>100</v>
      </c>
      <c r="Q399" s="336">
        <f>Gasto_o_ing_per_capita!Q399*100/Gasto_o_ing_per_capita!$D399</f>
        <v>100</v>
      </c>
      <c r="R399" s="336">
        <f>Gasto_o_ing_per_capita!R399*100/Gasto_o_ing_per_capita!$D399</f>
        <v>100</v>
      </c>
      <c r="S399" s="336">
        <f>Gasto_o_ing_per_capita!S399*100/Gasto_o_ing_per_capita!$D399</f>
        <v>100.00000000000003</v>
      </c>
      <c r="T399" s="336">
        <f>Gasto_o_ing_per_capita!T399*100/Gasto_o_ing_per_capita!$D399</f>
        <v>100.00000000000003</v>
      </c>
      <c r="U399" s="336">
        <f>Gasto_o_ing_per_capita!U399*100/Gasto_o_ing_per_capita!$D399</f>
        <v>100</v>
      </c>
      <c r="V399" s="336">
        <f>Gasto_o_ing_per_capita!V399*100/Gasto_o_ing_per_capita!$D399</f>
        <v>100</v>
      </c>
    </row>
    <row r="400" spans="1:22" s="102" customFormat="1" ht="13.15">
      <c r="A400" s="355" t="str">
        <f>IF(B400="","",(IF(ISERROR(MATCH(B400,Tot_res!C:C,0)),"Eliminar!!!","")))</f>
        <v/>
      </c>
      <c r="B400" s="119" t="s">
        <v>387</v>
      </c>
      <c r="C400" s="333" t="str">
        <f>VLOOKUP(B400,Tot_res!C:D,2,FALSE)</f>
        <v>Acciones en favor de los inmigrantes</v>
      </c>
      <c r="D400" s="336">
        <f>Gasto_o_ing_per_capita!D400*100/Gasto_o_ing_per_capita!$D400</f>
        <v>100</v>
      </c>
      <c r="E400" s="336">
        <f>Gasto_o_ing_per_capita!E400*100/Gasto_o_ing_per_capita!$D400</f>
        <v>150.4293506397789</v>
      </c>
      <c r="F400" s="336">
        <f>Gasto_o_ing_per_capita!F400*100/Gasto_o_ing_per_capita!$D400</f>
        <v>74.822559782223209</v>
      </c>
      <c r="G400" s="336">
        <f>Gasto_o_ing_per_capita!G400*100/Gasto_o_ing_per_capita!$D400</f>
        <v>73.473782715186502</v>
      </c>
      <c r="H400" s="336">
        <f>Gasto_o_ing_per_capita!H400*100/Gasto_o_ing_per_capita!$D400</f>
        <v>54.358615136840122</v>
      </c>
      <c r="I400" s="336">
        <f>Gasto_o_ing_per_capita!I400*100/Gasto_o_ing_per_capita!$D400</f>
        <v>156.22177426769161</v>
      </c>
      <c r="J400" s="336">
        <f>Gasto_o_ing_per_capita!J400*100/Gasto_o_ing_per_capita!$D400</f>
        <v>43.809013574041771</v>
      </c>
      <c r="K400" s="336">
        <f>Gasto_o_ing_per_capita!K400*100/Gasto_o_ing_per_capita!$D400</f>
        <v>67.505480372050144</v>
      </c>
      <c r="L400" s="336">
        <f>Gasto_o_ing_per_capita!L400*100/Gasto_o_ing_per_capita!$D400</f>
        <v>77.092353335957213</v>
      </c>
      <c r="M400" s="336">
        <f>Gasto_o_ing_per_capita!M400*100/Gasto_o_ing_per_capita!$D400</f>
        <v>79.182272804317662</v>
      </c>
      <c r="N400" s="336">
        <f>Gasto_o_ing_per_capita!N400*100/Gasto_o_ing_per_capita!$D400</f>
        <v>70.264933044907281</v>
      </c>
      <c r="O400" s="336">
        <f>Gasto_o_ing_per_capita!O400*100/Gasto_o_ing_per_capita!$D400</f>
        <v>41.422884762739272</v>
      </c>
      <c r="P400" s="336">
        <f>Gasto_o_ing_per_capita!P400*100/Gasto_o_ing_per_capita!$D400</f>
        <v>49.250556062942714</v>
      </c>
      <c r="Q400" s="336">
        <f>Gasto_o_ing_per_capita!Q400*100/Gasto_o_ing_per_capita!$D400</f>
        <v>95.034530916824068</v>
      </c>
      <c r="R400" s="336">
        <f>Gasto_o_ing_per_capita!R400*100/Gasto_o_ing_per_capita!$D400</f>
        <v>148.23051246524327</v>
      </c>
      <c r="S400" s="336">
        <f>Gasto_o_ing_per_capita!S400*100/Gasto_o_ing_per_capita!$D400</f>
        <v>66.690535525051288</v>
      </c>
      <c r="T400" s="336">
        <f>Gasto_o_ing_per_capita!T400*100/Gasto_o_ing_per_capita!$D400</f>
        <v>55.810570322461153</v>
      </c>
      <c r="U400" s="336">
        <f>Gasto_o_ing_per_capita!U400*100/Gasto_o_ing_per_capita!$D400</f>
        <v>49.396647616231917</v>
      </c>
      <c r="V400" s="336">
        <f>Gasto_o_ing_per_capita!V400*100/Gasto_o_ing_per_capita!$D400</f>
        <v>2110.1759808345146</v>
      </c>
    </row>
    <row r="401" spans="1:22" s="102" customFormat="1" ht="13.15">
      <c r="A401" s="355" t="str">
        <f>IF(B401="","",(IF(ISERROR(MATCH(B401,Tot_res!C:C,0)),"Eliminar!!!","")))</f>
        <v/>
      </c>
      <c r="B401" s="119" t="s">
        <v>388</v>
      </c>
      <c r="C401" s="333" t="str">
        <f>VLOOKUP(B401,Tot_res!C:D,2,FALSE)</f>
        <v>Promoción y servicios a la juventud</v>
      </c>
      <c r="D401" s="336">
        <f>Gasto_o_ing_per_capita!D401*100/Gasto_o_ing_per_capita!$D401</f>
        <v>100</v>
      </c>
      <c r="E401" s="336">
        <f>Gasto_o_ing_per_capita!E401*100/Gasto_o_ing_per_capita!$D401</f>
        <v>82.70546569602088</v>
      </c>
      <c r="F401" s="336">
        <f>Gasto_o_ing_per_capita!F401*100/Gasto_o_ing_per_capita!$D401</f>
        <v>109.17751510005395</v>
      </c>
      <c r="G401" s="336">
        <f>Gasto_o_ing_per_capita!G401*100/Gasto_o_ing_per_capita!$D401</f>
        <v>107.52023473183628</v>
      </c>
      <c r="H401" s="336">
        <f>Gasto_o_ing_per_capita!H401*100/Gasto_o_ing_per_capita!$D401</f>
        <v>65.824403392972258</v>
      </c>
      <c r="I401" s="336">
        <f>Gasto_o_ing_per_capita!I401*100/Gasto_o_ing_per_capita!$D401</f>
        <v>108.38879239390317</v>
      </c>
      <c r="J401" s="336">
        <f>Gasto_o_ing_per_capita!J401*100/Gasto_o_ing_per_capita!$D401</f>
        <v>117.34334203272742</v>
      </c>
      <c r="K401" s="336">
        <f>Gasto_o_ing_per_capita!K401*100/Gasto_o_ing_per_capita!$D401</f>
        <v>122.85651706637796</v>
      </c>
      <c r="L401" s="336">
        <f>Gasto_o_ing_per_capita!L401*100/Gasto_o_ing_per_capita!$D401</f>
        <v>87.470817126629939</v>
      </c>
      <c r="M401" s="336">
        <f>Gasto_o_ing_per_capita!M401*100/Gasto_o_ing_per_capita!$D401</f>
        <v>103.86373178503916</v>
      </c>
      <c r="N401" s="336">
        <f>Gasto_o_ing_per_capita!N401*100/Gasto_o_ing_per_capita!$D401</f>
        <v>95.154246752877029</v>
      </c>
      <c r="O401" s="336">
        <f>Gasto_o_ing_per_capita!O401*100/Gasto_o_ing_per_capita!$D401</f>
        <v>114.43046154707392</v>
      </c>
      <c r="P401" s="336">
        <f>Gasto_o_ing_per_capita!P401*100/Gasto_o_ing_per_capita!$D401</f>
        <v>124.5452902132032</v>
      </c>
      <c r="Q401" s="336">
        <f>Gasto_o_ing_per_capita!Q401*100/Gasto_o_ing_per_capita!$D401</f>
        <v>99.223236567152924</v>
      </c>
      <c r="R401" s="336">
        <f>Gasto_o_ing_per_capita!R401*100/Gasto_o_ing_per_capita!$D401</f>
        <v>143.4844340263694</v>
      </c>
      <c r="S401" s="336">
        <f>Gasto_o_ing_per_capita!S401*100/Gasto_o_ing_per_capita!$D401</f>
        <v>105.15994414844457</v>
      </c>
      <c r="T401" s="336">
        <f>Gasto_o_ing_per_capita!T401*100/Gasto_o_ing_per_capita!$D401</f>
        <v>64.126501007661219</v>
      </c>
      <c r="U401" s="336">
        <f>Gasto_o_ing_per_capita!U401*100/Gasto_o_ing_per_capita!$D401</f>
        <v>141.20906293988304</v>
      </c>
      <c r="V401" s="336">
        <f>Gasto_o_ing_per_capita!V401*100/Gasto_o_ing_per_capita!$D401</f>
        <v>213.51514364707793</v>
      </c>
    </row>
    <row r="402" spans="1:22" s="102" customFormat="1" ht="13.15">
      <c r="A402" s="355" t="str">
        <f>IF(B402="","",(IF(ISERROR(MATCH(B402,Tot_res!C:C,0)),"Eliminar!!!","")))</f>
        <v/>
      </c>
      <c r="B402" s="115" t="s">
        <v>389</v>
      </c>
      <c r="C402" s="333" t="str">
        <f>VLOOKUP(B402,Tot_res!C:D,2,FALSE)</f>
        <v>Igualdad oportunidades entre mujeres y hombres</v>
      </c>
      <c r="D402" s="336">
        <f>Gasto_o_ing_per_capita!D402*100/Gasto_o_ing_per_capita!$D402</f>
        <v>100</v>
      </c>
      <c r="E402" s="336">
        <f>Gasto_o_ing_per_capita!E402*100/Gasto_o_ing_per_capita!$D402</f>
        <v>83.160168263959349</v>
      </c>
      <c r="F402" s="336">
        <f>Gasto_o_ing_per_capita!F402*100/Gasto_o_ing_per_capita!$D402</f>
        <v>116.94287978176017</v>
      </c>
      <c r="G402" s="336">
        <f>Gasto_o_ing_per_capita!G402*100/Gasto_o_ing_per_capita!$D402</f>
        <v>83.931539553976748</v>
      </c>
      <c r="H402" s="336">
        <f>Gasto_o_ing_per_capita!H402*100/Gasto_o_ing_per_capita!$D402</f>
        <v>68.263649208750564</v>
      </c>
      <c r="I402" s="336">
        <f>Gasto_o_ing_per_capita!I402*100/Gasto_o_ing_per_capita!$D402</f>
        <v>63.203680331066607</v>
      </c>
      <c r="J402" s="336">
        <f>Gasto_o_ing_per_capita!J402*100/Gasto_o_ing_per_capita!$D402</f>
        <v>259.45966203788845</v>
      </c>
      <c r="K402" s="336">
        <f>Gasto_o_ing_per_capita!K402*100/Gasto_o_ing_per_capita!$D402</f>
        <v>143.67814732235982</v>
      </c>
      <c r="L402" s="336">
        <f>Gasto_o_ing_per_capita!L402*100/Gasto_o_ing_per_capita!$D402</f>
        <v>138.38518129223269</v>
      </c>
      <c r="M402" s="336">
        <f>Gasto_o_ing_per_capita!M402*100/Gasto_o_ing_per_capita!$D402</f>
        <v>91.762964311252858</v>
      </c>
      <c r="N402" s="336">
        <f>Gasto_o_ing_per_capita!N402*100/Gasto_o_ing_per_capita!$D402</f>
        <v>64.037802779553687</v>
      </c>
      <c r="O402" s="336">
        <f>Gasto_o_ing_per_capita!O402*100/Gasto_o_ing_per_capita!$D402</f>
        <v>46.098080158335307</v>
      </c>
      <c r="P402" s="336">
        <f>Gasto_o_ing_per_capita!P402*100/Gasto_o_ing_per_capita!$D402</f>
        <v>107.8737841321819</v>
      </c>
      <c r="Q402" s="336">
        <f>Gasto_o_ing_per_capita!Q402*100/Gasto_o_ing_per_capita!$D402</f>
        <v>108.1714920720007</v>
      </c>
      <c r="R402" s="336">
        <f>Gasto_o_ing_per_capita!R402*100/Gasto_o_ing_per_capita!$D402</f>
        <v>189.8272915102996</v>
      </c>
      <c r="S402" s="336">
        <f>Gasto_o_ing_per_capita!S402*100/Gasto_o_ing_per_capita!$D402</f>
        <v>112.92697722307341</v>
      </c>
      <c r="T402" s="336">
        <f>Gasto_o_ing_per_capita!T402*100/Gasto_o_ing_per_capita!$D402</f>
        <v>60.32638470142583</v>
      </c>
      <c r="U402" s="336">
        <f>Gasto_o_ing_per_capita!U402*100/Gasto_o_ing_per_capita!$D402</f>
        <v>247.43867378151759</v>
      </c>
      <c r="V402" s="336">
        <f>Gasto_o_ing_per_capita!V402*100/Gasto_o_ing_per_capita!$D402</f>
        <v>653.83034158312375</v>
      </c>
    </row>
    <row r="403" spans="1:22" s="102" customFormat="1" ht="13.15">
      <c r="A403" s="355" t="str">
        <f>IF(B403="","",(IF(ISERROR(MATCH(B403,Tot_res!C:C,0)),"Eliminar!!!","")))</f>
        <v/>
      </c>
      <c r="B403" s="115" t="s">
        <v>390</v>
      </c>
      <c r="C403" s="333" t="str">
        <f>VLOOKUP(B403,Tot_res!C:D,2,FALSE)</f>
        <v>Actuaciones para la prevención integral de la violencia de género + AF19/2</v>
      </c>
      <c r="D403" s="336">
        <f>Gasto_o_ing_per_capita!D403*100/Gasto_o_ing_per_capita!$D403</f>
        <v>100</v>
      </c>
      <c r="E403" s="336">
        <f>Gasto_o_ing_per_capita!E403*100/Gasto_o_ing_per_capita!$D403</f>
        <v>86.274605616956421</v>
      </c>
      <c r="F403" s="336">
        <f>Gasto_o_ing_per_capita!F403*100/Gasto_o_ing_per_capita!$D403</f>
        <v>141.01775511801142</v>
      </c>
      <c r="G403" s="336">
        <f>Gasto_o_ing_per_capita!G403*100/Gasto_o_ing_per_capita!$D403</f>
        <v>104.04895292394221</v>
      </c>
      <c r="H403" s="336">
        <f>Gasto_o_ing_per_capita!H403*100/Gasto_o_ing_per_capita!$D403</f>
        <v>189.77534242164612</v>
      </c>
      <c r="I403" s="336">
        <f>Gasto_o_ing_per_capita!I403*100/Gasto_o_ing_per_capita!$D403</f>
        <v>179.53652177651375</v>
      </c>
      <c r="J403" s="336">
        <f>Gasto_o_ing_per_capita!J403*100/Gasto_o_ing_per_capita!$D403</f>
        <v>177.64306268270437</v>
      </c>
      <c r="K403" s="336">
        <f>Gasto_o_ing_per_capita!K403*100/Gasto_o_ing_per_capita!$D403</f>
        <v>83.84221620038258</v>
      </c>
      <c r="L403" s="336">
        <f>Gasto_o_ing_per_capita!L403*100/Gasto_o_ing_per_capita!$D403</f>
        <v>80.525194371268398</v>
      </c>
      <c r="M403" s="336">
        <f>Gasto_o_ing_per_capita!M403*100/Gasto_o_ing_per_capita!$D403</f>
        <v>68.105974766108503</v>
      </c>
      <c r="N403" s="336">
        <f>Gasto_o_ing_per_capita!N403*100/Gasto_o_ing_per_capita!$D403</f>
        <v>79.557675274614667</v>
      </c>
      <c r="O403" s="336">
        <f>Gasto_o_ing_per_capita!O403*100/Gasto_o_ing_per_capita!$D403</f>
        <v>268.79337145534043</v>
      </c>
      <c r="P403" s="336">
        <f>Gasto_o_ing_per_capita!P403*100/Gasto_o_ing_per_capita!$D403</f>
        <v>129.99166170406752</v>
      </c>
      <c r="Q403" s="336">
        <f>Gasto_o_ing_per_capita!Q403*100/Gasto_o_ing_per_capita!$D403</f>
        <v>68.449476040476739</v>
      </c>
      <c r="R403" s="336">
        <f>Gasto_o_ing_per_capita!R403*100/Gasto_o_ing_per_capita!$D403</f>
        <v>107.97646957850031</v>
      </c>
      <c r="S403" s="336">
        <f>Gasto_o_ing_per_capita!S403*100/Gasto_o_ing_per_capita!$D403</f>
        <v>100</v>
      </c>
      <c r="T403" s="336">
        <f>Gasto_o_ing_per_capita!T403*100/Gasto_o_ing_per_capita!$D403</f>
        <v>100</v>
      </c>
      <c r="U403" s="336">
        <f>Gasto_o_ing_per_capita!U403*100/Gasto_o_ing_per_capita!$D403</f>
        <v>260.4123444607801</v>
      </c>
      <c r="V403" s="336">
        <f>Gasto_o_ing_per_capita!V403*100/Gasto_o_ing_per_capita!$D403</f>
        <v>341.40226955395713</v>
      </c>
    </row>
    <row r="404" spans="1:22" s="102" customFormat="1" ht="13.15">
      <c r="A404" s="355" t="str">
        <f>IF(B404="","",(IF(ISERROR(MATCH(B404,Tot_res!C:C,0)),"Eliminar!!!","")))</f>
        <v/>
      </c>
      <c r="B404" s="115" t="s">
        <v>885</v>
      </c>
      <c r="C404" s="333" t="str">
        <f>VLOOKUP(B404,Tot_res!C:D,2,FALSE)</f>
        <v>Servicios Sociales Generales, neto de gasto directo del Estado en Ceuta y Melilla + AF19/3</v>
      </c>
      <c r="D404" s="336">
        <f>Gasto_o_ing_per_capita!D404*100/Gasto_o_ing_per_capita!$D404</f>
        <v>100</v>
      </c>
      <c r="E404" s="336">
        <f>Gasto_o_ing_per_capita!E404*100/Gasto_o_ing_per_capita!$D404</f>
        <v>120.29081922027177</v>
      </c>
      <c r="F404" s="336">
        <f>Gasto_o_ing_per_capita!F404*100/Gasto_o_ing_per_capita!$D404</f>
        <v>76.884605535823383</v>
      </c>
      <c r="G404" s="336">
        <f>Gasto_o_ing_per_capita!G404*100/Gasto_o_ing_per_capita!$D404</f>
        <v>89.448787515198475</v>
      </c>
      <c r="H404" s="336">
        <f>Gasto_o_ing_per_capita!H404*100/Gasto_o_ing_per_capita!$D404</f>
        <v>70.286335190991721</v>
      </c>
      <c r="I404" s="336">
        <f>Gasto_o_ing_per_capita!I404*100/Gasto_o_ing_per_capita!$D404</f>
        <v>44.576092676545329</v>
      </c>
      <c r="J404" s="336">
        <f>Gasto_o_ing_per_capita!J404*100/Gasto_o_ing_per_capita!$D404</f>
        <v>148.569781044818</v>
      </c>
      <c r="K404" s="336">
        <f>Gasto_o_ing_per_capita!K404*100/Gasto_o_ing_per_capita!$D404</f>
        <v>143.02203765417246</v>
      </c>
      <c r="L404" s="336">
        <f>Gasto_o_ing_per_capita!L404*100/Gasto_o_ing_per_capita!$D404</f>
        <v>115.01426126328124</v>
      </c>
      <c r="M404" s="336">
        <f>Gasto_o_ing_per_capita!M404*100/Gasto_o_ing_per_capita!$D404</f>
        <v>103.48409814313912</v>
      </c>
      <c r="N404" s="336">
        <f>Gasto_o_ing_per_capita!N404*100/Gasto_o_ing_per_capita!$D404</f>
        <v>51.005860203143207</v>
      </c>
      <c r="O404" s="336">
        <f>Gasto_o_ing_per_capita!O404*100/Gasto_o_ing_per_capita!$D404</f>
        <v>138.51977316670192</v>
      </c>
      <c r="P404" s="336">
        <f>Gasto_o_ing_per_capita!P404*100/Gasto_o_ing_per_capita!$D404</f>
        <v>101.20799345781681</v>
      </c>
      <c r="Q404" s="336">
        <f>Gasto_o_ing_per_capita!Q404*100/Gasto_o_ing_per_capita!$D404</f>
        <v>87.194289731981485</v>
      </c>
      <c r="R404" s="336">
        <f>Gasto_o_ing_per_capita!R404*100/Gasto_o_ing_per_capita!$D404</f>
        <v>129.34561196104792</v>
      </c>
      <c r="S404" s="336">
        <f>Gasto_o_ing_per_capita!S404*100/Gasto_o_ing_per_capita!$D404</f>
        <v>75.332947583423802</v>
      </c>
      <c r="T404" s="336">
        <f>Gasto_o_ing_per_capita!T404*100/Gasto_o_ing_per_capita!$D404</f>
        <v>132.06743010665954</v>
      </c>
      <c r="U404" s="336">
        <f>Gasto_o_ing_per_capita!U404*100/Gasto_o_ing_per_capita!$D404</f>
        <v>139.588724662765</v>
      </c>
      <c r="V404" s="336">
        <f>Gasto_o_ing_per_capita!V404*100/Gasto_o_ing_per_capita!$D404</f>
        <v>110.97988131925175</v>
      </c>
    </row>
    <row r="405" spans="1:22" s="102" customFormat="1" ht="13.15">
      <c r="A405" s="355" t="str">
        <f>IF(B405="","",(IF(ISERROR(MATCH(B405,Tot_res!C:C,0)),"Eliminar!!!","")))</f>
        <v/>
      </c>
      <c r="B405" s="115" t="s">
        <v>887</v>
      </c>
      <c r="C405" s="333" t="str">
        <f>VLOOKUP(B405,Tot_res!C:D,2,FALSE)</f>
        <v>Otros Servicios Sociales, ISM</v>
      </c>
      <c r="D405" s="336">
        <f>Gasto_o_ing_per_capita!D405*100/Gasto_o_ing_per_capita!$D405</f>
        <v>100</v>
      </c>
      <c r="E405" s="336">
        <f>Gasto_o_ing_per_capita!E405*100/Gasto_o_ing_per_capita!$D405</f>
        <v>2.6126822635922449</v>
      </c>
      <c r="F405" s="336">
        <f>Gasto_o_ing_per_capita!F405*100/Gasto_o_ing_per_capita!$D405</f>
        <v>0</v>
      </c>
      <c r="G405" s="336">
        <f>Gasto_o_ing_per_capita!G405*100/Gasto_o_ing_per_capita!$D405</f>
        <v>29.12326985663606</v>
      </c>
      <c r="H405" s="336">
        <f>Gasto_o_ing_per_capita!H405*100/Gasto_o_ing_per_capita!$D405</f>
        <v>0</v>
      </c>
      <c r="I405" s="336">
        <f>Gasto_o_ing_per_capita!I405*100/Gasto_o_ing_per_capita!$D405</f>
        <v>0</v>
      </c>
      <c r="J405" s="336">
        <f>Gasto_o_ing_per_capita!J405*100/Gasto_o_ing_per_capita!$D405</f>
        <v>0</v>
      </c>
      <c r="K405" s="336">
        <f>Gasto_o_ing_per_capita!K405*100/Gasto_o_ing_per_capita!$D405</f>
        <v>0</v>
      </c>
      <c r="L405" s="336">
        <f>Gasto_o_ing_per_capita!L405*100/Gasto_o_ing_per_capita!$D405</f>
        <v>0</v>
      </c>
      <c r="M405" s="336">
        <f>Gasto_o_ing_per_capita!M405*100/Gasto_o_ing_per_capita!$D405</f>
        <v>0</v>
      </c>
      <c r="N405" s="336">
        <f>Gasto_o_ing_per_capita!N405*100/Gasto_o_ing_per_capita!$D405</f>
        <v>7.0210102352870223</v>
      </c>
      <c r="O405" s="336">
        <f>Gasto_o_ing_per_capita!O405*100/Gasto_o_ing_per_capita!$D405</f>
        <v>0</v>
      </c>
      <c r="P405" s="336">
        <f>Gasto_o_ing_per_capita!P405*100/Gasto_o_ing_per_capita!$D405</f>
        <v>58.04525863822564</v>
      </c>
      <c r="Q405" s="336">
        <f>Gasto_o_ing_per_capita!Q405*100/Gasto_o_ing_per_capita!$D405</f>
        <v>84.595969109650525</v>
      </c>
      <c r="R405" s="336">
        <f>Gasto_o_ing_per_capita!R405*100/Gasto_o_ing_per_capita!$D405</f>
        <v>0</v>
      </c>
      <c r="S405" s="336">
        <f>Gasto_o_ing_per_capita!S405*100/Gasto_o_ing_per_capita!$D405</f>
        <v>0</v>
      </c>
      <c r="T405" s="336">
        <f>Gasto_o_ing_per_capita!T405*100/Gasto_o_ing_per_capita!$D405</f>
        <v>45.657636189961977</v>
      </c>
      <c r="U405" s="336">
        <f>Gasto_o_ing_per_capita!U405*100/Gasto_o_ing_per_capita!$D405</f>
        <v>0</v>
      </c>
      <c r="V405" s="336">
        <f>Gasto_o_ing_per_capita!V405*100/Gasto_o_ing_per_capita!$D405</f>
        <v>22522.116848285743</v>
      </c>
    </row>
    <row r="406" spans="1:22" s="102" customFormat="1" ht="13.15">
      <c r="A406" s="355" t="str">
        <f>IF(B406="","",(IF(ISERROR(MATCH(B406,Tot_res!C:C,0)),"Eliminar!!!","")))</f>
        <v/>
      </c>
      <c r="B406" s="115" t="s">
        <v>888</v>
      </c>
      <c r="C406" s="333" t="str">
        <f>VLOOKUP(B406,Tot_res!C:D,2,FALSE)</f>
        <v>Otros Servicios Sociales, Mutuas</v>
      </c>
      <c r="D406" s="336">
        <f>Gasto_o_ing_per_capita!D406*100/Gasto_o_ing_per_capita!$D406</f>
        <v>100</v>
      </c>
      <c r="E406" s="336">
        <f>Gasto_o_ing_per_capita!E406*100/Gasto_o_ing_per_capita!$D406</f>
        <v>76.454415140434961</v>
      </c>
      <c r="F406" s="336">
        <f>Gasto_o_ing_per_capita!F406*100/Gasto_o_ing_per_capita!$D406</f>
        <v>181.34421858038203</v>
      </c>
      <c r="G406" s="336">
        <f>Gasto_o_ing_per_capita!G406*100/Gasto_o_ing_per_capita!$D406</f>
        <v>128.36888522189989</v>
      </c>
      <c r="H406" s="336">
        <f>Gasto_o_ing_per_capita!H406*100/Gasto_o_ing_per_capita!$D406</f>
        <v>100.1957088369262</v>
      </c>
      <c r="I406" s="336">
        <f>Gasto_o_ing_per_capita!I406*100/Gasto_o_ing_per_capita!$D406</f>
        <v>79.645007035622342</v>
      </c>
      <c r="J406" s="336">
        <f>Gasto_o_ing_per_capita!J406*100/Gasto_o_ing_per_capita!$D406</f>
        <v>58.911589990886789</v>
      </c>
      <c r="K406" s="336">
        <f>Gasto_o_ing_per_capita!K406*100/Gasto_o_ing_per_capita!$D406</f>
        <v>105.01956029091613</v>
      </c>
      <c r="L406" s="336">
        <f>Gasto_o_ing_per_capita!L406*100/Gasto_o_ing_per_capita!$D406</f>
        <v>61.285422339099654</v>
      </c>
      <c r="M406" s="336">
        <f>Gasto_o_ing_per_capita!M406*100/Gasto_o_ing_per_capita!$D406</f>
        <v>119.24724973533776</v>
      </c>
      <c r="N406" s="336">
        <f>Gasto_o_ing_per_capita!N406*100/Gasto_o_ing_per_capita!$D406</f>
        <v>86.681674488516592</v>
      </c>
      <c r="O406" s="336">
        <f>Gasto_o_ing_per_capita!O406*100/Gasto_o_ing_per_capita!$D406</f>
        <v>79.110116463386134</v>
      </c>
      <c r="P406" s="336">
        <f>Gasto_o_ing_per_capita!P406*100/Gasto_o_ing_per_capita!$D406</f>
        <v>86.040089236883233</v>
      </c>
      <c r="Q406" s="336">
        <f>Gasto_o_ing_per_capita!Q406*100/Gasto_o_ing_per_capita!$D406</f>
        <v>129.18320073023418</v>
      </c>
      <c r="R406" s="336">
        <f>Gasto_o_ing_per_capita!R406*100/Gasto_o_ing_per_capita!$D406</f>
        <v>57.056117843730981</v>
      </c>
      <c r="S406" s="336">
        <f>Gasto_o_ing_per_capita!S406*100/Gasto_o_ing_per_capita!$D406</f>
        <v>128.60645669763619</v>
      </c>
      <c r="T406" s="336">
        <f>Gasto_o_ing_per_capita!T406*100/Gasto_o_ing_per_capita!$D406</f>
        <v>123.44550222048912</v>
      </c>
      <c r="U406" s="336">
        <f>Gasto_o_ing_per_capita!U406*100/Gasto_o_ing_per_capita!$D406</f>
        <v>97.554225639416629</v>
      </c>
      <c r="V406" s="336">
        <f>Gasto_o_ing_per_capita!V406*100/Gasto_o_ing_per_capita!$D406</f>
        <v>3.6168860853283089</v>
      </c>
    </row>
    <row r="407" spans="1:22" s="102" customFormat="1" ht="13.15">
      <c r="A407" s="355" t="str">
        <f>IF(B407="","",(IF(ISERROR(MATCH(B407,Tot_res!C:C,0)),"Eliminar!!!","")))</f>
        <v/>
      </c>
      <c r="B407" s="115" t="s">
        <v>890</v>
      </c>
      <c r="C407" s="333" t="str">
        <f>VLOOKUP(B407,Tot_res!C:D,2,FALSE)</f>
        <v>Admón.y Serv.Generales de Servicios Sociales, IMSERSO + AF19/4</v>
      </c>
      <c r="D407" s="336">
        <f>Gasto_o_ing_per_capita!D407*100/Gasto_o_ing_per_capita!$D407</f>
        <v>100</v>
      </c>
      <c r="E407" s="336">
        <f>Gasto_o_ing_per_capita!E407*100/Gasto_o_ing_per_capita!$D407</f>
        <v>127.04194230342637</v>
      </c>
      <c r="F407" s="336">
        <f>Gasto_o_ing_per_capita!F407*100/Gasto_o_ing_per_capita!$D407</f>
        <v>65.161160797978539</v>
      </c>
      <c r="G407" s="336">
        <f>Gasto_o_ing_per_capita!G407*100/Gasto_o_ing_per_capita!$D407</f>
        <v>87.140359243059109</v>
      </c>
      <c r="H407" s="336">
        <f>Gasto_o_ing_per_capita!H407*100/Gasto_o_ing_per_capita!$D407</f>
        <v>68.616180325650618</v>
      </c>
      <c r="I407" s="336">
        <f>Gasto_o_ing_per_capita!I407*100/Gasto_o_ing_per_capita!$D407</f>
        <v>129.93254479952338</v>
      </c>
      <c r="J407" s="336">
        <f>Gasto_o_ing_per_capita!J407*100/Gasto_o_ing_per_capita!$D407</f>
        <v>126.45718844986598</v>
      </c>
      <c r="K407" s="336">
        <f>Gasto_o_ing_per_capita!K407*100/Gasto_o_ing_per_capita!$D407</f>
        <v>114.17343242579669</v>
      </c>
      <c r="L407" s="336">
        <f>Gasto_o_ing_per_capita!L407*100/Gasto_o_ing_per_capita!$D407</f>
        <v>104.42158203987111</v>
      </c>
      <c r="M407" s="336">
        <f>Gasto_o_ing_per_capita!M407*100/Gasto_o_ing_per_capita!$D407</f>
        <v>89.845166642746406</v>
      </c>
      <c r="N407" s="336">
        <f>Gasto_o_ing_per_capita!N407*100/Gasto_o_ing_per_capita!$D407</f>
        <v>71.650952597248263</v>
      </c>
      <c r="O407" s="336">
        <f>Gasto_o_ing_per_capita!O407*100/Gasto_o_ing_per_capita!$D407</f>
        <v>133.6866344923221</v>
      </c>
      <c r="P407" s="336">
        <f>Gasto_o_ing_per_capita!P407*100/Gasto_o_ing_per_capita!$D407</f>
        <v>132.12439977669575</v>
      </c>
      <c r="Q407" s="336">
        <f>Gasto_o_ing_per_capita!Q407*100/Gasto_o_ing_per_capita!$D407</f>
        <v>69.136101241552609</v>
      </c>
      <c r="R407" s="336">
        <f>Gasto_o_ing_per_capita!R407*100/Gasto_o_ing_per_capita!$D407</f>
        <v>112.3444015328926</v>
      </c>
      <c r="S407" s="336">
        <f>Gasto_o_ing_per_capita!S407*100/Gasto_o_ing_per_capita!$D407</f>
        <v>100</v>
      </c>
      <c r="T407" s="336">
        <f>Gasto_o_ing_per_capita!T407*100/Gasto_o_ing_per_capita!$D407</f>
        <v>100.00000000000003</v>
      </c>
      <c r="U407" s="336">
        <f>Gasto_o_ing_per_capita!U407*100/Gasto_o_ing_per_capita!$D407</f>
        <v>90.642166332498192</v>
      </c>
      <c r="V407" s="336">
        <f>Gasto_o_ing_per_capita!V407*100/Gasto_o_ing_per_capita!$D407</f>
        <v>234.24284697342219</v>
      </c>
    </row>
    <row r="408" spans="1:22" s="102" customFormat="1" ht="13.15">
      <c r="A408" s="355" t="str">
        <f>IF(B408="","",(IF(ISERROR(MATCH(B408,Tot_res!C:C,0)),"Eliminar!!!","")))</f>
        <v/>
      </c>
      <c r="B408" s="102" t="s">
        <v>892</v>
      </c>
      <c r="C408" s="333" t="str">
        <f>VLOOKUP(B408,Tot_res!C:D,2,FALSE)</f>
        <v>ISM formación y servicios sociales + AF19/5</v>
      </c>
      <c r="D408" s="336">
        <f>Gasto_o_ing_per_capita!D408*100/Gasto_o_ing_per_capita!$D408</f>
        <v>100</v>
      </c>
      <c r="E408" s="336">
        <f>Gasto_o_ing_per_capita!E408*100/Gasto_o_ing_per_capita!$D408</f>
        <v>156.58918138962335</v>
      </c>
      <c r="F408" s="336">
        <f>Gasto_o_ing_per_capita!F408*100/Gasto_o_ing_per_capita!$D408</f>
        <v>0</v>
      </c>
      <c r="G408" s="336">
        <f>Gasto_o_ing_per_capita!G408*100/Gasto_o_ing_per_capita!$D408</f>
        <v>880.96655608958508</v>
      </c>
      <c r="H408" s="336">
        <f>Gasto_o_ing_per_capita!H408*100/Gasto_o_ing_per_capita!$D408</f>
        <v>456.7563771203055</v>
      </c>
      <c r="I408" s="336">
        <f>Gasto_o_ing_per_capita!I408*100/Gasto_o_ing_per_capita!$D408</f>
        <v>0</v>
      </c>
      <c r="J408" s="336">
        <f>Gasto_o_ing_per_capita!J408*100/Gasto_o_ing_per_capita!$D408</f>
        <v>888.97836353195657</v>
      </c>
      <c r="K408" s="336">
        <f>Gasto_o_ing_per_capita!K408*100/Gasto_o_ing_per_capita!$D408</f>
        <v>0</v>
      </c>
      <c r="L408" s="336">
        <f>Gasto_o_ing_per_capita!L408*100/Gasto_o_ing_per_capita!$D408</f>
        <v>0</v>
      </c>
      <c r="M408" s="336">
        <f>Gasto_o_ing_per_capita!M408*100/Gasto_o_ing_per_capita!$D408</f>
        <v>0</v>
      </c>
      <c r="N408" s="336">
        <f>Gasto_o_ing_per_capita!N408*100/Gasto_o_ing_per_capita!$D408</f>
        <v>0</v>
      </c>
      <c r="O408" s="336">
        <f>Gasto_o_ing_per_capita!O408*100/Gasto_o_ing_per_capita!$D408</f>
        <v>0</v>
      </c>
      <c r="P408" s="336">
        <f>Gasto_o_ing_per_capita!P408*100/Gasto_o_ing_per_capita!$D408</f>
        <v>0</v>
      </c>
      <c r="Q408" s="336">
        <f>Gasto_o_ing_per_capita!Q408*100/Gasto_o_ing_per_capita!$D408</f>
        <v>0</v>
      </c>
      <c r="R408" s="336">
        <f>Gasto_o_ing_per_capita!R408*100/Gasto_o_ing_per_capita!$D408</f>
        <v>486.41834983462428</v>
      </c>
      <c r="S408" s="336">
        <f>Gasto_o_ing_per_capita!S408*100/Gasto_o_ing_per_capita!$D408</f>
        <v>0</v>
      </c>
      <c r="T408" s="336">
        <f>Gasto_o_ing_per_capita!T408*100/Gasto_o_ing_per_capita!$D408</f>
        <v>316.29617902621015</v>
      </c>
      <c r="U408" s="336">
        <f>Gasto_o_ing_per_capita!U408*100/Gasto_o_ing_per_capita!$D408</f>
        <v>0</v>
      </c>
      <c r="V408" s="336">
        <f>Gasto_o_ing_per_capita!V408*100/Gasto_o_ing_per_capita!$D408</f>
        <v>0</v>
      </c>
    </row>
    <row r="409" spans="1:22" s="102" customFormat="1" ht="13.15">
      <c r="A409" s="364"/>
      <c r="B409" s="115"/>
      <c r="C409" s="142"/>
      <c r="D409" s="110"/>
      <c r="E409" s="110"/>
      <c r="F409" s="110"/>
      <c r="G409" s="110"/>
      <c r="H409" s="110"/>
      <c r="I409" s="110"/>
      <c r="J409" s="110"/>
      <c r="K409" s="110"/>
      <c r="L409" s="110"/>
      <c r="M409" s="110"/>
      <c r="N409" s="110"/>
      <c r="O409" s="110"/>
      <c r="P409" s="110"/>
      <c r="Q409" s="110"/>
      <c r="R409" s="110"/>
      <c r="S409" s="110"/>
      <c r="T409" s="110"/>
      <c r="U409" s="110"/>
      <c r="V409" s="110"/>
    </row>
    <row r="410" spans="1:22" s="102" customFormat="1" ht="13.15">
      <c r="A410" s="364"/>
      <c r="B410" s="115"/>
      <c r="C410" s="117" t="s">
        <v>392</v>
      </c>
      <c r="D410" s="113">
        <f>Gasto_o_ing_per_capita!D410*100/Gasto_o_ing_per_capita!$D410</f>
        <v>100</v>
      </c>
      <c r="E410" s="113">
        <f>Gasto_o_ing_per_capita!E410*100/Gasto_o_ing_per_capita!$D410</f>
        <v>82.383010910687034</v>
      </c>
      <c r="F410" s="113">
        <f>Gasto_o_ing_per_capita!F410*100/Gasto_o_ing_per_capita!$D410</f>
        <v>111.60993751227585</v>
      </c>
      <c r="G410" s="113">
        <f>Gasto_o_ing_per_capita!G410*100/Gasto_o_ing_per_capita!$D410</f>
        <v>134.97561602202921</v>
      </c>
      <c r="H410" s="113">
        <f>Gasto_o_ing_per_capita!H410*100/Gasto_o_ing_per_capita!$D410</f>
        <v>100.63286626292135</v>
      </c>
      <c r="I410" s="113">
        <f>Gasto_o_ing_per_capita!I410*100/Gasto_o_ing_per_capita!$D410</f>
        <v>84.67989263675058</v>
      </c>
      <c r="J410" s="113">
        <f>Gasto_o_ing_per_capita!J410*100/Gasto_o_ing_per_capita!$D410</f>
        <v>111.47327398433889</v>
      </c>
      <c r="K410" s="113">
        <f>Gasto_o_ing_per_capita!K410*100/Gasto_o_ing_per_capita!$D410</f>
        <v>109.25188420738955</v>
      </c>
      <c r="L410" s="113">
        <f>Gasto_o_ing_per_capita!L410*100/Gasto_o_ing_per_capita!$D410</f>
        <v>85.93970933841176</v>
      </c>
      <c r="M410" s="113">
        <f>Gasto_o_ing_per_capita!M410*100/Gasto_o_ing_per_capita!$D410</f>
        <v>104.28566221804239</v>
      </c>
      <c r="N410" s="113">
        <f>Gasto_o_ing_per_capita!N410*100/Gasto_o_ing_per_capita!$D410</f>
        <v>98.501711436527202</v>
      </c>
      <c r="O410" s="113">
        <f>Gasto_o_ing_per_capita!O410*100/Gasto_o_ing_per_capita!$D410</f>
        <v>84.677169681052348</v>
      </c>
      <c r="P410" s="113">
        <f>Gasto_o_ing_per_capita!P410*100/Gasto_o_ing_per_capita!$D410</f>
        <v>117.52670332879335</v>
      </c>
      <c r="Q410" s="113">
        <f>Gasto_o_ing_per_capita!Q410*100/Gasto_o_ing_per_capita!$D410</f>
        <v>105.10836799383807</v>
      </c>
      <c r="R410" s="113">
        <f>Gasto_o_ing_per_capita!R410*100/Gasto_o_ing_per_capita!$D410</f>
        <v>84.425855716051075</v>
      </c>
      <c r="S410" s="113">
        <f>Gasto_o_ing_per_capita!S410*100/Gasto_o_ing_per_capita!$D410</f>
        <v>106.74619318687954</v>
      </c>
      <c r="T410" s="113">
        <f>Gasto_o_ing_per_capita!T410*100/Gasto_o_ing_per_capita!$D410</f>
        <v>124.01976635509368</v>
      </c>
      <c r="U410" s="113">
        <f>Gasto_o_ing_per_capita!U410*100/Gasto_o_ing_per_capita!$D410</f>
        <v>100.59432913271513</v>
      </c>
      <c r="V410" s="113">
        <f>Gasto_o_ing_per_capita!V410*100/Gasto_o_ing_per_capita!$D410</f>
        <v>118.80080942801452</v>
      </c>
    </row>
    <row r="411" spans="1:22" s="102" customFormat="1" ht="13.15">
      <c r="A411" s="355" t="str">
        <f>IF(B411="","",(IF(ISERROR(MATCH(B411,Tot_res!C:C,0)),"Eliminar!!!","")))</f>
        <v/>
      </c>
      <c r="B411" s="119" t="s">
        <v>393</v>
      </c>
      <c r="C411" s="333" t="str">
        <f>VLOOKUP(B411,Tot_res!C:D,2,FALSE)</f>
        <v>Inspección y control de seguridad y protección social</v>
      </c>
      <c r="D411" s="336">
        <f>Gasto_o_ing_per_capita!D411*100/Gasto_o_ing_per_capita!$D411</f>
        <v>100</v>
      </c>
      <c r="E411" s="336">
        <f>Gasto_o_ing_per_capita!E411*100/Gasto_o_ing_per_capita!$D411</f>
        <v>102.84957218330408</v>
      </c>
      <c r="F411" s="336">
        <f>Gasto_o_ing_per_capita!F411*100/Gasto_o_ing_per_capita!$D411</f>
        <v>153.28375767257438</v>
      </c>
      <c r="G411" s="336">
        <f>Gasto_o_ing_per_capita!G411*100/Gasto_o_ing_per_capita!$D411</f>
        <v>127.97751406277152</v>
      </c>
      <c r="H411" s="336">
        <f>Gasto_o_ing_per_capita!H411*100/Gasto_o_ing_per_capita!$D411</f>
        <v>181.88303280737833</v>
      </c>
      <c r="I411" s="336">
        <f>Gasto_o_ing_per_capita!I411*100/Gasto_o_ing_per_capita!$D411</f>
        <v>133.75708147213479</v>
      </c>
      <c r="J411" s="336">
        <f>Gasto_o_ing_per_capita!J411*100/Gasto_o_ing_per_capita!$D411</f>
        <v>126.3386482472751</v>
      </c>
      <c r="K411" s="336">
        <f>Gasto_o_ing_per_capita!K411*100/Gasto_o_ing_per_capita!$D411</f>
        <v>172.07578716844068</v>
      </c>
      <c r="L411" s="336">
        <f>Gasto_o_ing_per_capita!L411*100/Gasto_o_ing_per_capita!$D411</f>
        <v>112.44084405763338</v>
      </c>
      <c r="M411" s="336">
        <f>Gasto_o_ing_per_capita!M411*100/Gasto_o_ing_per_capita!$D411</f>
        <v>1.3646447408716196</v>
      </c>
      <c r="N411" s="336">
        <f>Gasto_o_ing_per_capita!N411*100/Gasto_o_ing_per_capita!$D411</f>
        <v>110.7692241372028</v>
      </c>
      <c r="O411" s="336">
        <f>Gasto_o_ing_per_capita!O411*100/Gasto_o_ing_per_capita!$D411</f>
        <v>116.1365636080682</v>
      </c>
      <c r="P411" s="336">
        <f>Gasto_o_ing_per_capita!P411*100/Gasto_o_ing_per_capita!$D411</f>
        <v>123.56135402680221</v>
      </c>
      <c r="Q411" s="336">
        <f>Gasto_o_ing_per_capita!Q411*100/Gasto_o_ing_per_capita!$D411</f>
        <v>122.06471255660735</v>
      </c>
      <c r="R411" s="336">
        <f>Gasto_o_ing_per_capita!R411*100/Gasto_o_ing_per_capita!$D411</f>
        <v>90.322772569803959</v>
      </c>
      <c r="S411" s="336">
        <f>Gasto_o_ing_per_capita!S411*100/Gasto_o_ing_per_capita!$D411</f>
        <v>111.38806545493561</v>
      </c>
      <c r="T411" s="336">
        <f>Gasto_o_ing_per_capita!T411*100/Gasto_o_ing_per_capita!$D411</f>
        <v>85.980924853768315</v>
      </c>
      <c r="U411" s="336">
        <f>Gasto_o_ing_per_capita!U411*100/Gasto_o_ing_per_capita!$D411</f>
        <v>105.89176843826139</v>
      </c>
      <c r="V411" s="336">
        <f>Gasto_o_ing_per_capita!V411*100/Gasto_o_ing_per_capita!$D411</f>
        <v>39.107277287807186</v>
      </c>
    </row>
    <row r="412" spans="1:22" s="102" customFormat="1" ht="13.15">
      <c r="A412" s="355" t="str">
        <f>IF(B412="","",(IF(ISERROR(MATCH(B412,Tot_res!C:C,0)),"Eliminar!!!","")))</f>
        <v/>
      </c>
      <c r="B412" s="119" t="s">
        <v>394</v>
      </c>
      <c r="C412" s="333" t="str">
        <f>VLOOKUP(B412,Tot_res!C:D,2,FALSE)</f>
        <v>Dirección y servicios generales de seguridad social y protección social</v>
      </c>
      <c r="D412" s="336">
        <f>Gasto_o_ing_per_capita!D412*100/Gasto_o_ing_per_capita!$D412</f>
        <v>99.999999999999986</v>
      </c>
      <c r="E412" s="336">
        <f>Gasto_o_ing_per_capita!E412*100/Gasto_o_ing_per_capita!$D412</f>
        <v>94.427374533137964</v>
      </c>
      <c r="F412" s="336">
        <f>Gasto_o_ing_per_capita!F412*100/Gasto_o_ing_per_capita!$D412</f>
        <v>104.44516969488437</v>
      </c>
      <c r="G412" s="336">
        <f>Gasto_o_ing_per_capita!G412*100/Gasto_o_ing_per_capita!$D412</f>
        <v>122.04597115782789</v>
      </c>
      <c r="H412" s="336">
        <f>Gasto_o_ing_per_capita!H412*100/Gasto_o_ing_per_capita!$D412</f>
        <v>91.662774613631385</v>
      </c>
      <c r="I412" s="336">
        <f>Gasto_o_ing_per_capita!I412*100/Gasto_o_ing_per_capita!$D412</f>
        <v>89.128369766777979</v>
      </c>
      <c r="J412" s="336">
        <f>Gasto_o_ing_per_capita!J412*100/Gasto_o_ing_per_capita!$D412</f>
        <v>107.17072142704394</v>
      </c>
      <c r="K412" s="336">
        <f>Gasto_o_ing_per_capita!K412*100/Gasto_o_ing_per_capita!$D412</f>
        <v>104.69417390882366</v>
      </c>
      <c r="L412" s="336">
        <f>Gasto_o_ing_per_capita!L412*100/Gasto_o_ing_per_capita!$D412</f>
        <v>93.84518450609346</v>
      </c>
      <c r="M412" s="336">
        <f>Gasto_o_ing_per_capita!M412*100/Gasto_o_ing_per_capita!$D412</f>
        <v>105.04896784072575</v>
      </c>
      <c r="N412" s="336">
        <f>Gasto_o_ing_per_capita!N412*100/Gasto_o_ing_per_capita!$D412</f>
        <v>95.098861400668639</v>
      </c>
      <c r="O412" s="336">
        <f>Gasto_o_ing_per_capita!O412*100/Gasto_o_ing_per_capita!$D412</f>
        <v>96.423070861074535</v>
      </c>
      <c r="P412" s="336">
        <f>Gasto_o_ing_per_capita!P412*100/Gasto_o_ing_per_capita!$D412</f>
        <v>105.14418157889905</v>
      </c>
      <c r="Q412" s="336">
        <f>Gasto_o_ing_per_capita!Q412*100/Gasto_o_ing_per_capita!$D412</f>
        <v>99.862889270321432</v>
      </c>
      <c r="R412" s="336">
        <f>Gasto_o_ing_per_capita!R412*100/Gasto_o_ing_per_capita!$D412</f>
        <v>90.837116550195674</v>
      </c>
      <c r="S412" s="336">
        <f>Gasto_o_ing_per_capita!S412*100/Gasto_o_ing_per_capita!$D412</f>
        <v>104.45255709880253</v>
      </c>
      <c r="T412" s="336">
        <f>Gasto_o_ing_per_capita!T412*100/Gasto_o_ing_per_capita!$D412</f>
        <v>115.43519894634461</v>
      </c>
      <c r="U412" s="336">
        <f>Gasto_o_ing_per_capita!U412*100/Gasto_o_ing_per_capita!$D412</f>
        <v>99.621361872961714</v>
      </c>
      <c r="V412" s="336">
        <f>Gasto_o_ing_per_capita!V412*100/Gasto_o_ing_per_capita!$D412</f>
        <v>105.15521529908095</v>
      </c>
    </row>
    <row r="413" spans="1:22" s="102" customFormat="1" ht="13.15">
      <c r="A413" s="355" t="str">
        <f>IF(B413="","",(IF(ISERROR(MATCH(B413,Tot_res!C:C,0)),"Eliminar!!!","")))</f>
        <v/>
      </c>
      <c r="B413" s="115" t="s">
        <v>635</v>
      </c>
      <c r="C413" s="333" t="str">
        <f>VLOOKUP(B413,Tot_res!C:D,2,FALSE)</f>
        <v>Gestión de Cotización y Recaudación</v>
      </c>
      <c r="D413" s="336">
        <f>Gasto_o_ing_per_capita!D413*100/Gasto_o_ing_per_capita!$D413</f>
        <v>100</v>
      </c>
      <c r="E413" s="336">
        <f>Gasto_o_ing_per_capita!E413*100/Gasto_o_ing_per_capita!$D413</f>
        <v>86.236477633880455</v>
      </c>
      <c r="F413" s="336">
        <f>Gasto_o_ing_per_capita!F413*100/Gasto_o_ing_per_capita!$D413</f>
        <v>110.37722113351458</v>
      </c>
      <c r="G413" s="336">
        <f>Gasto_o_ing_per_capita!G413*100/Gasto_o_ing_per_capita!$D413</f>
        <v>141.03566235210027</v>
      </c>
      <c r="H413" s="336">
        <f>Gasto_o_ing_per_capita!H413*100/Gasto_o_ing_per_capita!$D413</f>
        <v>85.987182314713948</v>
      </c>
      <c r="I413" s="336">
        <f>Gasto_o_ing_per_capita!I413*100/Gasto_o_ing_per_capita!$D413</f>
        <v>77.270578450902022</v>
      </c>
      <c r="J413" s="336">
        <f>Gasto_o_ing_per_capita!J413*100/Gasto_o_ing_per_capita!$D413</f>
        <v>113.61081619196784</v>
      </c>
      <c r="K413" s="336">
        <f>Gasto_o_ing_per_capita!K413*100/Gasto_o_ing_per_capita!$D413</f>
        <v>109.72141240482432</v>
      </c>
      <c r="L413" s="336">
        <f>Gasto_o_ing_per_capita!L413*100/Gasto_o_ing_per_capita!$D413</f>
        <v>88.927509030239236</v>
      </c>
      <c r="M413" s="336">
        <f>Gasto_o_ing_per_capita!M413*100/Gasto_o_ing_per_capita!$D413</f>
        <v>110.45407854903924</v>
      </c>
      <c r="N413" s="336">
        <f>Gasto_o_ing_per_capita!N413*100/Gasto_o_ing_per_capita!$D413</f>
        <v>91.410965915239132</v>
      </c>
      <c r="O413" s="336">
        <f>Gasto_o_ing_per_capita!O413*100/Gasto_o_ing_per_capita!$D413</f>
        <v>88.989117530922869</v>
      </c>
      <c r="P413" s="336">
        <f>Gasto_o_ing_per_capita!P413*100/Gasto_o_ing_per_capita!$D413</f>
        <v>108.97885816523289</v>
      </c>
      <c r="Q413" s="336">
        <f>Gasto_o_ing_per_capita!Q413*100/Gasto_o_ing_per_capita!$D413</f>
        <v>102.58618020826027</v>
      </c>
      <c r="R413" s="336">
        <f>Gasto_o_ing_per_capita!R413*100/Gasto_o_ing_per_capita!$D413</f>
        <v>83.463365452403991</v>
      </c>
      <c r="S413" s="336">
        <f>Gasto_o_ing_per_capita!S413*100/Gasto_o_ing_per_capita!$D413</f>
        <v>111.53835008541513</v>
      </c>
      <c r="T413" s="336">
        <f>Gasto_o_ing_per_capita!T413*100/Gasto_o_ing_per_capita!$D413</f>
        <v>131.50833398619358</v>
      </c>
      <c r="U413" s="336">
        <f>Gasto_o_ing_per_capita!U413*100/Gasto_o_ing_per_capita!$D413</f>
        <v>101.42599664287879</v>
      </c>
      <c r="V413" s="336">
        <f>Gasto_o_ing_per_capita!V413*100/Gasto_o_ing_per_capita!$D413</f>
        <v>72.13723641070294</v>
      </c>
    </row>
    <row r="414" spans="1:22" s="102" customFormat="1" ht="13.15">
      <c r="A414" s="355" t="str">
        <f>IF(B414="","",(IF(ISERROR(MATCH(B414,Tot_res!C:C,0)),"Eliminar!!!","")))</f>
        <v/>
      </c>
      <c r="B414" s="115" t="s">
        <v>999</v>
      </c>
      <c r="C414" s="333" t="str">
        <f>VLOOKUP(B414,Tot_res!C:D,2,FALSE)</f>
        <v>Gestión Financiera, neta de aportación al Fondo de Reserva</v>
      </c>
      <c r="D414" s="336">
        <f>Gasto_o_ing_per_capita!D414*100/Gasto_o_ing_per_capita!$D414</f>
        <v>100</v>
      </c>
      <c r="E414" s="336">
        <f>Gasto_o_ing_per_capita!E414*100/Gasto_o_ing_per_capita!$D414</f>
        <v>88.99816758420431</v>
      </c>
      <c r="F414" s="336">
        <f>Gasto_o_ing_per_capita!F414*100/Gasto_o_ing_per_capita!$D414</f>
        <v>109.58948085184498</v>
      </c>
      <c r="G414" s="336">
        <f>Gasto_o_ing_per_capita!G414*100/Gasto_o_ing_per_capita!$D414</f>
        <v>150.78745704264438</v>
      </c>
      <c r="H414" s="336">
        <f>Gasto_o_ing_per_capita!H414*100/Gasto_o_ing_per_capita!$D414</f>
        <v>81.1706737636855</v>
      </c>
      <c r="I414" s="336">
        <f>Gasto_o_ing_per_capita!I414*100/Gasto_o_ing_per_capita!$D414</f>
        <v>76.088556193266257</v>
      </c>
      <c r="J414" s="336">
        <f>Gasto_o_ing_per_capita!J414*100/Gasto_o_ing_per_capita!$D414</f>
        <v>116.31708416880979</v>
      </c>
      <c r="K414" s="336">
        <f>Gasto_o_ing_per_capita!K414*100/Gasto_o_ing_per_capita!$D414</f>
        <v>111.60175172563079</v>
      </c>
      <c r="L414" s="336">
        <f>Gasto_o_ing_per_capita!L414*100/Gasto_o_ing_per_capita!$D414</f>
        <v>86.918392179338014</v>
      </c>
      <c r="M414" s="336">
        <f>Gasto_o_ing_per_capita!M414*100/Gasto_o_ing_per_capita!$D414</f>
        <v>110.74628482968984</v>
      </c>
      <c r="N414" s="336">
        <f>Gasto_o_ing_per_capita!N414*100/Gasto_o_ing_per_capita!$D414</f>
        <v>89.103260828054175</v>
      </c>
      <c r="O414" s="336">
        <f>Gasto_o_ing_per_capita!O414*100/Gasto_o_ing_per_capita!$D414</f>
        <v>93.884797862303358</v>
      </c>
      <c r="P414" s="336">
        <f>Gasto_o_ing_per_capita!P414*100/Gasto_o_ing_per_capita!$D414</f>
        <v>112.14415145831663</v>
      </c>
      <c r="Q414" s="336">
        <f>Gasto_o_ing_per_capita!Q414*100/Gasto_o_ing_per_capita!$D414</f>
        <v>97.171311646489073</v>
      </c>
      <c r="R414" s="336">
        <f>Gasto_o_ing_per_capita!R414*100/Gasto_o_ing_per_capita!$D414</f>
        <v>79.447197963749829</v>
      </c>
      <c r="S414" s="336">
        <f>Gasto_o_ing_per_capita!S414*100/Gasto_o_ing_per_capita!$D414</f>
        <v>108.94414038232523</v>
      </c>
      <c r="T414" s="336">
        <f>Gasto_o_ing_per_capita!T414*100/Gasto_o_ing_per_capita!$D414</f>
        <v>133.75787950415619</v>
      </c>
      <c r="U414" s="336">
        <f>Gasto_o_ing_per_capita!U414*100/Gasto_o_ing_per_capita!$D414</f>
        <v>99.056812151541507</v>
      </c>
      <c r="V414" s="336">
        <f>Gasto_o_ing_per_capita!V414*100/Gasto_o_ing_per_capita!$D414</f>
        <v>113.28975739077573</v>
      </c>
    </row>
    <row r="415" spans="1:22" s="102" customFormat="1" ht="13.15">
      <c r="A415" s="355" t="str">
        <f>IF(B415="","",(IF(ISERROR(MATCH(B415,Tot_res!C:C,0)),"Eliminar!!!","")))</f>
        <v/>
      </c>
      <c r="B415" s="115" t="s">
        <v>1000</v>
      </c>
      <c r="C415" s="333" t="str">
        <f>VLOOKUP(B415,Tot_res!C:D,2,FALSE)</f>
        <v>Gestión del Patrimonio, TGSS</v>
      </c>
      <c r="D415" s="336">
        <f>Gasto_o_ing_per_capita!D415*100/Gasto_o_ing_per_capita!$D415</f>
        <v>100</v>
      </c>
      <c r="E415" s="336">
        <f>Gasto_o_ing_per_capita!E415*100/Gasto_o_ing_per_capita!$D415</f>
        <v>82.974702812959904</v>
      </c>
      <c r="F415" s="336">
        <f>Gasto_o_ing_per_capita!F415*100/Gasto_o_ing_per_capita!$D415</f>
        <v>113.99199307071302</v>
      </c>
      <c r="G415" s="336">
        <f>Gasto_o_ing_per_capita!G415*100/Gasto_o_ing_per_capita!$D415</f>
        <v>165.79470599088469</v>
      </c>
      <c r="H415" s="336">
        <f>Gasto_o_ing_per_capita!H415*100/Gasto_o_ing_per_capita!$D415</f>
        <v>75.066746914072411</v>
      </c>
      <c r="I415" s="336">
        <f>Gasto_o_ing_per_capita!I415*100/Gasto_o_ing_per_capita!$D415</f>
        <v>67.687840176689377</v>
      </c>
      <c r="J415" s="336">
        <f>Gasto_o_ing_per_capita!J415*100/Gasto_o_ing_per_capita!$D415</f>
        <v>122.15678118440066</v>
      </c>
      <c r="K415" s="336">
        <f>Gasto_o_ing_per_capita!K415*100/Gasto_o_ing_per_capita!$D415</f>
        <v>118.02227286426729</v>
      </c>
      <c r="L415" s="336">
        <f>Gasto_o_ing_per_capita!L415*100/Gasto_o_ing_per_capita!$D415</f>
        <v>82.089519669418493</v>
      </c>
      <c r="M415" s="336">
        <f>Gasto_o_ing_per_capita!M415*100/Gasto_o_ing_per_capita!$D415</f>
        <v>113.91380603861505</v>
      </c>
      <c r="N415" s="336">
        <f>Gasto_o_ing_per_capita!N415*100/Gasto_o_ing_per_capita!$D415</f>
        <v>86.5981253522976</v>
      </c>
      <c r="O415" s="336">
        <f>Gasto_o_ing_per_capita!O415*100/Gasto_o_ing_per_capita!$D415</f>
        <v>86.786209351680782</v>
      </c>
      <c r="P415" s="336">
        <f>Gasto_o_ing_per_capita!P415*100/Gasto_o_ing_per_capita!$D415</f>
        <v>117.44472671745358</v>
      </c>
      <c r="Q415" s="336">
        <f>Gasto_o_ing_per_capita!Q415*100/Gasto_o_ing_per_capita!$D415</f>
        <v>97.409414916824687</v>
      </c>
      <c r="R415" s="336">
        <f>Gasto_o_ing_per_capita!R415*100/Gasto_o_ing_per_capita!$D415</f>
        <v>75.669954876080851</v>
      </c>
      <c r="S415" s="336">
        <f>Gasto_o_ing_per_capita!S415*100/Gasto_o_ing_per_capita!$D415</f>
        <v>111.33131290733515</v>
      </c>
      <c r="T415" s="336">
        <f>Gasto_o_ing_per_capita!T415*100/Gasto_o_ing_per_capita!$D415</f>
        <v>146.88589199653106</v>
      </c>
      <c r="U415" s="336">
        <f>Gasto_o_ing_per_capita!U415*100/Gasto_o_ing_per_capita!$D415</f>
        <v>99.92360085757322</v>
      </c>
      <c r="V415" s="336">
        <f>Gasto_o_ing_per_capita!V415*100/Gasto_o_ing_per_capita!$D415</f>
        <v>109.48369647707527</v>
      </c>
    </row>
    <row r="416" spans="1:22" s="102" customFormat="1" ht="13.15">
      <c r="A416" s="355" t="str">
        <f>IF(B416="","",(IF(ISERROR(MATCH(B416,Tot_res!C:C,0)),"Eliminar!!!","")))</f>
        <v/>
      </c>
      <c r="B416" s="115" t="s">
        <v>396</v>
      </c>
      <c r="C416" s="333" t="str">
        <f>VLOOKUP(B416,Tot_res!C:D,2,FALSE)</f>
        <v xml:space="preserve"> Sistema Integrado de Informática de la Seguridad Social</v>
      </c>
      <c r="D416" s="336">
        <f>Gasto_o_ing_per_capita!D416*100/Gasto_o_ing_per_capita!$D416</f>
        <v>100</v>
      </c>
      <c r="E416" s="336">
        <f>Gasto_o_ing_per_capita!E416*100/Gasto_o_ing_per_capita!$D416</f>
        <v>82.974702812959919</v>
      </c>
      <c r="F416" s="336">
        <f>Gasto_o_ing_per_capita!F416*100/Gasto_o_ing_per_capita!$D416</f>
        <v>113.99199307071302</v>
      </c>
      <c r="G416" s="336">
        <f>Gasto_o_ing_per_capita!G416*100/Gasto_o_ing_per_capita!$D416</f>
        <v>165.79470599088469</v>
      </c>
      <c r="H416" s="336">
        <f>Gasto_o_ing_per_capita!H416*100/Gasto_o_ing_per_capita!$D416</f>
        <v>75.066746914072425</v>
      </c>
      <c r="I416" s="336">
        <f>Gasto_o_ing_per_capita!I416*100/Gasto_o_ing_per_capita!$D416</f>
        <v>67.687840176689377</v>
      </c>
      <c r="J416" s="336">
        <f>Gasto_o_ing_per_capita!J416*100/Gasto_o_ing_per_capita!$D416</f>
        <v>122.15678118440067</v>
      </c>
      <c r="K416" s="336">
        <f>Gasto_o_ing_per_capita!K416*100/Gasto_o_ing_per_capita!$D416</f>
        <v>118.02227286426731</v>
      </c>
      <c r="L416" s="336">
        <f>Gasto_o_ing_per_capita!L416*100/Gasto_o_ing_per_capita!$D416</f>
        <v>82.089519669418493</v>
      </c>
      <c r="M416" s="336">
        <f>Gasto_o_ing_per_capita!M416*100/Gasto_o_ing_per_capita!$D416</f>
        <v>113.91380603861508</v>
      </c>
      <c r="N416" s="336">
        <f>Gasto_o_ing_per_capita!N416*100/Gasto_o_ing_per_capita!$D416</f>
        <v>86.5981253522976</v>
      </c>
      <c r="O416" s="336">
        <f>Gasto_o_ing_per_capita!O416*100/Gasto_o_ing_per_capita!$D416</f>
        <v>86.786209351680796</v>
      </c>
      <c r="P416" s="336">
        <f>Gasto_o_ing_per_capita!P416*100/Gasto_o_ing_per_capita!$D416</f>
        <v>117.44472671745361</v>
      </c>
      <c r="Q416" s="336">
        <f>Gasto_o_ing_per_capita!Q416*100/Gasto_o_ing_per_capita!$D416</f>
        <v>97.409414916824673</v>
      </c>
      <c r="R416" s="336">
        <f>Gasto_o_ing_per_capita!R416*100/Gasto_o_ing_per_capita!$D416</f>
        <v>75.669954876080851</v>
      </c>
      <c r="S416" s="336">
        <f>Gasto_o_ing_per_capita!S416*100/Gasto_o_ing_per_capita!$D416</f>
        <v>111.33131290733517</v>
      </c>
      <c r="T416" s="336">
        <f>Gasto_o_ing_per_capita!T416*100/Gasto_o_ing_per_capita!$D416</f>
        <v>146.88589199653109</v>
      </c>
      <c r="U416" s="336">
        <f>Gasto_o_ing_per_capita!U416*100/Gasto_o_ing_per_capita!$D416</f>
        <v>99.923600857573234</v>
      </c>
      <c r="V416" s="336">
        <f>Gasto_o_ing_per_capita!V416*100/Gasto_o_ing_per_capita!$D416</f>
        <v>109.48369647707528</v>
      </c>
    </row>
    <row r="417" spans="1:22" s="102" customFormat="1" ht="13.15">
      <c r="A417" s="355" t="str">
        <f>IF(B417="","",(IF(ISERROR(MATCH(B417,Tot_res!C:C,0)),"Eliminar!!!","")))</f>
        <v/>
      </c>
      <c r="B417" s="115" t="s">
        <v>1001</v>
      </c>
      <c r="C417" s="333" t="str">
        <f>VLOOKUP(B417,Tot_res!C:D,2,FALSE)</f>
        <v xml:space="preserve"> Admón. y Servic. Generales, TGSS e ISM</v>
      </c>
      <c r="D417" s="336">
        <f>Gasto_o_ing_per_capita!D417*100/Gasto_o_ing_per_capita!$D417</f>
        <v>100</v>
      </c>
      <c r="E417" s="336">
        <f>Gasto_o_ing_per_capita!E417*100/Gasto_o_ing_per_capita!$D417</f>
        <v>93.66225614098984</v>
      </c>
      <c r="F417" s="336">
        <f>Gasto_o_ing_per_capita!F417*100/Gasto_o_ing_per_capita!$D417</f>
        <v>117.83080044105513</v>
      </c>
      <c r="G417" s="336">
        <f>Gasto_o_ing_per_capita!G417*100/Gasto_o_ing_per_capita!$D417</f>
        <v>184.26224834420518</v>
      </c>
      <c r="H417" s="336">
        <f>Gasto_o_ing_per_capita!H417*100/Gasto_o_ing_per_capita!$D417</f>
        <v>100.88490081377923</v>
      </c>
      <c r="I417" s="336">
        <f>Gasto_o_ing_per_capita!I417*100/Gasto_o_ing_per_capita!$D417</f>
        <v>88.466282023764393</v>
      </c>
      <c r="J417" s="336">
        <f>Gasto_o_ing_per_capita!J417*100/Gasto_o_ing_per_capita!$D417</f>
        <v>141.28495741463229</v>
      </c>
      <c r="K417" s="336">
        <f>Gasto_o_ing_per_capita!K417*100/Gasto_o_ing_per_capita!$D417</f>
        <v>113.13739234616671</v>
      </c>
      <c r="L417" s="336">
        <f>Gasto_o_ing_per_capita!L417*100/Gasto_o_ing_per_capita!$D417</f>
        <v>79.271295802926133</v>
      </c>
      <c r="M417" s="336">
        <f>Gasto_o_ing_per_capita!M417*100/Gasto_o_ing_per_capita!$D417</f>
        <v>89.59424988384859</v>
      </c>
      <c r="N417" s="336">
        <f>Gasto_o_ing_per_capita!N417*100/Gasto_o_ing_per_capita!$D417</f>
        <v>90.316674683278919</v>
      </c>
      <c r="O417" s="336">
        <f>Gasto_o_ing_per_capita!O417*100/Gasto_o_ing_per_capita!$D417</f>
        <v>98.481267527310123</v>
      </c>
      <c r="P417" s="336">
        <f>Gasto_o_ing_per_capita!P417*100/Gasto_o_ing_per_capita!$D417</f>
        <v>162.01904418399715</v>
      </c>
      <c r="Q417" s="336">
        <f>Gasto_o_ing_per_capita!Q417*100/Gasto_o_ing_per_capita!$D417</f>
        <v>71.977669407814389</v>
      </c>
      <c r="R417" s="336">
        <f>Gasto_o_ing_per_capita!R417*100/Gasto_o_ing_per_capita!$D417</f>
        <v>77.844367203550178</v>
      </c>
      <c r="S417" s="336">
        <f>Gasto_o_ing_per_capita!S417*100/Gasto_o_ing_per_capita!$D417</f>
        <v>90.965049590031597</v>
      </c>
      <c r="T417" s="336">
        <f>Gasto_o_ing_per_capita!T417*100/Gasto_o_ing_per_capita!$D417</f>
        <v>143.80714210179988</v>
      </c>
      <c r="U417" s="336">
        <f>Gasto_o_ing_per_capita!U417*100/Gasto_o_ing_per_capita!$D417</f>
        <v>89.254219596403573</v>
      </c>
      <c r="V417" s="336">
        <f>Gasto_o_ing_per_capita!V417*100/Gasto_o_ing_per_capita!$D417</f>
        <v>304.98003286657899</v>
      </c>
    </row>
    <row r="418" spans="1:22" s="102" customFormat="1" ht="13.15">
      <c r="A418" s="355" t="str">
        <f>IF(B418="","",(IF(ISERROR(MATCH(B418,Tot_res!C:C,0)),"Eliminar!!!","")))</f>
        <v/>
      </c>
      <c r="B418" s="115" t="s">
        <v>1002</v>
      </c>
      <c r="C418" s="333" t="str">
        <f>VLOOKUP(B418,Tot_res!C:D,2,FALSE)</f>
        <v>Admón. y Servic. Generales, Mutuas</v>
      </c>
      <c r="D418" s="336">
        <f>Gasto_o_ing_per_capita!D418*100/Gasto_o_ing_per_capita!$D418</f>
        <v>100</v>
      </c>
      <c r="E418" s="336">
        <f>Gasto_o_ing_per_capita!E418*100/Gasto_o_ing_per_capita!$D418</f>
        <v>68.576704077541919</v>
      </c>
      <c r="F418" s="336">
        <f>Gasto_o_ing_per_capita!F418*100/Gasto_o_ing_per_capita!$D418</f>
        <v>105.00038661634125</v>
      </c>
      <c r="G418" s="336">
        <f>Gasto_o_ing_per_capita!G418*100/Gasto_o_ing_per_capita!$D418</f>
        <v>98.410147794396934</v>
      </c>
      <c r="H418" s="336">
        <f>Gasto_o_ing_per_capita!H418*100/Gasto_o_ing_per_capita!$D418</f>
        <v>116.85793899451163</v>
      </c>
      <c r="I418" s="336">
        <f>Gasto_o_ing_per_capita!I418*100/Gasto_o_ing_per_capita!$D418</f>
        <v>90.669390785003785</v>
      </c>
      <c r="J418" s="336">
        <f>Gasto_o_ing_per_capita!J418*100/Gasto_o_ing_per_capita!$D418</f>
        <v>91.515687710916126</v>
      </c>
      <c r="K418" s="336">
        <f>Gasto_o_ing_per_capita!K418*100/Gasto_o_ing_per_capita!$D418</f>
        <v>92.9283337294859</v>
      </c>
      <c r="L418" s="336">
        <f>Gasto_o_ing_per_capita!L418*100/Gasto_o_ing_per_capita!$D418</f>
        <v>83.509302287308216</v>
      </c>
      <c r="M418" s="336">
        <f>Gasto_o_ing_per_capita!M418*100/Gasto_o_ing_per_capita!$D418</f>
        <v>105.02133134975367</v>
      </c>
      <c r="N418" s="336">
        <f>Gasto_o_ing_per_capita!N418*100/Gasto_o_ing_per_capita!$D418</f>
        <v>116.96505327779029</v>
      </c>
      <c r="O418" s="336">
        <f>Gasto_o_ing_per_capita!O418*100/Gasto_o_ing_per_capita!$D418</f>
        <v>66.068659934153928</v>
      </c>
      <c r="P418" s="336">
        <f>Gasto_o_ing_per_capita!P418*100/Gasto_o_ing_per_capita!$D418</f>
        <v>111.25735443734706</v>
      </c>
      <c r="Q418" s="336">
        <f>Gasto_o_ing_per_capita!Q418*100/Gasto_o_ing_per_capita!$D418</f>
        <v>127.72999454744016</v>
      </c>
      <c r="R418" s="336">
        <f>Gasto_o_ing_per_capita!R418*100/Gasto_o_ing_per_capita!$D418</f>
        <v>93.371149803142927</v>
      </c>
      <c r="S418" s="336">
        <f>Gasto_o_ing_per_capita!S418*100/Gasto_o_ing_per_capita!$D418</f>
        <v>109.75417474700672</v>
      </c>
      <c r="T418" s="336">
        <f>Gasto_o_ing_per_capita!T418*100/Gasto_o_ing_per_capita!$D418</f>
        <v>109.4916769337879</v>
      </c>
      <c r="U418" s="336">
        <f>Gasto_o_ing_per_capita!U418*100/Gasto_o_ing_per_capita!$D418</f>
        <v>107.65956545503794</v>
      </c>
      <c r="V418" s="336">
        <f>Gasto_o_ing_per_capita!V418*100/Gasto_o_ing_per_capita!$D418</f>
        <v>107.22371951567114</v>
      </c>
    </row>
    <row r="419" spans="1:22" s="102" customFormat="1" ht="13.15">
      <c r="A419" s="355" t="str">
        <f>IF(B419="","",(IF(ISERROR(MATCH(B419,Tot_res!C:C,0)),"Eliminar!!!","")))</f>
        <v/>
      </c>
      <c r="B419" s="115" t="s">
        <v>397</v>
      </c>
      <c r="C419" s="333" t="str">
        <f>VLOOKUP(B419,Tot_res!C:D,2,FALSE)</f>
        <v xml:space="preserve"> Control Interno y Contabilidad</v>
      </c>
      <c r="D419" s="336">
        <f>Gasto_o_ing_per_capita!D419*100/Gasto_o_ing_per_capita!$D419</f>
        <v>100.00000000000001</v>
      </c>
      <c r="E419" s="336">
        <f>Gasto_o_ing_per_capita!E419*100/Gasto_o_ing_per_capita!$D419</f>
        <v>82.974702812959933</v>
      </c>
      <c r="F419" s="336">
        <f>Gasto_o_ing_per_capita!F419*100/Gasto_o_ing_per_capita!$D419</f>
        <v>113.99199307071305</v>
      </c>
      <c r="G419" s="336">
        <f>Gasto_o_ing_per_capita!G419*100/Gasto_o_ing_per_capita!$D419</f>
        <v>165.79470599088478</v>
      </c>
      <c r="H419" s="336">
        <f>Gasto_o_ing_per_capita!H419*100/Gasto_o_ing_per_capita!$D419</f>
        <v>75.066746914072439</v>
      </c>
      <c r="I419" s="336">
        <f>Gasto_o_ing_per_capita!I419*100/Gasto_o_ing_per_capita!$D419</f>
        <v>67.687840176689406</v>
      </c>
      <c r="J419" s="336">
        <f>Gasto_o_ing_per_capita!J419*100/Gasto_o_ing_per_capita!$D419</f>
        <v>122.1567811844007</v>
      </c>
      <c r="K419" s="336">
        <f>Gasto_o_ing_per_capita!K419*100/Gasto_o_ing_per_capita!$D419</f>
        <v>118.02227286426735</v>
      </c>
      <c r="L419" s="336">
        <f>Gasto_o_ing_per_capita!L419*100/Gasto_o_ing_per_capita!$D419</f>
        <v>82.089519669418522</v>
      </c>
      <c r="M419" s="336">
        <f>Gasto_o_ing_per_capita!M419*100/Gasto_o_ing_per_capita!$D419</f>
        <v>113.91380603861509</v>
      </c>
      <c r="N419" s="336">
        <f>Gasto_o_ing_per_capita!N419*100/Gasto_o_ing_per_capita!$D419</f>
        <v>86.598125352297615</v>
      </c>
      <c r="O419" s="336">
        <f>Gasto_o_ing_per_capita!O419*100/Gasto_o_ing_per_capita!$D419</f>
        <v>86.786209351680824</v>
      </c>
      <c r="P419" s="336">
        <f>Gasto_o_ing_per_capita!P419*100/Gasto_o_ing_per_capita!$D419</f>
        <v>117.44472671745363</v>
      </c>
      <c r="Q419" s="336">
        <f>Gasto_o_ing_per_capita!Q419*100/Gasto_o_ing_per_capita!$D419</f>
        <v>97.409414916824701</v>
      </c>
      <c r="R419" s="336">
        <f>Gasto_o_ing_per_capita!R419*100/Gasto_o_ing_per_capita!$D419</f>
        <v>75.66995487608088</v>
      </c>
      <c r="S419" s="336">
        <f>Gasto_o_ing_per_capita!S419*100/Gasto_o_ing_per_capita!$D419</f>
        <v>111.33131290733519</v>
      </c>
      <c r="T419" s="336">
        <f>Gasto_o_ing_per_capita!T419*100/Gasto_o_ing_per_capita!$D419</f>
        <v>146.88589199653114</v>
      </c>
      <c r="U419" s="336">
        <f>Gasto_o_ing_per_capita!U419*100/Gasto_o_ing_per_capita!$D419</f>
        <v>99.923600857573248</v>
      </c>
      <c r="V419" s="336">
        <f>Gasto_o_ing_per_capita!V419*100/Gasto_o_ing_per_capita!$D419</f>
        <v>109.4836964770753</v>
      </c>
    </row>
    <row r="420" spans="1:22" s="102" customFormat="1" ht="13.15">
      <c r="A420" s="355" t="str">
        <f>IF(B420="","",(IF(ISERROR(MATCH(B420,Tot_res!C:C,0)),"Eliminar!!!","")))</f>
        <v/>
      </c>
      <c r="B420" s="115" t="s">
        <v>398</v>
      </c>
      <c r="C420" s="333" t="str">
        <f>VLOOKUP(B420,Tot_res!C:D,2,FALSE)</f>
        <v xml:space="preserve"> Direcc. y Coord. Asist.Jurídica Admón. de la Seg.Soc.</v>
      </c>
      <c r="D420" s="336">
        <f>Gasto_o_ing_per_capita!D420*100/Gasto_o_ing_per_capita!$D420</f>
        <v>100</v>
      </c>
      <c r="E420" s="336">
        <f>Gasto_o_ing_per_capita!E420*100/Gasto_o_ing_per_capita!$D420</f>
        <v>82.974702812959933</v>
      </c>
      <c r="F420" s="336">
        <f>Gasto_o_ing_per_capita!F420*100/Gasto_o_ing_per_capita!$D420</f>
        <v>113.99199307071305</v>
      </c>
      <c r="G420" s="336">
        <f>Gasto_o_ing_per_capita!G420*100/Gasto_o_ing_per_capita!$D420</f>
        <v>165.79470599088481</v>
      </c>
      <c r="H420" s="336">
        <f>Gasto_o_ing_per_capita!H420*100/Gasto_o_ing_per_capita!$D420</f>
        <v>75.066746914072425</v>
      </c>
      <c r="I420" s="336">
        <f>Gasto_o_ing_per_capita!I420*100/Gasto_o_ing_per_capita!$D420</f>
        <v>67.687840176689392</v>
      </c>
      <c r="J420" s="336">
        <f>Gasto_o_ing_per_capita!J420*100/Gasto_o_ing_per_capita!$D420</f>
        <v>122.1567811844007</v>
      </c>
      <c r="K420" s="336">
        <f>Gasto_o_ing_per_capita!K420*100/Gasto_o_ing_per_capita!$D420</f>
        <v>118.02227286426736</v>
      </c>
      <c r="L420" s="336">
        <f>Gasto_o_ing_per_capita!L420*100/Gasto_o_ing_per_capita!$D420</f>
        <v>82.089519669418507</v>
      </c>
      <c r="M420" s="336">
        <f>Gasto_o_ing_per_capita!M420*100/Gasto_o_ing_per_capita!$D420</f>
        <v>113.91380603861509</v>
      </c>
      <c r="N420" s="336">
        <f>Gasto_o_ing_per_capita!N420*100/Gasto_o_ing_per_capita!$D420</f>
        <v>86.598125352297629</v>
      </c>
      <c r="O420" s="336">
        <f>Gasto_o_ing_per_capita!O420*100/Gasto_o_ing_per_capita!$D420</f>
        <v>86.786209351680839</v>
      </c>
      <c r="P420" s="336">
        <f>Gasto_o_ing_per_capita!P420*100/Gasto_o_ing_per_capita!$D420</f>
        <v>117.44472671745365</v>
      </c>
      <c r="Q420" s="336">
        <f>Gasto_o_ing_per_capita!Q420*100/Gasto_o_ing_per_capita!$D420</f>
        <v>97.409414916824701</v>
      </c>
      <c r="R420" s="336">
        <f>Gasto_o_ing_per_capita!R420*100/Gasto_o_ing_per_capita!$D420</f>
        <v>75.669954876080894</v>
      </c>
      <c r="S420" s="336">
        <f>Gasto_o_ing_per_capita!S420*100/Gasto_o_ing_per_capita!$D420</f>
        <v>111.3313129073352</v>
      </c>
      <c r="T420" s="336">
        <f>Gasto_o_ing_per_capita!T420*100/Gasto_o_ing_per_capita!$D420</f>
        <v>146.88589199653114</v>
      </c>
      <c r="U420" s="336">
        <f>Gasto_o_ing_per_capita!U420*100/Gasto_o_ing_per_capita!$D420</f>
        <v>99.923600857573248</v>
      </c>
      <c r="V420" s="336">
        <f>Gasto_o_ing_per_capita!V420*100/Gasto_o_ing_per_capita!$D420</f>
        <v>109.48369647707531</v>
      </c>
    </row>
    <row r="421" spans="1:22" s="102" customFormat="1" ht="13.15">
      <c r="A421" s="355" t="str">
        <f>IF(B421="","",(IF(ISERROR(MATCH(B421,Tot_res!C:C,0)),"Eliminar!!!","")))</f>
        <v/>
      </c>
      <c r="B421" s="115" t="s">
        <v>399</v>
      </c>
      <c r="C421" s="333" t="str">
        <f>VLOOKUP(B421,Tot_res!C:D,2,FALSE)</f>
        <v>Autorizaciones iniciales trabajo</v>
      </c>
      <c r="D421" s="336">
        <f>Gasto_o_ing_per_capita!D421*100/Gasto_o_ing_per_capita!$D421</f>
        <v>100</v>
      </c>
      <c r="E421" s="336">
        <f>Gasto_o_ing_per_capita!E421*100/Gasto_o_ing_per_capita!$D421</f>
        <v>0</v>
      </c>
      <c r="F421" s="336">
        <f>Gasto_o_ing_per_capita!F421*100/Gasto_o_ing_per_capita!$D421</f>
        <v>0</v>
      </c>
      <c r="G421" s="336">
        <f>Gasto_o_ing_per_capita!G421*100/Gasto_o_ing_per_capita!$D421</f>
        <v>0</v>
      </c>
      <c r="H421" s="336">
        <f>Gasto_o_ing_per_capita!H421*100/Gasto_o_ing_per_capita!$D421</f>
        <v>0</v>
      </c>
      <c r="I421" s="336">
        <f>Gasto_o_ing_per_capita!I421*100/Gasto_o_ing_per_capita!$D421</f>
        <v>0</v>
      </c>
      <c r="J421" s="336">
        <f>Gasto_o_ing_per_capita!J421*100/Gasto_o_ing_per_capita!$D421</f>
        <v>0</v>
      </c>
      <c r="K421" s="336">
        <f>Gasto_o_ing_per_capita!K421*100/Gasto_o_ing_per_capita!$D421</f>
        <v>0</v>
      </c>
      <c r="L421" s="336">
        <f>Gasto_o_ing_per_capita!L421*100/Gasto_o_ing_per_capita!$D421</f>
        <v>0</v>
      </c>
      <c r="M421" s="336">
        <f>Gasto_o_ing_per_capita!M421*100/Gasto_o_ing_per_capita!$D421</f>
        <v>622.9941536778806</v>
      </c>
      <c r="N421" s="336">
        <f>Gasto_o_ing_per_capita!N421*100/Gasto_o_ing_per_capita!$D421</f>
        <v>0</v>
      </c>
      <c r="O421" s="336">
        <f>Gasto_o_ing_per_capita!O421*100/Gasto_o_ing_per_capita!$D421</f>
        <v>0</v>
      </c>
      <c r="P421" s="336">
        <f>Gasto_o_ing_per_capita!P421*100/Gasto_o_ing_per_capita!$D421</f>
        <v>0</v>
      </c>
      <c r="Q421" s="336">
        <f>Gasto_o_ing_per_capita!Q421*100/Gasto_o_ing_per_capita!$D421</f>
        <v>0</v>
      </c>
      <c r="R421" s="336">
        <f>Gasto_o_ing_per_capita!R421*100/Gasto_o_ing_per_capita!$D421</f>
        <v>0</v>
      </c>
      <c r="S421" s="336">
        <f>Gasto_o_ing_per_capita!S421*100/Gasto_o_ing_per_capita!$D421</f>
        <v>0</v>
      </c>
      <c r="T421" s="336">
        <f>Gasto_o_ing_per_capita!T421*100/Gasto_o_ing_per_capita!$D421</f>
        <v>0</v>
      </c>
      <c r="U421" s="336">
        <f>Gasto_o_ing_per_capita!U421*100/Gasto_o_ing_per_capita!$D421</f>
        <v>0</v>
      </c>
      <c r="V421" s="336">
        <f>Gasto_o_ing_per_capita!V421*100/Gasto_o_ing_per_capita!$D421</f>
        <v>0</v>
      </c>
    </row>
    <row r="422" spans="1:22" s="102" customFormat="1" ht="13.15">
      <c r="A422" s="355" t="str">
        <f>IF(B422="","",(IF(ISERROR(MATCH(B422,Tot_res!C:C,0)),"Eliminar!!!","")))</f>
        <v/>
      </c>
      <c r="B422" s="115" t="s">
        <v>400</v>
      </c>
      <c r="C422" s="333" t="str">
        <f>VLOOKUP(B422,Tot_res!C:D,2,FALSE)</f>
        <v xml:space="preserve"> Inspección de trabajo</v>
      </c>
      <c r="D422" s="336">
        <f>Gasto_o_ing_per_capita!D422*100/Gasto_o_ing_per_capita!$D422</f>
        <v>100</v>
      </c>
      <c r="E422" s="336">
        <f>Gasto_o_ing_per_capita!E422*100/Gasto_o_ing_per_capita!$D422</f>
        <v>0</v>
      </c>
      <c r="F422" s="336">
        <f>Gasto_o_ing_per_capita!F422*100/Gasto_o_ing_per_capita!$D422</f>
        <v>0</v>
      </c>
      <c r="G422" s="336">
        <f>Gasto_o_ing_per_capita!G422*100/Gasto_o_ing_per_capita!$D422</f>
        <v>0</v>
      </c>
      <c r="H422" s="336">
        <f>Gasto_o_ing_per_capita!H422*100/Gasto_o_ing_per_capita!$D422</f>
        <v>0</v>
      </c>
      <c r="I422" s="336">
        <f>Gasto_o_ing_per_capita!I422*100/Gasto_o_ing_per_capita!$D422</f>
        <v>0</v>
      </c>
      <c r="J422" s="336">
        <f>Gasto_o_ing_per_capita!J422*100/Gasto_o_ing_per_capita!$D422</f>
        <v>0</v>
      </c>
      <c r="K422" s="336">
        <f>Gasto_o_ing_per_capita!K422*100/Gasto_o_ing_per_capita!$D422</f>
        <v>0</v>
      </c>
      <c r="L422" s="336">
        <f>Gasto_o_ing_per_capita!L422*100/Gasto_o_ing_per_capita!$D422</f>
        <v>0</v>
      </c>
      <c r="M422" s="336">
        <f>Gasto_o_ing_per_capita!M422*100/Gasto_o_ing_per_capita!$D422</f>
        <v>622.9941536778806</v>
      </c>
      <c r="N422" s="336">
        <f>Gasto_o_ing_per_capita!N422*100/Gasto_o_ing_per_capita!$D422</f>
        <v>0</v>
      </c>
      <c r="O422" s="336">
        <f>Gasto_o_ing_per_capita!O422*100/Gasto_o_ing_per_capita!$D422</f>
        <v>0</v>
      </c>
      <c r="P422" s="336">
        <f>Gasto_o_ing_per_capita!P422*100/Gasto_o_ing_per_capita!$D422</f>
        <v>0</v>
      </c>
      <c r="Q422" s="336">
        <f>Gasto_o_ing_per_capita!Q422*100/Gasto_o_ing_per_capita!$D422</f>
        <v>0</v>
      </c>
      <c r="R422" s="336">
        <f>Gasto_o_ing_per_capita!R422*100/Gasto_o_ing_per_capita!$D422</f>
        <v>0</v>
      </c>
      <c r="S422" s="336">
        <f>Gasto_o_ing_per_capita!S422*100/Gasto_o_ing_per_capita!$D422</f>
        <v>0</v>
      </c>
      <c r="T422" s="336">
        <f>Gasto_o_ing_per_capita!T422*100/Gasto_o_ing_per_capita!$D422</f>
        <v>0</v>
      </c>
      <c r="U422" s="336">
        <f>Gasto_o_ing_per_capita!U422*100/Gasto_o_ing_per_capita!$D422</f>
        <v>0</v>
      </c>
      <c r="V422" s="336">
        <f>Gasto_o_ing_per_capita!V422*100/Gasto_o_ing_per_capita!$D422</f>
        <v>0</v>
      </c>
    </row>
    <row r="423" spans="1:22" s="102" customFormat="1" ht="13.15">
      <c r="A423" s="356"/>
      <c r="B423" s="119"/>
      <c r="D423" s="110"/>
      <c r="E423" s="110"/>
      <c r="F423" s="110"/>
      <c r="G423" s="110"/>
      <c r="H423" s="110"/>
      <c r="I423" s="110"/>
      <c r="J423" s="110"/>
      <c r="K423" s="110"/>
      <c r="L423" s="110"/>
      <c r="M423" s="110"/>
      <c r="N423" s="110"/>
      <c r="O423" s="110"/>
      <c r="P423" s="110"/>
      <c r="Q423" s="110"/>
      <c r="R423" s="110"/>
      <c r="S423" s="110"/>
      <c r="T423" s="110"/>
      <c r="U423" s="110"/>
      <c r="V423" s="110"/>
    </row>
    <row r="424" spans="1:22" s="102" customFormat="1" ht="13.15">
      <c r="A424" s="356"/>
      <c r="B424" s="115"/>
      <c r="D424" s="110"/>
      <c r="E424" s="110"/>
      <c r="F424" s="110"/>
      <c r="G424" s="110"/>
      <c r="H424" s="110"/>
      <c r="I424" s="110"/>
      <c r="J424" s="110"/>
      <c r="K424" s="110"/>
      <c r="L424" s="110"/>
      <c r="M424" s="110"/>
      <c r="N424" s="110"/>
      <c r="O424" s="110"/>
      <c r="P424" s="110"/>
      <c r="Q424" s="110"/>
      <c r="R424" s="110"/>
      <c r="S424" s="110"/>
      <c r="T424" s="110"/>
      <c r="U424" s="110"/>
      <c r="V424" s="110"/>
    </row>
    <row r="425" spans="1:22" s="102" customFormat="1" ht="13.15">
      <c r="A425" s="356"/>
      <c r="B425" s="115"/>
      <c r="C425" s="134" t="s">
        <v>65</v>
      </c>
      <c r="D425" s="110">
        <f>Gasto_o_ing_per_capita!D425*100/Gasto_o_ing_per_capita!$D425</f>
        <v>100</v>
      </c>
      <c r="E425" s="110">
        <f>Gasto_o_ing_per_capita!E425*100/Gasto_o_ing_per_capita!$D425</f>
        <v>97.007791613144519</v>
      </c>
      <c r="F425" s="110">
        <f>Gasto_o_ing_per_capita!F425*100/Gasto_o_ing_per_capita!$D425</f>
        <v>177.30596880407808</v>
      </c>
      <c r="G425" s="110">
        <f>Gasto_o_ing_per_capita!G425*100/Gasto_o_ing_per_capita!$D425</f>
        <v>91.195161356519478</v>
      </c>
      <c r="H425" s="110">
        <f>Gasto_o_ing_per_capita!H425*100/Gasto_o_ing_per_capita!$D425</f>
        <v>54.395208701803298</v>
      </c>
      <c r="I425" s="110">
        <f>Gasto_o_ing_per_capita!I425*100/Gasto_o_ing_per_capita!$D425</f>
        <v>96.325266132612811</v>
      </c>
      <c r="J425" s="110">
        <f>Gasto_o_ing_per_capita!J425*100/Gasto_o_ing_per_capita!$D425</f>
        <v>97.174007759034978</v>
      </c>
      <c r="K425" s="110">
        <f>Gasto_o_ing_per_capita!K425*100/Gasto_o_ing_per_capita!$D425</f>
        <v>236.00110351953518</v>
      </c>
      <c r="L425" s="110">
        <f>Gasto_o_ing_per_capita!L425*100/Gasto_o_ing_per_capita!$D425</f>
        <v>246.51217495455447</v>
      </c>
      <c r="M425" s="110">
        <f>Gasto_o_ing_per_capita!M425*100/Gasto_o_ing_per_capita!$D425</f>
        <v>63.898027512384154</v>
      </c>
      <c r="N425" s="110">
        <f>Gasto_o_ing_per_capita!N425*100/Gasto_o_ing_per_capita!$D425</f>
        <v>56.643913773889984</v>
      </c>
      <c r="O425" s="110">
        <f>Gasto_o_ing_per_capita!O425*100/Gasto_o_ing_per_capita!$D425</f>
        <v>257.70028435701914</v>
      </c>
      <c r="P425" s="110">
        <f>Gasto_o_ing_per_capita!P425*100/Gasto_o_ing_per_capita!$D425</f>
        <v>112.73642432837546</v>
      </c>
      <c r="Q425" s="110">
        <f>Gasto_o_ing_per_capita!Q425*100/Gasto_o_ing_per_capita!$D425</f>
        <v>49.341147219798451</v>
      </c>
      <c r="R425" s="110">
        <f>Gasto_o_ing_per_capita!R425*100/Gasto_o_ing_per_capita!$D425</f>
        <v>86.962393841023726</v>
      </c>
      <c r="S425" s="110">
        <f>Gasto_o_ing_per_capita!S425*100/Gasto_o_ing_per_capita!$D425</f>
        <v>117.09131469946065</v>
      </c>
      <c r="T425" s="110">
        <f>Gasto_o_ing_per_capita!T425*100/Gasto_o_ing_per_capita!$D425</f>
        <v>76.644457258629274</v>
      </c>
      <c r="U425" s="110">
        <f>Gasto_o_ing_per_capita!U425*100/Gasto_o_ing_per_capita!$D425</f>
        <v>108.09482914798872</v>
      </c>
      <c r="V425" s="110">
        <f>Gasto_o_ing_per_capita!V425*100/Gasto_o_ing_per_capita!$D425</f>
        <v>167.19820310861334</v>
      </c>
    </row>
    <row r="426" spans="1:22" s="102" customFormat="1" ht="13.15">
      <c r="A426" s="356"/>
      <c r="B426" s="115"/>
      <c r="C426" s="134"/>
      <c r="D426" s="110"/>
      <c r="E426" s="110"/>
      <c r="F426" s="110"/>
      <c r="G426" s="110"/>
      <c r="H426" s="110"/>
      <c r="I426" s="110"/>
      <c r="J426" s="110"/>
      <c r="K426" s="110"/>
      <c r="L426" s="110"/>
      <c r="M426" s="110"/>
      <c r="N426" s="110"/>
      <c r="O426" s="110"/>
      <c r="P426" s="110"/>
      <c r="Q426" s="110"/>
      <c r="R426" s="110"/>
      <c r="S426" s="110"/>
      <c r="T426" s="110"/>
      <c r="U426" s="110"/>
      <c r="V426" s="110"/>
    </row>
    <row r="427" spans="1:22" s="102" customFormat="1" ht="13.15">
      <c r="A427" s="356"/>
      <c r="B427" s="115"/>
      <c r="C427" s="128" t="s">
        <v>82</v>
      </c>
      <c r="D427" s="113">
        <f>Gasto_o_ing_per_capita!D427*100/Gasto_o_ing_per_capita!$D427</f>
        <v>100</v>
      </c>
      <c r="E427" s="113">
        <f>Gasto_o_ing_per_capita!E427*100/Gasto_o_ing_per_capita!$D427</f>
        <v>113.63636251742635</v>
      </c>
      <c r="F427" s="113">
        <f>Gasto_o_ing_per_capita!F427*100/Gasto_o_ing_per_capita!$D427</f>
        <v>88.650406290189082</v>
      </c>
      <c r="G427" s="113">
        <f>Gasto_o_ing_per_capita!G427*100/Gasto_o_ing_per_capita!$D427</f>
        <v>107.21518885550365</v>
      </c>
      <c r="H427" s="113">
        <f>Gasto_o_ing_per_capita!H427*100/Gasto_o_ing_per_capita!$D427</f>
        <v>78.228891381004544</v>
      </c>
      <c r="I427" s="113">
        <f>Gasto_o_ing_per_capita!I427*100/Gasto_o_ing_per_capita!$D427</f>
        <v>111.1742298682164</v>
      </c>
      <c r="J427" s="113">
        <f>Gasto_o_ing_per_capita!J427*100/Gasto_o_ing_per_capita!$D427</f>
        <v>94.48996174037876</v>
      </c>
      <c r="K427" s="113">
        <f>Gasto_o_ing_per_capita!K427*100/Gasto_o_ing_per_capita!$D427</f>
        <v>89.344048169080509</v>
      </c>
      <c r="L427" s="113">
        <f>Gasto_o_ing_per_capita!L427*100/Gasto_o_ing_per_capita!$D427</f>
        <v>87.067713006873646</v>
      </c>
      <c r="M427" s="113">
        <f>Gasto_o_ing_per_capita!M427*100/Gasto_o_ing_per_capita!$D427</f>
        <v>86.265226387675199</v>
      </c>
      <c r="N427" s="113">
        <f>Gasto_o_ing_per_capita!N427*100/Gasto_o_ing_per_capita!$D427</f>
        <v>84.516066967267662</v>
      </c>
      <c r="O427" s="113">
        <f>Gasto_o_ing_per_capita!O427*100/Gasto_o_ing_per_capita!$D427</f>
        <v>140.5221145770299</v>
      </c>
      <c r="P427" s="113">
        <f>Gasto_o_ing_per_capita!P427*100/Gasto_o_ing_per_capita!$D427</f>
        <v>101.96696871765329</v>
      </c>
      <c r="Q427" s="113">
        <f>Gasto_o_ing_per_capita!Q427*100/Gasto_o_ing_per_capita!$D427</f>
        <v>98.914776309291639</v>
      </c>
      <c r="R427" s="113">
        <f>Gasto_o_ing_per_capita!R427*100/Gasto_o_ing_per_capita!$D427</f>
        <v>91.082152995260245</v>
      </c>
      <c r="S427" s="113">
        <f>Gasto_o_ing_per_capita!S427*100/Gasto_o_ing_per_capita!$D427</f>
        <v>88.997915517257752</v>
      </c>
      <c r="T427" s="113">
        <f>Gasto_o_ing_per_capita!T427*100/Gasto_o_ing_per_capita!$D427</f>
        <v>120.87842448963922</v>
      </c>
      <c r="U427" s="113">
        <f>Gasto_o_ing_per_capita!U427*100/Gasto_o_ing_per_capita!$D427</f>
        <v>82.027476813144673</v>
      </c>
      <c r="V427" s="113">
        <f>Gasto_o_ing_per_capita!V427*100/Gasto_o_ing_per_capita!$D427</f>
        <v>510.07286206627595</v>
      </c>
    </row>
    <row r="428" spans="1:22" s="102" customFormat="1" ht="13.15">
      <c r="A428" s="355" t="str">
        <f>IF(B428="","",(IF(ISERROR(MATCH(B428,Tot_res!C:C,0)),"Eliminar!!!","")))</f>
        <v/>
      </c>
      <c r="B428" s="119" t="s">
        <v>401</v>
      </c>
      <c r="C428" s="333" t="str">
        <f>VLOOKUP(B428,Tot_res!C:D,2,FALSE)</f>
        <v>Fomento de la inserción y estabilidad laboral+ AF20/1</v>
      </c>
      <c r="D428" s="336">
        <f>Gasto_o_ing_per_capita!D428*100/Gasto_o_ing_per_capita!$D428</f>
        <v>100</v>
      </c>
      <c r="E428" s="336">
        <f>Gasto_o_ing_per_capita!E428*100/Gasto_o_ing_per_capita!$D428</f>
        <v>114.38991300819596</v>
      </c>
      <c r="F428" s="336">
        <f>Gasto_o_ing_per_capita!F428*100/Gasto_o_ing_per_capita!$D428</f>
        <v>88.800416391676762</v>
      </c>
      <c r="G428" s="336">
        <f>Gasto_o_ing_per_capita!G428*100/Gasto_o_ing_per_capita!$D428</f>
        <v>105.41970418863596</v>
      </c>
      <c r="H428" s="336">
        <f>Gasto_o_ing_per_capita!H428*100/Gasto_o_ing_per_capita!$D428</f>
        <v>76.11722392220311</v>
      </c>
      <c r="I428" s="336">
        <f>Gasto_o_ing_per_capita!I428*100/Gasto_o_ing_per_capita!$D428</f>
        <v>111.42051263024868</v>
      </c>
      <c r="J428" s="336">
        <f>Gasto_o_ing_per_capita!J428*100/Gasto_o_ing_per_capita!$D428</f>
        <v>94.924758701303347</v>
      </c>
      <c r="K428" s="336">
        <f>Gasto_o_ing_per_capita!K428*100/Gasto_o_ing_per_capita!$D428</f>
        <v>90.252036553832795</v>
      </c>
      <c r="L428" s="336">
        <f>Gasto_o_ing_per_capita!L428*100/Gasto_o_ing_per_capita!$D428</f>
        <v>88.65738132271359</v>
      </c>
      <c r="M428" s="336">
        <f>Gasto_o_ing_per_capita!M428*100/Gasto_o_ing_per_capita!$D428</f>
        <v>85.857838633285681</v>
      </c>
      <c r="N428" s="336">
        <f>Gasto_o_ing_per_capita!N428*100/Gasto_o_ing_per_capita!$D428</f>
        <v>84.852769260333517</v>
      </c>
      <c r="O428" s="336">
        <f>Gasto_o_ing_per_capita!O428*100/Gasto_o_ing_per_capita!$D428</f>
        <v>144.42853107813278</v>
      </c>
      <c r="P428" s="336">
        <f>Gasto_o_ing_per_capita!P428*100/Gasto_o_ing_per_capita!$D428</f>
        <v>96.141880816615782</v>
      </c>
      <c r="Q428" s="336">
        <f>Gasto_o_ing_per_capita!Q428*100/Gasto_o_ing_per_capita!$D428</f>
        <v>98.900161797998848</v>
      </c>
      <c r="R428" s="336">
        <f>Gasto_o_ing_per_capita!R428*100/Gasto_o_ing_per_capita!$D428</f>
        <v>91.722420577529888</v>
      </c>
      <c r="S428" s="336">
        <f>Gasto_o_ing_per_capita!S428*100/Gasto_o_ing_per_capita!$D428</f>
        <v>89.336520547850213</v>
      </c>
      <c r="T428" s="336">
        <f>Gasto_o_ing_per_capita!T428*100/Gasto_o_ing_per_capita!$D428</f>
        <v>120.77114717705963</v>
      </c>
      <c r="U428" s="336">
        <f>Gasto_o_ing_per_capita!U428*100/Gasto_o_ing_per_capita!$D428</f>
        <v>81.70146762920406</v>
      </c>
      <c r="V428" s="336">
        <f>Gasto_o_ing_per_capita!V428*100/Gasto_o_ing_per_capita!$D428</f>
        <v>532.18137170925343</v>
      </c>
    </row>
    <row r="429" spans="1:22" s="102" customFormat="1" ht="13.15">
      <c r="A429" s="355" t="str">
        <f>IF(B429="","",(IF(ISERROR(MATCH(B429,Tot_res!C:C,0)),"Eliminar!!!","")))</f>
        <v/>
      </c>
      <c r="B429" s="119" t="s">
        <v>402</v>
      </c>
      <c r="C429" s="333" t="str">
        <f>VLOOKUP(B429,Tot_res!C:D,2,FALSE)</f>
        <v>Desarrollo de la economía social y del Fondo Social Europeo</v>
      </c>
      <c r="D429" s="336">
        <f>Gasto_o_ing_per_capita!D429*100/Gasto_o_ing_per_capita!$D429</f>
        <v>100</v>
      </c>
      <c r="E429" s="336">
        <f>Gasto_o_ing_per_capita!E429*100/Gasto_o_ing_per_capita!$D429</f>
        <v>129.95528776121878</v>
      </c>
      <c r="F429" s="336">
        <f>Gasto_o_ing_per_capita!F429*100/Gasto_o_ing_per_capita!$D429</f>
        <v>79.024483291500161</v>
      </c>
      <c r="G429" s="336">
        <f>Gasto_o_ing_per_capita!G429*100/Gasto_o_ing_per_capita!$D429</f>
        <v>76.014445560457403</v>
      </c>
      <c r="H429" s="336">
        <f>Gasto_o_ing_per_capita!H429*100/Gasto_o_ing_per_capita!$D429</f>
        <v>31.45273875523857</v>
      </c>
      <c r="I429" s="336">
        <f>Gasto_o_ing_per_capita!I429*100/Gasto_o_ing_per_capita!$D429</f>
        <v>43.768803553507915</v>
      </c>
      <c r="J429" s="336">
        <f>Gasto_o_ing_per_capita!J429*100/Gasto_o_ing_per_capita!$D429</f>
        <v>51.763455804902868</v>
      </c>
      <c r="K429" s="336">
        <f>Gasto_o_ing_per_capita!K429*100/Gasto_o_ing_per_capita!$D429</f>
        <v>75.140982268240435</v>
      </c>
      <c r="L429" s="336">
        <f>Gasto_o_ing_per_capita!L429*100/Gasto_o_ing_per_capita!$D429</f>
        <v>93.424113345314538</v>
      </c>
      <c r="M429" s="336">
        <f>Gasto_o_ing_per_capita!M429*100/Gasto_o_ing_per_capita!$D429</f>
        <v>70.251074902493855</v>
      </c>
      <c r="N429" s="336">
        <f>Gasto_o_ing_per_capita!N429*100/Gasto_o_ing_per_capita!$D429</f>
        <v>166.38754466575466</v>
      </c>
      <c r="O429" s="336">
        <f>Gasto_o_ing_per_capita!O429*100/Gasto_o_ing_per_capita!$D429</f>
        <v>90.668709217506319</v>
      </c>
      <c r="P429" s="336">
        <f>Gasto_o_ing_per_capita!P429*100/Gasto_o_ing_per_capita!$D429</f>
        <v>57.146288289251402</v>
      </c>
      <c r="Q429" s="336">
        <f>Gasto_o_ing_per_capita!Q429*100/Gasto_o_ing_per_capita!$D429</f>
        <v>52.601224736028314</v>
      </c>
      <c r="R429" s="336">
        <f>Gasto_o_ing_per_capita!R429*100/Gasto_o_ing_per_capita!$D429</f>
        <v>183.06105398643561</v>
      </c>
      <c r="S429" s="336">
        <f>Gasto_o_ing_per_capita!S429*100/Gasto_o_ing_per_capita!$D429</f>
        <v>186.51021039463521</v>
      </c>
      <c r="T429" s="336">
        <f>Gasto_o_ing_per_capita!T429*100/Gasto_o_ing_per_capita!$D429</f>
        <v>223.44805586259659</v>
      </c>
      <c r="U429" s="336">
        <f>Gasto_o_ing_per_capita!U429*100/Gasto_o_ing_per_capita!$D429</f>
        <v>54.952917171675679</v>
      </c>
      <c r="V429" s="336">
        <f>Gasto_o_ing_per_capita!V429*100/Gasto_o_ing_per_capita!$D429</f>
        <v>44.202862323737584</v>
      </c>
    </row>
    <row r="430" spans="1:22" s="102" customFormat="1" ht="13.15">
      <c r="A430" s="355" t="str">
        <f>IF(B430="","",(IF(ISERROR(MATCH(B430,Tot_res!C:C,0)),"Eliminar!!!","")))</f>
        <v/>
      </c>
      <c r="B430" s="115" t="s">
        <v>403</v>
      </c>
      <c r="C430" s="333" t="str">
        <f>VLOOKUP(B430,Tot_res!C:D,2,FALSE)</f>
        <v>Regulación y protección de la propiedad industrial</v>
      </c>
      <c r="D430" s="336">
        <f>Gasto_o_ing_per_capita!D430*100/Gasto_o_ing_per_capita!$D430</f>
        <v>100</v>
      </c>
      <c r="E430" s="336">
        <f>Gasto_o_ing_per_capita!E430*100/Gasto_o_ing_per_capita!$D430</f>
        <v>74.975230254759623</v>
      </c>
      <c r="F430" s="336">
        <f>Gasto_o_ing_per_capita!F430*100/Gasto_o_ing_per_capita!$D430</f>
        <v>111.34836431166225</v>
      </c>
      <c r="G430" s="336">
        <f>Gasto_o_ing_per_capita!G430*100/Gasto_o_ing_per_capita!$D430</f>
        <v>88.638329780831953</v>
      </c>
      <c r="H430" s="336">
        <f>Gasto_o_ing_per_capita!H430*100/Gasto_o_ing_per_capita!$D430</f>
        <v>106.28541406095064</v>
      </c>
      <c r="I430" s="336">
        <f>Gasto_o_ing_per_capita!I430*100/Gasto_o_ing_per_capita!$D430</f>
        <v>86.267967622982923</v>
      </c>
      <c r="J430" s="336">
        <f>Gasto_o_ing_per_capita!J430*100/Gasto_o_ing_per_capita!$D430</f>
        <v>90.745734693531617</v>
      </c>
      <c r="K430" s="336">
        <f>Gasto_o_ing_per_capita!K430*100/Gasto_o_ing_per_capita!$D430</f>
        <v>94.685909097852573</v>
      </c>
      <c r="L430" s="336">
        <f>Gasto_o_ing_per_capita!L430*100/Gasto_o_ing_per_capita!$D430</f>
        <v>80.499352006531794</v>
      </c>
      <c r="M430" s="336">
        <f>Gasto_o_ing_per_capita!M430*100/Gasto_o_ing_per_capita!$D430</f>
        <v>117.44281090719264</v>
      </c>
      <c r="N430" s="336">
        <f>Gasto_o_ing_per_capita!N430*100/Gasto_o_ing_per_capita!$D430</f>
        <v>86.37411969335237</v>
      </c>
      <c r="O430" s="336">
        <f>Gasto_o_ing_per_capita!O430*100/Gasto_o_ing_per_capita!$D430</f>
        <v>69.636648625399033</v>
      </c>
      <c r="P430" s="336">
        <f>Gasto_o_ing_per_capita!P430*100/Gasto_o_ing_per_capita!$D430</f>
        <v>89.058073192393309</v>
      </c>
      <c r="Q430" s="336">
        <f>Gasto_o_ing_per_capita!Q430*100/Gasto_o_ing_per_capita!$D430</f>
        <v>136.40050383149699</v>
      </c>
      <c r="R430" s="336">
        <f>Gasto_o_ing_per_capita!R430*100/Gasto_o_ing_per_capita!$D430</f>
        <v>82.639945537896878</v>
      </c>
      <c r="S430" s="336">
        <f>Gasto_o_ing_per_capita!S430*100/Gasto_o_ing_per_capita!$D430</f>
        <v>123.7380603097655</v>
      </c>
      <c r="T430" s="336">
        <f>Gasto_o_ing_per_capita!T430*100/Gasto_o_ing_per_capita!$D430</f>
        <v>130.03773692397317</v>
      </c>
      <c r="U430" s="336">
        <f>Gasto_o_ing_per_capita!U430*100/Gasto_o_ing_per_capita!$D430</f>
        <v>107.69960129707442</v>
      </c>
      <c r="V430" s="336">
        <f>Gasto_o_ing_per_capita!V430*100/Gasto_o_ing_per_capita!$D430</f>
        <v>80.215433609622494</v>
      </c>
    </row>
    <row r="431" spans="1:22" s="102" customFormat="1" ht="13.15">
      <c r="A431" s="355" t="str">
        <f>IF(B431="","",(IF(ISERROR(MATCH(B431,Tot_res!C:C,0)),"Eliminar!!!","")))</f>
        <v/>
      </c>
      <c r="B431" s="115" t="s">
        <v>404</v>
      </c>
      <c r="C431" s="333" t="str">
        <f>VLOOKUP(B431,Tot_res!C:D,2,FALSE)</f>
        <v>Apoyo a la pequeña y mediana empresa</v>
      </c>
      <c r="D431" s="336">
        <f>Gasto_o_ing_per_capita!D431*100/Gasto_o_ing_per_capita!$D431</f>
        <v>100</v>
      </c>
      <c r="E431" s="336">
        <f>Gasto_o_ing_per_capita!E431*100/Gasto_o_ing_per_capita!$D431</f>
        <v>83.172113213610487</v>
      </c>
      <c r="F431" s="336">
        <f>Gasto_o_ing_per_capita!F431*100/Gasto_o_ing_per_capita!$D431</f>
        <v>104.2304861628734</v>
      </c>
      <c r="G431" s="336">
        <f>Gasto_o_ing_per_capita!G431*100/Gasto_o_ing_per_capita!$D431</f>
        <v>84.392623309748132</v>
      </c>
      <c r="H431" s="336">
        <f>Gasto_o_ing_per_capita!H431*100/Gasto_o_ing_per_capita!$D431</f>
        <v>116.36444009699009</v>
      </c>
      <c r="I431" s="336">
        <f>Gasto_o_ing_per_capita!I431*100/Gasto_o_ing_per_capita!$D431</f>
        <v>98.931315280229953</v>
      </c>
      <c r="J431" s="336">
        <f>Gasto_o_ing_per_capita!J431*100/Gasto_o_ing_per_capita!$D431</f>
        <v>93.406434675422091</v>
      </c>
      <c r="K431" s="336">
        <f>Gasto_o_ing_per_capita!K431*100/Gasto_o_ing_per_capita!$D431</f>
        <v>87.28978608861172</v>
      </c>
      <c r="L431" s="336">
        <f>Gasto_o_ing_per_capita!L431*100/Gasto_o_ing_per_capita!$D431</f>
        <v>81.387081266759751</v>
      </c>
      <c r="M431" s="336">
        <f>Gasto_o_ing_per_capita!M431*100/Gasto_o_ing_per_capita!$D431</f>
        <v>119.46801387403561</v>
      </c>
      <c r="N431" s="336">
        <f>Gasto_o_ing_per_capita!N431*100/Gasto_o_ing_per_capita!$D431</f>
        <v>93.221992061547112</v>
      </c>
      <c r="O431" s="336">
        <f>Gasto_o_ing_per_capita!O431*100/Gasto_o_ing_per_capita!$D431</f>
        <v>80.796149160721242</v>
      </c>
      <c r="P431" s="336">
        <f>Gasto_o_ing_per_capita!P431*100/Gasto_o_ing_per_capita!$D431</f>
        <v>93.831990498315548</v>
      </c>
      <c r="Q431" s="336">
        <f>Gasto_o_ing_per_capita!Q431*100/Gasto_o_ing_per_capita!$D431</f>
        <v>114.93770896101388</v>
      </c>
      <c r="R431" s="336">
        <f>Gasto_o_ing_per_capita!R431*100/Gasto_o_ing_per_capita!$D431</f>
        <v>99.910334255605108</v>
      </c>
      <c r="S431" s="336">
        <f>Gasto_o_ing_per_capita!S431*100/Gasto_o_ing_per_capita!$D431</f>
        <v>115.04836094698962</v>
      </c>
      <c r="T431" s="336">
        <f>Gasto_o_ing_per_capita!T431*100/Gasto_o_ing_per_capita!$D431</f>
        <v>115.54598322712104</v>
      </c>
      <c r="U431" s="336">
        <f>Gasto_o_ing_per_capita!U431*100/Gasto_o_ing_per_capita!$D431</f>
        <v>109.68822809772062</v>
      </c>
      <c r="V431" s="336">
        <f>Gasto_o_ing_per_capita!V431*100/Gasto_o_ing_per_capita!$D431</f>
        <v>63.222128328992881</v>
      </c>
    </row>
    <row r="432" spans="1:22" s="102" customFormat="1" ht="13.15">
      <c r="A432" s="355" t="str">
        <f>IF(B432="","",(IF(ISERROR(MATCH(B432,Tot_res!C:C,0)),"Eliminar!!!","")))</f>
        <v/>
      </c>
      <c r="B432" s="115" t="s">
        <v>405</v>
      </c>
      <c r="C432" s="333" t="str">
        <f>VLOOKUP(B432,Tot_res!C:D,2,FALSE)</f>
        <v>Administración de las relaciones laborales y condiciones de trabajo</v>
      </c>
      <c r="D432" s="336">
        <f>Gasto_o_ing_per_capita!D432*100/Gasto_o_ing_per_capita!$D432</f>
        <v>100</v>
      </c>
      <c r="E432" s="336">
        <f>Gasto_o_ing_per_capita!E432*100/Gasto_o_ing_per_capita!$D432</f>
        <v>60.477045982100179</v>
      </c>
      <c r="F432" s="336">
        <f>Gasto_o_ing_per_capita!F432*100/Gasto_o_ing_per_capita!$D432</f>
        <v>79.634082180022801</v>
      </c>
      <c r="G432" s="336">
        <f>Gasto_o_ing_per_capita!G432*100/Gasto_o_ing_per_capita!$D432</f>
        <v>306.70921528463833</v>
      </c>
      <c r="H432" s="336">
        <f>Gasto_o_ing_per_capita!H432*100/Gasto_o_ing_per_capita!$D432</f>
        <v>125.64052943863491</v>
      </c>
      <c r="I432" s="336">
        <f>Gasto_o_ing_per_capita!I432*100/Gasto_o_ing_per_capita!$D432</f>
        <v>83.014126335818091</v>
      </c>
      <c r="J432" s="336">
        <f>Gasto_o_ing_per_capita!J432*100/Gasto_o_ing_per_capita!$D432</f>
        <v>69.753918251045135</v>
      </c>
      <c r="K432" s="336">
        <f>Gasto_o_ing_per_capita!K432*100/Gasto_o_ing_per_capita!$D432</f>
        <v>71.981996774249993</v>
      </c>
      <c r="L432" s="336">
        <f>Gasto_o_ing_per_capita!L432*100/Gasto_o_ing_per_capita!$D432</f>
        <v>62.219149221171222</v>
      </c>
      <c r="M432" s="336">
        <f>Gasto_o_ing_per_capita!M432*100/Gasto_o_ing_per_capita!$D432</f>
        <v>93.176251089590025</v>
      </c>
      <c r="N432" s="336">
        <f>Gasto_o_ing_per_capita!N432*100/Gasto_o_ing_per_capita!$D432</f>
        <v>80.845015706160453</v>
      </c>
      <c r="O432" s="336">
        <f>Gasto_o_ing_per_capita!O432*100/Gasto_o_ing_per_capita!$D432</f>
        <v>58.858298830392691</v>
      </c>
      <c r="P432" s="336">
        <f>Gasto_o_ing_per_capita!P432*100/Gasto_o_ing_per_capita!$D432</f>
        <v>143.01232075745691</v>
      </c>
      <c r="Q432" s="336">
        <f>Gasto_o_ing_per_capita!Q432*100/Gasto_o_ing_per_capita!$D432</f>
        <v>175.38480591195332</v>
      </c>
      <c r="R432" s="336">
        <f>Gasto_o_ing_per_capita!R432*100/Gasto_o_ing_per_capita!$D432</f>
        <v>70.795446247696731</v>
      </c>
      <c r="S432" s="336">
        <f>Gasto_o_ing_per_capita!S432*100/Gasto_o_ing_per_capita!$D432</f>
        <v>84.222787937097337</v>
      </c>
      <c r="T432" s="336">
        <f>Gasto_o_ing_per_capita!T432*100/Gasto_o_ing_per_capita!$D432</f>
        <v>85.506356576570866</v>
      </c>
      <c r="U432" s="336">
        <f>Gasto_o_ing_per_capita!U432*100/Gasto_o_ing_per_capita!$D432</f>
        <v>76.29103899086914</v>
      </c>
      <c r="V432" s="336">
        <f>Gasto_o_ing_per_capita!V432*100/Gasto_o_ing_per_capita!$D432</f>
        <v>63.197925451890328</v>
      </c>
    </row>
    <row r="433" spans="1:22" s="102" customFormat="1" ht="13.15">
      <c r="A433" s="355" t="str">
        <f>IF(B433="","",(IF(ISERROR(MATCH(B433,Tot_res!C:C,0)),"Eliminar!!!","")))</f>
        <v/>
      </c>
      <c r="B433" s="115" t="s">
        <v>900</v>
      </c>
      <c r="C433" s="333" t="str">
        <f>VLOOKUP(B433,Tot_res!C:D,2,FALSE)</f>
        <v xml:space="preserve"> Previsión y política económica, subvenciones a préstamos ICO </v>
      </c>
      <c r="D433" s="336">
        <f>Gasto_o_ing_per_capita!D433*100/Gasto_o_ing_per_capita!$D433</f>
        <v>100</v>
      </c>
      <c r="E433" s="336">
        <f>Gasto_o_ing_per_capita!E433*100/Gasto_o_ing_per_capita!$D433</f>
        <v>74.98541684906958</v>
      </c>
      <c r="F433" s="336">
        <f>Gasto_o_ing_per_capita!F433*100/Gasto_o_ing_per_capita!$D433</f>
        <v>111.36349278289823</v>
      </c>
      <c r="G433" s="336">
        <f>Gasto_o_ing_per_capita!G433*100/Gasto_o_ing_per_capita!$D433</f>
        <v>88.650372727585463</v>
      </c>
      <c r="H433" s="336">
        <f>Gasto_o_ing_per_capita!H433*100/Gasto_o_ing_per_capita!$D433</f>
        <v>106.29985464873445</v>
      </c>
      <c r="I433" s="336">
        <f>Gasto_o_ing_per_capita!I433*100/Gasto_o_ing_per_capita!$D433</f>
        <v>86.279688517805582</v>
      </c>
      <c r="J433" s="336">
        <f>Gasto_o_ing_per_capita!J433*100/Gasto_o_ing_per_capita!$D433</f>
        <v>90.758063965232978</v>
      </c>
      <c r="K433" s="336">
        <f>Gasto_o_ing_per_capita!K433*100/Gasto_o_ing_per_capita!$D433</f>
        <v>94.698773705798061</v>
      </c>
      <c r="L433" s="336">
        <f>Gasto_o_ing_per_capita!L433*100/Gasto_o_ing_per_capita!$D433</f>
        <v>80.319012573344054</v>
      </c>
      <c r="M433" s="336">
        <f>Gasto_o_ing_per_capita!M433*100/Gasto_o_ing_per_capita!$D433</f>
        <v>117.45876740729632</v>
      </c>
      <c r="N433" s="336">
        <f>Gasto_o_ing_per_capita!N433*100/Gasto_o_ing_per_capita!$D433</f>
        <v>86.356443043223621</v>
      </c>
      <c r="O433" s="336">
        <f>Gasto_o_ing_per_capita!O433*100/Gasto_o_ing_per_capita!$D433</f>
        <v>69.646109887288347</v>
      </c>
      <c r="P433" s="336">
        <f>Gasto_o_ing_per_capita!P433*100/Gasto_o_ing_per_capita!$D433</f>
        <v>89.070173168059355</v>
      </c>
      <c r="Q433" s="336">
        <f>Gasto_o_ing_per_capita!Q433*100/Gasto_o_ing_per_capita!$D433</f>
        <v>136.40523469545889</v>
      </c>
      <c r="R433" s="336">
        <f>Gasto_o_ing_per_capita!R433*100/Gasto_o_ing_per_capita!$D433</f>
        <v>82.651173507402703</v>
      </c>
      <c r="S433" s="336">
        <f>Gasto_o_ing_per_capita!S433*100/Gasto_o_ing_per_capita!$D433</f>
        <v>123.75487212103697</v>
      </c>
      <c r="T433" s="336">
        <f>Gasto_o_ing_per_capita!T433*100/Gasto_o_ing_per_capita!$D433</f>
        <v>130.05540464792051</v>
      </c>
      <c r="U433" s="336">
        <f>Gasto_o_ing_per_capita!U433*100/Gasto_o_ing_per_capita!$D433</f>
        <v>107.71423402500376</v>
      </c>
      <c r="V433" s="336">
        <f>Gasto_o_ing_per_capita!V433*100/Gasto_o_ing_per_capita!$D433</f>
        <v>80.226332170077754</v>
      </c>
    </row>
    <row r="434" spans="1:22" s="102" customFormat="1" ht="13.15">
      <c r="A434" s="355" t="str">
        <f>IF(B434="","",(IF(ISERROR(MATCH(B434,Tot_res!C:C,0)),"Eliminar!!!","")))</f>
        <v/>
      </c>
      <c r="B434" s="115" t="s">
        <v>902</v>
      </c>
      <c r="C434" s="333" t="str">
        <f>VLOOKUP(B434,Tot_res!C:D,2,FALSE)</f>
        <v>Otros Servicios Sociales, formación y gestión del empleo y del desempleo, ISM</v>
      </c>
      <c r="D434" s="336">
        <f>Gasto_o_ing_per_capita!D434*100/Gasto_o_ing_per_capita!$D434</f>
        <v>100</v>
      </c>
      <c r="E434" s="336">
        <f>Gasto_o_ing_per_capita!E434*100/Gasto_o_ing_per_capita!$D434</f>
        <v>139.1391611475384</v>
      </c>
      <c r="F434" s="336">
        <f>Gasto_o_ing_per_capita!F434*100/Gasto_o_ing_per_capita!$D434</f>
        <v>0</v>
      </c>
      <c r="G434" s="336">
        <f>Gasto_o_ing_per_capita!G434*100/Gasto_o_ing_per_capita!$D434</f>
        <v>82.556359854004867</v>
      </c>
      <c r="H434" s="336">
        <f>Gasto_o_ing_per_capita!H434*100/Gasto_o_ing_per_capita!$D434</f>
        <v>76.935864527268095</v>
      </c>
      <c r="I434" s="336">
        <f>Gasto_o_ing_per_capita!I434*100/Gasto_o_ing_per_capita!$D434</f>
        <v>370.7840438012002</v>
      </c>
      <c r="J434" s="336">
        <f>Gasto_o_ing_per_capita!J434*100/Gasto_o_ing_per_capita!$D434</f>
        <v>101.6486425205312</v>
      </c>
      <c r="K434" s="336">
        <f>Gasto_o_ing_per_capita!K434*100/Gasto_o_ing_per_capita!$D434</f>
        <v>0</v>
      </c>
      <c r="L434" s="336">
        <f>Gasto_o_ing_per_capita!L434*100/Gasto_o_ing_per_capita!$D434</f>
        <v>0</v>
      </c>
      <c r="M434" s="336">
        <f>Gasto_o_ing_per_capita!M434*100/Gasto_o_ing_per_capita!$D434</f>
        <v>13.487567216645836</v>
      </c>
      <c r="N434" s="336">
        <f>Gasto_o_ing_per_capita!N434*100/Gasto_o_ing_per_capita!$D434</f>
        <v>57.898621675628412</v>
      </c>
      <c r="O434" s="336">
        <f>Gasto_o_ing_per_capita!O434*100/Gasto_o_ing_per_capita!$D434</f>
        <v>0</v>
      </c>
      <c r="P434" s="336">
        <f>Gasto_o_ing_per_capita!P434*100/Gasto_o_ing_per_capita!$D434</f>
        <v>603.57312232245556</v>
      </c>
      <c r="Q434" s="336">
        <f>Gasto_o_ing_per_capita!Q434*100/Gasto_o_ing_per_capita!$D434</f>
        <v>19.263767558316644</v>
      </c>
      <c r="R434" s="336">
        <f>Gasto_o_ing_per_capita!R434*100/Gasto_o_ing_per_capita!$D434</f>
        <v>55.976668891798255</v>
      </c>
      <c r="S434" s="336">
        <f>Gasto_o_ing_per_capita!S434*100/Gasto_o_ing_per_capita!$D434</f>
        <v>0</v>
      </c>
      <c r="T434" s="336">
        <f>Gasto_o_ing_per_capita!T434*100/Gasto_o_ing_per_capita!$D434</f>
        <v>81.59225073470985</v>
      </c>
      <c r="U434" s="336">
        <f>Gasto_o_ing_per_capita!U434*100/Gasto_o_ing_per_capita!$D434</f>
        <v>0</v>
      </c>
      <c r="V434" s="336">
        <f>Gasto_o_ing_per_capita!V434*100/Gasto_o_ing_per_capita!$D434</f>
        <v>371.57916776127314</v>
      </c>
    </row>
    <row r="435" spans="1:22" s="102" customFormat="1" ht="13.15">
      <c r="A435" s="355" t="str">
        <f>IF(B435="","",(IF(ISERROR(MATCH(B435,Tot_res!C:C,0)),"Eliminar!!!","")))</f>
        <v/>
      </c>
      <c r="B435" s="115" t="s">
        <v>903</v>
      </c>
      <c r="C435" s="333" t="str">
        <f>VLOOKUP(B435,Tot_res!C:D,2,FALSE)</f>
        <v>ISM, formación  + AF20/2</v>
      </c>
      <c r="D435" s="336">
        <f>Gasto_o_ing_per_capita!D435*100/Gasto_o_ing_per_capita!$D435</f>
        <v>100</v>
      </c>
      <c r="E435" s="336">
        <f>Gasto_o_ing_per_capita!E435*100/Gasto_o_ing_per_capita!$D435</f>
        <v>178.07497089042118</v>
      </c>
      <c r="F435" s="336">
        <f>Gasto_o_ing_per_capita!F435*100/Gasto_o_ing_per_capita!$D435</f>
        <v>0</v>
      </c>
      <c r="G435" s="336">
        <f>Gasto_o_ing_per_capita!G435*100/Gasto_o_ing_per_capita!$D435</f>
        <v>231.11856142782261</v>
      </c>
      <c r="H435" s="336">
        <f>Gasto_o_ing_per_capita!H435*100/Gasto_o_ing_per_capita!$D435</f>
        <v>142.39972834053705</v>
      </c>
      <c r="I435" s="336">
        <f>Gasto_o_ing_per_capita!I435*100/Gasto_o_ing_per_capita!$D435</f>
        <v>81.957855529750063</v>
      </c>
      <c r="J435" s="336">
        <f>Gasto_o_ing_per_capita!J435*100/Gasto_o_ing_per_capita!$D435</f>
        <v>34.845487063994391</v>
      </c>
      <c r="K435" s="336">
        <f>Gasto_o_ing_per_capita!K435*100/Gasto_o_ing_per_capita!$D435</f>
        <v>0</v>
      </c>
      <c r="L435" s="336">
        <f>Gasto_o_ing_per_capita!L435*100/Gasto_o_ing_per_capita!$D435</f>
        <v>0</v>
      </c>
      <c r="M435" s="336">
        <f>Gasto_o_ing_per_capita!M435*100/Gasto_o_ing_per_capita!$D435</f>
        <v>37.532613632123685</v>
      </c>
      <c r="N435" s="336">
        <f>Gasto_o_ing_per_capita!N435*100/Gasto_o_ing_per_capita!$D435</f>
        <v>59.096113052610562</v>
      </c>
      <c r="O435" s="336">
        <f>Gasto_o_ing_per_capita!O435*100/Gasto_o_ing_per_capita!$D435</f>
        <v>0</v>
      </c>
      <c r="P435" s="336">
        <f>Gasto_o_ing_per_capita!P435*100/Gasto_o_ing_per_capita!$D435</f>
        <v>610.96880609685752</v>
      </c>
      <c r="Q435" s="336">
        <f>Gasto_o_ing_per_capita!Q435*100/Gasto_o_ing_per_capita!$D435</f>
        <v>0</v>
      </c>
      <c r="R435" s="336">
        <f>Gasto_o_ing_per_capita!R435*100/Gasto_o_ing_per_capita!$D435</f>
        <v>8.9602869662315534</v>
      </c>
      <c r="S435" s="336">
        <f>Gasto_o_ing_per_capita!S435*100/Gasto_o_ing_per_capita!$D435</f>
        <v>0</v>
      </c>
      <c r="T435" s="336">
        <f>Gasto_o_ing_per_capita!T435*100/Gasto_o_ing_per_capita!$D435</f>
        <v>145.31939792185844</v>
      </c>
      <c r="U435" s="336">
        <f>Gasto_o_ing_per_capita!U435*100/Gasto_o_ing_per_capita!$D435</f>
        <v>0</v>
      </c>
      <c r="V435" s="336">
        <f>Gasto_o_ing_per_capita!V435*100/Gasto_o_ing_per_capita!$D435</f>
        <v>0</v>
      </c>
    </row>
    <row r="436" spans="1:22" s="102" customFormat="1" ht="13.15">
      <c r="A436" s="355" t="str">
        <f>IF(B436="","",(IF(ISERROR(MATCH(B436,Tot_res!C:C,0)),"Eliminar!!!","")))</f>
        <v/>
      </c>
      <c r="B436" s="115" t="s">
        <v>406</v>
      </c>
      <c r="C436" s="333" t="str">
        <f>VLOOKUP(B436,Tot_res!C:D,2,FALSE)</f>
        <v>Gestión de la formación continua + AF20/3</v>
      </c>
      <c r="D436" s="336">
        <f>Gasto_o_ing_per_capita!D436*100/Gasto_o_ing_per_capita!$D436</f>
        <v>100</v>
      </c>
      <c r="E436" s="336">
        <f>Gasto_o_ing_per_capita!E436*100/Gasto_o_ing_per_capita!$D436</f>
        <v>111.42112553869697</v>
      </c>
      <c r="F436" s="336">
        <f>Gasto_o_ing_per_capita!F436*100/Gasto_o_ing_per_capita!$D436</f>
        <v>227.99825720361341</v>
      </c>
      <c r="G436" s="336">
        <f>Gasto_o_ing_per_capita!G436*100/Gasto_o_ing_per_capita!$D436</f>
        <v>0</v>
      </c>
      <c r="H436" s="336">
        <f>Gasto_o_ing_per_capita!H436*100/Gasto_o_ing_per_capita!$D436</f>
        <v>208.757381129772</v>
      </c>
      <c r="I436" s="336">
        <f>Gasto_o_ing_per_capita!I436*100/Gasto_o_ing_per_capita!$D436</f>
        <v>172.65815016876934</v>
      </c>
      <c r="J436" s="336">
        <f>Gasto_o_ing_per_capita!J436*100/Gasto_o_ing_per_capita!$D436</f>
        <v>230.07898942047245</v>
      </c>
      <c r="K436" s="336">
        <f>Gasto_o_ing_per_capita!K436*100/Gasto_o_ing_per_capita!$D436</f>
        <v>155.18765595365991</v>
      </c>
      <c r="L436" s="336">
        <f>Gasto_o_ing_per_capita!L436*100/Gasto_o_ing_per_capita!$D436</f>
        <v>0</v>
      </c>
      <c r="M436" s="336">
        <f>Gasto_o_ing_per_capita!M436*100/Gasto_o_ing_per_capita!$D436</f>
        <v>131.02350497193811</v>
      </c>
      <c r="N436" s="336">
        <f>Gasto_o_ing_per_capita!N436*100/Gasto_o_ing_per_capita!$D436</f>
        <v>0</v>
      </c>
      <c r="O436" s="336">
        <f>Gasto_o_ing_per_capita!O436*100/Gasto_o_ing_per_capita!$D436</f>
        <v>200.17278169530411</v>
      </c>
      <c r="P436" s="336">
        <f>Gasto_o_ing_per_capita!P436*100/Gasto_o_ing_per_capita!$D436</f>
        <v>159.93092166743898</v>
      </c>
      <c r="Q436" s="336">
        <f>Gasto_o_ing_per_capita!Q436*100/Gasto_o_ing_per_capita!$D436</f>
        <v>0</v>
      </c>
      <c r="R436" s="336">
        <f>Gasto_o_ing_per_capita!R436*100/Gasto_o_ing_per_capita!$D436</f>
        <v>177.96044558212807</v>
      </c>
      <c r="S436" s="336">
        <f>Gasto_o_ing_per_capita!S436*100/Gasto_o_ing_per_capita!$D436</f>
        <v>0</v>
      </c>
      <c r="T436" s="336">
        <f>Gasto_o_ing_per_capita!T436*100/Gasto_o_ing_per_capita!$D436</f>
        <v>148.4892052565435</v>
      </c>
      <c r="U436" s="336">
        <f>Gasto_o_ing_per_capita!U436*100/Gasto_o_ing_per_capita!$D436</f>
        <v>298.3811134050564</v>
      </c>
      <c r="V436" s="336">
        <f>Gasto_o_ing_per_capita!V436*100/Gasto_o_ing_per_capita!$D436</f>
        <v>0</v>
      </c>
    </row>
    <row r="437" spans="1:22" s="102" customFormat="1" ht="13.15">
      <c r="A437" s="356"/>
      <c r="B437" s="115"/>
      <c r="C437" s="138"/>
      <c r="D437" s="110"/>
      <c r="E437" s="110"/>
      <c r="F437" s="110"/>
      <c r="G437" s="110"/>
      <c r="H437" s="110"/>
      <c r="I437" s="110"/>
      <c r="J437" s="110"/>
      <c r="K437" s="110"/>
      <c r="L437" s="110"/>
      <c r="M437" s="110"/>
      <c r="N437" s="110"/>
      <c r="O437" s="110"/>
      <c r="P437" s="110"/>
      <c r="Q437" s="110"/>
      <c r="R437" s="110"/>
      <c r="S437" s="110"/>
      <c r="T437" s="110"/>
      <c r="U437" s="110"/>
      <c r="V437" s="110"/>
    </row>
    <row r="438" spans="1:22" s="102" customFormat="1" ht="13.15">
      <c r="A438" s="356"/>
      <c r="B438" s="115"/>
      <c r="C438" s="128" t="s">
        <v>75</v>
      </c>
      <c r="D438" s="113">
        <f>Gasto_o_ing_per_capita!D438*100/Gasto_o_ing_per_capita!$D438</f>
        <v>100.00000000000001</v>
      </c>
      <c r="E438" s="113">
        <f>Gasto_o_ing_per_capita!E438*100/Gasto_o_ing_per_capita!$D438</f>
        <v>94.180440416483208</v>
      </c>
      <c r="F438" s="113">
        <f>Gasto_o_ing_per_capita!F438*100/Gasto_o_ing_per_capita!$D438</f>
        <v>248.06981521761111</v>
      </c>
      <c r="G438" s="113">
        <f>Gasto_o_ing_per_capita!G438*100/Gasto_o_ing_per_capita!$D438</f>
        <v>60.054645454517321</v>
      </c>
      <c r="H438" s="113">
        <f>Gasto_o_ing_per_capita!H438*100/Gasto_o_ing_per_capita!$D438</f>
        <v>22.653394948050611</v>
      </c>
      <c r="I438" s="113">
        <f>Gasto_o_ing_per_capita!I438*100/Gasto_o_ing_per_capita!$D438</f>
        <v>93.510463367989999</v>
      </c>
      <c r="J438" s="113">
        <f>Gasto_o_ing_per_capita!J438*100/Gasto_o_ing_per_capita!$D438</f>
        <v>87.383162868873654</v>
      </c>
      <c r="K438" s="113">
        <f>Gasto_o_ing_per_capita!K438*100/Gasto_o_ing_per_capita!$D438</f>
        <v>375.39401184200153</v>
      </c>
      <c r="L438" s="113">
        <f>Gasto_o_ing_per_capita!L438*100/Gasto_o_ing_per_capita!$D438</f>
        <v>398.69282655005293</v>
      </c>
      <c r="M438" s="113">
        <f>Gasto_o_ing_per_capita!M438*100/Gasto_o_ing_per_capita!$D438</f>
        <v>32.803514803486486</v>
      </c>
      <c r="N438" s="113">
        <f>Gasto_o_ing_per_capita!N438*100/Gasto_o_ing_per_capita!$D438</f>
        <v>29.159599587814441</v>
      </c>
      <c r="O438" s="113">
        <f>Gasto_o_ing_per_capita!O438*100/Gasto_o_ing_per_capita!$D438</f>
        <v>395.84331309388631</v>
      </c>
      <c r="P438" s="113">
        <f>Gasto_o_ing_per_capita!P438*100/Gasto_o_ing_per_capita!$D438</f>
        <v>107.03027671785723</v>
      </c>
      <c r="Q438" s="113">
        <f>Gasto_o_ing_per_capita!Q438*100/Gasto_o_ing_per_capita!$D438</f>
        <v>5.9546819005058733</v>
      </c>
      <c r="R438" s="113">
        <f>Gasto_o_ing_per_capita!R438*100/Gasto_o_ing_per_capita!$D438</f>
        <v>79.389807985300749</v>
      </c>
      <c r="S438" s="113">
        <f>Gasto_o_ing_per_capita!S438*100/Gasto_o_ing_per_capita!$D438</f>
        <v>127.38941499577538</v>
      </c>
      <c r="T438" s="113">
        <f>Gasto_o_ing_per_capita!T438*100/Gasto_o_ing_per_capita!$D438</f>
        <v>24.129151132815441</v>
      </c>
      <c r="U438" s="113">
        <f>Gasto_o_ing_per_capita!U438*100/Gasto_o_ing_per_capita!$D438</f>
        <v>128.22654430953676</v>
      </c>
      <c r="V438" s="113">
        <f>Gasto_o_ing_per_capita!V438*100/Gasto_o_ing_per_capita!$D438</f>
        <v>5.2536335909960981</v>
      </c>
    </row>
    <row r="439" spans="1:22" s="102" customFormat="1" ht="13.15">
      <c r="A439" s="355" t="str">
        <f>IF(B439="","",(IF(ISERROR(MATCH(B439,Tot_res!C:C,0)),"Eliminar!!!","")))</f>
        <v/>
      </c>
      <c r="B439" s="115" t="s">
        <v>482</v>
      </c>
      <c r="C439" s="333" t="str">
        <f>VLOOKUP(B439,Tot_res!C:D,2,FALSE)</f>
        <v>Competitividad y calidad de la producción y los mercados agrarios + AF22/1</v>
      </c>
      <c r="D439" s="336">
        <f>Gasto_o_ing_per_capita!D439*100/Gasto_o_ing_per_capita!$D439</f>
        <v>100</v>
      </c>
      <c r="E439" s="336">
        <f>Gasto_o_ing_per_capita!E439*100/Gasto_o_ing_per_capita!$D439</f>
        <v>113.82971835192556</v>
      </c>
      <c r="F439" s="336">
        <f>Gasto_o_ing_per_capita!F439*100/Gasto_o_ing_per_capita!$D439</f>
        <v>364.48249101157296</v>
      </c>
      <c r="G439" s="336">
        <f>Gasto_o_ing_per_capita!G439*100/Gasto_o_ing_per_capita!$D439</f>
        <v>76.876184299638112</v>
      </c>
      <c r="H439" s="336">
        <f>Gasto_o_ing_per_capita!H439*100/Gasto_o_ing_per_capita!$D439</f>
        <v>94.641605538345004</v>
      </c>
      <c r="I439" s="336">
        <f>Gasto_o_ing_per_capita!I439*100/Gasto_o_ing_per_capita!$D439</f>
        <v>31.693782199354832</v>
      </c>
      <c r="J439" s="336">
        <f>Gasto_o_ing_per_capita!J439*100/Gasto_o_ing_per_capita!$D439</f>
        <v>156.19006002579533</v>
      </c>
      <c r="K439" s="336">
        <f>Gasto_o_ing_per_capita!K439*100/Gasto_o_ing_per_capita!$D439</f>
        <v>181.79881790540603</v>
      </c>
      <c r="L439" s="336">
        <f>Gasto_o_ing_per_capita!L439*100/Gasto_o_ing_per_capita!$D439</f>
        <v>226.63865775502214</v>
      </c>
      <c r="M439" s="336">
        <f>Gasto_o_ing_per_capita!M439*100/Gasto_o_ing_per_capita!$D439</f>
        <v>50.293439967497484</v>
      </c>
      <c r="N439" s="336">
        <f>Gasto_o_ing_per_capita!N439*100/Gasto_o_ing_per_capita!$D439</f>
        <v>73.889775682854022</v>
      </c>
      <c r="O439" s="336">
        <f>Gasto_o_ing_per_capita!O439*100/Gasto_o_ing_per_capita!$D439</f>
        <v>231.02887664165135</v>
      </c>
      <c r="P439" s="336">
        <f>Gasto_o_ing_per_capita!P439*100/Gasto_o_ing_per_capita!$D439</f>
        <v>87.47700555023043</v>
      </c>
      <c r="Q439" s="336">
        <f>Gasto_o_ing_per_capita!Q439*100/Gasto_o_ing_per_capita!$D439</f>
        <v>8.9902435833339975</v>
      </c>
      <c r="R439" s="336">
        <f>Gasto_o_ing_per_capita!R439*100/Gasto_o_ing_per_capita!$D439</f>
        <v>214.61845145038527</v>
      </c>
      <c r="S439" s="336">
        <f>Gasto_o_ing_per_capita!S439*100/Gasto_o_ing_per_capita!$D439</f>
        <v>100.00000000000003</v>
      </c>
      <c r="T439" s="336">
        <f>Gasto_o_ing_per_capita!T439*100/Gasto_o_ing_per_capita!$D439</f>
        <v>100</v>
      </c>
      <c r="U439" s="336">
        <f>Gasto_o_ing_per_capita!U439*100/Gasto_o_ing_per_capita!$D439</f>
        <v>214.19411754004395</v>
      </c>
      <c r="V439" s="336">
        <f>Gasto_o_ing_per_capita!V439*100/Gasto_o_ing_per_capita!$D439</f>
        <v>0</v>
      </c>
    </row>
    <row r="440" spans="1:22" s="102" customFormat="1" ht="13.15">
      <c r="A440" s="355" t="str">
        <f>IF(B440="","",(IF(ISERROR(MATCH(B440,Tot_res!C:C,0)),"Eliminar!!!","")))</f>
        <v/>
      </c>
      <c r="B440" s="115" t="s">
        <v>484</v>
      </c>
      <c r="C440" s="333" t="str">
        <f>VLOOKUP(B440,Tot_res!C:D,2,FALSE)</f>
        <v>Competitividad y calidad de la sanidad agraria + AF22/2</v>
      </c>
      <c r="D440" s="336">
        <f>Gasto_o_ing_per_capita!D440*100/Gasto_o_ing_per_capita!$D440</f>
        <v>100</v>
      </c>
      <c r="E440" s="336">
        <f>Gasto_o_ing_per_capita!E440*100/Gasto_o_ing_per_capita!$D440</f>
        <v>60.276347540064506</v>
      </c>
      <c r="F440" s="336">
        <f>Gasto_o_ing_per_capita!F440*100/Gasto_o_ing_per_capita!$D440</f>
        <v>356.93357518232676</v>
      </c>
      <c r="G440" s="336">
        <f>Gasto_o_ing_per_capita!G440*100/Gasto_o_ing_per_capita!$D440</f>
        <v>111.63770345791053</v>
      </c>
      <c r="H440" s="336">
        <f>Gasto_o_ing_per_capita!H440*100/Gasto_o_ing_per_capita!$D440</f>
        <v>33.060113876401246</v>
      </c>
      <c r="I440" s="336">
        <f>Gasto_o_ing_per_capita!I440*100/Gasto_o_ing_per_capita!$D440</f>
        <v>21.557309588597708</v>
      </c>
      <c r="J440" s="336">
        <f>Gasto_o_ing_per_capita!J440*100/Gasto_o_ing_per_capita!$D440</f>
        <v>155.81825128357195</v>
      </c>
      <c r="K440" s="336">
        <f>Gasto_o_ing_per_capita!K440*100/Gasto_o_ing_per_capita!$D440</f>
        <v>267.83335932499972</v>
      </c>
      <c r="L440" s="336">
        <f>Gasto_o_ing_per_capita!L440*100/Gasto_o_ing_per_capita!$D440</f>
        <v>150.92381525466692</v>
      </c>
      <c r="M440" s="336">
        <f>Gasto_o_ing_per_capita!M440*100/Gasto_o_ing_per_capita!$D440</f>
        <v>84.257585256263653</v>
      </c>
      <c r="N440" s="336">
        <f>Gasto_o_ing_per_capita!N440*100/Gasto_o_ing_per_capita!$D440</f>
        <v>56.887141025996989</v>
      </c>
      <c r="O440" s="336">
        <f>Gasto_o_ing_per_capita!O440*100/Gasto_o_ing_per_capita!$D440</f>
        <v>274.14386231991796</v>
      </c>
      <c r="P440" s="336">
        <f>Gasto_o_ing_per_capita!P440*100/Gasto_o_ing_per_capita!$D440</f>
        <v>228.36476498617364</v>
      </c>
      <c r="Q440" s="336">
        <f>Gasto_o_ing_per_capita!Q440*100/Gasto_o_ing_per_capita!$D440</f>
        <v>15.00872108728815</v>
      </c>
      <c r="R440" s="336">
        <f>Gasto_o_ing_per_capita!R440*100/Gasto_o_ing_per_capita!$D440</f>
        <v>84.246883996904984</v>
      </c>
      <c r="S440" s="336">
        <f>Gasto_o_ing_per_capita!S440*100/Gasto_o_ing_per_capita!$D440</f>
        <v>100</v>
      </c>
      <c r="T440" s="336">
        <f>Gasto_o_ing_per_capita!T440*100/Gasto_o_ing_per_capita!$D440</f>
        <v>100</v>
      </c>
      <c r="U440" s="336">
        <f>Gasto_o_ing_per_capita!U440*100/Gasto_o_ing_per_capita!$D440</f>
        <v>74.650776285797207</v>
      </c>
      <c r="V440" s="336">
        <f>Gasto_o_ing_per_capita!V440*100/Gasto_o_ing_per_capita!$D440</f>
        <v>283.45496455710781</v>
      </c>
    </row>
    <row r="441" spans="1:22" s="102" customFormat="1" ht="13.15">
      <c r="A441" s="355" t="str">
        <f>IF(B441="","",(IF(ISERROR(MATCH(B441,Tot_res!C:C,0)),"Eliminar!!!","")))</f>
        <v/>
      </c>
      <c r="B441" s="115" t="s">
        <v>407</v>
      </c>
      <c r="C441" s="333" t="str">
        <f>VLOOKUP(B441,Tot_res!C:D,2,FALSE)</f>
        <v>Regulación de los mercados agrarios</v>
      </c>
      <c r="D441" s="336">
        <f>Gasto_o_ing_per_capita!D441*100/Gasto_o_ing_per_capita!$D441</f>
        <v>100</v>
      </c>
      <c r="E441" s="336">
        <f>Gasto_o_ing_per_capita!E441*100/Gasto_o_ing_per_capita!$D441</f>
        <v>98.1445488126664</v>
      </c>
      <c r="F441" s="336">
        <f>Gasto_o_ing_per_capita!F441*100/Gasto_o_ing_per_capita!$D441</f>
        <v>262.10706314363699</v>
      </c>
      <c r="G441" s="336">
        <f>Gasto_o_ing_per_capita!G441*100/Gasto_o_ing_per_capita!$D441</f>
        <v>41.999531998977709</v>
      </c>
      <c r="H441" s="336">
        <f>Gasto_o_ing_per_capita!H441*100/Gasto_o_ing_per_capita!$D441</f>
        <v>18.678148243971588</v>
      </c>
      <c r="I441" s="336">
        <f>Gasto_o_ing_per_capita!I441*100/Gasto_o_ing_per_capita!$D441</f>
        <v>109.23854288047296</v>
      </c>
      <c r="J441" s="336">
        <f>Gasto_o_ing_per_capita!J441*100/Gasto_o_ing_per_capita!$D441</f>
        <v>75.421107389169293</v>
      </c>
      <c r="K441" s="336">
        <f>Gasto_o_ing_per_capita!K441*100/Gasto_o_ing_per_capita!$D441</f>
        <v>412.61890779132034</v>
      </c>
      <c r="L441" s="336">
        <f>Gasto_o_ing_per_capita!L441*100/Gasto_o_ing_per_capita!$D441</f>
        <v>408.05040927385681</v>
      </c>
      <c r="M441" s="336">
        <f>Gasto_o_ing_per_capita!M441*100/Gasto_o_ing_per_capita!$D441</f>
        <v>31.002541500165794</v>
      </c>
      <c r="N441" s="336">
        <f>Gasto_o_ing_per_capita!N441*100/Gasto_o_ing_per_capita!$D441</f>
        <v>25.425962652149316</v>
      </c>
      <c r="O441" s="336">
        <f>Gasto_o_ing_per_capita!O441*100/Gasto_o_ing_per_capita!$D441</f>
        <v>374.87254491787212</v>
      </c>
      <c r="P441" s="336">
        <f>Gasto_o_ing_per_capita!P441*100/Gasto_o_ing_per_capita!$D441</f>
        <v>79.535701485780407</v>
      </c>
      <c r="Q441" s="336">
        <f>Gasto_o_ing_per_capita!Q441*100/Gasto_o_ing_per_capita!$D441</f>
        <v>4.9756212128724329</v>
      </c>
      <c r="R441" s="336">
        <f>Gasto_o_ing_per_capita!R441*100/Gasto_o_ing_per_capita!$D441</f>
        <v>69.735839192173259</v>
      </c>
      <c r="S441" s="336">
        <f>Gasto_o_ing_per_capita!S441*100/Gasto_o_ing_per_capita!$D441</f>
        <v>131.73232908716582</v>
      </c>
      <c r="T441" s="336">
        <f>Gasto_o_ing_per_capita!T441*100/Gasto_o_ing_per_capita!$D441</f>
        <v>18.974462074083011</v>
      </c>
      <c r="U441" s="336">
        <f>Gasto_o_ing_per_capita!U441*100/Gasto_o_ing_per_capita!$D441</f>
        <v>108.68703401194489</v>
      </c>
      <c r="V441" s="336">
        <f>Gasto_o_ing_per_capita!V441*100/Gasto_o_ing_per_capita!$D441</f>
        <v>0</v>
      </c>
    </row>
    <row r="442" spans="1:22" s="102" customFormat="1" ht="13.15">
      <c r="A442" s="355" t="str">
        <f>IF(B442="","",(IF(ISERROR(MATCH(B442,Tot_res!C:C,0)),"Eliminar!!!","")))</f>
        <v/>
      </c>
      <c r="B442" s="115" t="s">
        <v>408</v>
      </c>
      <c r="C442" s="333" t="str">
        <f>VLOOKUP(B442,Tot_res!C:D,2,FALSE)</f>
        <v>Competitividad industria agroalimentaria y calidad alimentaria + AF22/3</v>
      </c>
      <c r="D442" s="336">
        <f>Gasto_o_ing_per_capita!D442*100/Gasto_o_ing_per_capita!$D442</f>
        <v>100</v>
      </c>
      <c r="E442" s="336">
        <f>Gasto_o_ing_per_capita!E442*100/Gasto_o_ing_per_capita!$D442</f>
        <v>53.461296314469386</v>
      </c>
      <c r="F442" s="336">
        <f>Gasto_o_ing_per_capita!F442*100/Gasto_o_ing_per_capita!$D442</f>
        <v>96.690578661898343</v>
      </c>
      <c r="G442" s="336">
        <f>Gasto_o_ing_per_capita!G442*100/Gasto_o_ing_per_capita!$D442</f>
        <v>50.350973473002881</v>
      </c>
      <c r="H442" s="336">
        <f>Gasto_o_ing_per_capita!H442*100/Gasto_o_ing_per_capita!$D442</f>
        <v>9.7967027538052012</v>
      </c>
      <c r="I442" s="336">
        <f>Gasto_o_ing_per_capita!I442*100/Gasto_o_ing_per_capita!$D442</f>
        <v>29.981595378244457</v>
      </c>
      <c r="J442" s="336">
        <f>Gasto_o_ing_per_capita!J442*100/Gasto_o_ing_per_capita!$D442</f>
        <v>135.38344209050936</v>
      </c>
      <c r="K442" s="336">
        <f>Gasto_o_ing_per_capita!K442*100/Gasto_o_ing_per_capita!$D442</f>
        <v>152.66269381755728</v>
      </c>
      <c r="L442" s="336">
        <f>Gasto_o_ing_per_capita!L442*100/Gasto_o_ing_per_capita!$D442</f>
        <v>145.31721774622983</v>
      </c>
      <c r="M442" s="336">
        <f>Gasto_o_ing_per_capita!M442*100/Gasto_o_ing_per_capita!$D442</f>
        <v>133.51348539882937</v>
      </c>
      <c r="N442" s="336">
        <f>Gasto_o_ing_per_capita!N442*100/Gasto_o_ing_per_capita!$D442</f>
        <v>61.892808690528881</v>
      </c>
      <c r="O442" s="336">
        <f>Gasto_o_ing_per_capita!O442*100/Gasto_o_ing_per_capita!$D442</f>
        <v>116.09247846364651</v>
      </c>
      <c r="P442" s="336">
        <f>Gasto_o_ing_per_capita!P442*100/Gasto_o_ing_per_capita!$D442</f>
        <v>149.82576366710072</v>
      </c>
      <c r="Q442" s="336">
        <f>Gasto_o_ing_per_capita!Q442*100/Gasto_o_ing_per_capita!$D442</f>
        <v>130.80899896524681</v>
      </c>
      <c r="R442" s="336">
        <f>Gasto_o_ing_per_capita!R442*100/Gasto_o_ing_per_capita!$D442</f>
        <v>108.30008630697787</v>
      </c>
      <c r="S442" s="336">
        <f>Gasto_o_ing_per_capita!S442*100/Gasto_o_ing_per_capita!$D442</f>
        <v>100</v>
      </c>
      <c r="T442" s="336">
        <f>Gasto_o_ing_per_capita!T442*100/Gasto_o_ing_per_capita!$D442</f>
        <v>100</v>
      </c>
      <c r="U442" s="336">
        <f>Gasto_o_ing_per_capita!U442*100/Gasto_o_ing_per_capita!$D442</f>
        <v>223.68304262365999</v>
      </c>
      <c r="V442" s="336">
        <f>Gasto_o_ing_per_capita!V442*100/Gasto_o_ing_per_capita!$D442</f>
        <v>0</v>
      </c>
    </row>
    <row r="443" spans="1:22" s="102" customFormat="1" ht="13.15">
      <c r="A443" s="355" t="str">
        <f>IF(B443="","",(IF(ISERROR(MATCH(B443,Tot_res!C:C,0)),"Eliminar!!!","")))</f>
        <v/>
      </c>
      <c r="B443" s="115" t="s">
        <v>409</v>
      </c>
      <c r="C443" s="333" t="str">
        <f>VLOOKUP(B443,Tot_res!C:D,2,FALSE)</f>
        <v>Desarrollo del medio rural  + AF22/4</v>
      </c>
      <c r="D443" s="336">
        <f>Gasto_o_ing_per_capita!D443*100/Gasto_o_ing_per_capita!$D443</f>
        <v>99.999999999999986</v>
      </c>
      <c r="E443" s="336">
        <f>Gasto_o_ing_per_capita!E443*100/Gasto_o_ing_per_capita!$D443</f>
        <v>60.351472970859781</v>
      </c>
      <c r="F443" s="336">
        <f>Gasto_o_ing_per_capita!F443*100/Gasto_o_ing_per_capita!$D443</f>
        <v>182.45717690683088</v>
      </c>
      <c r="G443" s="336">
        <f>Gasto_o_ing_per_capita!G443*100/Gasto_o_ing_per_capita!$D443</f>
        <v>166.48225674557762</v>
      </c>
      <c r="H443" s="336">
        <f>Gasto_o_ing_per_capita!H443*100/Gasto_o_ing_per_capita!$D443</f>
        <v>37.718593237858848</v>
      </c>
      <c r="I443" s="336">
        <f>Gasto_o_ing_per_capita!I443*100/Gasto_o_ing_per_capita!$D443</f>
        <v>13.40246020833594</v>
      </c>
      <c r="J443" s="336">
        <f>Gasto_o_ing_per_capita!J443*100/Gasto_o_ing_per_capita!$D443</f>
        <v>150.87082385870647</v>
      </c>
      <c r="K443" s="336">
        <f>Gasto_o_ing_per_capita!K443*100/Gasto_o_ing_per_capita!$D443</f>
        <v>253.29484608251965</v>
      </c>
      <c r="L443" s="336">
        <f>Gasto_o_ing_per_capita!L443*100/Gasto_o_ing_per_capita!$D443</f>
        <v>440.3638233020132</v>
      </c>
      <c r="M443" s="336">
        <f>Gasto_o_ing_per_capita!M443*100/Gasto_o_ing_per_capita!$D443</f>
        <v>32.683577967418792</v>
      </c>
      <c r="N443" s="336">
        <f>Gasto_o_ing_per_capita!N443*100/Gasto_o_ing_per_capita!$D443</f>
        <v>35.920910006484618</v>
      </c>
      <c r="O443" s="336">
        <f>Gasto_o_ing_per_capita!O443*100/Gasto_o_ing_per_capita!$D443</f>
        <v>629.59530351197134</v>
      </c>
      <c r="P443" s="336">
        <f>Gasto_o_ing_per_capita!P443*100/Gasto_o_ing_per_capita!$D443</f>
        <v>189.51962472534009</v>
      </c>
      <c r="Q443" s="336">
        <f>Gasto_o_ing_per_capita!Q443*100/Gasto_o_ing_per_capita!$D443</f>
        <v>5.2878576728004205</v>
      </c>
      <c r="R443" s="336">
        <f>Gasto_o_ing_per_capita!R443*100/Gasto_o_ing_per_capita!$D443</f>
        <v>112.64268006985006</v>
      </c>
      <c r="S443" s="336">
        <f>Gasto_o_ing_per_capita!S443*100/Gasto_o_ing_per_capita!$D443</f>
        <v>106.93374546503873</v>
      </c>
      <c r="T443" s="336">
        <f>Gasto_o_ing_per_capita!T443*100/Gasto_o_ing_per_capita!$D443</f>
        <v>39.212365918501099</v>
      </c>
      <c r="U443" s="336">
        <f>Gasto_o_ing_per_capita!U443*100/Gasto_o_ing_per_capita!$D443</f>
        <v>163.88445916701056</v>
      </c>
      <c r="V443" s="336">
        <f>Gasto_o_ing_per_capita!V443*100/Gasto_o_ing_per_capita!$D443</f>
        <v>0</v>
      </c>
    </row>
    <row r="444" spans="1:22" s="102" customFormat="1" ht="13.15">
      <c r="A444" s="355" t="str">
        <f>IF(B444="","",(IF(ISERROR(MATCH(B444,Tot_res!C:C,0)),"Eliminar!!!","")))</f>
        <v/>
      </c>
      <c r="B444" s="115" t="s">
        <v>411</v>
      </c>
      <c r="C444" s="333" t="str">
        <f>VLOOKUP(B444,Tot_res!C:D,2,FALSE)</f>
        <v>Programa de desarrollo rural sostenible</v>
      </c>
      <c r="D444" s="336">
        <f>Gasto_o_ing_per_capita!D444*100/Gasto_o_ing_per_capita!$D444</f>
        <v>99.999999999999986</v>
      </c>
      <c r="E444" s="336">
        <f>Gasto_o_ing_per_capita!E444*100/Gasto_o_ing_per_capita!$D444</f>
        <v>0</v>
      </c>
      <c r="F444" s="336">
        <f>Gasto_o_ing_per_capita!F444*100/Gasto_o_ing_per_capita!$D444</f>
        <v>0</v>
      </c>
      <c r="G444" s="336">
        <f>Gasto_o_ing_per_capita!G444*100/Gasto_o_ing_per_capita!$D444</f>
        <v>0</v>
      </c>
      <c r="H444" s="336">
        <f>Gasto_o_ing_per_capita!H444*100/Gasto_o_ing_per_capita!$D444</f>
        <v>0</v>
      </c>
      <c r="I444" s="336">
        <f>Gasto_o_ing_per_capita!I444*100/Gasto_o_ing_per_capita!$D444</f>
        <v>0</v>
      </c>
      <c r="J444" s="336">
        <f>Gasto_o_ing_per_capita!J444*100/Gasto_o_ing_per_capita!$D444</f>
        <v>0</v>
      </c>
      <c r="K444" s="336">
        <f>Gasto_o_ing_per_capita!K444*100/Gasto_o_ing_per_capita!$D444</f>
        <v>46.490152154721812</v>
      </c>
      <c r="L444" s="336">
        <f>Gasto_o_ing_per_capita!L444*100/Gasto_o_ing_per_capita!$D444</f>
        <v>0</v>
      </c>
      <c r="M444" s="336">
        <f>Gasto_o_ing_per_capita!M444*100/Gasto_o_ing_per_capita!$D444</f>
        <v>0</v>
      </c>
      <c r="N444" s="336">
        <f>Gasto_o_ing_per_capita!N444*100/Gasto_o_ing_per_capita!$D444</f>
        <v>0</v>
      </c>
      <c r="O444" s="336">
        <f>Gasto_o_ing_per_capita!O444*100/Gasto_o_ing_per_capita!$D444</f>
        <v>0</v>
      </c>
      <c r="P444" s="336">
        <f>Gasto_o_ing_per_capita!P444*100/Gasto_o_ing_per_capita!$D444</f>
        <v>1438.541994557484</v>
      </c>
      <c r="Q444" s="336">
        <f>Gasto_o_ing_per_capita!Q444*100/Gasto_o_ing_per_capita!$D444</f>
        <v>0</v>
      </c>
      <c r="R444" s="336">
        <f>Gasto_o_ing_per_capita!R444*100/Gasto_o_ing_per_capita!$D444</f>
        <v>0</v>
      </c>
      <c r="S444" s="336">
        <f>Gasto_o_ing_per_capita!S444*100/Gasto_o_ing_per_capita!$D444</f>
        <v>0</v>
      </c>
      <c r="T444" s="336">
        <f>Gasto_o_ing_per_capita!T444*100/Gasto_o_ing_per_capita!$D444</f>
        <v>0</v>
      </c>
      <c r="U444" s="336">
        <f>Gasto_o_ing_per_capita!U444*100/Gasto_o_ing_per_capita!$D444</f>
        <v>1909.3454882517476</v>
      </c>
      <c r="V444" s="336">
        <f>Gasto_o_ing_per_capita!V444*100/Gasto_o_ing_per_capita!$D444</f>
        <v>0</v>
      </c>
    </row>
    <row r="445" spans="1:22" s="102" customFormat="1" ht="13.15">
      <c r="A445" s="355" t="str">
        <f>IF(B445="","",(IF(ISERROR(MATCH(B445,Tot_res!C:C,0)),"Eliminar!!!","")))</f>
        <v/>
      </c>
      <c r="B445" s="115" t="s">
        <v>412</v>
      </c>
      <c r="C445" s="333" t="str">
        <f>VLOOKUP(B445,Tot_res!C:D,2,FALSE)</f>
        <v>Protección de los recursos pesqueros y desarrollo sostenible</v>
      </c>
      <c r="D445" s="336">
        <f>Gasto_o_ing_per_capita!D445*100/Gasto_o_ing_per_capita!$D445</f>
        <v>100</v>
      </c>
      <c r="E445" s="336">
        <f>Gasto_o_ing_per_capita!E445*100/Gasto_o_ing_per_capita!$D445</f>
        <v>81.574613193715635</v>
      </c>
      <c r="F445" s="336">
        <f>Gasto_o_ing_per_capita!F445*100/Gasto_o_ing_per_capita!$D445</f>
        <v>0.17326164308897607</v>
      </c>
      <c r="G445" s="336">
        <f>Gasto_o_ing_per_capita!G445*100/Gasto_o_ing_per_capita!$D445</f>
        <v>136.42455414145664</v>
      </c>
      <c r="H445" s="336">
        <f>Gasto_o_ing_per_capita!H445*100/Gasto_o_ing_per_capita!$D445</f>
        <v>185.58690520853344</v>
      </c>
      <c r="I445" s="336">
        <f>Gasto_o_ing_per_capita!I445*100/Gasto_o_ing_per_capita!$D445</f>
        <v>110.94776531564143</v>
      </c>
      <c r="J445" s="336">
        <f>Gasto_o_ing_per_capita!J445*100/Gasto_o_ing_per_capita!$D445</f>
        <v>205.62325458547997</v>
      </c>
      <c r="K445" s="336">
        <f>Gasto_o_ing_per_capita!K445*100/Gasto_o_ing_per_capita!$D445</f>
        <v>0.43970824553754945</v>
      </c>
      <c r="L445" s="336">
        <f>Gasto_o_ing_per_capita!L445*100/Gasto_o_ing_per_capita!$D445</f>
        <v>0.18992117149692234</v>
      </c>
      <c r="M445" s="336">
        <f>Gasto_o_ing_per_capita!M445*100/Gasto_o_ing_per_capita!$D445</f>
        <v>46.416857300873176</v>
      </c>
      <c r="N445" s="336">
        <f>Gasto_o_ing_per_capita!N445*100/Gasto_o_ing_per_capita!$D445</f>
        <v>48.376422473352122</v>
      </c>
      <c r="O445" s="336">
        <f>Gasto_o_ing_per_capita!O445*100/Gasto_o_ing_per_capita!$D445</f>
        <v>0.2401474162638717</v>
      </c>
      <c r="P445" s="336">
        <f>Gasto_o_ing_per_capita!P445*100/Gasto_o_ing_per_capita!$D445</f>
        <v>706.18205242556439</v>
      </c>
      <c r="Q445" s="336">
        <f>Gasto_o_ing_per_capita!Q445*100/Gasto_o_ing_per_capita!$D445</f>
        <v>6.1864902303391291</v>
      </c>
      <c r="R445" s="336">
        <f>Gasto_o_ing_per_capita!R445*100/Gasto_o_ing_per_capita!$D445</f>
        <v>48.881105924297486</v>
      </c>
      <c r="S445" s="336">
        <f>Gasto_o_ing_per_capita!S445*100/Gasto_o_ing_per_capita!$D445</f>
        <v>0.20587064469330238</v>
      </c>
      <c r="T445" s="336">
        <f>Gasto_o_ing_per_capita!T445*100/Gasto_o_ing_per_capita!$D445</f>
        <v>157.61465691527084</v>
      </c>
      <c r="U445" s="336">
        <f>Gasto_o_ing_per_capita!U445*100/Gasto_o_ing_per_capita!$D445</f>
        <v>910.16199687396931</v>
      </c>
      <c r="V445" s="336">
        <f>Gasto_o_ing_per_capita!V445*100/Gasto_o_ing_per_capita!$D445</f>
        <v>52.750164263901155</v>
      </c>
    </row>
    <row r="446" spans="1:22" s="102" customFormat="1" ht="13.15">
      <c r="A446" s="355" t="str">
        <f>IF(B446="","",(IF(ISERROR(MATCH(B446,Tot_res!C:C,0)),"Eliminar!!!","")))</f>
        <v/>
      </c>
      <c r="B446" s="115" t="s">
        <v>413</v>
      </c>
      <c r="C446" s="333" t="str">
        <f>VLOOKUP(B446,Tot_res!C:D,2,FALSE)</f>
        <v>Mejora de estructuras y mercados pesqueros</v>
      </c>
      <c r="D446" s="336">
        <f>Gasto_o_ing_per_capita!D446*100/Gasto_o_ing_per_capita!$D446</f>
        <v>100</v>
      </c>
      <c r="E446" s="336">
        <f>Gasto_o_ing_per_capita!E446*100/Gasto_o_ing_per_capita!$D446</f>
        <v>117.73915798261677</v>
      </c>
      <c r="F446" s="336">
        <f>Gasto_o_ing_per_capita!F446*100/Gasto_o_ing_per_capita!$D446</f>
        <v>7.2577828674727982</v>
      </c>
      <c r="G446" s="336">
        <f>Gasto_o_ing_per_capita!G446*100/Gasto_o_ing_per_capita!$D446</f>
        <v>71.52717246120892</v>
      </c>
      <c r="H446" s="336">
        <f>Gasto_o_ing_per_capita!H446*100/Gasto_o_ing_per_capita!$D446</f>
        <v>36.933119969466659</v>
      </c>
      <c r="I446" s="336">
        <f>Gasto_o_ing_per_capita!I446*100/Gasto_o_ing_per_capita!$D446</f>
        <v>211.59824148430508</v>
      </c>
      <c r="J446" s="336">
        <f>Gasto_o_ing_per_capita!J446*100/Gasto_o_ing_per_capita!$D446</f>
        <v>266.36395651122211</v>
      </c>
      <c r="K446" s="336">
        <f>Gasto_o_ing_per_capita!K446*100/Gasto_o_ing_per_capita!$D446</f>
        <v>7.097249205962771</v>
      </c>
      <c r="L446" s="336">
        <f>Gasto_o_ing_per_capita!L446*100/Gasto_o_ing_per_capita!$D446</f>
        <v>3.0606423048787228</v>
      </c>
      <c r="M446" s="336">
        <f>Gasto_o_ing_per_capita!M446*100/Gasto_o_ing_per_capita!$D446</f>
        <v>26.135577795496896</v>
      </c>
      <c r="N446" s="336">
        <f>Gasto_o_ing_per_capita!N446*100/Gasto_o_ing_per_capita!$D446</f>
        <v>25.874525164110636</v>
      </c>
      <c r="O446" s="336">
        <f>Gasto_o_ing_per_capita!O446*100/Gasto_o_ing_per_capita!$D446</f>
        <v>2.7900395079304334</v>
      </c>
      <c r="P446" s="336">
        <f>Gasto_o_ing_per_capita!P446*100/Gasto_o_ing_per_capita!$D446</f>
        <v>741.21742569920002</v>
      </c>
      <c r="Q446" s="336">
        <f>Gasto_o_ing_per_capita!Q446*100/Gasto_o_ing_per_capita!$D446</f>
        <v>2.8744291980445604</v>
      </c>
      <c r="R446" s="336">
        <f>Gasto_o_ing_per_capita!R446*100/Gasto_o_ing_per_capita!$D446</f>
        <v>133.1414962439311</v>
      </c>
      <c r="S446" s="336">
        <f>Gasto_o_ing_per_capita!S446*100/Gasto_o_ing_per_capita!$D446</f>
        <v>6.7356484011824262</v>
      </c>
      <c r="T446" s="336">
        <f>Gasto_o_ing_per_capita!T446*100/Gasto_o_ing_per_capita!$D446</f>
        <v>60.583320826846879</v>
      </c>
      <c r="U446" s="336">
        <f>Gasto_o_ing_per_capita!U446*100/Gasto_o_ing_per_capita!$D446</f>
        <v>414.24662820698859</v>
      </c>
      <c r="V446" s="336">
        <f>Gasto_o_ing_per_capita!V446*100/Gasto_o_ing_per_capita!$D446</f>
        <v>531.99859016872097</v>
      </c>
    </row>
    <row r="447" spans="1:22" s="102" customFormat="1" ht="13.15">
      <c r="A447" s="355" t="str">
        <f>IF(B447="","",(IF(ISERROR(MATCH(B447,Tot_res!C:C,0)),"Eliminar!!!","")))</f>
        <v/>
      </c>
      <c r="B447" s="115" t="s">
        <v>415</v>
      </c>
      <c r="C447" s="333" t="str">
        <f>VLOOKUP(B447,Tot_res!C:D,2,FALSE)</f>
        <v>Previsión de riesgos en las producciones agrarias y pesqueras</v>
      </c>
      <c r="D447" s="336">
        <f>Gasto_o_ing_per_capita!D447*100/Gasto_o_ing_per_capita!$D447</f>
        <v>100</v>
      </c>
      <c r="E447" s="336">
        <f>Gasto_o_ing_per_capita!E447*100/Gasto_o_ing_per_capita!$D447</f>
        <v>149.88517319866054</v>
      </c>
      <c r="F447" s="336">
        <f>Gasto_o_ing_per_capita!F447*100/Gasto_o_ing_per_capita!$D447</f>
        <v>250.78366088178961</v>
      </c>
      <c r="G447" s="336">
        <f>Gasto_o_ing_per_capita!G447*100/Gasto_o_ing_per_capita!$D447</f>
        <v>46.547290341720519</v>
      </c>
      <c r="H447" s="336">
        <f>Gasto_o_ing_per_capita!H447*100/Gasto_o_ing_per_capita!$D447</f>
        <v>16.483995045803251</v>
      </c>
      <c r="I447" s="336">
        <f>Gasto_o_ing_per_capita!I447*100/Gasto_o_ing_per_capita!$D447</f>
        <v>51.416172231212116</v>
      </c>
      <c r="J447" s="336">
        <f>Gasto_o_ing_per_capita!J447*100/Gasto_o_ing_per_capita!$D447</f>
        <v>50.404334090192059</v>
      </c>
      <c r="K447" s="336">
        <f>Gasto_o_ing_per_capita!K447*100/Gasto_o_ing_per_capita!$D447</f>
        <v>172.50678785255076</v>
      </c>
      <c r="L447" s="336">
        <f>Gasto_o_ing_per_capita!L447*100/Gasto_o_ing_per_capita!$D447</f>
        <v>250.51332212203937</v>
      </c>
      <c r="M447" s="336">
        <f>Gasto_o_ing_per_capita!M447*100/Gasto_o_ing_per_capita!$D447</f>
        <v>51.298197107286398</v>
      </c>
      <c r="N447" s="336">
        <f>Gasto_o_ing_per_capita!N447*100/Gasto_o_ing_per_capita!$D447</f>
        <v>73.342966947067538</v>
      </c>
      <c r="O447" s="336">
        <f>Gasto_o_ing_per_capita!O447*100/Gasto_o_ing_per_capita!$D447</f>
        <v>164.30049294327426</v>
      </c>
      <c r="P447" s="336">
        <f>Gasto_o_ing_per_capita!P447*100/Gasto_o_ing_per_capita!$D447</f>
        <v>173.57776487904729</v>
      </c>
      <c r="Q447" s="336">
        <f>Gasto_o_ing_per_capita!Q447*100/Gasto_o_ing_per_capita!$D447</f>
        <v>4.9285347649211229</v>
      </c>
      <c r="R447" s="336">
        <f>Gasto_o_ing_per_capita!R447*100/Gasto_o_ing_per_capita!$D447</f>
        <v>156.2346336030065</v>
      </c>
      <c r="S447" s="336">
        <f>Gasto_o_ing_per_capita!S447*100/Gasto_o_ing_per_capita!$D447</f>
        <v>162.63055839601179</v>
      </c>
      <c r="T447" s="336">
        <f>Gasto_o_ing_per_capita!T447*100/Gasto_o_ing_per_capita!$D447</f>
        <v>36.097336782003801</v>
      </c>
      <c r="U447" s="336">
        <f>Gasto_o_ing_per_capita!U447*100/Gasto_o_ing_per_capita!$D447</f>
        <v>226.19024634935127</v>
      </c>
      <c r="V447" s="336">
        <f>Gasto_o_ing_per_capita!V447*100/Gasto_o_ing_per_capita!$D447</f>
        <v>3.7646342959489254</v>
      </c>
    </row>
    <row r="448" spans="1:22" s="102" customFormat="1" ht="13.15">
      <c r="A448" s="355" t="str">
        <f>IF(B448="","",(IF(ISERROR(MATCH(B448,Tot_res!C:C,0)),"Eliminar!!!","")))</f>
        <v/>
      </c>
      <c r="B448" s="115" t="s">
        <v>909</v>
      </c>
      <c r="C448" s="333" t="str">
        <f>VLOOKUP(B448,Tot_res!C:D,2,FALSE)</f>
        <v>Direc. y serv. grales. de agric., aliment. y medio amb., Medio Rural y Marino</v>
      </c>
      <c r="D448" s="336">
        <f>Gasto_o_ing_per_capita!D448*100/Gasto_o_ing_per_capita!$D448</f>
        <v>100.00000000000001</v>
      </c>
      <c r="E448" s="336">
        <f>Gasto_o_ing_per_capita!E448*100/Gasto_o_ing_per_capita!$D448</f>
        <v>98.576429188995377</v>
      </c>
      <c r="F448" s="336">
        <f>Gasto_o_ing_per_capita!F448*100/Gasto_o_ing_per_capita!$D448</f>
        <v>170.15700553767812</v>
      </c>
      <c r="G448" s="336">
        <f>Gasto_o_ing_per_capita!G448*100/Gasto_o_ing_per_capita!$D448</f>
        <v>76.861980097763123</v>
      </c>
      <c r="H448" s="336">
        <f>Gasto_o_ing_per_capita!H448*100/Gasto_o_ing_per_capita!$D448</f>
        <v>100.83798043618511</v>
      </c>
      <c r="I448" s="336">
        <f>Gasto_o_ing_per_capita!I448*100/Gasto_o_ing_per_capita!$D448</f>
        <v>89.929929238120948</v>
      </c>
      <c r="J448" s="336">
        <f>Gasto_o_ing_per_capita!J448*100/Gasto_o_ing_per_capita!$D448</f>
        <v>122.53531901002239</v>
      </c>
      <c r="K448" s="336">
        <f>Gasto_o_ing_per_capita!K448*100/Gasto_o_ing_per_capita!$D448</f>
        <v>236.85119830606453</v>
      </c>
      <c r="L448" s="336">
        <f>Gasto_o_ing_per_capita!L448*100/Gasto_o_ing_per_capita!$D448</f>
        <v>230.87224901919276</v>
      </c>
      <c r="M448" s="336">
        <f>Gasto_o_ing_per_capita!M448*100/Gasto_o_ing_per_capita!$D448</f>
        <v>62.590103356487788</v>
      </c>
      <c r="N448" s="336">
        <f>Gasto_o_ing_per_capita!N448*100/Gasto_o_ing_per_capita!$D448</f>
        <v>62.378186386056647</v>
      </c>
      <c r="O448" s="336">
        <f>Gasto_o_ing_per_capita!O448*100/Gasto_o_ing_per_capita!$D448</f>
        <v>259.34469590866212</v>
      </c>
      <c r="P448" s="336">
        <f>Gasto_o_ing_per_capita!P448*100/Gasto_o_ing_per_capita!$D448</f>
        <v>108.91619786845955</v>
      </c>
      <c r="Q448" s="336">
        <f>Gasto_o_ing_per_capita!Q448*100/Gasto_o_ing_per_capita!$D448</f>
        <v>56.056186607060333</v>
      </c>
      <c r="R448" s="336">
        <f>Gasto_o_ing_per_capita!R448*100/Gasto_o_ing_per_capita!$D448</f>
        <v>88.989092270359635</v>
      </c>
      <c r="S448" s="336">
        <f>Gasto_o_ing_per_capita!S448*100/Gasto_o_ing_per_capita!$D448</f>
        <v>104.142124263445</v>
      </c>
      <c r="T448" s="336">
        <f>Gasto_o_ing_per_capita!T448*100/Gasto_o_ing_per_capita!$D448</f>
        <v>59.025183255104118</v>
      </c>
      <c r="U448" s="336">
        <f>Gasto_o_ing_per_capita!U448*100/Gasto_o_ing_per_capita!$D448</f>
        <v>107.05442313741781</v>
      </c>
      <c r="V448" s="336">
        <f>Gasto_o_ing_per_capita!V448*100/Gasto_o_ing_per_capita!$D448</f>
        <v>46.32919403819556</v>
      </c>
    </row>
    <row r="449" spans="1:22" ht="13.15">
      <c r="A449" s="356"/>
      <c r="B449" s="9"/>
      <c r="C449" s="6"/>
      <c r="D449" s="19"/>
      <c r="E449" s="19"/>
      <c r="F449" s="19"/>
      <c r="G449" s="19"/>
      <c r="H449" s="19"/>
      <c r="I449" s="19"/>
      <c r="J449" s="19"/>
      <c r="K449" s="19"/>
      <c r="L449" s="19"/>
      <c r="M449" s="19"/>
      <c r="N449" s="19"/>
      <c r="O449" s="19"/>
      <c r="P449" s="19"/>
      <c r="Q449" s="19"/>
      <c r="R449" s="19"/>
      <c r="S449" s="19"/>
      <c r="T449" s="19"/>
      <c r="U449" s="19"/>
      <c r="V449" s="19"/>
    </row>
    <row r="450" spans="1:22" s="102" customFormat="1" ht="13.15">
      <c r="A450" s="356"/>
      <c r="B450" s="115"/>
      <c r="C450" s="128" t="s">
        <v>113</v>
      </c>
      <c r="D450" s="113">
        <f>Gasto_o_ing_per_capita!D450*100/Gasto_o_ing_per_capita!$D450</f>
        <v>100</v>
      </c>
      <c r="E450" s="113">
        <f>Gasto_o_ing_per_capita!E450*100/Gasto_o_ing_per_capita!$D450</f>
        <v>76.729278452693563</v>
      </c>
      <c r="F450" s="113">
        <f>Gasto_o_ing_per_capita!F450*100/Gasto_o_ing_per_capita!$D450</f>
        <v>128.09678955378772</v>
      </c>
      <c r="G450" s="113">
        <f>Gasto_o_ing_per_capita!G450*100/Gasto_o_ing_per_capita!$D450</f>
        <v>151.93621591046397</v>
      </c>
      <c r="H450" s="113">
        <f>Gasto_o_ing_per_capita!H450*100/Gasto_o_ing_per_capita!$D450</f>
        <v>103.55301533507438</v>
      </c>
      <c r="I450" s="113">
        <f>Gasto_o_ing_per_capita!I450*100/Gasto_o_ing_per_capita!$D450</f>
        <v>79.036341874930841</v>
      </c>
      <c r="J450" s="113">
        <f>Gasto_o_ing_per_capita!J450*100/Gasto_o_ing_per_capita!$D450</f>
        <v>129.39573677160951</v>
      </c>
      <c r="K450" s="113">
        <f>Gasto_o_ing_per_capita!K450*100/Gasto_o_ing_per_capita!$D450</f>
        <v>91.506687140426607</v>
      </c>
      <c r="L450" s="113">
        <f>Gasto_o_ing_per_capita!L450*100/Gasto_o_ing_per_capita!$D450</f>
        <v>87.628659119928074</v>
      </c>
      <c r="M450" s="113">
        <f>Gasto_o_ing_per_capita!M450*100/Gasto_o_ing_per_capita!$D450</f>
        <v>113.71997870467176</v>
      </c>
      <c r="N450" s="113">
        <f>Gasto_o_ing_per_capita!N450*100/Gasto_o_ing_per_capita!$D450</f>
        <v>86.9094826086193</v>
      </c>
      <c r="O450" s="113">
        <f>Gasto_o_ing_per_capita!O450*100/Gasto_o_ing_per_capita!$D450</f>
        <v>66.627558503508709</v>
      </c>
      <c r="P450" s="113">
        <f>Gasto_o_ing_per_capita!P450*100/Gasto_o_ing_per_capita!$D450</f>
        <v>147.16267965240974</v>
      </c>
      <c r="Q450" s="113">
        <f>Gasto_o_ing_per_capita!Q450*100/Gasto_o_ing_per_capita!$D450</f>
        <v>87.641621313543496</v>
      </c>
      <c r="R450" s="113">
        <f>Gasto_o_ing_per_capita!R450*100/Gasto_o_ing_per_capita!$D450</f>
        <v>101.35215982456063</v>
      </c>
      <c r="S450" s="113">
        <f>Gasto_o_ing_per_capita!S450*100/Gasto_o_ing_per_capita!$D450</f>
        <v>135.75315739504219</v>
      </c>
      <c r="T450" s="113">
        <f>Gasto_o_ing_per_capita!T450*100/Gasto_o_ing_per_capita!$D450</f>
        <v>149.81059677297461</v>
      </c>
      <c r="U450" s="113">
        <f>Gasto_o_ing_per_capita!U450*100/Gasto_o_ing_per_capita!$D450</f>
        <v>95.532606939843163</v>
      </c>
      <c r="V450" s="113">
        <f>Gasto_o_ing_per_capita!V450*100/Gasto_o_ing_per_capita!$D450</f>
        <v>41.863887826807471</v>
      </c>
    </row>
    <row r="451" spans="1:22" s="102" customFormat="1" ht="13.15">
      <c r="A451" s="355" t="str">
        <f>IF(B451="","",(IF(ISERROR(MATCH(B451,Tot_res!C:C,0)),"Eliminar!!!","")))</f>
        <v/>
      </c>
      <c r="B451" s="115" t="s">
        <v>417</v>
      </c>
      <c r="C451" s="333" t="str">
        <f>VLOOKUP(B451,Tot_res!C:D,2,FALSE)</f>
        <v>Dirección y servicios generales de industria y energía</v>
      </c>
      <c r="D451" s="336">
        <f>Gasto_o_ing_per_capita!D451*100/Gasto_o_ing_per_capita!$D451</f>
        <v>100.00000000000001</v>
      </c>
      <c r="E451" s="336">
        <f>Gasto_o_ing_per_capita!E451*100/Gasto_o_ing_per_capita!$D451</f>
        <v>50.585973337057929</v>
      </c>
      <c r="F451" s="336">
        <f>Gasto_o_ing_per_capita!F451*100/Gasto_o_ing_per_capita!$D451</f>
        <v>104.85859187917121</v>
      </c>
      <c r="G451" s="336">
        <f>Gasto_o_ing_per_capita!G451*100/Gasto_o_ing_per_capita!$D451</f>
        <v>102.24266732466944</v>
      </c>
      <c r="H451" s="336">
        <f>Gasto_o_ing_per_capita!H451*100/Gasto_o_ing_per_capita!$D451</f>
        <v>51.737776120147387</v>
      </c>
      <c r="I451" s="336">
        <f>Gasto_o_ing_per_capita!I451*100/Gasto_o_ing_per_capita!$D451</f>
        <v>183.70021104580599</v>
      </c>
      <c r="J451" s="336">
        <f>Gasto_o_ing_per_capita!J451*100/Gasto_o_ing_per_capita!$D451</f>
        <v>93.210239608652586</v>
      </c>
      <c r="K451" s="336">
        <f>Gasto_o_ing_per_capita!K451*100/Gasto_o_ing_per_capita!$D451</f>
        <v>78.757142281234934</v>
      </c>
      <c r="L451" s="336">
        <f>Gasto_o_ing_per_capita!L451*100/Gasto_o_ing_per_capita!$D451</f>
        <v>79.227037276227492</v>
      </c>
      <c r="M451" s="336">
        <f>Gasto_o_ing_per_capita!M451*100/Gasto_o_ing_per_capita!$D451</f>
        <v>92.414697059787002</v>
      </c>
      <c r="N451" s="336">
        <f>Gasto_o_ing_per_capita!N451*100/Gasto_o_ing_per_capita!$D451</f>
        <v>66.094078231214937</v>
      </c>
      <c r="O451" s="336">
        <f>Gasto_o_ing_per_capita!O451*100/Gasto_o_ing_per_capita!$D451</f>
        <v>48.556061682275605</v>
      </c>
      <c r="P451" s="336">
        <f>Gasto_o_ing_per_capita!P451*100/Gasto_o_ing_per_capita!$D451</f>
        <v>96.296106499655451</v>
      </c>
      <c r="Q451" s="336">
        <f>Gasto_o_ing_per_capita!Q451*100/Gasto_o_ing_per_capita!$D451</f>
        <v>198.87516064689757</v>
      </c>
      <c r="R451" s="336">
        <f>Gasto_o_ing_per_capita!R451*100/Gasto_o_ing_per_capita!$D451</f>
        <v>71.809919032406697</v>
      </c>
      <c r="S451" s="336">
        <f>Gasto_o_ing_per_capita!S451*100/Gasto_o_ing_per_capita!$D451</f>
        <v>134.73942432894484</v>
      </c>
      <c r="T451" s="336">
        <f>Gasto_o_ing_per_capita!T451*100/Gasto_o_ing_per_capita!$D451</f>
        <v>130.82201483809533</v>
      </c>
      <c r="U451" s="336">
        <f>Gasto_o_ing_per_capita!U451*100/Gasto_o_ing_per_capita!$D451</f>
        <v>107.94455081852023</v>
      </c>
      <c r="V451" s="336">
        <f>Gasto_o_ing_per_capita!V451*100/Gasto_o_ing_per_capita!$D451</f>
        <v>35.125655711216766</v>
      </c>
    </row>
    <row r="452" spans="1:22" s="102" customFormat="1" ht="13.15">
      <c r="A452" s="355" t="str">
        <f>IF(B452="","",(IF(ISERROR(MATCH(B452,Tot_res!C:C,0)),"Eliminar!!!","")))</f>
        <v/>
      </c>
      <c r="B452" s="115" t="s">
        <v>418</v>
      </c>
      <c r="C452" s="333" t="str">
        <f>VLOOKUP(B452,Tot_res!C:D,2,FALSE)</f>
        <v>Calidad y seguridad industrial</v>
      </c>
      <c r="D452" s="336">
        <f>Gasto_o_ing_per_capita!D452*100/Gasto_o_ing_per_capita!$D452</f>
        <v>100</v>
      </c>
      <c r="E452" s="336">
        <f>Gasto_o_ing_per_capita!E452*100/Gasto_o_ing_per_capita!$D452</f>
        <v>77.080751161900437</v>
      </c>
      <c r="F452" s="336">
        <f>Gasto_o_ing_per_capita!F452*100/Gasto_o_ing_per_capita!$D452</f>
        <v>124.73769355949332</v>
      </c>
      <c r="G452" s="336">
        <f>Gasto_o_ing_per_capita!G452*100/Gasto_o_ing_per_capita!$D452</f>
        <v>105.78526922315831</v>
      </c>
      <c r="H452" s="336">
        <f>Gasto_o_ing_per_capita!H452*100/Gasto_o_ing_per_capita!$D452</f>
        <v>71.170788057518251</v>
      </c>
      <c r="I452" s="336">
        <f>Gasto_o_ing_per_capita!I452*100/Gasto_o_ing_per_capita!$D452</f>
        <v>70.199293953399305</v>
      </c>
      <c r="J452" s="336">
        <f>Gasto_o_ing_per_capita!J452*100/Gasto_o_ing_per_capita!$D452</f>
        <v>105.28209282499701</v>
      </c>
      <c r="K452" s="336">
        <f>Gasto_o_ing_per_capita!K452*100/Gasto_o_ing_per_capita!$D452</f>
        <v>109.12554691034191</v>
      </c>
      <c r="L452" s="336">
        <f>Gasto_o_ing_per_capita!L452*100/Gasto_o_ing_per_capita!$D452</f>
        <v>101.73191434321431</v>
      </c>
      <c r="M452" s="336">
        <f>Gasto_o_ing_per_capita!M452*100/Gasto_o_ing_per_capita!$D452</f>
        <v>119.66785318786589</v>
      </c>
      <c r="N452" s="336">
        <f>Gasto_o_ing_per_capita!N452*100/Gasto_o_ing_per_capita!$D452</f>
        <v>95.627066254057056</v>
      </c>
      <c r="O452" s="336">
        <f>Gasto_o_ing_per_capita!O452*100/Gasto_o_ing_per_capita!$D452</f>
        <v>79.170604943776638</v>
      </c>
      <c r="P452" s="336">
        <f>Gasto_o_ing_per_capita!P452*100/Gasto_o_ing_per_capita!$D452</f>
        <v>101.92430476436267</v>
      </c>
      <c r="Q452" s="336">
        <f>Gasto_o_ing_per_capita!Q452*100/Gasto_o_ing_per_capita!$D452</f>
        <v>93.184471043761363</v>
      </c>
      <c r="R452" s="336">
        <f>Gasto_o_ing_per_capita!R452*100/Gasto_o_ing_per_capita!$D452</f>
        <v>94.183464042619619</v>
      </c>
      <c r="S452" s="336">
        <f>Gasto_o_ing_per_capita!S452*100/Gasto_o_ing_per_capita!$D452</f>
        <v>162.70157030303034</v>
      </c>
      <c r="T452" s="336">
        <f>Gasto_o_ing_per_capita!T452*100/Gasto_o_ing_per_capita!$D452</f>
        <v>152.64116459238073</v>
      </c>
      <c r="U452" s="336">
        <f>Gasto_o_ing_per_capita!U452*100/Gasto_o_ing_per_capita!$D452</f>
        <v>142.99940979999278</v>
      </c>
      <c r="V452" s="336">
        <f>Gasto_o_ing_per_capita!V452*100/Gasto_o_ing_per_capita!$D452</f>
        <v>63.727069948571732</v>
      </c>
    </row>
    <row r="453" spans="1:22" s="102" customFormat="1" ht="13.15">
      <c r="A453" s="355" t="str">
        <f>IF(B453="","",(IF(ISERROR(MATCH(B453,Tot_res!C:C,0)),"Eliminar!!!","")))</f>
        <v/>
      </c>
      <c r="B453" s="115" t="s">
        <v>419</v>
      </c>
      <c r="C453" s="333" t="str">
        <f>VLOOKUP(B453,Tot_res!C:D,2,FALSE)</f>
        <v>Desarrollo industrial</v>
      </c>
      <c r="D453" s="336">
        <f>Gasto_o_ing_per_capita!D453*100/Gasto_o_ing_per_capita!$D453</f>
        <v>99.999999999999986</v>
      </c>
      <c r="E453" s="336">
        <f>Gasto_o_ing_per_capita!E453*100/Gasto_o_ing_per_capita!$D453</f>
        <v>54.161502323800917</v>
      </c>
      <c r="F453" s="336">
        <f>Gasto_o_ing_per_capita!F453*100/Gasto_o_ing_per_capita!$D453</f>
        <v>149.47538711898673</v>
      </c>
      <c r="G453" s="336">
        <f>Gasto_o_ing_per_capita!G453*100/Gasto_o_ing_per_capita!$D453</f>
        <v>111.57053844631665</v>
      </c>
      <c r="H453" s="336">
        <f>Gasto_o_ing_per_capita!H453*100/Gasto_o_ing_per_capita!$D453</f>
        <v>42.341576115036574</v>
      </c>
      <c r="I453" s="336">
        <f>Gasto_o_ing_per_capita!I453*100/Gasto_o_ing_per_capita!$D453</f>
        <v>40.398587906798618</v>
      </c>
      <c r="J453" s="336">
        <f>Gasto_o_ing_per_capita!J453*100/Gasto_o_ing_per_capita!$D453</f>
        <v>110.56418564999403</v>
      </c>
      <c r="K453" s="336">
        <f>Gasto_o_ing_per_capita!K453*100/Gasto_o_ing_per_capita!$D453</f>
        <v>118.25109382068385</v>
      </c>
      <c r="L453" s="336">
        <f>Gasto_o_ing_per_capita!L453*100/Gasto_o_ing_per_capita!$D453</f>
        <v>103.46382868642863</v>
      </c>
      <c r="M453" s="336">
        <f>Gasto_o_ing_per_capita!M453*100/Gasto_o_ing_per_capita!$D453</f>
        <v>139.3357063757318</v>
      </c>
      <c r="N453" s="336">
        <f>Gasto_o_ing_per_capita!N453*100/Gasto_o_ing_per_capita!$D453</f>
        <v>91.254132508114168</v>
      </c>
      <c r="O453" s="336">
        <f>Gasto_o_ing_per_capita!O453*100/Gasto_o_ing_per_capita!$D453</f>
        <v>58.341209887553347</v>
      </c>
      <c r="P453" s="336">
        <f>Gasto_o_ing_per_capita!P453*100/Gasto_o_ing_per_capita!$D453</f>
        <v>103.84860952872539</v>
      </c>
      <c r="Q453" s="336">
        <f>Gasto_o_ing_per_capita!Q453*100/Gasto_o_ing_per_capita!$D453</f>
        <v>86.36894208752274</v>
      </c>
      <c r="R453" s="336">
        <f>Gasto_o_ing_per_capita!R453*100/Gasto_o_ing_per_capita!$D453</f>
        <v>88.36692808523928</v>
      </c>
      <c r="S453" s="336">
        <f>Gasto_o_ing_per_capita!S453*100/Gasto_o_ing_per_capita!$D453</f>
        <v>225.4031406060607</v>
      </c>
      <c r="T453" s="336">
        <f>Gasto_o_ing_per_capita!T453*100/Gasto_o_ing_per_capita!$D453</f>
        <v>205.28232918476147</v>
      </c>
      <c r="U453" s="336">
        <f>Gasto_o_ing_per_capita!U453*100/Gasto_o_ing_per_capita!$D453</f>
        <v>185.99881959998555</v>
      </c>
      <c r="V453" s="336">
        <f>Gasto_o_ing_per_capita!V453*100/Gasto_o_ing_per_capita!$D453</f>
        <v>27.454139897143506</v>
      </c>
    </row>
    <row r="454" spans="1:22" s="102" customFormat="1" ht="13.15">
      <c r="A454" s="355" t="str">
        <f>IF(B454="","",(IF(ISERROR(MATCH(B454,Tot_res!C:C,0)),"Eliminar!!!","")))</f>
        <v/>
      </c>
      <c r="B454" s="115" t="s">
        <v>420</v>
      </c>
      <c r="C454" s="333" t="str">
        <f>VLOOKUP(B454,Tot_res!C:D,2,FALSE)</f>
        <v>Reconversión y reindustrialización</v>
      </c>
      <c r="D454" s="336">
        <f>Gasto_o_ing_per_capita!D454*100/Gasto_o_ing_per_capita!$D454</f>
        <v>100</v>
      </c>
      <c r="E454" s="336">
        <f>Gasto_o_ing_per_capita!E454*100/Gasto_o_ing_per_capita!$D454</f>
        <v>86.480689646917583</v>
      </c>
      <c r="F454" s="336">
        <f>Gasto_o_ing_per_capita!F454*100/Gasto_o_ing_per_capita!$D454</f>
        <v>1.5549716183728075</v>
      </c>
      <c r="G454" s="336">
        <f>Gasto_o_ing_per_capita!G454*100/Gasto_o_ing_per_capita!$D454</f>
        <v>82.392680586311357</v>
      </c>
      <c r="H454" s="336">
        <f>Gasto_o_ing_per_capita!H454*100/Gasto_o_ing_per_capita!$D454</f>
        <v>219.9320320606966</v>
      </c>
      <c r="I454" s="336">
        <f>Gasto_o_ing_per_capita!I454*100/Gasto_o_ing_per_capita!$D454</f>
        <v>101.81018544515968</v>
      </c>
      <c r="J454" s="336">
        <f>Gasto_o_ing_per_capita!J454*100/Gasto_o_ing_per_capita!$D454</f>
        <v>207.7645146756492</v>
      </c>
      <c r="K454" s="336">
        <f>Gasto_o_ing_per_capita!K454*100/Gasto_o_ing_per_capita!$D454</f>
        <v>2.6254788590562179</v>
      </c>
      <c r="L454" s="336">
        <f>Gasto_o_ing_per_capita!L454*100/Gasto_o_ing_per_capita!$D454</f>
        <v>7.5583140463400458</v>
      </c>
      <c r="M454" s="336">
        <f>Gasto_o_ing_per_capita!M454*100/Gasto_o_ing_per_capita!$D454</f>
        <v>68.894838177989485</v>
      </c>
      <c r="N454" s="336">
        <f>Gasto_o_ing_per_capita!N454*100/Gasto_o_ing_per_capita!$D454</f>
        <v>25.842180600047566</v>
      </c>
      <c r="O454" s="336">
        <f>Gasto_o_ing_per_capita!O454*100/Gasto_o_ing_per_capita!$D454</f>
        <v>4.6061348473103614</v>
      </c>
      <c r="P454" s="336">
        <f>Gasto_o_ing_per_capita!P454*100/Gasto_o_ing_per_capita!$D454</f>
        <v>630.73676028246859</v>
      </c>
      <c r="Q454" s="336">
        <f>Gasto_o_ing_per_capita!Q454*100/Gasto_o_ing_per_capita!$D454</f>
        <v>12.5181324943511</v>
      </c>
      <c r="R454" s="336">
        <f>Gasto_o_ing_per_capita!R454*100/Gasto_o_ing_per_capita!$D454</f>
        <v>235.63392225298074</v>
      </c>
      <c r="S454" s="336">
        <f>Gasto_o_ing_per_capita!S454*100/Gasto_o_ing_per_capita!$D454</f>
        <v>0.34336443814491513</v>
      </c>
      <c r="T454" s="336">
        <f>Gasto_o_ing_per_capita!T454*100/Gasto_o_ing_per_capita!$D454</f>
        <v>203.90459517149142</v>
      </c>
      <c r="U454" s="336">
        <f>Gasto_o_ing_per_capita!U454*100/Gasto_o_ing_per_capita!$D454</f>
        <v>5.4502114602087754</v>
      </c>
      <c r="V454" s="336">
        <f>Gasto_o_ing_per_capita!V454*100/Gasto_o_ing_per_capita!$D454</f>
        <v>19.514804365369844</v>
      </c>
    </row>
    <row r="455" spans="1:22" s="102" customFormat="1" ht="13.15">
      <c r="A455" s="355" t="str">
        <f>IF(B455="","",(IF(ISERROR(MATCH(B455,Tot_res!C:C,0)),"Eliminar!!!","")))</f>
        <v/>
      </c>
      <c r="B455" s="115" t="s">
        <v>915</v>
      </c>
      <c r="C455" s="333" t="str">
        <f>VLOOKUP(B455,Tot_res!C:D,2,FALSE)</f>
        <v xml:space="preserve"> Explotación minera. Parte ejecutada por la Dirección Gral. De Política Energética y Minas.  </v>
      </c>
      <c r="D455" s="336">
        <f>Gasto_o_ing_per_capita!D455*100/Gasto_o_ing_per_capita!$D455</f>
        <v>100</v>
      </c>
      <c r="E455" s="336">
        <f>Gasto_o_ing_per_capita!E455*100/Gasto_o_ing_per_capita!$D455</f>
        <v>77.145540308636313</v>
      </c>
      <c r="F455" s="336">
        <f>Gasto_o_ing_per_capita!F455*100/Gasto_o_ing_per_capita!$D455</f>
        <v>213.03290579624093</v>
      </c>
      <c r="G455" s="336">
        <f>Gasto_o_ing_per_capita!G455*100/Gasto_o_ing_per_capita!$D455</f>
        <v>630.97746882139779</v>
      </c>
      <c r="H455" s="336">
        <f>Gasto_o_ing_per_capita!H455*100/Gasto_o_ing_per_capita!$D455</f>
        <v>9.8218653486226302</v>
      </c>
      <c r="I455" s="336">
        <f>Gasto_o_ing_per_capita!I455*100/Gasto_o_ing_per_capita!$D455</f>
        <v>0</v>
      </c>
      <c r="J455" s="336">
        <f>Gasto_o_ing_per_capita!J455*100/Gasto_o_ing_per_capita!$D455</f>
        <v>7.0309393271828302</v>
      </c>
      <c r="K455" s="336">
        <f>Gasto_o_ing_per_capita!K455*100/Gasto_o_ing_per_capita!$D455</f>
        <v>442.26418650640079</v>
      </c>
      <c r="L455" s="336">
        <f>Gasto_o_ing_per_capita!L455*100/Gasto_o_ing_per_capita!$D455</f>
        <v>79.834517741728732</v>
      </c>
      <c r="M455" s="336">
        <f>Gasto_o_ing_per_capita!M455*100/Gasto_o_ing_per_capita!$D455</f>
        <v>27.755043086625083</v>
      </c>
      <c r="N455" s="336">
        <f>Gasto_o_ing_per_capita!N455*100/Gasto_o_ing_per_capita!$D455</f>
        <v>107.34385991408347</v>
      </c>
      <c r="O455" s="336">
        <f>Gasto_o_ing_per_capita!O455*100/Gasto_o_ing_per_capita!$D455</f>
        <v>202.70514314132669</v>
      </c>
      <c r="P455" s="336">
        <f>Gasto_o_ing_per_capita!P455*100/Gasto_o_ing_per_capita!$D455</f>
        <v>202.45782746144769</v>
      </c>
      <c r="Q455" s="336">
        <f>Gasto_o_ing_per_capita!Q455*100/Gasto_o_ing_per_capita!$D455</f>
        <v>15.899635206743273</v>
      </c>
      <c r="R455" s="336">
        <f>Gasto_o_ing_per_capita!R455*100/Gasto_o_ing_per_capita!$D455</f>
        <v>73.233727531259532</v>
      </c>
      <c r="S455" s="336">
        <f>Gasto_o_ing_per_capita!S455*100/Gasto_o_ing_per_capita!$D455</f>
        <v>0</v>
      </c>
      <c r="T455" s="336">
        <f>Gasto_o_ing_per_capita!T455*100/Gasto_o_ing_per_capita!$D455</f>
        <v>24.462212381887067</v>
      </c>
      <c r="U455" s="336">
        <f>Gasto_o_ing_per_capita!U455*100/Gasto_o_ing_per_capita!$D455</f>
        <v>0</v>
      </c>
      <c r="V455" s="336">
        <f>Gasto_o_ing_per_capita!V455*100/Gasto_o_ing_per_capita!$D455</f>
        <v>0</v>
      </c>
    </row>
    <row r="456" spans="1:22" s="102" customFormat="1" ht="13.15">
      <c r="A456" s="355" t="str">
        <f>IF(B456="","",(IF(ISERROR(MATCH(B456,Tot_res!C:C,0)),"Eliminar!!!","")))</f>
        <v/>
      </c>
      <c r="B456" s="115" t="s">
        <v>421</v>
      </c>
      <c r="C456" s="333" t="str">
        <f>VLOOKUP(B456,Tot_res!C:D,2,FALSE)</f>
        <v>Seguridad nuclear y protección radiológica</v>
      </c>
      <c r="D456" s="336">
        <f>Gasto_o_ing_per_capita!D456*100/Gasto_o_ing_per_capita!$D456</f>
        <v>99.999999999999986</v>
      </c>
      <c r="E456" s="336">
        <f>Gasto_o_ing_per_capita!E456*100/Gasto_o_ing_per_capita!$D456</f>
        <v>100.00000000000003</v>
      </c>
      <c r="F456" s="336">
        <f>Gasto_o_ing_per_capita!F456*100/Gasto_o_ing_per_capita!$D456</f>
        <v>100.00000000000003</v>
      </c>
      <c r="G456" s="336">
        <f>Gasto_o_ing_per_capita!G456*100/Gasto_o_ing_per_capita!$D456</f>
        <v>100.00000000000004</v>
      </c>
      <c r="H456" s="336">
        <f>Gasto_o_ing_per_capita!H456*100/Gasto_o_ing_per_capita!$D456</f>
        <v>100.00000000000004</v>
      </c>
      <c r="I456" s="336">
        <f>Gasto_o_ing_per_capita!I456*100/Gasto_o_ing_per_capita!$D456</f>
        <v>100.00000000000003</v>
      </c>
      <c r="J456" s="336">
        <f>Gasto_o_ing_per_capita!J456*100/Gasto_o_ing_per_capita!$D456</f>
        <v>100.00000000000004</v>
      </c>
      <c r="K456" s="336">
        <f>Gasto_o_ing_per_capita!K456*100/Gasto_o_ing_per_capita!$D456</f>
        <v>100.00000000000006</v>
      </c>
      <c r="L456" s="336">
        <f>Gasto_o_ing_per_capita!L456*100/Gasto_o_ing_per_capita!$D456</f>
        <v>100.00000000000004</v>
      </c>
      <c r="M456" s="336">
        <f>Gasto_o_ing_per_capita!M456*100/Gasto_o_ing_per_capita!$D456</f>
        <v>100.00000000000004</v>
      </c>
      <c r="N456" s="336">
        <f>Gasto_o_ing_per_capita!N456*100/Gasto_o_ing_per_capita!$D456</f>
        <v>100.00000000000004</v>
      </c>
      <c r="O456" s="336">
        <f>Gasto_o_ing_per_capita!O456*100/Gasto_o_ing_per_capita!$D456</f>
        <v>100.00000000000003</v>
      </c>
      <c r="P456" s="336">
        <f>Gasto_o_ing_per_capita!P456*100/Gasto_o_ing_per_capita!$D456</f>
        <v>100.00000000000003</v>
      </c>
      <c r="Q456" s="336">
        <f>Gasto_o_ing_per_capita!Q456*100/Gasto_o_ing_per_capita!$D456</f>
        <v>100.00000000000003</v>
      </c>
      <c r="R456" s="336">
        <f>Gasto_o_ing_per_capita!R456*100/Gasto_o_ing_per_capita!$D456</f>
        <v>100.00000000000004</v>
      </c>
      <c r="S456" s="336">
        <f>Gasto_o_ing_per_capita!S456*100/Gasto_o_ing_per_capita!$D456</f>
        <v>100.00000000000001</v>
      </c>
      <c r="T456" s="336">
        <f>Gasto_o_ing_per_capita!T456*100/Gasto_o_ing_per_capita!$D456</f>
        <v>100.00000000000004</v>
      </c>
      <c r="U456" s="336">
        <f>Gasto_o_ing_per_capita!U456*100/Gasto_o_ing_per_capita!$D456</f>
        <v>100.00000000000004</v>
      </c>
      <c r="V456" s="336">
        <f>Gasto_o_ing_per_capita!V456*100/Gasto_o_ing_per_capita!$D456</f>
        <v>100.00000000000004</v>
      </c>
    </row>
    <row r="457" spans="1:22" s="102" customFormat="1" ht="13.15">
      <c r="A457" s="355" t="str">
        <f>IF(B457="","",(IF(ISERROR(MATCH(B457,Tot_res!C:C,0)),"Eliminar!!!","")))</f>
        <v/>
      </c>
      <c r="B457" s="115" t="s">
        <v>1190</v>
      </c>
      <c r="C457" s="333" t="str">
        <f>VLOOKUP(B457,Tot_res!C:D,2,FALSE)</f>
        <v>Normativa y desarrollo energético, neto de subvenciones a sistemas eléctricos insulares y extrapeninsulares</v>
      </c>
      <c r="D457" s="336">
        <f>Gasto_o_ing_per_capita!D457*100/Gasto_o_ing_per_capita!$D457</f>
        <v>100</v>
      </c>
      <c r="E457" s="336">
        <f>Gasto_o_ing_per_capita!E457*100/Gasto_o_ing_per_capita!$D457</f>
        <v>80.184500483746504</v>
      </c>
      <c r="F457" s="336">
        <f>Gasto_o_ing_per_capita!F457*100/Gasto_o_ing_per_capita!$D457</f>
        <v>135.03358649232692</v>
      </c>
      <c r="G457" s="336">
        <f>Gasto_o_ing_per_capita!G457*100/Gasto_o_ing_per_capita!$D457</f>
        <v>173.55593300898931</v>
      </c>
      <c r="H457" s="336">
        <f>Gasto_o_ing_per_capita!H457*100/Gasto_o_ing_per_capita!$D457</f>
        <v>94.7294985984188</v>
      </c>
      <c r="I457" s="336">
        <f>Gasto_o_ing_per_capita!I457*100/Gasto_o_ing_per_capita!$D457</f>
        <v>74.282460020245622</v>
      </c>
      <c r="J457" s="336">
        <f>Gasto_o_ing_per_capita!J457*100/Gasto_o_ing_per_capita!$D457</f>
        <v>135.03242188144276</v>
      </c>
      <c r="K457" s="336">
        <f>Gasto_o_ing_per_capita!K457*100/Gasto_o_ing_per_capita!$D457</f>
        <v>97.758953400064456</v>
      </c>
      <c r="L457" s="336">
        <f>Gasto_o_ing_per_capita!L457*100/Gasto_o_ing_per_capita!$D457</f>
        <v>99.209199483399075</v>
      </c>
      <c r="M457" s="336">
        <f>Gasto_o_ing_per_capita!M457*100/Gasto_o_ing_per_capita!$D457</f>
        <v>111.16601106853005</v>
      </c>
      <c r="N457" s="336">
        <f>Gasto_o_ing_per_capita!N457*100/Gasto_o_ing_per_capita!$D457</f>
        <v>91.912303256249587</v>
      </c>
      <c r="O457" s="336">
        <f>Gasto_o_ing_per_capita!O457*100/Gasto_o_ing_per_capita!$D457</f>
        <v>76.274998935260314</v>
      </c>
      <c r="P457" s="336">
        <f>Gasto_o_ing_per_capita!P457*100/Gasto_o_ing_per_capita!$D457</f>
        <v>126.68168967973334</v>
      </c>
      <c r="Q457" s="336">
        <f>Gasto_o_ing_per_capita!Q457*100/Gasto_o_ing_per_capita!$D457</f>
        <v>85.421791845073642</v>
      </c>
      <c r="R457" s="336">
        <f>Gasto_o_ing_per_capita!R457*100/Gasto_o_ing_per_capita!$D457</f>
        <v>96.424194136097029</v>
      </c>
      <c r="S457" s="336">
        <f>Gasto_o_ing_per_capita!S457*100/Gasto_o_ing_per_capita!$D457</f>
        <v>133.87023441572794</v>
      </c>
      <c r="T457" s="336">
        <f>Gasto_o_ing_per_capita!T457*100/Gasto_o_ing_per_capita!$D457</f>
        <v>139.49772893836831</v>
      </c>
      <c r="U457" s="336">
        <f>Gasto_o_ing_per_capita!U457*100/Gasto_o_ing_per_capita!$D457</f>
        <v>95.239782197455611</v>
      </c>
      <c r="V457" s="336">
        <f>Gasto_o_ing_per_capita!V457*100/Gasto_o_ing_per_capita!$D457</f>
        <v>44.842164187910349</v>
      </c>
    </row>
    <row r="458" spans="1:22" s="102" customFormat="1" ht="13.15">
      <c r="A458" s="355" t="str">
        <f>IF(B458="","",(IF(ISERROR(MATCH(B458,Tot_res!C:C,0)),"Eliminar!!!","")))</f>
        <v/>
      </c>
      <c r="B458" s="115" t="s">
        <v>422</v>
      </c>
      <c r="C458" s="333" t="str">
        <f>VLOOKUP(B458,Tot_res!C:D,2,FALSE)</f>
        <v>Promoción comercial e internacionalización de la empresa</v>
      </c>
      <c r="D458" s="336">
        <f>Gasto_o_ing_per_capita!D458*100/Gasto_o_ing_per_capita!$D458</f>
        <v>100.00000000000001</v>
      </c>
      <c r="E458" s="336">
        <f>Gasto_o_ing_per_capita!E458*100/Gasto_o_ing_per_capita!$D458</f>
        <v>62.077692184746731</v>
      </c>
      <c r="F458" s="336">
        <f>Gasto_o_ing_per_capita!F458*100/Gasto_o_ing_per_capita!$D458</f>
        <v>132.78357009177506</v>
      </c>
      <c r="G458" s="336">
        <f>Gasto_o_ing_per_capita!G458*100/Gasto_o_ing_per_capita!$D458</f>
        <v>72.221123153181182</v>
      </c>
      <c r="H458" s="336">
        <f>Gasto_o_ing_per_capita!H458*100/Gasto_o_ing_per_capita!$D458</f>
        <v>15.069177397363433</v>
      </c>
      <c r="I458" s="336">
        <f>Gasto_o_ing_per_capita!I458*100/Gasto_o_ing_per_capita!$D458</f>
        <v>24.820099054341586</v>
      </c>
      <c r="J458" s="336">
        <f>Gasto_o_ing_per_capita!J458*100/Gasto_o_ing_per_capita!$D458</f>
        <v>83.312199621094834</v>
      </c>
      <c r="K458" s="336">
        <f>Gasto_o_ing_per_capita!K458*100/Gasto_o_ing_per_capita!$D458</f>
        <v>97.933624056032443</v>
      </c>
      <c r="L458" s="336">
        <f>Gasto_o_ing_per_capita!L458*100/Gasto_o_ing_per_capita!$D458</f>
        <v>46.597484053991217</v>
      </c>
      <c r="M458" s="336">
        <f>Gasto_o_ing_per_capita!M458*100/Gasto_o_ing_per_capita!$D458</f>
        <v>156.54708481876901</v>
      </c>
      <c r="N458" s="336">
        <f>Gasto_o_ing_per_capita!N458*100/Gasto_o_ing_per_capita!$D458</f>
        <v>93.378257609013957</v>
      </c>
      <c r="O458" s="336">
        <f>Gasto_o_ing_per_capita!O458*100/Gasto_o_ing_per_capita!$D458</f>
        <v>30.285474223337499</v>
      </c>
      <c r="P458" s="336">
        <f>Gasto_o_ing_per_capita!P458*100/Gasto_o_ing_per_capita!$D458</f>
        <v>136.13456647708767</v>
      </c>
      <c r="Q458" s="336">
        <f>Gasto_o_ing_per_capita!Q458*100/Gasto_o_ing_per_capita!$D458</f>
        <v>95.098159194161909</v>
      </c>
      <c r="R458" s="336">
        <f>Gasto_o_ing_per_capita!R458*100/Gasto_o_ing_per_capita!$D458</f>
        <v>127.36970201415075</v>
      </c>
      <c r="S458" s="336">
        <f>Gasto_o_ing_per_capita!S458*100/Gasto_o_ing_per_capita!$D458</f>
        <v>231.89594418008838</v>
      </c>
      <c r="T458" s="336">
        <f>Gasto_o_ing_per_capita!T458*100/Gasto_o_ing_per_capita!$D458</f>
        <v>188.48702384331057</v>
      </c>
      <c r="U458" s="336">
        <f>Gasto_o_ing_per_capita!U458*100/Gasto_o_ing_per_capita!$D458</f>
        <v>94.321487298493921</v>
      </c>
      <c r="V458" s="336">
        <f>Gasto_o_ing_per_capita!V458*100/Gasto_o_ing_per_capita!$D458</f>
        <v>4.4262411163931699</v>
      </c>
    </row>
    <row r="459" spans="1:22" s="102" customFormat="1" ht="13.15">
      <c r="A459" s="355" t="str">
        <f>IF(B459="","",(IF(ISERROR(MATCH(B459,Tot_res!C:C,0)),"Eliminar!!!","")))</f>
        <v/>
      </c>
      <c r="B459" s="115" t="s">
        <v>424</v>
      </c>
      <c r="C459" s="333" t="str">
        <f>VLOOKUP(B459,Tot_res!C:D,2,FALSE)</f>
        <v>Ordenación del comercio exterior</v>
      </c>
      <c r="D459" s="336">
        <f>Gasto_o_ing_per_capita!D459*100/Gasto_o_ing_per_capita!$D459</f>
        <v>100.00000000000001</v>
      </c>
      <c r="E459" s="336">
        <f>Gasto_o_ing_per_capita!E459*100/Gasto_o_ing_per_capita!$D459</f>
        <v>65.179095487461581</v>
      </c>
      <c r="F459" s="336">
        <f>Gasto_o_ing_per_capita!F459*100/Gasto_o_ing_per_capita!$D459</f>
        <v>115.32791552850642</v>
      </c>
      <c r="G459" s="336">
        <f>Gasto_o_ing_per_capita!G459*100/Gasto_o_ing_per_capita!$D459</f>
        <v>66.440082333883083</v>
      </c>
      <c r="H459" s="336">
        <f>Gasto_o_ing_per_capita!H459*100/Gasto_o_ing_per_capita!$D459</f>
        <v>19.261330872612636</v>
      </c>
      <c r="I459" s="336">
        <f>Gasto_o_ing_per_capita!I459*100/Gasto_o_ing_per_capita!$D459</f>
        <v>31.805200354637648</v>
      </c>
      <c r="J459" s="336">
        <f>Gasto_o_ing_per_capita!J459*100/Gasto_o_ing_per_capita!$D459</f>
        <v>69.373155664649019</v>
      </c>
      <c r="K459" s="336">
        <f>Gasto_o_ing_per_capita!K459*100/Gasto_o_ing_per_capita!$D459</f>
        <v>89.291290491502565</v>
      </c>
      <c r="L459" s="336">
        <f>Gasto_o_ing_per_capita!L459*100/Gasto_o_ing_per_capita!$D459</f>
        <v>48.981512124355959</v>
      </c>
      <c r="M459" s="336">
        <f>Gasto_o_ing_per_capita!M459*100/Gasto_o_ing_per_capita!$D459</f>
        <v>162.20759254902376</v>
      </c>
      <c r="N459" s="336">
        <f>Gasto_o_ing_per_capita!N459*100/Gasto_o_ing_per_capita!$D459</f>
        <v>85.353665371970862</v>
      </c>
      <c r="O459" s="336">
        <f>Gasto_o_ing_per_capita!O459*100/Gasto_o_ing_per_capita!$D459</f>
        <v>24.712966946935154</v>
      </c>
      <c r="P459" s="336">
        <f>Gasto_o_ing_per_capita!P459*100/Gasto_o_ing_per_capita!$D459</f>
        <v>117.90955214262085</v>
      </c>
      <c r="Q459" s="336">
        <f>Gasto_o_ing_per_capita!Q459*100/Gasto_o_ing_per_capita!$D459</f>
        <v>116.53132126576749</v>
      </c>
      <c r="R459" s="336">
        <f>Gasto_o_ing_per_capita!R459*100/Gasto_o_ing_per_capita!$D459</f>
        <v>139.78914675140055</v>
      </c>
      <c r="S459" s="336">
        <f>Gasto_o_ing_per_capita!S459*100/Gasto_o_ing_per_capita!$D459</f>
        <v>173.16159721891194</v>
      </c>
      <c r="T459" s="336">
        <f>Gasto_o_ing_per_capita!T459*100/Gasto_o_ing_per_capita!$D459</f>
        <v>162.61216017659535</v>
      </c>
      <c r="U459" s="336">
        <f>Gasto_o_ing_per_capita!U459*100/Gasto_o_ing_per_capita!$D459</f>
        <v>78.415078885645798</v>
      </c>
      <c r="V459" s="336">
        <f>Gasto_o_ing_per_capita!V459*100/Gasto_o_ing_per_capita!$D459</f>
        <v>38.25325424098628</v>
      </c>
    </row>
    <row r="460" spans="1:22" s="102" customFormat="1" ht="13.15">
      <c r="A460" s="355" t="str">
        <f>IF(B460="","",(IF(ISERROR(MATCH(B460,Tot_res!C:C,0)),"Eliminar!!!","")))</f>
        <v/>
      </c>
      <c r="B460" s="115" t="s">
        <v>426</v>
      </c>
      <c r="C460" s="333" t="str">
        <f>VLOOKUP(B460,Tot_res!C:D,2,FALSE)</f>
        <v>Ordenación y modernización de las estructuras comerciales + AF23</v>
      </c>
      <c r="D460" s="336">
        <f>Gasto_o_ing_per_capita!D460*100/Gasto_o_ing_per_capita!$D460</f>
        <v>100</v>
      </c>
      <c r="E460" s="336">
        <f>Gasto_o_ing_per_capita!E460*100/Gasto_o_ing_per_capita!$D460</f>
        <v>72.517063586486287</v>
      </c>
      <c r="F460" s="336">
        <f>Gasto_o_ing_per_capita!F460*100/Gasto_o_ing_per_capita!$D460</f>
        <v>95.651197449868434</v>
      </c>
      <c r="G460" s="336">
        <f>Gasto_o_ing_per_capita!G460*100/Gasto_o_ing_per_capita!$D460</f>
        <v>82.026804935203387</v>
      </c>
      <c r="H460" s="336">
        <f>Gasto_o_ing_per_capita!H460*100/Gasto_o_ing_per_capita!$D460</f>
        <v>161.17325877852932</v>
      </c>
      <c r="I460" s="336">
        <f>Gasto_o_ing_per_capita!I460*100/Gasto_o_ing_per_capita!$D460</f>
        <v>122.69742048885095</v>
      </c>
      <c r="J460" s="336">
        <f>Gasto_o_ing_per_capita!J460*100/Gasto_o_ing_per_capita!$D460</f>
        <v>84.797088634607775</v>
      </c>
      <c r="K460" s="336">
        <f>Gasto_o_ing_per_capita!K460*100/Gasto_o_ing_per_capita!$D460</f>
        <v>80.528499804270808</v>
      </c>
      <c r="L460" s="336">
        <f>Gasto_o_ing_per_capita!L460*100/Gasto_o_ing_per_capita!$D460</f>
        <v>62.163856591898785</v>
      </c>
      <c r="M460" s="336">
        <f>Gasto_o_ing_per_capita!M460*100/Gasto_o_ing_per_capita!$D460</f>
        <v>125.98832493384603</v>
      </c>
      <c r="N460" s="336">
        <f>Gasto_o_ing_per_capita!N460*100/Gasto_o_ing_per_capita!$D460</f>
        <v>89.086821822132578</v>
      </c>
      <c r="O460" s="336">
        <f>Gasto_o_ing_per_capita!O460*100/Gasto_o_ing_per_capita!$D460</f>
        <v>56.836706456737915</v>
      </c>
      <c r="P460" s="336">
        <f>Gasto_o_ing_per_capita!P460*100/Gasto_o_ing_per_capita!$D460</f>
        <v>85.504737061184983</v>
      </c>
      <c r="Q460" s="336">
        <f>Gasto_o_ing_per_capita!Q460*100/Gasto_o_ing_per_capita!$D460</f>
        <v>136.53000235833517</v>
      </c>
      <c r="R460" s="336">
        <f>Gasto_o_ing_per_capita!R460*100/Gasto_o_ing_per_capita!$D460</f>
        <v>82.768402038992761</v>
      </c>
      <c r="S460" s="336">
        <f>Gasto_o_ing_per_capita!S460*100/Gasto_o_ing_per_capita!$D460</f>
        <v>98.045996592099499</v>
      </c>
      <c r="T460" s="336">
        <f>Gasto_o_ing_per_capita!T460*100/Gasto_o_ing_per_capita!$D460</f>
        <v>111.17787087635077</v>
      </c>
      <c r="U460" s="336">
        <f>Gasto_o_ing_per_capita!U460*100/Gasto_o_ing_per_capita!$D460</f>
        <v>86.797609688902881</v>
      </c>
      <c r="V460" s="336">
        <f>Gasto_o_ing_per_capita!V460*100/Gasto_o_ing_per_capita!$D460</f>
        <v>65.925404420336861</v>
      </c>
    </row>
    <row r="461" spans="1:22" s="102" customFormat="1" ht="13.15">
      <c r="A461" s="355" t="str">
        <f>IF(B461="","",(IF(ISERROR(MATCH(B461,Tot_res!C:C,0)),"Eliminar!!!","")))</f>
        <v/>
      </c>
      <c r="B461" s="115" t="s">
        <v>427</v>
      </c>
      <c r="C461" s="333" t="str">
        <f>VLOOKUP(B461,Tot_res!C:D,2,FALSE)</f>
        <v>Coordinación y promoción del turismo + AF24</v>
      </c>
      <c r="D461" s="336">
        <f>Gasto_o_ing_per_capita!D461*100/Gasto_o_ing_per_capita!$D461</f>
        <v>100</v>
      </c>
      <c r="E461" s="336">
        <f>Gasto_o_ing_per_capita!E461*100/Gasto_o_ing_per_capita!$D461</f>
        <v>73.933397542178525</v>
      </c>
      <c r="F461" s="336">
        <f>Gasto_o_ing_per_capita!F461*100/Gasto_o_ing_per_capita!$D461</f>
        <v>145.36292589933868</v>
      </c>
      <c r="G461" s="336">
        <f>Gasto_o_ing_per_capita!G461*100/Gasto_o_ing_per_capita!$D461</f>
        <v>159.1302333173671</v>
      </c>
      <c r="H461" s="336">
        <f>Gasto_o_ing_per_capita!H461*100/Gasto_o_ing_per_capita!$D461</f>
        <v>472.61306283852986</v>
      </c>
      <c r="I461" s="336">
        <f>Gasto_o_ing_per_capita!I461*100/Gasto_o_ing_per_capita!$D461</f>
        <v>265.39673500658523</v>
      </c>
      <c r="J461" s="336">
        <f>Gasto_o_ing_per_capita!J461*100/Gasto_o_ing_per_capita!$D461</f>
        <v>52.34776520837778</v>
      </c>
      <c r="K461" s="336">
        <f>Gasto_o_ing_per_capita!K461*100/Gasto_o_ing_per_capita!$D461</f>
        <v>48.093271760251781</v>
      </c>
      <c r="L461" s="336">
        <f>Gasto_o_ing_per_capita!L461*100/Gasto_o_ing_per_capita!$D461</f>
        <v>29.471026910493368</v>
      </c>
      <c r="M461" s="336">
        <f>Gasto_o_ing_per_capita!M461*100/Gasto_o_ing_per_capita!$D461</f>
        <v>120.2985525576438</v>
      </c>
      <c r="N461" s="336">
        <f>Gasto_o_ing_per_capita!N461*100/Gasto_o_ing_per_capita!$D461</f>
        <v>70.726391314195396</v>
      </c>
      <c r="O461" s="336">
        <f>Gasto_o_ing_per_capita!O461*100/Gasto_o_ing_per_capita!$D461</f>
        <v>48.042363837053422</v>
      </c>
      <c r="P461" s="336">
        <f>Gasto_o_ing_per_capita!P461*100/Gasto_o_ing_per_capita!$D461</f>
        <v>95.817548218526184</v>
      </c>
      <c r="Q461" s="336">
        <f>Gasto_o_ing_per_capita!Q461*100/Gasto_o_ing_per_capita!$D461</f>
        <v>81.041206786540187</v>
      </c>
      <c r="R461" s="336">
        <f>Gasto_o_ing_per_capita!R461*100/Gasto_o_ing_per_capita!$D461</f>
        <v>46.483611441744557</v>
      </c>
      <c r="S461" s="336">
        <f>Gasto_o_ing_per_capita!S461*100/Gasto_o_ing_per_capita!$D461</f>
        <v>69.11835581604781</v>
      </c>
      <c r="T461" s="336">
        <f>Gasto_o_ing_per_capita!T461*100/Gasto_o_ing_per_capita!$D461</f>
        <v>68.675742509135148</v>
      </c>
      <c r="U461" s="336">
        <f>Gasto_o_ing_per_capita!U461*100/Gasto_o_ing_per_capita!$D461</f>
        <v>91.044216455376386</v>
      </c>
      <c r="V461" s="336">
        <f>Gasto_o_ing_per_capita!V461*100/Gasto_o_ing_per_capita!$D461</f>
        <v>77.824326859575621</v>
      </c>
    </row>
    <row r="462" spans="1:22" s="102" customFormat="1" ht="13.15">
      <c r="A462" s="355" t="str">
        <f>IF(B462="","",(IF(ISERROR(MATCH(B462,Tot_res!C:C,0)),"Eliminar!!!","")))</f>
        <v/>
      </c>
      <c r="B462" s="115" t="s">
        <v>919</v>
      </c>
      <c r="C462" s="333" t="str">
        <f>VLOOKUP(B462,Tot_res!C:D,2,FALSE)</f>
        <v>Investig. y desarrollo tecnolog-industrial.Secretaría general de ciencia, tecnología e innovación</v>
      </c>
      <c r="D462" s="336">
        <f>Gasto_o_ing_per_capita!D462*100/Gasto_o_ing_per_capita!$D462</f>
        <v>100</v>
      </c>
      <c r="E462" s="336">
        <f>Gasto_o_ing_per_capita!E462*100/Gasto_o_ing_per_capita!$D462</f>
        <v>54.161502323800924</v>
      </c>
      <c r="F462" s="336">
        <f>Gasto_o_ing_per_capita!F462*100/Gasto_o_ing_per_capita!$D462</f>
        <v>149.4753871189867</v>
      </c>
      <c r="G462" s="336">
        <f>Gasto_o_ing_per_capita!G462*100/Gasto_o_ing_per_capita!$D462</f>
        <v>111.5705384463166</v>
      </c>
      <c r="H462" s="336">
        <f>Gasto_o_ing_per_capita!H462*100/Gasto_o_ing_per_capita!$D462</f>
        <v>42.341576115036574</v>
      </c>
      <c r="I462" s="336">
        <f>Gasto_o_ing_per_capita!I462*100/Gasto_o_ing_per_capita!$D462</f>
        <v>40.398587906798625</v>
      </c>
      <c r="J462" s="336">
        <f>Gasto_o_ing_per_capita!J462*100/Gasto_o_ing_per_capita!$D462</f>
        <v>110.56418564999403</v>
      </c>
      <c r="K462" s="336">
        <f>Gasto_o_ing_per_capita!K462*100/Gasto_o_ing_per_capita!$D462</f>
        <v>118.25109382068382</v>
      </c>
      <c r="L462" s="336">
        <f>Gasto_o_ing_per_capita!L462*100/Gasto_o_ing_per_capita!$D462</f>
        <v>103.46382868642863</v>
      </c>
      <c r="M462" s="336">
        <f>Gasto_o_ing_per_capita!M462*100/Gasto_o_ing_per_capita!$D462</f>
        <v>139.3357063757318</v>
      </c>
      <c r="N462" s="336">
        <f>Gasto_o_ing_per_capita!N462*100/Gasto_o_ing_per_capita!$D462</f>
        <v>91.254132508114168</v>
      </c>
      <c r="O462" s="336">
        <f>Gasto_o_ing_per_capita!O462*100/Gasto_o_ing_per_capita!$D462</f>
        <v>58.341209887553354</v>
      </c>
      <c r="P462" s="336">
        <f>Gasto_o_ing_per_capita!P462*100/Gasto_o_ing_per_capita!$D462</f>
        <v>103.84860952872539</v>
      </c>
      <c r="Q462" s="336">
        <f>Gasto_o_ing_per_capita!Q462*100/Gasto_o_ing_per_capita!$D462</f>
        <v>86.36894208752274</v>
      </c>
      <c r="R462" s="336">
        <f>Gasto_o_ing_per_capita!R462*100/Gasto_o_ing_per_capita!$D462</f>
        <v>88.366928085239266</v>
      </c>
      <c r="S462" s="336">
        <f>Gasto_o_ing_per_capita!S462*100/Gasto_o_ing_per_capita!$D462</f>
        <v>225.40314060606067</v>
      </c>
      <c r="T462" s="336">
        <f>Gasto_o_ing_per_capita!T462*100/Gasto_o_ing_per_capita!$D462</f>
        <v>205.28232918476149</v>
      </c>
      <c r="U462" s="336">
        <f>Gasto_o_ing_per_capita!U462*100/Gasto_o_ing_per_capita!$D462</f>
        <v>185.99881959998558</v>
      </c>
      <c r="V462" s="336">
        <f>Gasto_o_ing_per_capita!V462*100/Gasto_o_ing_per_capita!$D462</f>
        <v>27.454139897143502</v>
      </c>
    </row>
    <row r="463" spans="1:22" s="102" customFormat="1" ht="13.15">
      <c r="A463" s="355" t="str">
        <f>IF(B463="","",(IF(ISERROR(MATCH(B463,Tot_res!C:C,0)),"Eliminar!!!","")))</f>
        <v/>
      </c>
      <c r="B463" s="115" t="s">
        <v>429</v>
      </c>
      <c r="C463" s="333" t="str">
        <f>VLOOKUP(B463,Tot_res!C:D,2,FALSE)</f>
        <v>Investigación y desarrollo de la sociedad de la información</v>
      </c>
      <c r="D463" s="336">
        <f>Gasto_o_ing_per_capita!D463*100/Gasto_o_ing_per_capita!$D463</f>
        <v>99.999999999999986</v>
      </c>
      <c r="E463" s="336">
        <f>Gasto_o_ing_per_capita!E463*100/Gasto_o_ing_per_capita!$D463</f>
        <v>28.378739796297175</v>
      </c>
      <c r="F463" s="336">
        <f>Gasto_o_ing_per_capita!F463*100/Gasto_o_ing_per_capita!$D463</f>
        <v>198.94042147388265</v>
      </c>
      <c r="G463" s="336">
        <f>Gasto_o_ing_per_capita!G463*100/Gasto_o_ing_per_capita!$D463</f>
        <v>54.64003132060337</v>
      </c>
      <c r="H463" s="336">
        <f>Gasto_o_ing_per_capita!H463*100/Gasto_o_ing_per_capita!$D463</f>
        <v>5.6565843491141079</v>
      </c>
      <c r="I463" s="336">
        <f>Gasto_o_ing_per_capita!I463*100/Gasto_o_ing_per_capita!$D463</f>
        <v>5.9718580937321448</v>
      </c>
      <c r="J463" s="336">
        <f>Gasto_o_ing_per_capita!J463*100/Gasto_o_ing_per_capita!$D463</f>
        <v>262.47548148843464</v>
      </c>
      <c r="K463" s="336">
        <f>Gasto_o_ing_per_capita!K463*100/Gasto_o_ing_per_capita!$D463</f>
        <v>25.940612148868937</v>
      </c>
      <c r="L463" s="336">
        <f>Gasto_o_ing_per_capita!L463*100/Gasto_o_ing_per_capita!$D463</f>
        <v>47.874238664777153</v>
      </c>
      <c r="M463" s="336">
        <f>Gasto_o_ing_per_capita!M463*100/Gasto_o_ing_per_capita!$D463</f>
        <v>131.18392898259029</v>
      </c>
      <c r="N463" s="336">
        <f>Gasto_o_ing_per_capita!N463*100/Gasto_o_ing_per_capita!$D463</f>
        <v>52.913080911273369</v>
      </c>
      <c r="O463" s="336">
        <f>Gasto_o_ing_per_capita!O463*100/Gasto_o_ing_per_capita!$D463</f>
        <v>3.8119062632124106</v>
      </c>
      <c r="P463" s="336">
        <f>Gasto_o_ing_per_capita!P463*100/Gasto_o_ing_per_capita!$D463</f>
        <v>40.846603323778403</v>
      </c>
      <c r="Q463" s="336">
        <f>Gasto_o_ing_per_capita!Q463*100/Gasto_o_ing_per_capita!$D463</f>
        <v>208.89988079442088</v>
      </c>
      <c r="R463" s="336">
        <f>Gasto_o_ing_per_capita!R463*100/Gasto_o_ing_per_capita!$D463</f>
        <v>19.919341508245633</v>
      </c>
      <c r="S463" s="336">
        <f>Gasto_o_ing_per_capita!S463*100/Gasto_o_ing_per_capita!$D463</f>
        <v>125.95596548981599</v>
      </c>
      <c r="T463" s="336">
        <f>Gasto_o_ing_per_capita!T463*100/Gasto_o_ing_per_capita!$D463</f>
        <v>434.63234215088545</v>
      </c>
      <c r="U463" s="336">
        <f>Gasto_o_ing_per_capita!U463*100/Gasto_o_ing_per_capita!$D463</f>
        <v>15.509502148237098</v>
      </c>
      <c r="V463" s="336">
        <f>Gasto_o_ing_per_capita!V463*100/Gasto_o_ing_per_capita!$D463</f>
        <v>1.0388951547333314</v>
      </c>
    </row>
    <row r="464" spans="1:22" s="102" customFormat="1" ht="13.15">
      <c r="A464" s="355" t="str">
        <f>IF(B464="","",(IF(ISERROR(MATCH(B464,Tot_res!C:C,0)),"Eliminar!!!","")))</f>
        <v/>
      </c>
      <c r="B464" s="115" t="s">
        <v>430</v>
      </c>
      <c r="C464" s="333" t="str">
        <f>VLOOKUP(B464,Tot_res!C:D,2,FALSE)</f>
        <v>Innovación tecnológica de las telecomunicaciones</v>
      </c>
      <c r="D464" s="336">
        <f>Gasto_o_ing_per_capita!D464*100/Gasto_o_ing_per_capita!$D464</f>
        <v>100</v>
      </c>
      <c r="E464" s="336">
        <f>Gasto_o_ing_per_capita!E464*100/Gasto_o_ing_per_capita!$D464</f>
        <v>100.20881018608348</v>
      </c>
      <c r="F464" s="336">
        <f>Gasto_o_ing_per_capita!F464*100/Gasto_o_ing_per_capita!$D464</f>
        <v>85.99499981105285</v>
      </c>
      <c r="G464" s="336">
        <f>Gasto_o_ing_per_capita!G464*100/Gasto_o_ing_per_capita!$D464</f>
        <v>84.278394081622906</v>
      </c>
      <c r="H464" s="336">
        <f>Gasto_o_ing_per_capita!H464*100/Gasto_o_ing_per_capita!$D464</f>
        <v>79.310584063945072</v>
      </c>
      <c r="I464" s="336">
        <f>Gasto_o_ing_per_capita!I464*100/Gasto_o_ing_per_capita!$D464</f>
        <v>71.15812167820124</v>
      </c>
      <c r="J464" s="336">
        <f>Gasto_o_ing_per_capita!J464*100/Gasto_o_ing_per_capita!$D464</f>
        <v>69.217029078083698</v>
      </c>
      <c r="K464" s="336">
        <f>Gasto_o_ing_per_capita!K464*100/Gasto_o_ing_per_capita!$D464</f>
        <v>77.960411848226926</v>
      </c>
      <c r="L464" s="336">
        <f>Gasto_o_ing_per_capita!L464*100/Gasto_o_ing_per_capita!$D464</f>
        <v>80.165317030862852</v>
      </c>
      <c r="M464" s="336">
        <f>Gasto_o_ing_per_capita!M464*100/Gasto_o_ing_per_capita!$D464</f>
        <v>113.49130696188359</v>
      </c>
      <c r="N464" s="336">
        <f>Gasto_o_ing_per_capita!N464*100/Gasto_o_ing_per_capita!$D464</f>
        <v>84.544610029801618</v>
      </c>
      <c r="O464" s="336">
        <f>Gasto_o_ing_per_capita!O464*100/Gasto_o_ing_per_capita!$D464</f>
        <v>69.880856054246124</v>
      </c>
      <c r="P464" s="336">
        <f>Gasto_o_ing_per_capita!P464*100/Gasto_o_ing_per_capita!$D464</f>
        <v>112.530194980841</v>
      </c>
      <c r="Q464" s="336">
        <f>Gasto_o_ing_per_capita!Q464*100/Gasto_o_ing_per_capita!$D464</f>
        <v>135.85154627990119</v>
      </c>
      <c r="R464" s="336">
        <f>Gasto_o_ing_per_capita!R464*100/Gasto_o_ing_per_capita!$D464</f>
        <v>74.890011170167881</v>
      </c>
      <c r="S464" s="336">
        <f>Gasto_o_ing_per_capita!S464*100/Gasto_o_ing_per_capita!$D464</f>
        <v>106.00591428934494</v>
      </c>
      <c r="T464" s="336">
        <f>Gasto_o_ing_per_capita!T464*100/Gasto_o_ing_per_capita!$D464</f>
        <v>110.73594558990716</v>
      </c>
      <c r="U464" s="336">
        <f>Gasto_o_ing_per_capita!U464*100/Gasto_o_ing_per_capita!$D464</f>
        <v>69.217029078083669</v>
      </c>
      <c r="V464" s="336">
        <f>Gasto_o_ing_per_capita!V464*100/Gasto_o_ing_per_capita!$D464</f>
        <v>69.217029078083669</v>
      </c>
    </row>
    <row r="465" spans="1:22" s="102" customFormat="1" ht="13.15">
      <c r="A465" s="355" t="str">
        <f>IF(B465="","",(IF(ISERROR(MATCH(B465,Tot_res!C:C,0)),"Eliminar!!!","")))</f>
        <v/>
      </c>
      <c r="B465" s="115" t="s">
        <v>432</v>
      </c>
      <c r="C465" s="333" t="str">
        <f>VLOOKUP(B465,Tot_res!C:D,2,FALSE)</f>
        <v>Ordenación y promoción de las telecomunicaciones y de la sociedad de la información</v>
      </c>
      <c r="D465" s="336">
        <f>Gasto_o_ing_per_capita!D465*100/Gasto_o_ing_per_capita!$D465</f>
        <v>100</v>
      </c>
      <c r="E465" s="336">
        <f>Gasto_o_ing_per_capita!E465*100/Gasto_o_ing_per_capita!$D465</f>
        <v>99.999999999999986</v>
      </c>
      <c r="F465" s="336">
        <f>Gasto_o_ing_per_capita!F465*100/Gasto_o_ing_per_capita!$D465</f>
        <v>100</v>
      </c>
      <c r="G465" s="336">
        <f>Gasto_o_ing_per_capita!G465*100/Gasto_o_ing_per_capita!$D465</f>
        <v>99.999999999999986</v>
      </c>
      <c r="H465" s="336">
        <f>Gasto_o_ing_per_capita!H465*100/Gasto_o_ing_per_capita!$D465</f>
        <v>100</v>
      </c>
      <c r="I465" s="336">
        <f>Gasto_o_ing_per_capita!I465*100/Gasto_o_ing_per_capita!$D465</f>
        <v>99.999999999999986</v>
      </c>
      <c r="J465" s="336">
        <f>Gasto_o_ing_per_capita!J465*100/Gasto_o_ing_per_capita!$D465</f>
        <v>100</v>
      </c>
      <c r="K465" s="336">
        <f>Gasto_o_ing_per_capita!K465*100/Gasto_o_ing_per_capita!$D465</f>
        <v>100</v>
      </c>
      <c r="L465" s="336">
        <f>Gasto_o_ing_per_capita!L465*100/Gasto_o_ing_per_capita!$D465</f>
        <v>100</v>
      </c>
      <c r="M465" s="336">
        <f>Gasto_o_ing_per_capita!M465*100/Gasto_o_ing_per_capita!$D465</f>
        <v>100</v>
      </c>
      <c r="N465" s="336">
        <f>Gasto_o_ing_per_capita!N465*100/Gasto_o_ing_per_capita!$D465</f>
        <v>100</v>
      </c>
      <c r="O465" s="336">
        <f>Gasto_o_ing_per_capita!O465*100/Gasto_o_ing_per_capita!$D465</f>
        <v>100</v>
      </c>
      <c r="P465" s="336">
        <f>Gasto_o_ing_per_capita!P465*100/Gasto_o_ing_per_capita!$D465</f>
        <v>100</v>
      </c>
      <c r="Q465" s="336">
        <f>Gasto_o_ing_per_capita!Q465*100/Gasto_o_ing_per_capita!$D465</f>
        <v>100</v>
      </c>
      <c r="R465" s="336">
        <f>Gasto_o_ing_per_capita!R465*100/Gasto_o_ing_per_capita!$D465</f>
        <v>100</v>
      </c>
      <c r="S465" s="336">
        <f>Gasto_o_ing_per_capita!S465*100/Gasto_o_ing_per_capita!$D465</f>
        <v>100</v>
      </c>
      <c r="T465" s="336">
        <f>Gasto_o_ing_per_capita!T465*100/Gasto_o_ing_per_capita!$D465</f>
        <v>100</v>
      </c>
      <c r="U465" s="336">
        <f>Gasto_o_ing_per_capita!U465*100/Gasto_o_ing_per_capita!$D465</f>
        <v>100</v>
      </c>
      <c r="V465" s="336">
        <f>Gasto_o_ing_per_capita!V465*100/Gasto_o_ing_per_capita!$D465</f>
        <v>100</v>
      </c>
    </row>
    <row r="466" spans="1:22" s="102" customFormat="1" ht="13.15">
      <c r="A466" s="355" t="str">
        <f>IF(B466="","",(IF(ISERROR(MATCH(B466,Tot_res!C:C,0)),"Eliminar!!!","")))</f>
        <v/>
      </c>
      <c r="B466" s="115" t="s">
        <v>433</v>
      </c>
      <c r="C466" s="333" t="str">
        <f>VLOOKUP(B466,Tot_res!C:D,2,FALSE)</f>
        <v>Regulación y vigilancia de la competencia en el mercado de tabacos</v>
      </c>
      <c r="D466" s="336">
        <f>Gasto_o_ing_per_capita!D466*100/Gasto_o_ing_per_capita!$D466</f>
        <v>100</v>
      </c>
      <c r="E466" s="336">
        <f>Gasto_o_ing_per_capita!E466*100/Gasto_o_ing_per_capita!$D466</f>
        <v>79.029391933827512</v>
      </c>
      <c r="F466" s="336">
        <f>Gasto_o_ing_per_capita!F466*100/Gasto_o_ing_per_capita!$D466</f>
        <v>115.94422750183269</v>
      </c>
      <c r="G466" s="336">
        <f>Gasto_o_ing_per_capita!G466*100/Gasto_o_ing_per_capita!$D466</f>
        <v>116.36673834953841</v>
      </c>
      <c r="H466" s="336">
        <f>Gasto_o_ing_per_capita!H466*100/Gasto_o_ing_per_capita!$D466</f>
        <v>164.93525946136327</v>
      </c>
      <c r="I466" s="336">
        <f>Gasto_o_ing_per_capita!I466*100/Gasto_o_ing_per_capita!$D466</f>
        <v>24.360880490872987</v>
      </c>
      <c r="J466" s="336">
        <f>Gasto_o_ing_per_capita!J466*100/Gasto_o_ing_per_capita!$D466</f>
        <v>116.44947453213975</v>
      </c>
      <c r="K466" s="336">
        <f>Gasto_o_ing_per_capita!K466*100/Gasto_o_ing_per_capita!$D466</f>
        <v>107.53454146615303</v>
      </c>
      <c r="L466" s="336">
        <f>Gasto_o_ing_per_capita!L466*100/Gasto_o_ing_per_capita!$D466</f>
        <v>109.75128288380634</v>
      </c>
      <c r="M466" s="336">
        <f>Gasto_o_ing_per_capita!M466*100/Gasto_o_ing_per_capita!$D466</f>
        <v>121.40047111894776</v>
      </c>
      <c r="N466" s="336">
        <f>Gasto_o_ing_per_capita!N466*100/Gasto_o_ing_per_capita!$D466</f>
        <v>105.0234633968487</v>
      </c>
      <c r="O466" s="336">
        <f>Gasto_o_ing_per_capita!O466*100/Gasto_o_ing_per_capita!$D466</f>
        <v>117.17361383959287</v>
      </c>
      <c r="P466" s="336">
        <f>Gasto_o_ing_per_capita!P466*100/Gasto_o_ing_per_capita!$D466</f>
        <v>56.687749270201387</v>
      </c>
      <c r="Q466" s="336">
        <f>Gasto_o_ing_per_capita!Q466*100/Gasto_o_ing_per_capita!$D466</f>
        <v>97.677008224092305</v>
      </c>
      <c r="R466" s="336">
        <f>Gasto_o_ing_per_capita!R466*100/Gasto_o_ing_per_capita!$D466</f>
        <v>117.55223131652937</v>
      </c>
      <c r="S466" s="336">
        <f>Gasto_o_ing_per_capita!S466*100/Gasto_o_ing_per_capita!$D466</f>
        <v>163.81669725930649</v>
      </c>
      <c r="T466" s="336">
        <f>Gasto_o_ing_per_capita!T466*100/Gasto_o_ing_per_capita!$D466</f>
        <v>121.40373872943846</v>
      </c>
      <c r="U466" s="336">
        <f>Gasto_o_ing_per_capita!U466*100/Gasto_o_ing_per_capita!$D466</f>
        <v>108.87685336435938</v>
      </c>
      <c r="V466" s="336">
        <f>Gasto_o_ing_per_capita!V466*100/Gasto_o_ing_per_capita!$D466</f>
        <v>34.878359225767923</v>
      </c>
    </row>
    <row r="467" spans="1:22" s="102" customFormat="1" ht="13.15">
      <c r="A467" s="355" t="str">
        <f>IF(B467="","",(IF(ISERROR(MATCH(B467,Tot_res!C:C,0)),"Eliminar!!!","")))</f>
        <v/>
      </c>
      <c r="B467" s="115" t="s">
        <v>434</v>
      </c>
      <c r="C467" s="333" t="str">
        <f>VLOOKUP(B467,Tot_res!C:D,2,FALSE)</f>
        <v>Publicaciones</v>
      </c>
      <c r="D467" s="336">
        <f>Gasto_o_ing_per_capita!D467*100/Gasto_o_ing_per_capita!$D467</f>
        <v>100</v>
      </c>
      <c r="E467" s="336">
        <f>Gasto_o_ing_per_capita!E467*100/Gasto_o_ing_per_capita!$D467</f>
        <v>66.38489136466589</v>
      </c>
      <c r="F467" s="336">
        <f>Gasto_o_ing_per_capita!F467*100/Gasto_o_ing_per_capita!$D467</f>
        <v>138.6530575125615</v>
      </c>
      <c r="G467" s="336">
        <f>Gasto_o_ing_per_capita!G467*100/Gasto_o_ing_per_capita!$D467</f>
        <v>135.32757571004049</v>
      </c>
      <c r="H467" s="336">
        <f>Gasto_o_ing_per_capita!H467*100/Gasto_o_ing_per_capita!$D467</f>
        <v>69.325826846275547</v>
      </c>
      <c r="I467" s="336">
        <f>Gasto_o_ing_per_capita!I467*100/Gasto_o_ing_per_capita!$D467</f>
        <v>56.578461082396196</v>
      </c>
      <c r="J467" s="336">
        <f>Gasto_o_ing_per_capita!J467*100/Gasto_o_ing_per_capita!$D467</f>
        <v>123.78986305747443</v>
      </c>
      <c r="K467" s="336">
        <f>Gasto_o_ing_per_capita!K467*100/Gasto_o_ing_per_capita!$D467</f>
        <v>105.69097291586478</v>
      </c>
      <c r="L467" s="336">
        <f>Gasto_o_ing_per_capita!L467*100/Gasto_o_ing_per_capita!$D467</f>
        <v>98.332126736036827</v>
      </c>
      <c r="M467" s="336">
        <f>Gasto_o_ing_per_capita!M467*100/Gasto_o_ing_per_capita!$D467</f>
        <v>125.07302185665603</v>
      </c>
      <c r="N467" s="336">
        <f>Gasto_o_ing_per_capita!N467*100/Gasto_o_ing_per_capita!$D467</f>
        <v>89.434705718684995</v>
      </c>
      <c r="O467" s="336">
        <f>Gasto_o_ing_per_capita!O467*100/Gasto_o_ing_per_capita!$D467</f>
        <v>64.393229879859533</v>
      </c>
      <c r="P467" s="336">
        <f>Gasto_o_ing_per_capita!P467*100/Gasto_o_ing_per_capita!$D467</f>
        <v>127.82443894944765</v>
      </c>
      <c r="Q467" s="336">
        <f>Gasto_o_ing_per_capita!Q467*100/Gasto_o_ing_per_capita!$D467</f>
        <v>85.286068745263563</v>
      </c>
      <c r="R467" s="336">
        <f>Gasto_o_ing_per_capita!R467*100/Gasto_o_ing_per_capita!$D467</f>
        <v>95.381678045970887</v>
      </c>
      <c r="S467" s="336">
        <f>Gasto_o_ing_per_capita!S467*100/Gasto_o_ing_per_capita!$D467</f>
        <v>178.49826324083128</v>
      </c>
      <c r="T467" s="336">
        <f>Gasto_o_ing_per_capita!T467*100/Gasto_o_ing_per_capita!$D467</f>
        <v>178.12474768315721</v>
      </c>
      <c r="U467" s="336">
        <f>Gasto_o_ing_per_capita!U467*100/Gasto_o_ing_per_capita!$D467</f>
        <v>140.75182173427504</v>
      </c>
      <c r="V467" s="336">
        <f>Gasto_o_ing_per_capita!V467*100/Gasto_o_ing_per_capita!$D467</f>
        <v>35.329376041886249</v>
      </c>
    </row>
    <row r="468" spans="1:22" s="102" customFormat="1" ht="13.15">
      <c r="A468" s="356"/>
      <c r="B468" s="115"/>
      <c r="C468" s="133"/>
      <c r="D468" s="110"/>
      <c r="E468" s="110"/>
      <c r="F468" s="110"/>
      <c r="G468" s="110"/>
      <c r="H468" s="110"/>
      <c r="I468" s="110"/>
      <c r="J468" s="110"/>
      <c r="K468" s="110"/>
      <c r="L468" s="110"/>
      <c r="M468" s="110"/>
      <c r="N468" s="110"/>
      <c r="O468" s="110"/>
      <c r="P468" s="110"/>
      <c r="Q468" s="110"/>
      <c r="R468" s="110"/>
      <c r="S468" s="110"/>
      <c r="T468" s="110"/>
      <c r="U468" s="110"/>
      <c r="V468" s="110"/>
    </row>
    <row r="469" spans="1:22" s="102" customFormat="1" ht="13.15">
      <c r="A469" s="356"/>
      <c r="B469" s="115"/>
      <c r="C469" s="151" t="s">
        <v>8</v>
      </c>
      <c r="D469" s="110">
        <f>Gasto_o_ing_per_capita!D469*100/Gasto_o_ing_per_capita!$D469</f>
        <v>100</v>
      </c>
      <c r="E469" s="110">
        <f>Gasto_o_ing_per_capita!E469*100/Gasto_o_ing_per_capita!$D469</f>
        <v>90.431213543169676</v>
      </c>
      <c r="F469" s="110">
        <f>Gasto_o_ing_per_capita!F469*100/Gasto_o_ing_per_capita!$D469</f>
        <v>112.9086259279352</v>
      </c>
      <c r="G469" s="110">
        <f>Gasto_o_ing_per_capita!G469*100/Gasto_o_ing_per_capita!$D469</f>
        <v>124.93154060863463</v>
      </c>
      <c r="H469" s="110">
        <f>Gasto_o_ing_per_capita!H469*100/Gasto_o_ing_per_capita!$D469</f>
        <v>90.359971317899095</v>
      </c>
      <c r="I469" s="110">
        <f>Gasto_o_ing_per_capita!I469*100/Gasto_o_ing_per_capita!$D469</f>
        <v>94.454821377686187</v>
      </c>
      <c r="J469" s="110">
        <f>Gasto_o_ing_per_capita!J469*100/Gasto_o_ing_per_capita!$D469</f>
        <v>112.74819910738994</v>
      </c>
      <c r="K469" s="110">
        <f>Gasto_o_ing_per_capita!K469*100/Gasto_o_ing_per_capita!$D469</f>
        <v>118.53098519275866</v>
      </c>
      <c r="L469" s="110">
        <f>Gasto_o_ing_per_capita!L469*100/Gasto_o_ing_per_capita!$D469</f>
        <v>98.481509326623794</v>
      </c>
      <c r="M469" s="110">
        <f>Gasto_o_ing_per_capita!M469*100/Gasto_o_ing_per_capita!$D469</f>
        <v>101.77706886580727</v>
      </c>
      <c r="N469" s="110">
        <f>Gasto_o_ing_per_capita!N469*100/Gasto_o_ing_per_capita!$D469</f>
        <v>86.485190091976463</v>
      </c>
      <c r="O469" s="110">
        <f>Gasto_o_ing_per_capita!O469*100/Gasto_o_ing_per_capita!$D469</f>
        <v>109.23485572932879</v>
      </c>
      <c r="P469" s="110">
        <f>Gasto_o_ing_per_capita!P469*100/Gasto_o_ing_per_capita!$D469</f>
        <v>107.26876574016828</v>
      </c>
      <c r="Q469" s="110">
        <f>Gasto_o_ing_per_capita!Q469*100/Gasto_o_ing_per_capita!$D469</f>
        <v>95.46879695186793</v>
      </c>
      <c r="R469" s="110">
        <f>Gasto_o_ing_per_capita!R469*100/Gasto_o_ing_per_capita!$D469</f>
        <v>85.231664119721003</v>
      </c>
      <c r="S469" s="110">
        <f>Gasto_o_ing_per_capita!S469*100/Gasto_o_ing_per_capita!$D469</f>
        <v>109.42556038790289</v>
      </c>
      <c r="T469" s="110">
        <f>Gasto_o_ing_per_capita!T469*100/Gasto_o_ing_per_capita!$D469</f>
        <v>133.63425648174396</v>
      </c>
      <c r="U469" s="110">
        <f>Gasto_o_ing_per_capita!U469*100/Gasto_o_ing_per_capita!$D469</f>
        <v>104.85349218063325</v>
      </c>
      <c r="V469" s="110">
        <f>Gasto_o_ing_per_capita!V469*100/Gasto_o_ing_per_capita!$D469</f>
        <v>117.05571677423578</v>
      </c>
    </row>
    <row r="470" spans="1:22" s="102" customFormat="1" ht="13.15">
      <c r="A470" s="356"/>
      <c r="B470" s="115"/>
      <c r="C470" s="133"/>
      <c r="D470" s="110"/>
      <c r="E470" s="110"/>
      <c r="F470" s="110"/>
      <c r="G470" s="110"/>
      <c r="H470" s="110"/>
      <c r="I470" s="110"/>
      <c r="J470" s="110"/>
      <c r="K470" s="110"/>
      <c r="L470" s="110"/>
      <c r="M470" s="110"/>
      <c r="N470" s="110"/>
      <c r="O470" s="110"/>
      <c r="P470" s="110"/>
      <c r="Q470" s="110"/>
      <c r="R470" s="110"/>
      <c r="S470" s="110"/>
      <c r="T470" s="110"/>
      <c r="U470" s="110"/>
      <c r="V470" s="110"/>
    </row>
    <row r="471" spans="1:22" s="102" customFormat="1" ht="13.15">
      <c r="A471" s="356"/>
      <c r="B471" s="115"/>
      <c r="C471" s="151" t="s">
        <v>69</v>
      </c>
      <c r="D471" s="110">
        <f>Gasto_o_ing_per_capita!D471*100/Gasto_o_ing_per_capita!$D471</f>
        <v>100</v>
      </c>
      <c r="E471" s="110">
        <f>Gasto_o_ing_per_capita!E471*100/Gasto_o_ing_per_capita!$D471</f>
        <v>97.242026775976484</v>
      </c>
      <c r="F471" s="110">
        <f>Gasto_o_ing_per_capita!F471*100/Gasto_o_ing_per_capita!$D471</f>
        <v>115.36324175524487</v>
      </c>
      <c r="G471" s="110">
        <f>Gasto_o_ing_per_capita!G471*100/Gasto_o_ing_per_capita!$D471</f>
        <v>139.56586503049598</v>
      </c>
      <c r="H471" s="110">
        <f>Gasto_o_ing_per_capita!H471*100/Gasto_o_ing_per_capita!$D471</f>
        <v>78.431689882206982</v>
      </c>
      <c r="I471" s="110">
        <f>Gasto_o_ing_per_capita!I471*100/Gasto_o_ing_per_capita!$D471</f>
        <v>106.46502564669801</v>
      </c>
      <c r="J471" s="110">
        <f>Gasto_o_ing_per_capita!J471*100/Gasto_o_ing_per_capita!$D471</f>
        <v>119.48591971074048</v>
      </c>
      <c r="K471" s="110">
        <f>Gasto_o_ing_per_capita!K471*100/Gasto_o_ing_per_capita!$D471</f>
        <v>123.44242343168419</v>
      </c>
      <c r="L471" s="110">
        <f>Gasto_o_ing_per_capita!L471*100/Gasto_o_ing_per_capita!$D471</f>
        <v>100.98349924573292</v>
      </c>
      <c r="M471" s="110">
        <f>Gasto_o_ing_per_capita!M471*100/Gasto_o_ing_per_capita!$D471</f>
        <v>98.577678784189189</v>
      </c>
      <c r="N471" s="110">
        <f>Gasto_o_ing_per_capita!N471*100/Gasto_o_ing_per_capita!$D471</f>
        <v>88.969357087387635</v>
      </c>
      <c r="O471" s="110">
        <f>Gasto_o_ing_per_capita!O471*100/Gasto_o_ing_per_capita!$D471</f>
        <v>117.20505511187217</v>
      </c>
      <c r="P471" s="110">
        <f>Gasto_o_ing_per_capita!P471*100/Gasto_o_ing_per_capita!$D471</f>
        <v>118.94249680303328</v>
      </c>
      <c r="Q471" s="110">
        <f>Gasto_o_ing_per_capita!Q471*100/Gasto_o_ing_per_capita!$D471</f>
        <v>88.395808889035209</v>
      </c>
      <c r="R471" s="110">
        <f>Gasto_o_ing_per_capita!R471*100/Gasto_o_ing_per_capita!$D471</f>
        <v>88.81549198000468</v>
      </c>
      <c r="S471" s="110">
        <f>Gasto_o_ing_per_capita!S471*100/Gasto_o_ing_per_capita!$D471</f>
        <v>71.891324587803155</v>
      </c>
      <c r="T471" s="110">
        <f>Gasto_o_ing_per_capita!T471*100/Gasto_o_ing_per_capita!$D471</f>
        <v>93.930525981425646</v>
      </c>
      <c r="U471" s="110">
        <f>Gasto_o_ing_per_capita!U471*100/Gasto_o_ing_per_capita!$D471</f>
        <v>112.93091983326043</v>
      </c>
      <c r="V471" s="110">
        <f>Gasto_o_ing_per_capita!V471*100/Gasto_o_ing_per_capita!$D471</f>
        <v>174.61607544867448</v>
      </c>
    </row>
    <row r="472" spans="1:22" s="102" customFormat="1" ht="13.15">
      <c r="A472" s="355" t="str">
        <f>IF(B472="","",(IF(ISERROR(MATCH(B472,Tot_res!C:C,0)),"Eliminar!!!","")))</f>
        <v/>
      </c>
      <c r="B472" s="115" t="s">
        <v>636</v>
      </c>
      <c r="C472" s="333" t="str">
        <f>VLOOKUP(B472,Tot_res!C:D,2,FALSE)</f>
        <v>Amortización y gastos financieros de la deuda pública en moneda nacional</v>
      </c>
      <c r="D472" s="336">
        <f>Gasto_o_ing_per_capita!D472*100/Gasto_o_ing_per_capita!$D472</f>
        <v>100</v>
      </c>
      <c r="E472" s="336">
        <f>Gasto_o_ing_per_capita!E472*100/Gasto_o_ing_per_capita!$D472</f>
        <v>97.242026775976456</v>
      </c>
      <c r="F472" s="336">
        <f>Gasto_o_ing_per_capita!F472*100/Gasto_o_ing_per_capita!$D472</f>
        <v>115.36324175524486</v>
      </c>
      <c r="G472" s="336">
        <f>Gasto_o_ing_per_capita!G472*100/Gasto_o_ing_per_capita!$D472</f>
        <v>139.56586503049593</v>
      </c>
      <c r="H472" s="336">
        <f>Gasto_o_ing_per_capita!H472*100/Gasto_o_ing_per_capita!$D472</f>
        <v>78.431689882206953</v>
      </c>
      <c r="I472" s="336">
        <f>Gasto_o_ing_per_capita!I472*100/Gasto_o_ing_per_capita!$D472</f>
        <v>106.465025646698</v>
      </c>
      <c r="J472" s="336">
        <f>Gasto_o_ing_per_capita!J472*100/Gasto_o_ing_per_capita!$D472</f>
        <v>119.48591971074045</v>
      </c>
      <c r="K472" s="336">
        <f>Gasto_o_ing_per_capita!K472*100/Gasto_o_ing_per_capita!$D472</f>
        <v>123.44242343168415</v>
      </c>
      <c r="L472" s="336">
        <f>Gasto_o_ing_per_capita!L472*100/Gasto_o_ing_per_capita!$D472</f>
        <v>100.98349924573287</v>
      </c>
      <c r="M472" s="336">
        <f>Gasto_o_ing_per_capita!M472*100/Gasto_o_ing_per_capita!$D472</f>
        <v>98.577678784189189</v>
      </c>
      <c r="N472" s="336">
        <f>Gasto_o_ing_per_capita!N472*100/Gasto_o_ing_per_capita!$D472</f>
        <v>88.969357087387635</v>
      </c>
      <c r="O472" s="336">
        <f>Gasto_o_ing_per_capita!O472*100/Gasto_o_ing_per_capita!$D472</f>
        <v>117.20505511187213</v>
      </c>
      <c r="P472" s="336">
        <f>Gasto_o_ing_per_capita!P472*100/Gasto_o_ing_per_capita!$D472</f>
        <v>118.94249680303325</v>
      </c>
      <c r="Q472" s="336">
        <f>Gasto_o_ing_per_capita!Q472*100/Gasto_o_ing_per_capita!$D472</f>
        <v>88.395808889035195</v>
      </c>
      <c r="R472" s="336">
        <f>Gasto_o_ing_per_capita!R472*100/Gasto_o_ing_per_capita!$D472</f>
        <v>88.815491980004666</v>
      </c>
      <c r="S472" s="336">
        <f>Gasto_o_ing_per_capita!S472*100/Gasto_o_ing_per_capita!$D472</f>
        <v>71.891324587803112</v>
      </c>
      <c r="T472" s="336">
        <f>Gasto_o_ing_per_capita!T472*100/Gasto_o_ing_per_capita!$D472</f>
        <v>93.930525981425632</v>
      </c>
      <c r="U472" s="336">
        <f>Gasto_o_ing_per_capita!U472*100/Gasto_o_ing_per_capita!$D472</f>
        <v>112.93091983326038</v>
      </c>
      <c r="V472" s="336">
        <f>Gasto_o_ing_per_capita!V472*100/Gasto_o_ing_per_capita!$D472</f>
        <v>174.61607544867439</v>
      </c>
    </row>
    <row r="473" spans="1:22" s="102" customFormat="1" ht="13.15">
      <c r="A473" s="355" t="str">
        <f>IF(B473="","",(IF(ISERROR(MATCH(B473,Tot_res!C:C,0)),"Eliminar!!!","")))</f>
        <v/>
      </c>
      <c r="B473" s="115" t="s">
        <v>637</v>
      </c>
      <c r="C473" s="333" t="str">
        <f>VLOOKUP(B473,Tot_res!C:D,2,FALSE)</f>
        <v>Amortización y gastos financieros de la deuda pública en moneda extranjera</v>
      </c>
      <c r="D473" s="336">
        <f>Gasto_o_ing_per_capita!D473*100/Gasto_o_ing_per_capita!$D473</f>
        <v>100</v>
      </c>
      <c r="E473" s="336">
        <f>Gasto_o_ing_per_capita!E473*100/Gasto_o_ing_per_capita!$D473</f>
        <v>97.242026775976456</v>
      </c>
      <c r="F473" s="336">
        <f>Gasto_o_ing_per_capita!F473*100/Gasto_o_ing_per_capita!$D473</f>
        <v>115.36324175524486</v>
      </c>
      <c r="G473" s="336">
        <f>Gasto_o_ing_per_capita!G473*100/Gasto_o_ing_per_capita!$D473</f>
        <v>139.56586503049596</v>
      </c>
      <c r="H473" s="336">
        <f>Gasto_o_ing_per_capita!H473*100/Gasto_o_ing_per_capita!$D473</f>
        <v>78.431689882206953</v>
      </c>
      <c r="I473" s="336">
        <f>Gasto_o_ing_per_capita!I473*100/Gasto_o_ing_per_capita!$D473</f>
        <v>106.465025646698</v>
      </c>
      <c r="J473" s="336">
        <f>Gasto_o_ing_per_capita!J473*100/Gasto_o_ing_per_capita!$D473</f>
        <v>119.48591971074048</v>
      </c>
      <c r="K473" s="336">
        <f>Gasto_o_ing_per_capita!K473*100/Gasto_o_ing_per_capita!$D473</f>
        <v>123.44242343168416</v>
      </c>
      <c r="L473" s="336">
        <f>Gasto_o_ing_per_capita!L473*100/Gasto_o_ing_per_capita!$D473</f>
        <v>100.9834992457329</v>
      </c>
      <c r="M473" s="336">
        <f>Gasto_o_ing_per_capita!M473*100/Gasto_o_ing_per_capita!$D473</f>
        <v>98.577678784189175</v>
      </c>
      <c r="N473" s="336">
        <f>Gasto_o_ing_per_capita!N473*100/Gasto_o_ing_per_capita!$D473</f>
        <v>88.969357087387621</v>
      </c>
      <c r="O473" s="336">
        <f>Gasto_o_ing_per_capita!O473*100/Gasto_o_ing_per_capita!$D473</f>
        <v>117.20505511187213</v>
      </c>
      <c r="P473" s="336">
        <f>Gasto_o_ing_per_capita!P473*100/Gasto_o_ing_per_capita!$D473</f>
        <v>118.94249680303325</v>
      </c>
      <c r="Q473" s="336">
        <f>Gasto_o_ing_per_capita!Q473*100/Gasto_o_ing_per_capita!$D473</f>
        <v>88.395808889035195</v>
      </c>
      <c r="R473" s="336">
        <f>Gasto_o_ing_per_capita!R473*100/Gasto_o_ing_per_capita!$D473</f>
        <v>88.815491980004666</v>
      </c>
      <c r="S473" s="336">
        <f>Gasto_o_ing_per_capita!S473*100/Gasto_o_ing_per_capita!$D473</f>
        <v>71.891324587803112</v>
      </c>
      <c r="T473" s="336">
        <f>Gasto_o_ing_per_capita!T473*100/Gasto_o_ing_per_capita!$D473</f>
        <v>93.930525981425617</v>
      </c>
      <c r="U473" s="336">
        <f>Gasto_o_ing_per_capita!U473*100/Gasto_o_ing_per_capita!$D473</f>
        <v>112.93091983326038</v>
      </c>
      <c r="V473" s="336">
        <f>Gasto_o_ing_per_capita!V473*100/Gasto_o_ing_per_capita!$D473</f>
        <v>174.61607544867437</v>
      </c>
    </row>
    <row r="474" spans="1:22" s="102" customFormat="1" ht="13.15">
      <c r="A474" s="356"/>
      <c r="D474" s="110"/>
      <c r="E474" s="110"/>
      <c r="F474" s="110"/>
      <c r="G474" s="110"/>
      <c r="H474" s="110"/>
      <c r="I474" s="110"/>
      <c r="J474" s="110"/>
      <c r="K474" s="110"/>
      <c r="L474" s="110"/>
      <c r="M474" s="110"/>
      <c r="N474" s="110"/>
      <c r="O474" s="110"/>
      <c r="P474" s="110"/>
      <c r="Q474" s="110"/>
      <c r="R474" s="110"/>
      <c r="S474" s="110"/>
      <c r="T474" s="110"/>
      <c r="U474" s="110"/>
      <c r="V474" s="110"/>
    </row>
    <row r="475" spans="1:22" s="102" customFormat="1" ht="13.15">
      <c r="A475" s="356"/>
      <c r="C475" s="103" t="s">
        <v>7</v>
      </c>
      <c r="D475" s="110">
        <f>Gasto_o_ing_per_capita!D475*100/Gasto_o_ing_per_capita!$D475</f>
        <v>100</v>
      </c>
      <c r="E475" s="110">
        <f>Gasto_o_ing_per_capita!E475*100/Gasto_o_ing_per_capita!$D475</f>
        <v>90.9037180886382</v>
      </c>
      <c r="F475" s="110">
        <f>Gasto_o_ing_per_capita!F475*100/Gasto_o_ing_per_capita!$D475</f>
        <v>113.07891647858429</v>
      </c>
      <c r="G475" s="110">
        <f>Gasto_o_ing_per_capita!G475*100/Gasto_o_ing_per_capita!$D475</f>
        <v>125.94680627116709</v>
      </c>
      <c r="H475" s="110">
        <f>Gasto_o_ing_per_capita!H475*100/Gasto_o_ing_per_capita!$D475</f>
        <v>89.532439126758732</v>
      </c>
      <c r="I475" s="110">
        <f>Gasto_o_ing_per_capita!I475*100/Gasto_o_ing_per_capita!$D475</f>
        <v>95.288037018041479</v>
      </c>
      <c r="J475" s="110">
        <f>Gasto_o_ing_per_capita!J475*100/Gasto_o_ing_per_capita!$D475</f>
        <v>113.21563280471186</v>
      </c>
      <c r="K475" s="110">
        <f>Gasto_o_ing_per_capita!K475*100/Gasto_o_ing_per_capita!$D475</f>
        <v>118.87171937726127</v>
      </c>
      <c r="L475" s="110">
        <f>Gasto_o_ing_per_capita!L475*100/Gasto_o_ing_per_capita!$D475</f>
        <v>98.655086485339709</v>
      </c>
      <c r="M475" s="110">
        <f>Gasto_o_ing_per_capita!M475*100/Gasto_o_ing_per_capita!$D475</f>
        <v>101.55510912258458</v>
      </c>
      <c r="N475" s="110">
        <f>Gasto_o_ing_per_capita!N475*100/Gasto_o_ing_per_capita!$D475</f>
        <v>86.657530773905691</v>
      </c>
      <c r="O475" s="110">
        <f>Gasto_o_ing_per_capita!O475*100/Gasto_o_ing_per_capita!$D475</f>
        <v>109.78779343409535</v>
      </c>
      <c r="P475" s="110">
        <f>Gasto_o_ing_per_capita!P475*100/Gasto_o_ing_per_capita!$D475</f>
        <v>108.07863833558925</v>
      </c>
      <c r="Q475" s="110">
        <f>Gasto_o_ing_per_capita!Q475*100/Gasto_o_ing_per_capita!$D475</f>
        <v>94.978103859061491</v>
      </c>
      <c r="R475" s="110">
        <f>Gasto_o_ing_per_capita!R475*100/Gasto_o_ing_per_capita!$D475</f>
        <v>85.480294480924258</v>
      </c>
      <c r="S475" s="110">
        <f>Gasto_o_ing_per_capita!S475*100/Gasto_o_ing_per_capita!$D475</f>
        <v>106.82159865528526</v>
      </c>
      <c r="T475" s="110">
        <f>Gasto_o_ing_per_capita!T475*100/Gasto_o_ing_per_capita!$D475</f>
        <v>130.87978465992211</v>
      </c>
      <c r="U475" s="110">
        <f>Gasto_o_ing_per_capita!U475*100/Gasto_o_ing_per_capita!$D475</f>
        <v>105.41386891555462</v>
      </c>
      <c r="V475" s="110">
        <f>Gasto_o_ing_per_capita!V475*100/Gasto_o_ing_per_capita!$D475</f>
        <v>121.04900365244056</v>
      </c>
    </row>
    <row r="476" spans="1:22" s="102" customFormat="1" ht="13.15">
      <c r="A476" s="356"/>
      <c r="C476" s="103" t="s">
        <v>80</v>
      </c>
      <c r="D476" s="110">
        <f>Gasto_o_ing_per_capita!D476*100/Gasto_o_ing_per_capita!$D476</f>
        <v>100</v>
      </c>
      <c r="E476" s="110">
        <f>Gasto_o_ing_per_capita!E476*100/Gasto_o_ing_per_capita!$D476</f>
        <v>90.389262641959618</v>
      </c>
      <c r="F476" s="110">
        <f>Gasto_o_ing_per_capita!F476*100/Gasto_o_ing_per_capita!$D476</f>
        <v>112.7857423613345</v>
      </c>
      <c r="G476" s="110">
        <f>Gasto_o_ing_per_capita!G476*100/Gasto_o_ing_per_capita!$D476</f>
        <v>124.65976369289606</v>
      </c>
      <c r="H476" s="110">
        <f>Gasto_o_ing_per_capita!H476*100/Gasto_o_ing_per_capita!$D476</f>
        <v>88.201858428125192</v>
      </c>
      <c r="I476" s="110">
        <f>Gasto_o_ing_per_capita!I476*100/Gasto_o_ing_per_capita!$D476</f>
        <v>95.531735914337446</v>
      </c>
      <c r="J476" s="110">
        <f>Gasto_o_ing_per_capita!J476*100/Gasto_o_ing_per_capita!$D476</f>
        <v>112.3132446588092</v>
      </c>
      <c r="K476" s="110">
        <f>Gasto_o_ing_per_capita!K476*100/Gasto_o_ing_per_capita!$D476</f>
        <v>118.83828837130721</v>
      </c>
      <c r="L476" s="110">
        <f>Gasto_o_ing_per_capita!L476*100/Gasto_o_ing_per_capita!$D476</f>
        <v>99.752022490999039</v>
      </c>
      <c r="M476" s="110">
        <f>Gasto_o_ing_per_capita!M476*100/Gasto_o_ing_per_capita!$D476</f>
        <v>100.04616292286953</v>
      </c>
      <c r="N476" s="110">
        <f>Gasto_o_ing_per_capita!N476*100/Gasto_o_ing_per_capita!$D476</f>
        <v>86.178458821522312</v>
      </c>
      <c r="O476" s="110">
        <f>Gasto_o_ing_per_capita!O476*100/Gasto_o_ing_per_capita!$D476</f>
        <v>107.97248559220358</v>
      </c>
      <c r="P476" s="110">
        <f>Gasto_o_ing_per_capita!P476*100/Gasto_o_ing_per_capita!$D476</f>
        <v>108.1154312695124</v>
      </c>
      <c r="Q476" s="110">
        <f>Gasto_o_ing_per_capita!Q476*100/Gasto_o_ing_per_capita!$D476</f>
        <v>95.911435382928531</v>
      </c>
      <c r="R476" s="110">
        <f>Gasto_o_ing_per_capita!R476*100/Gasto_o_ing_per_capita!$D476</f>
        <v>84.920692923823168</v>
      </c>
      <c r="S476" s="110">
        <f>Gasto_o_ing_per_capita!S476*100/Gasto_o_ing_per_capita!$D476</f>
        <v>113.74634647851732</v>
      </c>
      <c r="T476" s="110">
        <f>Gasto_o_ing_per_capita!T476*100/Gasto_o_ing_per_capita!$D476</f>
        <v>136.03621465024511</v>
      </c>
      <c r="U476" s="110">
        <f>Gasto_o_ing_per_capita!U476*100/Gasto_o_ing_per_capita!$D476</f>
        <v>105.36106488908518</v>
      </c>
      <c r="V476" s="110">
        <f>Gasto_o_ing_per_capita!V476*100/Gasto_o_ing_per_capita!$D476</f>
        <v>121.78293806639668</v>
      </c>
    </row>
    <row r="477" spans="1:22" ht="13.15">
      <c r="A477" s="356"/>
      <c r="C477" s="1"/>
      <c r="D477" s="19"/>
      <c r="E477" s="19"/>
      <c r="F477" s="19"/>
      <c r="G477" s="19"/>
      <c r="H477" s="19"/>
      <c r="I477" s="19"/>
      <c r="J477" s="19"/>
      <c r="K477" s="19"/>
      <c r="L477" s="19"/>
      <c r="M477" s="19"/>
      <c r="N477" s="19"/>
      <c r="O477" s="19"/>
      <c r="P477" s="19"/>
      <c r="Q477" s="19"/>
      <c r="R477" s="19"/>
      <c r="S477" s="19"/>
      <c r="T477" s="19"/>
      <c r="U477" s="19"/>
      <c r="V477" s="19"/>
    </row>
    <row r="478" spans="1:22" ht="13.15">
      <c r="A478" s="356"/>
      <c r="C478" s="1"/>
      <c r="D478" s="19"/>
      <c r="E478" s="19"/>
      <c r="F478" s="19"/>
      <c r="G478" s="19"/>
      <c r="H478" s="19"/>
      <c r="I478" s="19"/>
      <c r="J478" s="19"/>
      <c r="K478" s="19"/>
      <c r="L478" s="19"/>
      <c r="M478" s="19"/>
      <c r="N478" s="19"/>
      <c r="O478" s="19"/>
      <c r="P478" s="19"/>
      <c r="Q478" s="19"/>
      <c r="R478" s="19"/>
      <c r="S478" s="19"/>
      <c r="T478" s="19"/>
      <c r="U478" s="19"/>
      <c r="V478" s="19"/>
    </row>
    <row r="479" spans="1:22" s="102" customFormat="1" ht="13.15">
      <c r="A479" s="356"/>
      <c r="C479" s="120"/>
      <c r="D479" s="110"/>
      <c r="E479" s="110"/>
      <c r="F479" s="110"/>
      <c r="G479" s="110"/>
      <c r="H479" s="110"/>
      <c r="I479" s="110"/>
      <c r="J479" s="110"/>
      <c r="K479" s="110"/>
      <c r="L479" s="110"/>
      <c r="M479" s="110"/>
      <c r="N479" s="110"/>
      <c r="O479" s="110"/>
      <c r="P479" s="110"/>
      <c r="Q479" s="110"/>
      <c r="R479" s="110"/>
      <c r="S479" s="110"/>
      <c r="T479" s="110"/>
      <c r="U479" s="110"/>
      <c r="V479" s="110"/>
    </row>
    <row r="480" spans="1:22" s="102" customFormat="1" ht="13.15">
      <c r="A480" s="356"/>
      <c r="C480" s="121" t="s">
        <v>85</v>
      </c>
      <c r="D480" s="110"/>
      <c r="E480" s="110"/>
      <c r="F480" s="110"/>
      <c r="G480" s="110"/>
      <c r="H480" s="110"/>
      <c r="I480" s="110"/>
      <c r="J480" s="110"/>
      <c r="K480" s="110"/>
      <c r="L480" s="110"/>
      <c r="M480" s="110"/>
      <c r="N480" s="110"/>
      <c r="O480" s="110"/>
      <c r="P480" s="110"/>
      <c r="Q480" s="110"/>
      <c r="R480" s="110"/>
      <c r="S480" s="110"/>
      <c r="T480" s="110"/>
      <c r="U480" s="110"/>
      <c r="V480" s="110"/>
    </row>
    <row r="481" spans="1:22" s="102" customFormat="1" ht="13.15">
      <c r="A481" s="356"/>
      <c r="C481" s="120"/>
      <c r="D481" s="110"/>
      <c r="E481" s="110"/>
      <c r="F481" s="110"/>
      <c r="G481" s="110"/>
      <c r="H481" s="110"/>
      <c r="I481" s="110"/>
      <c r="J481" s="110"/>
      <c r="K481" s="110"/>
      <c r="L481" s="110"/>
      <c r="M481" s="110"/>
      <c r="N481" s="110"/>
      <c r="O481" s="110"/>
      <c r="P481" s="110"/>
      <c r="Q481" s="110"/>
      <c r="R481" s="110"/>
      <c r="S481" s="110"/>
      <c r="T481" s="110"/>
      <c r="U481" s="110"/>
      <c r="V481" s="110"/>
    </row>
    <row r="482" spans="1:22" s="102" customFormat="1" ht="13.15">
      <c r="A482" s="356"/>
      <c r="C482" s="120"/>
      <c r="D482" s="110"/>
      <c r="E482" s="110"/>
      <c r="F482" s="110"/>
      <c r="G482" s="110"/>
      <c r="H482" s="110"/>
      <c r="I482" s="110"/>
      <c r="J482" s="110"/>
      <c r="K482" s="110"/>
      <c r="L482" s="110"/>
      <c r="M482" s="110"/>
      <c r="N482" s="110"/>
      <c r="O482" s="110"/>
      <c r="P482" s="110"/>
      <c r="Q482" s="110"/>
      <c r="R482" s="110"/>
      <c r="S482" s="110"/>
      <c r="T482" s="110"/>
      <c r="U482" s="110"/>
      <c r="V482" s="110"/>
    </row>
    <row r="483" spans="1:22" s="102" customFormat="1" ht="13.15">
      <c r="A483" s="356"/>
      <c r="C483" s="120"/>
      <c r="D483" s="110"/>
      <c r="E483" s="110"/>
      <c r="F483" s="110"/>
      <c r="G483" s="110"/>
      <c r="H483" s="110"/>
      <c r="I483" s="110"/>
      <c r="J483" s="110"/>
      <c r="K483" s="110"/>
      <c r="L483" s="110"/>
      <c r="M483" s="110"/>
      <c r="N483" s="110"/>
      <c r="O483" s="110"/>
      <c r="P483" s="110"/>
      <c r="Q483" s="110"/>
      <c r="R483" s="110"/>
      <c r="S483" s="110"/>
      <c r="T483" s="110"/>
      <c r="U483" s="110"/>
      <c r="V483" s="110"/>
    </row>
    <row r="484" spans="1:22" s="102" customFormat="1" ht="13.15">
      <c r="A484" s="356"/>
      <c r="C484" s="120"/>
      <c r="D484" s="110"/>
      <c r="E484" s="110"/>
      <c r="F484" s="110"/>
      <c r="G484" s="110"/>
      <c r="H484" s="110"/>
      <c r="I484" s="110"/>
      <c r="J484" s="110"/>
      <c r="K484" s="110"/>
      <c r="L484" s="110"/>
      <c r="M484" s="110"/>
      <c r="N484" s="110"/>
      <c r="O484" s="110"/>
      <c r="P484" s="110"/>
      <c r="Q484" s="110"/>
      <c r="R484" s="110"/>
      <c r="S484" s="110"/>
      <c r="T484" s="110"/>
      <c r="U484" s="110"/>
      <c r="V484" s="110"/>
    </row>
    <row r="485" spans="1:22" s="102" customFormat="1" ht="13.15">
      <c r="A485" s="356"/>
      <c r="C485" s="153"/>
      <c r="D485" s="110"/>
      <c r="E485" s="110"/>
      <c r="F485" s="110"/>
      <c r="G485" s="110"/>
      <c r="H485" s="110"/>
      <c r="I485" s="110"/>
      <c r="J485" s="110"/>
      <c r="K485" s="110"/>
      <c r="L485" s="110"/>
      <c r="M485" s="110"/>
      <c r="N485" s="110"/>
      <c r="O485" s="110"/>
      <c r="P485" s="110"/>
      <c r="Q485" s="110"/>
      <c r="R485" s="110"/>
      <c r="S485" s="110"/>
      <c r="T485" s="110"/>
      <c r="U485" s="110"/>
      <c r="V485" s="110"/>
    </row>
    <row r="486" spans="1:22" s="102" customFormat="1" ht="13.15">
      <c r="A486" s="356"/>
      <c r="C486" s="109" t="s">
        <v>86</v>
      </c>
      <c r="D486" s="110">
        <f>Gasto_o_ing_per_capita!D486*100/Gasto_o_ing_per_capita!$D486</f>
        <v>100</v>
      </c>
      <c r="E486" s="110">
        <f>Gasto_o_ing_per_capita!E486*100/Gasto_o_ing_per_capita!$D486</f>
        <v>78.322541009229028</v>
      </c>
      <c r="F486" s="110">
        <f>Gasto_o_ing_per_capita!F486*100/Gasto_o_ing_per_capita!$D486</f>
        <v>106.05932698280846</v>
      </c>
      <c r="G486" s="110">
        <f>Gasto_o_ing_per_capita!G486*100/Gasto_o_ing_per_capita!$D486</f>
        <v>102.89925170718635</v>
      </c>
      <c r="H486" s="110">
        <f>Gasto_o_ing_per_capita!H486*100/Gasto_o_ing_per_capita!$D486</f>
        <v>100.6400832266112</v>
      </c>
      <c r="I486" s="110">
        <f>Gasto_o_ing_per_capita!I486*100/Gasto_o_ing_per_capita!$D486</f>
        <v>79.999668046485297</v>
      </c>
      <c r="J486" s="110">
        <f>Gasto_o_ing_per_capita!J486*100/Gasto_o_ing_per_capita!$D486</f>
        <v>103.02664877617985</v>
      </c>
      <c r="K486" s="110">
        <f>Gasto_o_ing_per_capita!K486*100/Gasto_o_ing_per_capita!$D486</f>
        <v>96.361486936076545</v>
      </c>
      <c r="L486" s="110">
        <f>Gasto_o_ing_per_capita!L486*100/Gasto_o_ing_per_capita!$D486</f>
        <v>81.018491568535751</v>
      </c>
      <c r="M486" s="110">
        <f>Gasto_o_ing_per_capita!M486*100/Gasto_o_ing_per_capita!$D486</f>
        <v>113.40715818182757</v>
      </c>
      <c r="N486" s="110">
        <f>Gasto_o_ing_per_capita!N486*100/Gasto_o_ing_per_capita!$D486</f>
        <v>86.813471949285741</v>
      </c>
      <c r="O486" s="110">
        <f>Gasto_o_ing_per_capita!O486*100/Gasto_o_ing_per_capita!$D486</f>
        <v>75.610071265216035</v>
      </c>
      <c r="P486" s="110">
        <f>Gasto_o_ing_per_capita!P486*100/Gasto_o_ing_per_capita!$D486</f>
        <v>91.618096236427547</v>
      </c>
      <c r="Q486" s="110">
        <f>Gasto_o_ing_per_capita!Q486*100/Gasto_o_ing_per_capita!$D486</f>
        <v>136.83893671316241</v>
      </c>
      <c r="R486" s="110">
        <f>Gasto_o_ing_per_capita!R486*100/Gasto_o_ing_per_capita!$D486</f>
        <v>78.354938928261546</v>
      </c>
      <c r="S486" s="110">
        <f>Gasto_o_ing_per_capita!S486*100/Gasto_o_ing_per_capita!$D486</f>
        <v>116.11827267673696</v>
      </c>
      <c r="T486" s="110">
        <f>Gasto_o_ing_per_capita!T486*100/Gasto_o_ing_per_capita!$D486</f>
        <v>128.02045682860802</v>
      </c>
      <c r="U486" s="110">
        <f>Gasto_o_ing_per_capita!U486*100/Gasto_o_ing_per_capita!$D486</f>
        <v>100.58072138224733</v>
      </c>
      <c r="V486" s="110">
        <f>Gasto_o_ing_per_capita!V486*100/Gasto_o_ing_per_capita!$D486</f>
        <v>81.704153957412146</v>
      </c>
    </row>
    <row r="487" spans="1:22" s="102" customFormat="1" ht="13.15">
      <c r="A487" s="356"/>
      <c r="C487" s="115"/>
      <c r="D487" s="110"/>
      <c r="E487" s="110"/>
      <c r="F487" s="110"/>
      <c r="G487" s="110"/>
      <c r="H487" s="110"/>
      <c r="I487" s="110"/>
      <c r="J487" s="110"/>
      <c r="K487" s="110"/>
      <c r="L487" s="110"/>
      <c r="M487" s="110"/>
      <c r="N487" s="110"/>
      <c r="O487" s="110"/>
      <c r="P487" s="110"/>
      <c r="Q487" s="110"/>
      <c r="R487" s="110"/>
      <c r="S487" s="110"/>
      <c r="T487" s="110"/>
      <c r="U487" s="110"/>
      <c r="V487" s="110"/>
    </row>
    <row r="488" spans="1:22" s="102" customFormat="1" ht="13.15">
      <c r="A488" s="356"/>
      <c r="C488" s="112" t="s">
        <v>87</v>
      </c>
      <c r="D488" s="113">
        <f>Gasto_o_ing_per_capita!D488*100/Gasto_o_ing_per_capita!$D488</f>
        <v>100</v>
      </c>
      <c r="E488" s="113">
        <f>Gasto_o_ing_per_capita!E488*100/Gasto_o_ing_per_capita!$D488</f>
        <v>67.275151370158625</v>
      </c>
      <c r="F488" s="113">
        <f>Gasto_o_ing_per_capita!F488*100/Gasto_o_ing_per_capita!$D488</f>
        <v>108.56020918973579</v>
      </c>
      <c r="G488" s="113">
        <f>Gasto_o_ing_per_capita!G488*100/Gasto_o_ing_per_capita!$D488</f>
        <v>105.28904203775423</v>
      </c>
      <c r="H488" s="113">
        <f>Gasto_o_ing_per_capita!H488*100/Gasto_o_ing_per_capita!$D488</f>
        <v>96.170269252997969</v>
      </c>
      <c r="I488" s="113">
        <f>Gasto_o_ing_per_capita!I488*100/Gasto_o_ing_per_capita!$D488</f>
        <v>72.514450769780538</v>
      </c>
      <c r="J488" s="113">
        <f>Gasto_o_ing_per_capita!J488*100/Gasto_o_ing_per_capita!$D488</f>
        <v>101.40790883701449</v>
      </c>
      <c r="K488" s="113">
        <f>Gasto_o_ing_per_capita!K488*100/Gasto_o_ing_per_capita!$D488</f>
        <v>95.443198612595125</v>
      </c>
      <c r="L488" s="113">
        <f>Gasto_o_ing_per_capita!L488*100/Gasto_o_ing_per_capita!$D488</f>
        <v>71.22992859747103</v>
      </c>
      <c r="M488" s="113">
        <f>Gasto_o_ing_per_capita!M488*100/Gasto_o_ing_per_capita!$D488</f>
        <v>119.7184201915279</v>
      </c>
      <c r="N488" s="113">
        <f>Gasto_o_ing_per_capita!N488*100/Gasto_o_ing_per_capita!$D488</f>
        <v>80.604269644623656</v>
      </c>
      <c r="O488" s="113">
        <f>Gasto_o_ing_per_capita!O488*100/Gasto_o_ing_per_capita!$D488</f>
        <v>64.440915502724337</v>
      </c>
      <c r="P488" s="113">
        <f>Gasto_o_ing_per_capita!P488*100/Gasto_o_ing_per_capita!$D488</f>
        <v>87.042729053273419</v>
      </c>
      <c r="Q488" s="113">
        <f>Gasto_o_ing_per_capita!Q488*100/Gasto_o_ing_per_capita!$D488</f>
        <v>157.30141753814976</v>
      </c>
      <c r="R488" s="113">
        <f>Gasto_o_ing_per_capita!R488*100/Gasto_o_ing_per_capita!$D488</f>
        <v>70.358673720427404</v>
      </c>
      <c r="S488" s="113">
        <f>Gasto_o_ing_per_capita!S488*100/Gasto_o_ing_per_capita!$D488</f>
        <v>121.70276625417308</v>
      </c>
      <c r="T488" s="113">
        <f>Gasto_o_ing_per_capita!T488*100/Gasto_o_ing_per_capita!$D488</f>
        <v>135.76049205746864</v>
      </c>
      <c r="U488" s="113">
        <f>Gasto_o_ing_per_capita!U488*100/Gasto_o_ing_per_capita!$D488</f>
        <v>100.64508906411326</v>
      </c>
      <c r="V488" s="113">
        <f>Gasto_o_ing_per_capita!V488*100/Gasto_o_ing_per_capita!$D488</f>
        <v>76.273677081957985</v>
      </c>
    </row>
    <row r="489" spans="1:22" s="102" customFormat="1" ht="13.15">
      <c r="A489" s="355" t="str">
        <f>IF(B489="","",(IF(ISERROR(MATCH(B489,Tot_res!C:C,0)),"Eliminar!!!","")))</f>
        <v/>
      </c>
      <c r="B489" s="102" t="s">
        <v>438</v>
      </c>
      <c r="C489" s="333" t="str">
        <f>VLOOKUP(B489,Tot_res!C:D,2,FALSE)</f>
        <v>IRPF, ingresos homogeneizados</v>
      </c>
      <c r="D489" s="336">
        <f>Gasto_o_ing_per_capita!D489*100/Gasto_o_ing_per_capita!$D489</f>
        <v>100</v>
      </c>
      <c r="E489" s="336">
        <f>Gasto_o_ing_per_capita!E489*100/Gasto_o_ing_per_capita!$D489</f>
        <v>62.288300719555565</v>
      </c>
      <c r="F489" s="336">
        <f>Gasto_o_ing_per_capita!F489*100/Gasto_o_ing_per_capita!$D489</f>
        <v>107.09768409079288</v>
      </c>
      <c r="G489" s="336">
        <f>Gasto_o_ing_per_capita!G489*100/Gasto_o_ing_per_capita!$D489</f>
        <v>106.19925348035933</v>
      </c>
      <c r="H489" s="336">
        <f>Gasto_o_ing_per_capita!H489*100/Gasto_o_ing_per_capita!$D489</f>
        <v>95.591049226707426</v>
      </c>
      <c r="I489" s="336">
        <f>Gasto_o_ing_per_capita!I489*100/Gasto_o_ing_per_capita!$D489</f>
        <v>68.48745250937327</v>
      </c>
      <c r="J489" s="336">
        <f>Gasto_o_ing_per_capita!J489*100/Gasto_o_ing_per_capita!$D489</f>
        <v>98.130037647803448</v>
      </c>
      <c r="K489" s="336">
        <f>Gasto_o_ing_per_capita!K489*100/Gasto_o_ing_per_capita!$D489</f>
        <v>92.526094476419729</v>
      </c>
      <c r="L489" s="336">
        <f>Gasto_o_ing_per_capita!L489*100/Gasto_o_ing_per_capita!$D489</f>
        <v>67.26958759545623</v>
      </c>
      <c r="M489" s="336">
        <f>Gasto_o_ing_per_capita!M489*100/Gasto_o_ing_per_capita!$D489</f>
        <v>123.98359288014797</v>
      </c>
      <c r="N489" s="336">
        <f>Gasto_o_ing_per_capita!N489*100/Gasto_o_ing_per_capita!$D489</f>
        <v>77.340318733905562</v>
      </c>
      <c r="O489" s="336">
        <f>Gasto_o_ing_per_capita!O489*100/Gasto_o_ing_per_capita!$D489</f>
        <v>57.518238332974377</v>
      </c>
      <c r="P489" s="336">
        <f>Gasto_o_ing_per_capita!P489*100/Gasto_o_ing_per_capita!$D489</f>
        <v>82.922682837532875</v>
      </c>
      <c r="Q489" s="336">
        <f>Gasto_o_ing_per_capita!Q489*100/Gasto_o_ing_per_capita!$D489</f>
        <v>167.42055945695304</v>
      </c>
      <c r="R489" s="336">
        <f>Gasto_o_ing_per_capita!R489*100/Gasto_o_ing_per_capita!$D489</f>
        <v>65.834708568806278</v>
      </c>
      <c r="S489" s="336">
        <f>Gasto_o_ing_per_capita!S489*100/Gasto_o_ing_per_capita!$D489</f>
        <v>128.12369665999941</v>
      </c>
      <c r="T489" s="336">
        <f>Gasto_o_ing_per_capita!T489*100/Gasto_o_ing_per_capita!$D489</f>
        <v>141.97760529285452</v>
      </c>
      <c r="U489" s="336">
        <f>Gasto_o_ing_per_capita!U489*100/Gasto_o_ing_per_capita!$D489</f>
        <v>98.837630834899386</v>
      </c>
      <c r="V489" s="336">
        <f>Gasto_o_ing_per_capita!V489*100/Gasto_o_ing_per_capita!$D489</f>
        <v>58.315201346215765</v>
      </c>
    </row>
    <row r="490" spans="1:22" s="102" customFormat="1" ht="13.15">
      <c r="A490" s="355" t="str">
        <f>IF(B490="","",(IF(ISERROR(MATCH(B490,Tot_res!C:C,0)),"Eliminar!!!","")))</f>
        <v/>
      </c>
      <c r="B490" s="102" t="s">
        <v>439</v>
      </c>
      <c r="C490" s="333" t="str">
        <f>VLOOKUP(B490,Tot_res!C:D,2,FALSE)</f>
        <v>Impuesto sobre sociedades, ingresos homogéneos</v>
      </c>
      <c r="D490" s="336">
        <f>Gasto_o_ing_per_capita!D490*100/Gasto_o_ing_per_capita!$D490</f>
        <v>100</v>
      </c>
      <c r="E490" s="336">
        <f>Gasto_o_ing_per_capita!E490*100/Gasto_o_ing_per_capita!$D490</f>
        <v>83.451112649531183</v>
      </c>
      <c r="F490" s="336">
        <f>Gasto_o_ing_per_capita!F490*100/Gasto_o_ing_per_capita!$D490</f>
        <v>110.5889900533647</v>
      </c>
      <c r="G490" s="336">
        <f>Gasto_o_ing_per_capita!G490*100/Gasto_o_ing_per_capita!$D490</f>
        <v>98.454774930503547</v>
      </c>
      <c r="H490" s="336">
        <f>Gasto_o_ing_per_capita!H490*100/Gasto_o_ing_per_capita!$D490</f>
        <v>99.616644002737004</v>
      </c>
      <c r="I490" s="336">
        <f>Gasto_o_ing_per_capita!I490*100/Gasto_o_ing_per_capita!$D490</f>
        <v>86.816533723930789</v>
      </c>
      <c r="J490" s="336">
        <f>Gasto_o_ing_per_capita!J490*100/Gasto_o_ing_per_capita!$D490</f>
        <v>107.92225452848344</v>
      </c>
      <c r="K490" s="336">
        <f>Gasto_o_ing_per_capita!K490*100/Gasto_o_ing_per_capita!$D490</f>
        <v>101.8578336303937</v>
      </c>
      <c r="L490" s="336">
        <f>Gasto_o_ing_per_capita!L490*100/Gasto_o_ing_per_capita!$D490</f>
        <v>83.428051503784445</v>
      </c>
      <c r="M490" s="336">
        <f>Gasto_o_ing_per_capita!M490*100/Gasto_o_ing_per_capita!$D490</f>
        <v>106.30015642041717</v>
      </c>
      <c r="N490" s="336">
        <f>Gasto_o_ing_per_capita!N490*100/Gasto_o_ing_per_capita!$D490</f>
        <v>89.674597157591606</v>
      </c>
      <c r="O490" s="336">
        <f>Gasto_o_ing_per_capita!O490*100/Gasto_o_ing_per_capita!$D490</f>
        <v>85.866224612637154</v>
      </c>
      <c r="P490" s="336">
        <f>Gasto_o_ing_per_capita!P490*100/Gasto_o_ing_per_capita!$D490</f>
        <v>96.023949102591061</v>
      </c>
      <c r="Q490" s="336">
        <f>Gasto_o_ing_per_capita!Q490*100/Gasto_o_ing_per_capita!$D490</f>
        <v>128.47978153164746</v>
      </c>
      <c r="R490" s="336">
        <f>Gasto_o_ing_per_capita!R490*100/Gasto_o_ing_per_capita!$D490</f>
        <v>85.513657242089764</v>
      </c>
      <c r="S490" s="336">
        <f>Gasto_o_ing_per_capita!S490*100/Gasto_o_ing_per_capita!$D490</f>
        <v>104.21960537244762</v>
      </c>
      <c r="T490" s="336">
        <f>Gasto_o_ing_per_capita!T490*100/Gasto_o_ing_per_capita!$D490</f>
        <v>117.4776849994638</v>
      </c>
      <c r="U490" s="336">
        <f>Gasto_o_ing_per_capita!U490*100/Gasto_o_ing_per_capita!$D490</f>
        <v>103.81874725180607</v>
      </c>
      <c r="V490" s="336">
        <f>Gasto_o_ing_per_capita!V490*100/Gasto_o_ing_per_capita!$D490</f>
        <v>137.82692258419829</v>
      </c>
    </row>
    <row r="491" spans="1:22" s="102" customFormat="1" ht="13.15">
      <c r="A491" s="355" t="str">
        <f>IF(B491="","",(IF(ISERROR(MATCH(B491,Tot_res!C:C,0)),"Eliminar!!!","")))</f>
        <v/>
      </c>
      <c r="B491" s="102" t="s">
        <v>440</v>
      </c>
      <c r="C491" s="333" t="str">
        <f>VLOOKUP(B491,Tot_res!C:D,2,FALSE)</f>
        <v>Impuesto sobre la renta de no residentes</v>
      </c>
      <c r="D491" s="336">
        <f>Gasto_o_ing_per_capita!D491*100/Gasto_o_ing_per_capita!$D491</f>
        <v>100</v>
      </c>
      <c r="E491" s="336">
        <f>Gasto_o_ing_per_capita!E491*100/Gasto_o_ing_per_capita!$D491</f>
        <v>100</v>
      </c>
      <c r="F491" s="336">
        <f>Gasto_o_ing_per_capita!F491*100/Gasto_o_ing_per_capita!$D491</f>
        <v>99.999999999999986</v>
      </c>
      <c r="G491" s="336">
        <f>Gasto_o_ing_per_capita!G491*100/Gasto_o_ing_per_capita!$D491</f>
        <v>100.00000000000001</v>
      </c>
      <c r="H491" s="336">
        <f>Gasto_o_ing_per_capita!H491*100/Gasto_o_ing_per_capita!$D491</f>
        <v>99.999999999999986</v>
      </c>
      <c r="I491" s="336">
        <f>Gasto_o_ing_per_capita!I491*100/Gasto_o_ing_per_capita!$D491</f>
        <v>100</v>
      </c>
      <c r="J491" s="336">
        <f>Gasto_o_ing_per_capita!J491*100/Gasto_o_ing_per_capita!$D491</f>
        <v>99.999999999999986</v>
      </c>
      <c r="K491" s="336">
        <f>Gasto_o_ing_per_capita!K491*100/Gasto_o_ing_per_capita!$D491</f>
        <v>100</v>
      </c>
      <c r="L491" s="336">
        <f>Gasto_o_ing_per_capita!L491*100/Gasto_o_ing_per_capita!$D491</f>
        <v>100.00000000000001</v>
      </c>
      <c r="M491" s="336">
        <f>Gasto_o_ing_per_capita!M491*100/Gasto_o_ing_per_capita!$D491</f>
        <v>100</v>
      </c>
      <c r="N491" s="336">
        <f>Gasto_o_ing_per_capita!N491*100/Gasto_o_ing_per_capita!$D491</f>
        <v>100</v>
      </c>
      <c r="O491" s="336">
        <f>Gasto_o_ing_per_capita!O491*100/Gasto_o_ing_per_capita!$D491</f>
        <v>100.00000000000001</v>
      </c>
      <c r="P491" s="336">
        <f>Gasto_o_ing_per_capita!P491*100/Gasto_o_ing_per_capita!$D491</f>
        <v>100</v>
      </c>
      <c r="Q491" s="336">
        <f>Gasto_o_ing_per_capita!Q491*100/Gasto_o_ing_per_capita!$D491</f>
        <v>100</v>
      </c>
      <c r="R491" s="336">
        <f>Gasto_o_ing_per_capita!R491*100/Gasto_o_ing_per_capita!$D491</f>
        <v>100</v>
      </c>
      <c r="S491" s="336">
        <f>Gasto_o_ing_per_capita!S491*100/Gasto_o_ing_per_capita!$D491</f>
        <v>100.00000000000001</v>
      </c>
      <c r="T491" s="336">
        <f>Gasto_o_ing_per_capita!T491*100/Gasto_o_ing_per_capita!$D491</f>
        <v>100</v>
      </c>
      <c r="U491" s="336">
        <f>Gasto_o_ing_per_capita!U491*100/Gasto_o_ing_per_capita!$D491</f>
        <v>100</v>
      </c>
      <c r="V491" s="336">
        <f>Gasto_o_ing_per_capita!V491*100/Gasto_o_ing_per_capita!$D491</f>
        <v>100</v>
      </c>
    </row>
    <row r="492" spans="1:22" s="102" customFormat="1" ht="13.15">
      <c r="A492" s="355" t="str">
        <f>IF(B492="","",(IF(ISERROR(MATCH(B492,Tot_res!C:C,0)),"Eliminar!!!","")))</f>
        <v/>
      </c>
      <c r="B492" s="102" t="s">
        <v>442</v>
      </c>
      <c r="C492" s="333" t="str">
        <f>VLOOKUP(B492,Tot_res!C:D,2,FALSE)</f>
        <v>Impuesto sobre sucesiones y donaciones, ing. homog.</v>
      </c>
      <c r="D492" s="336">
        <f>Gasto_o_ing_per_capita!D492*100/Gasto_o_ing_per_capita!$D492</f>
        <v>99.999999999999986</v>
      </c>
      <c r="E492" s="336">
        <f>Gasto_o_ing_per_capita!E492*100/Gasto_o_ing_per_capita!$D492</f>
        <v>61.424261378997841</v>
      </c>
      <c r="F492" s="336">
        <f>Gasto_o_ing_per_capita!F492*100/Gasto_o_ing_per_capita!$D492</f>
        <v>142.01211069122223</v>
      </c>
      <c r="G492" s="336">
        <f>Gasto_o_ing_per_capita!G492*100/Gasto_o_ing_per_capita!$D492</f>
        <v>140.33609304477412</v>
      </c>
      <c r="H492" s="336">
        <f>Gasto_o_ing_per_capita!H492*100/Gasto_o_ing_per_capita!$D492</f>
        <v>81.582691544029615</v>
      </c>
      <c r="I492" s="336">
        <f>Gasto_o_ing_per_capita!I492*100/Gasto_o_ing_per_capita!$D492</f>
        <v>56.15707141104776</v>
      </c>
      <c r="J492" s="336">
        <f>Gasto_o_ing_per_capita!J492*100/Gasto_o_ing_per_capita!$D492</f>
        <v>148.07354123051886</v>
      </c>
      <c r="K492" s="336">
        <f>Gasto_o_ing_per_capita!K492*100/Gasto_o_ing_per_capita!$D492</f>
        <v>127.94905164834472</v>
      </c>
      <c r="L492" s="336">
        <f>Gasto_o_ing_per_capita!L492*100/Gasto_o_ing_per_capita!$D492</f>
        <v>70.625162986413088</v>
      </c>
      <c r="M492" s="336">
        <f>Gasto_o_ing_per_capita!M492*100/Gasto_o_ing_per_capita!$D492</f>
        <v>115.97016017843511</v>
      </c>
      <c r="N492" s="336">
        <f>Gasto_o_ing_per_capita!N492*100/Gasto_o_ing_per_capita!$D492</f>
        <v>91.455068187353106</v>
      </c>
      <c r="O492" s="336">
        <f>Gasto_o_ing_per_capita!O492*100/Gasto_o_ing_per_capita!$D492</f>
        <v>71.482431555418984</v>
      </c>
      <c r="P492" s="336">
        <f>Gasto_o_ing_per_capita!P492*100/Gasto_o_ing_per_capita!$D492</f>
        <v>129.6609214712158</v>
      </c>
      <c r="Q492" s="336">
        <f>Gasto_o_ing_per_capita!Q492*100/Gasto_o_ing_per_capita!$D492</f>
        <v>128.14234139932043</v>
      </c>
      <c r="R492" s="336">
        <f>Gasto_o_ing_per_capita!R492*100/Gasto_o_ing_per_capita!$D492</f>
        <v>60.821205847480506</v>
      </c>
      <c r="S492" s="336">
        <f>Gasto_o_ing_per_capita!S492*100/Gasto_o_ing_per_capita!$D492</f>
        <v>87.100099208033484</v>
      </c>
      <c r="T492" s="336">
        <f>Gasto_o_ing_per_capita!T492*100/Gasto_o_ing_per_capita!$D492</f>
        <v>123.28051099601552</v>
      </c>
      <c r="U492" s="336">
        <f>Gasto_o_ing_per_capita!U492*100/Gasto_o_ing_per_capita!$D492</f>
        <v>130.00462764687819</v>
      </c>
      <c r="V492" s="336">
        <f>Gasto_o_ing_per_capita!V492*100/Gasto_o_ing_per_capita!$D492</f>
        <v>83.52909727720359</v>
      </c>
    </row>
    <row r="493" spans="1:22" s="102" customFormat="1" ht="13.15">
      <c r="A493" s="355" t="str">
        <f>IF(B493="","",(IF(ISERROR(MATCH(B493,Tot_res!C:C,0)),"Eliminar!!!","")))</f>
        <v/>
      </c>
      <c r="B493" s="102" t="s">
        <v>662</v>
      </c>
      <c r="C493" s="333" t="str">
        <f>VLOOKUP(B493,Tot_res!C:D,2,FALSE)</f>
        <v>Impuesto sobre el patrimonio, recaudación real</v>
      </c>
      <c r="D493" s="336">
        <f>Gasto_o_ing_per_capita!D493*100/Gasto_o_ing_per_capita!$D493</f>
        <v>100</v>
      </c>
      <c r="E493" s="336">
        <f>Gasto_o_ing_per_capita!E493*100/Gasto_o_ing_per_capita!$D493</f>
        <v>100</v>
      </c>
      <c r="F493" s="336">
        <f>Gasto_o_ing_per_capita!F493*100/Gasto_o_ing_per_capita!$D493</f>
        <v>100</v>
      </c>
      <c r="G493" s="336">
        <f>Gasto_o_ing_per_capita!G493*100/Gasto_o_ing_per_capita!$D493</f>
        <v>100.00000000000001</v>
      </c>
      <c r="H493" s="336">
        <f>Gasto_o_ing_per_capita!H493*100/Gasto_o_ing_per_capita!$D493</f>
        <v>100</v>
      </c>
      <c r="I493" s="336">
        <f>Gasto_o_ing_per_capita!I493*100/Gasto_o_ing_per_capita!$D493</f>
        <v>100.00000000000001</v>
      </c>
      <c r="J493" s="336">
        <f>Gasto_o_ing_per_capita!J493*100/Gasto_o_ing_per_capita!$D493</f>
        <v>100.00000000000001</v>
      </c>
      <c r="K493" s="336">
        <f>Gasto_o_ing_per_capita!K493*100/Gasto_o_ing_per_capita!$D493</f>
        <v>100.00000000000004</v>
      </c>
      <c r="L493" s="336">
        <f>Gasto_o_ing_per_capita!L493*100/Gasto_o_ing_per_capita!$D493</f>
        <v>100.00000000000001</v>
      </c>
      <c r="M493" s="336">
        <f>Gasto_o_ing_per_capita!M493*100/Gasto_o_ing_per_capita!$D493</f>
        <v>100.00000000000004</v>
      </c>
      <c r="N493" s="336">
        <f>Gasto_o_ing_per_capita!N493*100/Gasto_o_ing_per_capita!$D493</f>
        <v>100.00000000000004</v>
      </c>
      <c r="O493" s="336">
        <f>Gasto_o_ing_per_capita!O493*100/Gasto_o_ing_per_capita!$D493</f>
        <v>100.00000000000001</v>
      </c>
      <c r="P493" s="336">
        <f>Gasto_o_ing_per_capita!P493*100/Gasto_o_ing_per_capita!$D493</f>
        <v>100</v>
      </c>
      <c r="Q493" s="336">
        <f>Gasto_o_ing_per_capita!Q493*100/Gasto_o_ing_per_capita!$D493</f>
        <v>100.00000000000001</v>
      </c>
      <c r="R493" s="336">
        <f>Gasto_o_ing_per_capita!R493*100/Gasto_o_ing_per_capita!$D493</f>
        <v>100.00000000000001</v>
      </c>
      <c r="S493" s="336">
        <f>Gasto_o_ing_per_capita!S493*100/Gasto_o_ing_per_capita!$D493</f>
        <v>100.00000000000001</v>
      </c>
      <c r="T493" s="336">
        <f>Gasto_o_ing_per_capita!T493*100/Gasto_o_ing_per_capita!$D493</f>
        <v>100.00000000000001</v>
      </c>
      <c r="U493" s="336">
        <f>Gasto_o_ing_per_capita!U493*100/Gasto_o_ing_per_capita!$D493</f>
        <v>100.00000000000004</v>
      </c>
      <c r="V493" s="336">
        <f>Gasto_o_ing_per_capita!V493*100/Gasto_o_ing_per_capita!$D493</f>
        <v>100.00000000000001</v>
      </c>
    </row>
    <row r="494" spans="1:22" s="102" customFormat="1" ht="13.15">
      <c r="A494" s="356"/>
      <c r="C494" s="119"/>
      <c r="D494" s="110"/>
      <c r="E494" s="110"/>
      <c r="F494" s="110"/>
      <c r="G494" s="110"/>
      <c r="H494" s="110"/>
      <c r="I494" s="110"/>
      <c r="J494" s="110"/>
      <c r="K494" s="110"/>
      <c r="L494" s="110"/>
      <c r="M494" s="110"/>
      <c r="N494" s="110"/>
      <c r="O494" s="110"/>
      <c r="P494" s="110"/>
      <c r="Q494" s="110"/>
      <c r="R494" s="110"/>
      <c r="S494" s="110"/>
      <c r="T494" s="110"/>
      <c r="U494" s="110"/>
      <c r="V494" s="110"/>
    </row>
    <row r="495" spans="1:22" s="102" customFormat="1" ht="13.15">
      <c r="A495" s="356"/>
      <c r="C495" s="112" t="s">
        <v>109</v>
      </c>
      <c r="D495" s="113">
        <f>Gasto_o_ing_per_capita!D495*100/Gasto_o_ing_per_capita!$D495</f>
        <v>100</v>
      </c>
      <c r="E495" s="113">
        <f>Gasto_o_ing_per_capita!E495*100/Gasto_o_ing_per_capita!$D495</f>
        <v>90.674358065896044</v>
      </c>
      <c r="F495" s="113">
        <f>Gasto_o_ing_per_capita!F495*100/Gasto_o_ing_per_capita!$D495</f>
        <v>103.2631515504699</v>
      </c>
      <c r="G495" s="113">
        <f>Gasto_o_ing_per_capita!G495*100/Gasto_o_ing_per_capita!$D495</f>
        <v>100.22728539375319</v>
      </c>
      <c r="H495" s="113">
        <f>Gasto_o_ing_per_capita!H495*100/Gasto_o_ing_per_capita!$D495</f>
        <v>105.63767327124461</v>
      </c>
      <c r="I495" s="113">
        <f>Gasto_o_ing_per_capita!I495*100/Gasto_o_ing_per_capita!$D495</f>
        <v>88.368707018757874</v>
      </c>
      <c r="J495" s="113">
        <f>Gasto_o_ing_per_capita!J495*100/Gasto_o_ing_per_capita!$D495</f>
        <v>104.83652244264117</v>
      </c>
      <c r="K495" s="113">
        <f>Gasto_o_ing_per_capita!K495*100/Gasto_o_ing_per_capita!$D495</f>
        <v>97.388202725732569</v>
      </c>
      <c r="L495" s="113">
        <f>Gasto_o_ing_per_capita!L495*100/Gasto_o_ing_per_capita!$D495</f>
        <v>91.96284521373137</v>
      </c>
      <c r="M495" s="113">
        <f>Gasto_o_ing_per_capita!M495*100/Gasto_o_ing_per_capita!$D495</f>
        <v>106.35068997645061</v>
      </c>
      <c r="N495" s="113">
        <f>Gasto_o_ing_per_capita!N495*100/Gasto_o_ing_per_capita!$D495</f>
        <v>93.755829686337108</v>
      </c>
      <c r="O495" s="113">
        <f>Gasto_o_ing_per_capita!O495*100/Gasto_o_ing_per_capita!$D495</f>
        <v>88.098032056225534</v>
      </c>
      <c r="P495" s="113">
        <f>Gasto_o_ing_per_capita!P495*100/Gasto_o_ing_per_capita!$D495</f>
        <v>96.733702751610878</v>
      </c>
      <c r="Q495" s="113">
        <f>Gasto_o_ing_per_capita!Q495*100/Gasto_o_ing_per_capita!$D495</f>
        <v>113.96033571026811</v>
      </c>
      <c r="R495" s="113">
        <f>Gasto_o_ing_per_capita!R495*100/Gasto_o_ing_per_capita!$D495</f>
        <v>87.295368134673566</v>
      </c>
      <c r="S495" s="113">
        <f>Gasto_o_ing_per_capita!S495*100/Gasto_o_ing_per_capita!$D495</f>
        <v>109.87438653926682</v>
      </c>
      <c r="T495" s="113">
        <f>Gasto_o_ing_per_capita!T495*100/Gasto_o_ing_per_capita!$D495</f>
        <v>119.36651211564782</v>
      </c>
      <c r="U495" s="113">
        <f>Gasto_o_ing_per_capita!U495*100/Gasto_o_ing_per_capita!$D495</f>
        <v>100.50875344622402</v>
      </c>
      <c r="V495" s="113">
        <f>Gasto_o_ing_per_capita!V495*100/Gasto_o_ing_per_capita!$D495</f>
        <v>87.775837774813425</v>
      </c>
    </row>
    <row r="496" spans="1:22" s="102" customFormat="1" ht="13.15">
      <c r="A496" s="355" t="str">
        <f>IF(B496="","",(IF(ISERROR(MATCH(B496,Tot_res!C:C,0)),"Eliminar!!!","")))</f>
        <v/>
      </c>
      <c r="B496" s="102" t="s">
        <v>443</v>
      </c>
      <c r="C496" s="333" t="str">
        <f>VLOOKUP(B496,Tot_res!C:D,2,FALSE)</f>
        <v>IVA</v>
      </c>
      <c r="D496" s="336">
        <f>Gasto_o_ing_per_capita!D496*100/Gasto_o_ing_per_capita!$D496</f>
        <v>100</v>
      </c>
      <c r="E496" s="336">
        <f>Gasto_o_ing_per_capita!E496*100/Gasto_o_ing_per_capita!$D496</f>
        <v>91.614284235245677</v>
      </c>
      <c r="F496" s="336">
        <f>Gasto_o_ing_per_capita!F496*100/Gasto_o_ing_per_capita!$D496</f>
        <v>109.12734722924705</v>
      </c>
      <c r="G496" s="336">
        <f>Gasto_o_ing_per_capita!G496*100/Gasto_o_ing_per_capita!$D496</f>
        <v>104.3154446877877</v>
      </c>
      <c r="H496" s="336">
        <f>Gasto_o_ing_per_capita!H496*100/Gasto_o_ing_per_capita!$D496</f>
        <v>108.47362445050985</v>
      </c>
      <c r="I496" s="336">
        <f>Gasto_o_ing_per_capita!I496*100/Gasto_o_ing_per_capita!$D496</f>
        <v>7.9951702065172503</v>
      </c>
      <c r="J496" s="336">
        <f>Gasto_o_ing_per_capita!J496*100/Gasto_o_ing_per_capita!$D496</f>
        <v>108.33516739516023</v>
      </c>
      <c r="K496" s="336">
        <f>Gasto_o_ing_per_capita!K496*100/Gasto_o_ing_per_capita!$D496</f>
        <v>101.37419957511341</v>
      </c>
      <c r="L496" s="336">
        <f>Gasto_o_ing_per_capita!L496*100/Gasto_o_ing_per_capita!$D496</f>
        <v>92.524196368886095</v>
      </c>
      <c r="M496" s="336">
        <f>Gasto_o_ing_per_capita!M496*100/Gasto_o_ing_per_capita!$D496</f>
        <v>113.09731820918563</v>
      </c>
      <c r="N496" s="336">
        <f>Gasto_o_ing_per_capita!N496*100/Gasto_o_ing_per_capita!$D496</f>
        <v>95.936102320969823</v>
      </c>
      <c r="O496" s="336">
        <f>Gasto_o_ing_per_capita!O496*100/Gasto_o_ing_per_capita!$D496</f>
        <v>88.958909677143225</v>
      </c>
      <c r="P496" s="336">
        <f>Gasto_o_ing_per_capita!P496*100/Gasto_o_ing_per_capita!$D496</f>
        <v>101.86575198397664</v>
      </c>
      <c r="Q496" s="336">
        <f>Gasto_o_ing_per_capita!Q496*100/Gasto_o_ing_per_capita!$D496</f>
        <v>118.64289289287045</v>
      </c>
      <c r="R496" s="336">
        <f>Gasto_o_ing_per_capita!R496*100/Gasto_o_ing_per_capita!$D496</f>
        <v>88.18704132836146</v>
      </c>
      <c r="S496" s="336">
        <f>Gasto_o_ing_per_capita!S496*100/Gasto_o_ing_per_capita!$D496</f>
        <v>121.01794381298809</v>
      </c>
      <c r="T496" s="336">
        <f>Gasto_o_ing_per_capita!T496*100/Gasto_o_ing_per_capita!$D496</f>
        <v>132.25526810931586</v>
      </c>
      <c r="U496" s="336">
        <f>Gasto_o_ing_per_capita!U496*100/Gasto_o_ing_per_capita!$D496</f>
        <v>108.55093624866781</v>
      </c>
      <c r="V496" s="336">
        <f>Gasto_o_ing_per_capita!V496*100/Gasto_o_ing_per_capita!$D496</f>
        <v>8.779994077469814</v>
      </c>
    </row>
    <row r="497" spans="1:22" s="102" customFormat="1" ht="13.15">
      <c r="A497" s="355" t="str">
        <f>IF(B497="","",(IF(ISERROR(MATCH(B497,Tot_res!C:C,0)),"Eliminar!!!","")))</f>
        <v/>
      </c>
      <c r="B497" s="102" t="s">
        <v>444</v>
      </c>
      <c r="C497" s="333" t="str">
        <f>VLOOKUP(B497,Tot_res!C:D,2,FALSE)</f>
        <v>Impuestos especiales* (sin electricidad ni matriculación)</v>
      </c>
      <c r="D497" s="336">
        <f>Gasto_o_ing_per_capita!D497*100/Gasto_o_ing_per_capita!$D497</f>
        <v>100</v>
      </c>
      <c r="E497" s="336">
        <f>Gasto_o_ing_per_capita!E497*100/Gasto_o_ing_per_capita!$D497</f>
        <v>102.90167710786694</v>
      </c>
      <c r="F497" s="336">
        <f>Gasto_o_ing_per_capita!F497*100/Gasto_o_ing_per_capita!$D497</f>
        <v>104.51291357790876</v>
      </c>
      <c r="G497" s="336">
        <f>Gasto_o_ing_per_capita!G497*100/Gasto_o_ing_per_capita!$D497</f>
        <v>106.54158168315897</v>
      </c>
      <c r="H497" s="336">
        <f>Gasto_o_ing_per_capita!H497*100/Gasto_o_ing_per_capita!$D497</f>
        <v>109.8478691601311</v>
      </c>
      <c r="I497" s="336">
        <f>Gasto_o_ing_per_capita!I497*100/Gasto_o_ing_per_capita!$D497</f>
        <v>18.027061161005285</v>
      </c>
      <c r="J497" s="336">
        <f>Gasto_o_ing_per_capita!J497*100/Gasto_o_ing_per_capita!$D497</f>
        <v>113.99486986159341</v>
      </c>
      <c r="K497" s="336">
        <f>Gasto_o_ing_per_capita!K497*100/Gasto_o_ing_per_capita!$D497</f>
        <v>101.76840140414487</v>
      </c>
      <c r="L497" s="336">
        <f>Gasto_o_ing_per_capita!L497*100/Gasto_o_ing_per_capita!$D497</f>
        <v>107.25133392862897</v>
      </c>
      <c r="M497" s="336">
        <f>Gasto_o_ing_per_capita!M497*100/Gasto_o_ing_per_capita!$D497</f>
        <v>103.6260208652629</v>
      </c>
      <c r="N497" s="336">
        <f>Gasto_o_ing_per_capita!N497*100/Gasto_o_ing_per_capita!$D497</f>
        <v>100.12375191007348</v>
      </c>
      <c r="O497" s="336">
        <f>Gasto_o_ing_per_capita!O497*100/Gasto_o_ing_per_capita!$D497</f>
        <v>102.89593123655274</v>
      </c>
      <c r="P497" s="336">
        <f>Gasto_o_ing_per_capita!P497*100/Gasto_o_ing_per_capita!$D497</f>
        <v>100.86183426588393</v>
      </c>
      <c r="Q497" s="336">
        <f>Gasto_o_ing_per_capita!Q497*100/Gasto_o_ing_per_capita!$D497</f>
        <v>110.89704166871786</v>
      </c>
      <c r="R497" s="336">
        <f>Gasto_o_ing_per_capita!R497*100/Gasto_o_ing_per_capita!$D497</f>
        <v>99.671110676030992</v>
      </c>
      <c r="S497" s="336">
        <f>Gasto_o_ing_per_capita!S497*100/Gasto_o_ing_per_capita!$D497</f>
        <v>98.674395161965919</v>
      </c>
      <c r="T497" s="336">
        <f>Gasto_o_ing_per_capita!T497*100/Gasto_o_ing_per_capita!$D497</f>
        <v>102.49351439207204</v>
      </c>
      <c r="U497" s="336">
        <f>Gasto_o_ing_per_capita!U497*100/Gasto_o_ing_per_capita!$D497</f>
        <v>96.521495168041056</v>
      </c>
      <c r="V497" s="336">
        <f>Gasto_o_ing_per_capita!V497*100/Gasto_o_ing_per_capita!$D497</f>
        <v>39.689643128556717</v>
      </c>
    </row>
    <row r="498" spans="1:22" s="102" customFormat="1" ht="13.15">
      <c r="A498" s="355" t="str">
        <f>IF(B498="","",(IF(ISERROR(MATCH(B498,Tot_res!C:C,0)),"Eliminar!!!","")))</f>
        <v/>
      </c>
      <c r="B498" s="102" t="s">
        <v>445</v>
      </c>
      <c r="C498" s="333" t="str">
        <f>VLOOKUP(B498,Tot_res!C:D,2,FALSE)</f>
        <v>Electricidad</v>
      </c>
      <c r="D498" s="336">
        <f>Gasto_o_ing_per_capita!D498*100/Gasto_o_ing_per_capita!$D498</f>
        <v>100</v>
      </c>
      <c r="E498" s="336">
        <f>Gasto_o_ing_per_capita!E498*100/Gasto_o_ing_per_capita!$D498</f>
        <v>95.83868948691476</v>
      </c>
      <c r="F498" s="336">
        <f>Gasto_o_ing_per_capita!F498*100/Gasto_o_ing_per_capita!$D498</f>
        <v>99.573468524334146</v>
      </c>
      <c r="G498" s="336">
        <f>Gasto_o_ing_per_capita!G498*100/Gasto_o_ing_per_capita!$D498</f>
        <v>98.811173173244342</v>
      </c>
      <c r="H498" s="336">
        <f>Gasto_o_ing_per_capita!H498*100/Gasto_o_ing_per_capita!$D498</f>
        <v>119.18534182265989</v>
      </c>
      <c r="I498" s="336">
        <f>Gasto_o_ing_per_capita!I498*100/Gasto_o_ing_per_capita!$D498</f>
        <v>88.728158789345201</v>
      </c>
      <c r="J498" s="336">
        <f>Gasto_o_ing_per_capita!J498*100/Gasto_o_ing_per_capita!$D498</f>
        <v>99.4064218211103</v>
      </c>
      <c r="K498" s="336">
        <f>Gasto_o_ing_per_capita!K498*100/Gasto_o_ing_per_capita!$D498</f>
        <v>95.054661635111657</v>
      </c>
      <c r="L498" s="336">
        <f>Gasto_o_ing_per_capita!L498*100/Gasto_o_ing_per_capita!$D498</f>
        <v>95.297187843289208</v>
      </c>
      <c r="M498" s="336">
        <f>Gasto_o_ing_per_capita!M498*100/Gasto_o_ing_per_capita!$D498</f>
        <v>106.90882520246194</v>
      </c>
      <c r="N498" s="336">
        <f>Gasto_o_ing_per_capita!N498*100/Gasto_o_ing_per_capita!$D498</f>
        <v>99.559541725291282</v>
      </c>
      <c r="O498" s="336">
        <f>Gasto_o_ing_per_capita!O498*100/Gasto_o_ing_per_capita!$D498</f>
        <v>91.679413100488404</v>
      </c>
      <c r="P498" s="336">
        <f>Gasto_o_ing_per_capita!P498*100/Gasto_o_ing_per_capita!$D498</f>
        <v>95.673119617032341</v>
      </c>
      <c r="Q498" s="336">
        <f>Gasto_o_ing_per_capita!Q498*100/Gasto_o_ing_per_capita!$D498</f>
        <v>105.59219558052918</v>
      </c>
      <c r="R498" s="336">
        <f>Gasto_o_ing_per_capita!R498*100/Gasto_o_ing_per_capita!$D498</f>
        <v>92.278438414157989</v>
      </c>
      <c r="S498" s="336">
        <f>Gasto_o_ing_per_capita!S498*100/Gasto_o_ing_per_capita!$D498</f>
        <v>97.195404559531809</v>
      </c>
      <c r="T498" s="336">
        <f>Gasto_o_ing_per_capita!T498*100/Gasto_o_ing_per_capita!$D498</f>
        <v>106.82340328756574</v>
      </c>
      <c r="U498" s="336">
        <f>Gasto_o_ing_per_capita!U498*100/Gasto_o_ing_per_capita!$D498</f>
        <v>94.212516003148068</v>
      </c>
      <c r="V498" s="336">
        <f>Gasto_o_ing_per_capita!V498*100/Gasto_o_ing_per_capita!$D498</f>
        <v>82.928443175934248</v>
      </c>
    </row>
    <row r="499" spans="1:22" s="102" customFormat="1" ht="13.15">
      <c r="A499" s="355" t="str">
        <f>IF(B499="","",(IF(ISERROR(MATCH(B499,Tot_res!C:C,0)),"Eliminar!!!","")))</f>
        <v/>
      </c>
      <c r="B499" s="102" t="s">
        <v>446</v>
      </c>
      <c r="C499" s="333" t="str">
        <f>VLOOKUP(B499,Tot_res!C:D,2,FALSE)</f>
        <v>Determinados medios de transporte, homogeneizado</v>
      </c>
      <c r="D499" s="336">
        <f>Gasto_o_ing_per_capita!D499*100/Gasto_o_ing_per_capita!$D499</f>
        <v>100</v>
      </c>
      <c r="E499" s="336">
        <f>Gasto_o_ing_per_capita!E499*100/Gasto_o_ing_per_capita!$D499</f>
        <v>90.148535657711875</v>
      </c>
      <c r="F499" s="336">
        <f>Gasto_o_ing_per_capita!F499*100/Gasto_o_ing_per_capita!$D499</f>
        <v>83.98242143531472</v>
      </c>
      <c r="G499" s="336">
        <f>Gasto_o_ing_per_capita!G499*100/Gasto_o_ing_per_capita!$D499</f>
        <v>69.784966715684703</v>
      </c>
      <c r="H499" s="336">
        <f>Gasto_o_ing_per_capita!H499*100/Gasto_o_ing_per_capita!$D499</f>
        <v>110.24493597680861</v>
      </c>
      <c r="I499" s="336">
        <f>Gasto_o_ing_per_capita!I499*100/Gasto_o_ing_per_capita!$D499</f>
        <v>14.676356775370783</v>
      </c>
      <c r="J499" s="336">
        <f>Gasto_o_ing_per_capita!J499*100/Gasto_o_ing_per_capita!$D499</f>
        <v>116.58124905043056</v>
      </c>
      <c r="K499" s="336">
        <f>Gasto_o_ing_per_capita!K499*100/Gasto_o_ing_per_capita!$D499</f>
        <v>73.673043783389375</v>
      </c>
      <c r="L499" s="336">
        <f>Gasto_o_ing_per_capita!L499*100/Gasto_o_ing_per_capita!$D499</f>
        <v>81.009993274722049</v>
      </c>
      <c r="M499" s="336">
        <f>Gasto_o_ing_per_capita!M499*100/Gasto_o_ing_per_capita!$D499</f>
        <v>131.54201283364381</v>
      </c>
      <c r="N499" s="336">
        <f>Gasto_o_ing_per_capita!N499*100/Gasto_o_ing_per_capita!$D499</f>
        <v>102.27041722661158</v>
      </c>
      <c r="O499" s="336">
        <f>Gasto_o_ing_per_capita!O499*100/Gasto_o_ing_per_capita!$D499</f>
        <v>72.395390495669758</v>
      </c>
      <c r="P499" s="336">
        <f>Gasto_o_ing_per_capita!P499*100/Gasto_o_ing_per_capita!$D499</f>
        <v>83.509226396420729</v>
      </c>
      <c r="Q499" s="336">
        <f>Gasto_o_ing_per_capita!Q499*100/Gasto_o_ing_per_capita!$D499</f>
        <v>129.80846316846632</v>
      </c>
      <c r="R499" s="336">
        <f>Gasto_o_ing_per_capita!R499*100/Gasto_o_ing_per_capita!$D499</f>
        <v>102.2773553352838</v>
      </c>
      <c r="S499" s="336">
        <f>Gasto_o_ing_per_capita!S499*100/Gasto_o_ing_per_capita!$D499</f>
        <v>116.11951670884037</v>
      </c>
      <c r="T499" s="336">
        <f>Gasto_o_ing_per_capita!T499*100/Gasto_o_ing_per_capita!$D499</f>
        <v>119.47800229678366</v>
      </c>
      <c r="U499" s="336">
        <f>Gasto_o_ing_per_capita!U499*100/Gasto_o_ing_per_capita!$D499</f>
        <v>71.655052019231576</v>
      </c>
      <c r="V499" s="336">
        <f>Gasto_o_ing_per_capita!V499*100/Gasto_o_ing_per_capita!$D499</f>
        <v>26.975432634442164</v>
      </c>
    </row>
    <row r="500" spans="1:22" s="102" customFormat="1" ht="13.15">
      <c r="A500" s="355" t="str">
        <f>IF(B500="","",(IF(ISERROR(MATCH(B500,Tot_res!C:C,0)),"Eliminar!!!","")))</f>
        <v/>
      </c>
      <c r="B500" s="102" t="s">
        <v>448</v>
      </c>
      <c r="C500" s="333" t="str">
        <f>VLOOKUP(B500,Tot_res!C:D,2,FALSE)</f>
        <v xml:space="preserve">Tráfico exterior </v>
      </c>
      <c r="D500" s="336">
        <f>Gasto_o_ing_per_capita!D500*100/Gasto_o_ing_per_capita!$D500</f>
        <v>100.00000000000001</v>
      </c>
      <c r="E500" s="336">
        <f>Gasto_o_ing_per_capita!E500*100/Gasto_o_ing_per_capita!$D500</f>
        <v>92.614840682556704</v>
      </c>
      <c r="F500" s="336">
        <f>Gasto_o_ing_per_capita!F500*100/Gasto_o_ing_per_capita!$D500</f>
        <v>105.03523438405577</v>
      </c>
      <c r="G500" s="336">
        <f>Gasto_o_ing_per_capita!G500*100/Gasto_o_ing_per_capita!$D500</f>
        <v>106.02252863091509</v>
      </c>
      <c r="H500" s="336">
        <f>Gasto_o_ing_per_capita!H500*100/Gasto_o_ing_per_capita!$D500</f>
        <v>115.13029868358981</v>
      </c>
      <c r="I500" s="336">
        <f>Gasto_o_ing_per_capita!I500*100/Gasto_o_ing_per_capita!$D500</f>
        <v>8.0824878642359614</v>
      </c>
      <c r="J500" s="336">
        <f>Gasto_o_ing_per_capita!J500*100/Gasto_o_ing_per_capita!$D500</f>
        <v>108.36016045132898</v>
      </c>
      <c r="K500" s="336">
        <f>Gasto_o_ing_per_capita!K500*100/Gasto_o_ing_per_capita!$D500</f>
        <v>100.96329106068067</v>
      </c>
      <c r="L500" s="336">
        <f>Gasto_o_ing_per_capita!L500*100/Gasto_o_ing_per_capita!$D500</f>
        <v>91.121049792343911</v>
      </c>
      <c r="M500" s="336">
        <f>Gasto_o_ing_per_capita!M500*100/Gasto_o_ing_per_capita!$D500</f>
        <v>114.97661778287316</v>
      </c>
      <c r="N500" s="336">
        <f>Gasto_o_ing_per_capita!N500*100/Gasto_o_ing_per_capita!$D500</f>
        <v>97.765183359382647</v>
      </c>
      <c r="O500" s="336">
        <f>Gasto_o_ing_per_capita!O500*100/Gasto_o_ing_per_capita!$D500</f>
        <v>87.436627536842707</v>
      </c>
      <c r="P500" s="336">
        <f>Gasto_o_ing_per_capita!P500*100/Gasto_o_ing_per_capita!$D500</f>
        <v>99.459702842013087</v>
      </c>
      <c r="Q500" s="336">
        <f>Gasto_o_ing_per_capita!Q500*100/Gasto_o_ing_per_capita!$D500</f>
        <v>119.32134897020923</v>
      </c>
      <c r="R500" s="336">
        <f>Gasto_o_ing_per_capita!R500*100/Gasto_o_ing_per_capita!$D500</f>
        <v>88.501357087921193</v>
      </c>
      <c r="S500" s="336">
        <f>Gasto_o_ing_per_capita!S500*100/Gasto_o_ing_per_capita!$D500</f>
        <v>109.81296035704388</v>
      </c>
      <c r="T500" s="336">
        <f>Gasto_o_ing_per_capita!T500*100/Gasto_o_ing_per_capita!$D500</f>
        <v>123.53162090979561</v>
      </c>
      <c r="U500" s="336">
        <f>Gasto_o_ing_per_capita!U500*100/Gasto_o_ing_per_capita!$D500</f>
        <v>102.96053906283539</v>
      </c>
      <c r="V500" s="336">
        <f>Gasto_o_ing_per_capita!V500*100/Gasto_o_ing_per_capita!$D500</f>
        <v>7.3273316331984883</v>
      </c>
    </row>
    <row r="501" spans="1:22" s="102" customFormat="1" ht="13.15">
      <c r="A501" s="355" t="str">
        <f>IF(B501="","",(IF(ISERROR(MATCH(B501,Tot_res!C:C,0)),"Eliminar!!!","")))</f>
        <v/>
      </c>
      <c r="B501" s="102" t="s">
        <v>449</v>
      </c>
      <c r="C501" s="333" t="str">
        <f>VLOOKUP(B501,Tot_res!C:D,2,FALSE)</f>
        <v>Impuesto sobre las primas de seguros</v>
      </c>
      <c r="D501" s="336">
        <f>Gasto_o_ing_per_capita!D501*100/Gasto_o_ing_per_capita!$D501</f>
        <v>100</v>
      </c>
      <c r="E501" s="336">
        <f>Gasto_o_ing_per_capita!E501*100/Gasto_o_ing_per_capita!$D501</f>
        <v>90.639502200678322</v>
      </c>
      <c r="F501" s="336">
        <f>Gasto_o_ing_per_capita!F501*100/Gasto_o_ing_per_capita!$D501</f>
        <v>100.46276195514491</v>
      </c>
      <c r="G501" s="336">
        <f>Gasto_o_ing_per_capita!G501*100/Gasto_o_ing_per_capita!$D501</f>
        <v>104.2962100097031</v>
      </c>
      <c r="H501" s="336">
        <f>Gasto_o_ing_per_capita!H501*100/Gasto_o_ing_per_capita!$D501</f>
        <v>108.26141589431099</v>
      </c>
      <c r="I501" s="336">
        <f>Gasto_o_ing_per_capita!I501*100/Gasto_o_ing_per_capita!$D501</f>
        <v>86.763558660216304</v>
      </c>
      <c r="J501" s="336">
        <f>Gasto_o_ing_per_capita!J501*100/Gasto_o_ing_per_capita!$D501</f>
        <v>110.41266218570713</v>
      </c>
      <c r="K501" s="336">
        <f>Gasto_o_ing_per_capita!K501*100/Gasto_o_ing_per_capita!$D501</f>
        <v>96.32184227041283</v>
      </c>
      <c r="L501" s="336">
        <f>Gasto_o_ing_per_capita!L501*100/Gasto_o_ing_per_capita!$D501</f>
        <v>90.146469728814097</v>
      </c>
      <c r="M501" s="336">
        <f>Gasto_o_ing_per_capita!M501*100/Gasto_o_ing_per_capita!$D501</f>
        <v>102.40851310319005</v>
      </c>
      <c r="N501" s="336">
        <f>Gasto_o_ing_per_capita!N501*100/Gasto_o_ing_per_capita!$D501</f>
        <v>97.675613698945469</v>
      </c>
      <c r="O501" s="336">
        <f>Gasto_o_ing_per_capita!O501*100/Gasto_o_ing_per_capita!$D501</f>
        <v>90.482770865565826</v>
      </c>
      <c r="P501" s="336">
        <f>Gasto_o_ing_per_capita!P501*100/Gasto_o_ing_per_capita!$D501</f>
        <v>101.47081977004342</v>
      </c>
      <c r="Q501" s="336">
        <f>Gasto_o_ing_per_capita!Q501*100/Gasto_o_ing_per_capita!$D501</f>
        <v>114.98497918631143</v>
      </c>
      <c r="R501" s="336">
        <f>Gasto_o_ing_per_capita!R501*100/Gasto_o_ing_per_capita!$D501</f>
        <v>95.739613730675785</v>
      </c>
      <c r="S501" s="336">
        <f>Gasto_o_ing_per_capita!S501*100/Gasto_o_ing_per_capita!$D501</f>
        <v>102.85186226373</v>
      </c>
      <c r="T501" s="336">
        <f>Gasto_o_ing_per_capita!T501*100/Gasto_o_ing_per_capita!$D501</f>
        <v>112.4645352213069</v>
      </c>
      <c r="U501" s="336">
        <f>Gasto_o_ing_per_capita!U501*100/Gasto_o_ing_per_capita!$D501</f>
        <v>97.852416293990387</v>
      </c>
      <c r="V501" s="336">
        <f>Gasto_o_ing_per_capita!V501*100/Gasto_o_ing_per_capita!$D501</f>
        <v>81.799015855003219</v>
      </c>
    </row>
    <row r="502" spans="1:22" s="102" customFormat="1" ht="13.15">
      <c r="A502" s="355" t="str">
        <f>IF(B502="","",(IF(ISERROR(MATCH(B502,Tot_res!C:C,0)),"Eliminar!!!","")))</f>
        <v/>
      </c>
      <c r="B502" s="102" t="s">
        <v>451</v>
      </c>
      <c r="C502" s="333" t="str">
        <f>VLOOKUP(B502,Tot_res!C:D,2,FALSE)</f>
        <v>Transmisiones patrim. y actos jurídicos documentados, ing. homog.</v>
      </c>
      <c r="D502" s="336">
        <f>Gasto_o_ing_per_capita!D502*100/Gasto_o_ing_per_capita!$D502</f>
        <v>100</v>
      </c>
      <c r="E502" s="336">
        <f>Gasto_o_ing_per_capita!E502*100/Gasto_o_ing_per_capita!$D502</f>
        <v>87.86255423251275</v>
      </c>
      <c r="F502" s="336">
        <f>Gasto_o_ing_per_capita!F502*100/Gasto_o_ing_per_capita!$D502</f>
        <v>100.27599691569199</v>
      </c>
      <c r="G502" s="336">
        <f>Gasto_o_ing_per_capita!G502*100/Gasto_o_ing_per_capita!$D502</f>
        <v>89.693214603929235</v>
      </c>
      <c r="H502" s="336">
        <f>Gasto_o_ing_per_capita!H502*100/Gasto_o_ing_per_capita!$D502</f>
        <v>111.61386732462046</v>
      </c>
      <c r="I502" s="336">
        <f>Gasto_o_ing_per_capita!I502*100/Gasto_o_ing_per_capita!$D502</f>
        <v>86.879870350513656</v>
      </c>
      <c r="J502" s="336">
        <f>Gasto_o_ing_per_capita!J502*100/Gasto_o_ing_per_capita!$D502</f>
        <v>92.387017083667672</v>
      </c>
      <c r="K502" s="336">
        <f>Gasto_o_ing_per_capita!K502*100/Gasto_o_ing_per_capita!$D502</f>
        <v>93.844570324644437</v>
      </c>
      <c r="L502" s="336">
        <f>Gasto_o_ing_per_capita!L502*100/Gasto_o_ing_per_capita!$D502</f>
        <v>83.094009857406292</v>
      </c>
      <c r="M502" s="336">
        <f>Gasto_o_ing_per_capita!M502*100/Gasto_o_ing_per_capita!$D502</f>
        <v>108.58818260706016</v>
      </c>
      <c r="N502" s="336">
        <f>Gasto_o_ing_per_capita!N502*100/Gasto_o_ing_per_capita!$D502</f>
        <v>91.395430340194054</v>
      </c>
      <c r="O502" s="336">
        <f>Gasto_o_ing_per_capita!O502*100/Gasto_o_ing_per_capita!$D502</f>
        <v>76.568488125190555</v>
      </c>
      <c r="P502" s="336">
        <f>Gasto_o_ing_per_capita!P502*100/Gasto_o_ing_per_capita!$D502</f>
        <v>82.411707689300115</v>
      </c>
      <c r="Q502" s="336">
        <f>Gasto_o_ing_per_capita!Q502*100/Gasto_o_ing_per_capita!$D502</f>
        <v>131.4270177970559</v>
      </c>
      <c r="R502" s="336">
        <f>Gasto_o_ing_per_capita!R502*100/Gasto_o_ing_per_capita!$D502</f>
        <v>80.21743956832043</v>
      </c>
      <c r="S502" s="336">
        <f>Gasto_o_ing_per_capita!S502*100/Gasto_o_ing_per_capita!$D502</f>
        <v>107.0085662031149</v>
      </c>
      <c r="T502" s="336">
        <f>Gasto_o_ing_per_capita!T502*100/Gasto_o_ing_per_capita!$D502</f>
        <v>127.67866933984217</v>
      </c>
      <c r="U502" s="336">
        <f>Gasto_o_ing_per_capita!U502*100/Gasto_o_ing_per_capita!$D502</f>
        <v>97.102499097680706</v>
      </c>
      <c r="V502" s="336">
        <f>Gasto_o_ing_per_capita!V502*100/Gasto_o_ing_per_capita!$D502</f>
        <v>84.729703433059711</v>
      </c>
    </row>
    <row r="503" spans="1:22" s="102" customFormat="1" ht="13.15">
      <c r="A503" s="355" t="str">
        <f>IF(B503="","",(IF(ISERROR(MATCH(B503,Tot_res!C:C,0)),"Eliminar!!!","")))</f>
        <v/>
      </c>
      <c r="B503" s="102" t="s">
        <v>452</v>
      </c>
      <c r="C503" s="333" t="str">
        <f>VLOOKUP(B503,Tot_res!C:D,2,FALSE)</f>
        <v>Venta Minorista de Hidrocarburos, ingr. Homog.</v>
      </c>
      <c r="D503" s="336">
        <f>Gasto_o_ing_per_capita!D503*100/Gasto_o_ing_per_capita!$D503</f>
        <v>100</v>
      </c>
      <c r="E503" s="336">
        <f>Gasto_o_ing_per_capita!E503*100/Gasto_o_ing_per_capita!$D503</f>
        <v>100.48437727099716</v>
      </c>
      <c r="F503" s="336">
        <f>Gasto_o_ing_per_capita!F503*100/Gasto_o_ing_per_capita!$D503</f>
        <v>98.193009091343768</v>
      </c>
      <c r="G503" s="336">
        <f>Gasto_o_ing_per_capita!G503*100/Gasto_o_ing_per_capita!$D503</f>
        <v>102.28397870505859</v>
      </c>
      <c r="H503" s="336">
        <f>Gasto_o_ing_per_capita!H503*100/Gasto_o_ing_per_capita!$D503</f>
        <v>113.244422977852</v>
      </c>
      <c r="I503" s="336">
        <f>Gasto_o_ing_per_capita!I503*100/Gasto_o_ing_per_capita!$D503</f>
        <v>22.814770079376419</v>
      </c>
      <c r="J503" s="336">
        <f>Gasto_o_ing_per_capita!J503*100/Gasto_o_ing_per_capita!$D503</f>
        <v>119.15872515947595</v>
      </c>
      <c r="K503" s="336">
        <f>Gasto_o_ing_per_capita!K503*100/Gasto_o_ing_per_capita!$D503</f>
        <v>102.16288993829612</v>
      </c>
      <c r="L503" s="336">
        <f>Gasto_o_ing_per_capita!L503*100/Gasto_o_ing_per_capita!$D503</f>
        <v>103.05288732849294</v>
      </c>
      <c r="M503" s="336">
        <f>Gasto_o_ing_per_capita!M503*100/Gasto_o_ing_per_capita!$D503</f>
        <v>106.13591795394744</v>
      </c>
      <c r="N503" s="336">
        <f>Gasto_o_ing_per_capita!N503*100/Gasto_o_ing_per_capita!$D503</f>
        <v>97.376824301459649</v>
      </c>
      <c r="O503" s="336">
        <f>Gasto_o_ing_per_capita!O503*100/Gasto_o_ing_per_capita!$D503</f>
        <v>98.514700160244161</v>
      </c>
      <c r="P503" s="336">
        <f>Gasto_o_ing_per_capita!P503*100/Gasto_o_ing_per_capita!$D503</f>
        <v>104.65014355332671</v>
      </c>
      <c r="Q503" s="336">
        <f>Gasto_o_ing_per_capita!Q503*100/Gasto_o_ing_per_capita!$D503</f>
        <v>111.90353161805493</v>
      </c>
      <c r="R503" s="336">
        <f>Gasto_o_ing_per_capita!R503*100/Gasto_o_ing_per_capita!$D503</f>
        <v>103.55053943422337</v>
      </c>
      <c r="S503" s="336">
        <f>Gasto_o_ing_per_capita!S503*100/Gasto_o_ing_per_capita!$D503</f>
        <v>106.09595218890637</v>
      </c>
      <c r="T503" s="336">
        <f>Gasto_o_ing_per_capita!T503*100/Gasto_o_ing_per_capita!$D503</f>
        <v>99.172583435711715</v>
      </c>
      <c r="U503" s="336">
        <f>Gasto_o_ing_per_capita!U503*100/Gasto_o_ing_per_capita!$D503</f>
        <v>94.585505261017843</v>
      </c>
      <c r="V503" s="336">
        <f>Gasto_o_ing_per_capita!V503*100/Gasto_o_ing_per_capita!$D503</f>
        <v>66.204389987691258</v>
      </c>
    </row>
    <row r="504" spans="1:22" s="102" customFormat="1" ht="13.15">
      <c r="A504" s="355" t="str">
        <f>IF(B504="","",(IF(ISERROR(MATCH(B504,Tot_res!C:C,0)),"Eliminar!!!","")))</f>
        <v/>
      </c>
      <c r="B504" s="102" t="s">
        <v>453</v>
      </c>
      <c r="C504" s="333" t="str">
        <f>VLOOKUP(B504,Tot_res!C:D,2,FALSE)</f>
        <v>Tasas sobre el juego, ingresos homogeneizados</v>
      </c>
      <c r="D504" s="336">
        <f>Gasto_o_ing_per_capita!D504*100/Gasto_o_ing_per_capita!$D504</f>
        <v>100</v>
      </c>
      <c r="E504" s="336">
        <f>Gasto_o_ing_per_capita!E504*100/Gasto_o_ing_per_capita!$D504</f>
        <v>80.003101693529729</v>
      </c>
      <c r="F504" s="336">
        <f>Gasto_o_ing_per_capita!F504*100/Gasto_o_ing_per_capita!$D504</f>
        <v>98.118156240610602</v>
      </c>
      <c r="G504" s="336">
        <f>Gasto_o_ing_per_capita!G504*100/Gasto_o_ing_per_capita!$D504</f>
        <v>89.733849341565829</v>
      </c>
      <c r="H504" s="336">
        <f>Gasto_o_ing_per_capita!H504*100/Gasto_o_ing_per_capita!$D504</f>
        <v>124.3627784792496</v>
      </c>
      <c r="I504" s="336">
        <f>Gasto_o_ing_per_capita!I504*100/Gasto_o_ing_per_capita!$D504</f>
        <v>73.841188319068749</v>
      </c>
      <c r="J504" s="336">
        <f>Gasto_o_ing_per_capita!J504*100/Gasto_o_ing_per_capita!$D504</f>
        <v>101.42592983548595</v>
      </c>
      <c r="K504" s="336">
        <f>Gasto_o_ing_per_capita!K504*100/Gasto_o_ing_per_capita!$D504</f>
        <v>106.32997026461175</v>
      </c>
      <c r="L504" s="336">
        <f>Gasto_o_ing_per_capita!L504*100/Gasto_o_ing_per_capita!$D504</f>
        <v>91.542042752462379</v>
      </c>
      <c r="M504" s="336">
        <f>Gasto_o_ing_per_capita!M504*100/Gasto_o_ing_per_capita!$D504</f>
        <v>85.105582421460312</v>
      </c>
      <c r="N504" s="336">
        <f>Gasto_o_ing_per_capita!N504*100/Gasto_o_ing_per_capita!$D504</f>
        <v>119.91604810968126</v>
      </c>
      <c r="O504" s="336">
        <f>Gasto_o_ing_per_capita!O504*100/Gasto_o_ing_per_capita!$D504</f>
        <v>75.295313827112707</v>
      </c>
      <c r="P504" s="336">
        <f>Gasto_o_ing_per_capita!P504*100/Gasto_o_ing_per_capita!$D504</f>
        <v>80.649212890181545</v>
      </c>
      <c r="Q504" s="336">
        <f>Gasto_o_ing_per_capita!Q504*100/Gasto_o_ing_per_capita!$D504</f>
        <v>170.32878981416988</v>
      </c>
      <c r="R504" s="336">
        <f>Gasto_o_ing_per_capita!R504*100/Gasto_o_ing_per_capita!$D504</f>
        <v>68.920531634793733</v>
      </c>
      <c r="S504" s="336">
        <f>Gasto_o_ing_per_capita!S504*100/Gasto_o_ing_per_capita!$D504</f>
        <v>76.642189628125621</v>
      </c>
      <c r="T504" s="336">
        <f>Gasto_o_ing_per_capita!T504*100/Gasto_o_ing_per_capita!$D504</f>
        <v>65.952876315021882</v>
      </c>
      <c r="U504" s="336">
        <f>Gasto_o_ing_per_capita!U504*100/Gasto_o_ing_per_capita!$D504</f>
        <v>71.127671805123455</v>
      </c>
      <c r="V504" s="336">
        <f>Gasto_o_ing_per_capita!V504*100/Gasto_o_ing_per_capita!$D504</f>
        <v>54.112051570726713</v>
      </c>
    </row>
    <row r="505" spans="1:22" s="102" customFormat="1" ht="13.15">
      <c r="A505" s="355" t="str">
        <f>IF(B505="","",(IF(ISERROR(MATCH(B505,Tot_res!C:C,0)),"Eliminar!!!","")))</f>
        <v/>
      </c>
      <c r="B505" s="102" t="s">
        <v>454</v>
      </c>
      <c r="C505" s="333" t="str">
        <f>VLOOKUP(B505,Tot_res!C:D,2,FALSE)</f>
        <v>REF Canarias (bruto de comp IGTE e incl. Parte ccll), rec. Homog.</v>
      </c>
      <c r="D505" s="336">
        <f>Gasto_o_ing_per_capita!D505*100/Gasto_o_ing_per_capita!$D505</f>
        <v>100</v>
      </c>
      <c r="E505" s="336">
        <f>Gasto_o_ing_per_capita!E505*100/Gasto_o_ing_per_capita!$D505</f>
        <v>25.429941461735879</v>
      </c>
      <c r="F505" s="336">
        <f>Gasto_o_ing_per_capita!F505*100/Gasto_o_ing_per_capita!$D505</f>
        <v>26.065480368643431</v>
      </c>
      <c r="G505" s="336">
        <f>Gasto_o_ing_per_capita!G505*100/Gasto_o_ing_per_capita!$D505</f>
        <v>31.199661599328465</v>
      </c>
      <c r="H505" s="336">
        <f>Gasto_o_ing_per_capita!H505*100/Gasto_o_ing_per_capita!$D505</f>
        <v>25.944635835068855</v>
      </c>
      <c r="I505" s="336">
        <f>Gasto_o_ing_per_capita!I505*100/Gasto_o_ing_per_capita!$D505</f>
        <v>1655.1347635933732</v>
      </c>
      <c r="J505" s="336">
        <f>Gasto_o_ing_per_capita!J505*100/Gasto_o_ing_per_capita!$D505</f>
        <v>29.115064971611229</v>
      </c>
      <c r="K505" s="336">
        <f>Gasto_o_ing_per_capita!K505*100/Gasto_o_ing_per_capita!$D505</f>
        <v>26.899656377223067</v>
      </c>
      <c r="L505" s="336">
        <f>Gasto_o_ing_per_capita!L505*100/Gasto_o_ing_per_capita!$D505</f>
        <v>25.529198030207404</v>
      </c>
      <c r="M505" s="336">
        <f>Gasto_o_ing_per_capita!M505*100/Gasto_o_ing_per_capita!$D505</f>
        <v>26.100464448983821</v>
      </c>
      <c r="N505" s="336">
        <f>Gasto_o_ing_per_capita!N505*100/Gasto_o_ing_per_capita!$D505</f>
        <v>25.681156959226993</v>
      </c>
      <c r="O505" s="336">
        <f>Gasto_o_ing_per_capita!O505*100/Gasto_o_ing_per_capita!$D505</f>
        <v>25.140126761222458</v>
      </c>
      <c r="P505" s="336">
        <f>Gasto_o_ing_per_capita!P505*100/Gasto_o_ing_per_capita!$D505</f>
        <v>28.473668843374906</v>
      </c>
      <c r="Q505" s="336">
        <f>Gasto_o_ing_per_capita!Q505*100/Gasto_o_ing_per_capita!$D505</f>
        <v>28.126282762524195</v>
      </c>
      <c r="R505" s="336">
        <f>Gasto_o_ing_per_capita!R505*100/Gasto_o_ing_per_capita!$D505</f>
        <v>25.266191366029346</v>
      </c>
      <c r="S505" s="336">
        <f>Gasto_o_ing_per_capita!S505*100/Gasto_o_ing_per_capita!$D505</f>
        <v>28.116303051293798</v>
      </c>
      <c r="T505" s="336">
        <f>Gasto_o_ing_per_capita!T505*100/Gasto_o_ing_per_capita!$D505</f>
        <v>31.102714257554975</v>
      </c>
      <c r="U505" s="336">
        <f>Gasto_o_ing_per_capita!U505*100/Gasto_o_ing_per_capita!$D505</f>
        <v>25.8199598996707</v>
      </c>
      <c r="V505" s="336">
        <f>Gasto_o_ing_per_capita!V505*100/Gasto_o_ing_per_capita!$D505</f>
        <v>25.774533279499813</v>
      </c>
    </row>
    <row r="506" spans="1:22" s="102" customFormat="1" ht="13.15">
      <c r="A506" s="355" t="str">
        <f>IF(B506="","",(IF(ISERROR(MATCH(B506,Tot_res!C:C,0)),"Eliminar!!!","")))</f>
        <v/>
      </c>
      <c r="B506" s="102" t="s">
        <v>456</v>
      </c>
      <c r="C506" s="333" t="str">
        <f>VLOOKUP(B506,Tot_res!C:D,2,FALSE)</f>
        <v>IPSI, Ceuta y Melilla</v>
      </c>
      <c r="D506" s="336">
        <f>Gasto_o_ing_per_capita!D506*100/Gasto_o_ing_per_capita!$D506</f>
        <v>100</v>
      </c>
      <c r="E506" s="336">
        <f>Gasto_o_ing_per_capita!E506*100/Gasto_o_ing_per_capita!$D506</f>
        <v>0</v>
      </c>
      <c r="F506" s="336">
        <f>Gasto_o_ing_per_capita!F506*100/Gasto_o_ing_per_capita!$D506</f>
        <v>0</v>
      </c>
      <c r="G506" s="336">
        <f>Gasto_o_ing_per_capita!G506*100/Gasto_o_ing_per_capita!$D506</f>
        <v>0</v>
      </c>
      <c r="H506" s="336">
        <f>Gasto_o_ing_per_capita!H506*100/Gasto_o_ing_per_capita!$D506</f>
        <v>0</v>
      </c>
      <c r="I506" s="336">
        <f>Gasto_o_ing_per_capita!I506*100/Gasto_o_ing_per_capita!$D506</f>
        <v>0</v>
      </c>
      <c r="J506" s="336">
        <f>Gasto_o_ing_per_capita!J506*100/Gasto_o_ing_per_capita!$D506</f>
        <v>0</v>
      </c>
      <c r="K506" s="336">
        <f>Gasto_o_ing_per_capita!K506*100/Gasto_o_ing_per_capita!$D506</f>
        <v>0</v>
      </c>
      <c r="L506" s="336">
        <f>Gasto_o_ing_per_capita!L506*100/Gasto_o_ing_per_capita!$D506</f>
        <v>0</v>
      </c>
      <c r="M506" s="336">
        <f>Gasto_o_ing_per_capita!M506*100/Gasto_o_ing_per_capita!$D506</f>
        <v>0</v>
      </c>
      <c r="N506" s="336">
        <f>Gasto_o_ing_per_capita!N506*100/Gasto_o_ing_per_capita!$D506</f>
        <v>0</v>
      </c>
      <c r="O506" s="336">
        <f>Gasto_o_ing_per_capita!O506*100/Gasto_o_ing_per_capita!$D506</f>
        <v>0</v>
      </c>
      <c r="P506" s="336">
        <f>Gasto_o_ing_per_capita!P506*100/Gasto_o_ing_per_capita!$D506</f>
        <v>0</v>
      </c>
      <c r="Q506" s="336">
        <f>Gasto_o_ing_per_capita!Q506*100/Gasto_o_ing_per_capita!$D506</f>
        <v>0</v>
      </c>
      <c r="R506" s="336">
        <f>Gasto_o_ing_per_capita!R506*100/Gasto_o_ing_per_capita!$D506</f>
        <v>0</v>
      </c>
      <c r="S506" s="336">
        <f>Gasto_o_ing_per_capita!S506*100/Gasto_o_ing_per_capita!$D506</f>
        <v>0</v>
      </c>
      <c r="T506" s="336">
        <f>Gasto_o_ing_per_capita!T506*100/Gasto_o_ing_per_capita!$D506</f>
        <v>0</v>
      </c>
      <c r="U506" s="336">
        <f>Gasto_o_ing_per_capita!U506*100/Gasto_o_ing_per_capita!$D506</f>
        <v>0</v>
      </c>
      <c r="V506" s="336">
        <f>Gasto_o_ing_per_capita!V506*100/Gasto_o_ing_per_capita!$D506</f>
        <v>27836.494125947513</v>
      </c>
    </row>
    <row r="507" spans="1:22" s="102" customFormat="1" ht="13.15">
      <c r="A507" s="356"/>
      <c r="C507" s="115"/>
      <c r="D507" s="110"/>
      <c r="E507" s="110"/>
      <c r="F507" s="110"/>
      <c r="G507" s="110"/>
      <c r="H507" s="110"/>
      <c r="I507" s="110"/>
      <c r="J507" s="110"/>
      <c r="K507" s="110"/>
      <c r="L507" s="110"/>
      <c r="M507" s="110"/>
      <c r="N507" s="110"/>
      <c r="O507" s="110"/>
      <c r="P507" s="110"/>
      <c r="Q507" s="110"/>
      <c r="R507" s="110"/>
      <c r="S507" s="110"/>
      <c r="T507" s="110"/>
      <c r="U507" s="110"/>
      <c r="V507" s="110"/>
    </row>
    <row r="508" spans="1:22" s="102" customFormat="1" ht="13.15">
      <c r="A508" s="356"/>
      <c r="C508" s="112" t="s">
        <v>435</v>
      </c>
      <c r="D508" s="113">
        <f>Gasto_o_ing_per_capita!D508*100/Gasto_o_ing_per_capita!$D508</f>
        <v>100</v>
      </c>
      <c r="E508" s="113">
        <f>Gasto_o_ing_per_capita!E508*100/Gasto_o_ing_per_capita!$D508</f>
        <v>3855.4696472093387</v>
      </c>
      <c r="F508" s="113">
        <f>Gasto_o_ing_per_capita!F508*100/Gasto_o_ing_per_capita!$D508</f>
        <v>3828.5593837353958</v>
      </c>
      <c r="G508" s="113">
        <f>Gasto_o_ing_per_capita!G508*100/Gasto_o_ing_per_capita!$D508</f>
        <v>8228.2277034876952</v>
      </c>
      <c r="H508" s="113">
        <f>Gasto_o_ing_per_capita!H508*100/Gasto_o_ing_per_capita!$D508</f>
        <v>7424.7923210147283</v>
      </c>
      <c r="I508" s="113">
        <f>Gasto_o_ing_per_capita!I508*100/Gasto_o_ing_per_capita!$D508</f>
        <v>-40024.662628483034</v>
      </c>
      <c r="J508" s="113">
        <f>Gasto_o_ing_per_capita!J508*100/Gasto_o_ing_per_capita!$D508</f>
        <v>6272.8919914537628</v>
      </c>
      <c r="K508" s="113">
        <f>Gasto_o_ing_per_capita!K508*100/Gasto_o_ing_per_capita!$D508</f>
        <v>2470.8662334334485</v>
      </c>
      <c r="L508" s="113">
        <f>Gasto_o_ing_per_capita!L508*100/Gasto_o_ing_per_capita!$D508</f>
        <v>-3084.7975571627285</v>
      </c>
      <c r="M508" s="113">
        <f>Gasto_o_ing_per_capita!M508*100/Gasto_o_ing_per_capita!$D508</f>
        <v>8456.8587500508529</v>
      </c>
      <c r="N508" s="113">
        <f>Gasto_o_ing_per_capita!N508*100/Gasto_o_ing_per_capita!$D508</f>
        <v>3519.2430286006174</v>
      </c>
      <c r="O508" s="113">
        <f>Gasto_o_ing_per_capita!O508*100/Gasto_o_ing_per_capita!$D508</f>
        <v>10149.388728231574</v>
      </c>
      <c r="P508" s="113">
        <f>Gasto_o_ing_per_capita!P508*100/Gasto_o_ing_per_capita!$D508</f>
        <v>2050.6800298318863</v>
      </c>
      <c r="Q508" s="113">
        <f>Gasto_o_ing_per_capita!Q508*100/Gasto_o_ing_per_capita!$D508</f>
        <v>-2142.1358231759905</v>
      </c>
      <c r="R508" s="113">
        <f>Gasto_o_ing_per_capita!R508*100/Gasto_o_ing_per_capita!$D508</f>
        <v>3923.2556790690187</v>
      </c>
      <c r="S508" s="113">
        <f>Gasto_o_ing_per_capita!S508*100/Gasto_o_ing_per_capita!$D508</f>
        <v>-21811.071423410231</v>
      </c>
      <c r="T508" s="113">
        <f>Gasto_o_ing_per_capita!T508*100/Gasto_o_ing_per_capita!$D508</f>
        <v>-19273.068287784008</v>
      </c>
      <c r="U508" s="113">
        <f>Gasto_o_ing_per_capita!U508*100/Gasto_o_ing_per_capita!$D508</f>
        <v>2577.8973743365195</v>
      </c>
      <c r="V508" s="113">
        <f>Gasto_o_ing_per_capita!V508*100/Gasto_o_ing_per_capita!$D508</f>
        <v>-21758.163398107572</v>
      </c>
    </row>
    <row r="509" spans="1:22" s="102" customFormat="1" ht="13.15">
      <c r="A509" s="355" t="str">
        <f>IF(B509="","",(IF(ISERROR(MATCH(B509,Tot_res!C:C,0)),"Eliminar!!!","")))</f>
        <v/>
      </c>
      <c r="B509" s="102" t="s">
        <v>458</v>
      </c>
      <c r="C509" s="333" t="str">
        <f>VLOOKUP(B509,Tot_res!C:D,2,FALSE)</f>
        <v>IRPF, sobreesfuerzo fiscal</v>
      </c>
      <c r="D509" s="336">
        <f>Gasto_o_ing_per_capita!D509*100/Gasto_o_ing_per_capita!$D509</f>
        <v>100</v>
      </c>
      <c r="E509" s="336">
        <f>Gasto_o_ing_per_capita!E509*100/Gasto_o_ing_per_capita!$D509</f>
        <v>-4.8255329108759595</v>
      </c>
      <c r="F509" s="336">
        <f>Gasto_o_ing_per_capita!F509*100/Gasto_o_ing_per_capita!$D509</f>
        <v>1.6918090258678267</v>
      </c>
      <c r="G509" s="336">
        <f>Gasto_o_ing_per_capita!G509*100/Gasto_o_ing_per_capita!$D509</f>
        <v>1.8652463643155728</v>
      </c>
      <c r="H509" s="336">
        <f>Gasto_o_ing_per_capita!H509*100/Gasto_o_ing_per_capita!$D509</f>
        <v>13.665578547613986</v>
      </c>
      <c r="I509" s="336">
        <f>Gasto_o_ing_per_capita!I509*100/Gasto_o_ing_per_capita!$D509</f>
        <v>45.289766746192392</v>
      </c>
      <c r="J509" s="336">
        <f>Gasto_o_ing_per_capita!J509*100/Gasto_o_ing_per_capita!$D509</f>
        <v>3.8190534674836516</v>
      </c>
      <c r="K509" s="336">
        <f>Gasto_o_ing_per_capita!K509*100/Gasto_o_ing_per_capita!$D509</f>
        <v>42.192595008203327</v>
      </c>
      <c r="L509" s="336">
        <f>Gasto_o_ing_per_capita!L509*100/Gasto_o_ing_per_capita!$D509</f>
        <v>12.302978316632389</v>
      </c>
      <c r="M509" s="336">
        <f>Gasto_o_ing_per_capita!M509*100/Gasto_o_ing_per_capita!$D509</f>
        <v>4.3373159728689785</v>
      </c>
      <c r="N509" s="336">
        <f>Gasto_o_ing_per_capita!N509*100/Gasto_o_ing_per_capita!$D509</f>
        <v>18.581003756127949</v>
      </c>
      <c r="O509" s="336">
        <f>Gasto_o_ing_per_capita!O509*100/Gasto_o_ing_per_capita!$D509</f>
        <v>7.5515405090199463</v>
      </c>
      <c r="P509" s="336">
        <f>Gasto_o_ing_per_capita!P509*100/Gasto_o_ing_per_capita!$D509</f>
        <v>16.452537225334726</v>
      </c>
      <c r="Q509" s="336">
        <f>Gasto_o_ing_per_capita!Q509*100/Gasto_o_ing_per_capita!$D509</f>
        <v>114.96552730288707</v>
      </c>
      <c r="R509" s="336">
        <f>Gasto_o_ing_per_capita!R509*100/Gasto_o_ing_per_capita!$D509</f>
        <v>2.2333076387325228</v>
      </c>
      <c r="S509" s="336">
        <f>Gasto_o_ing_per_capita!S509*100/Gasto_o_ing_per_capita!$D509</f>
        <v>1425.4900605965909</v>
      </c>
      <c r="T509" s="336">
        <f>Gasto_o_ing_per_capita!T509*100/Gasto_o_ing_per_capita!$D509</f>
        <v>1176.5355506238855</v>
      </c>
      <c r="U509" s="336">
        <f>Gasto_o_ing_per_capita!U509*100/Gasto_o_ing_per_capita!$D509</f>
        <v>57.831157997868864</v>
      </c>
      <c r="V509" s="336">
        <f>Gasto_o_ing_per_capita!V509*100/Gasto_o_ing_per_capita!$D509</f>
        <v>280.09829437832906</v>
      </c>
    </row>
    <row r="510" spans="1:22" s="102" customFormat="1" ht="13.15">
      <c r="A510" s="355" t="str">
        <f>IF(B510="","",(IF(ISERROR(MATCH(B510,Tot_res!C:C,0)),"Eliminar!!!","")))</f>
        <v/>
      </c>
      <c r="B510" s="102" t="s">
        <v>460</v>
      </c>
      <c r="C510" s="333" t="str">
        <f>VLOOKUP(B510,Tot_res!C:D,2,FALSE)</f>
        <v>Sociedades, sobreesfuerzo fiscal</v>
      </c>
      <c r="D510" s="336">
        <f>Gasto_o_ing_per_capita!D510*100/Gasto_o_ing_per_capita!$D510</f>
        <v>100</v>
      </c>
      <c r="E510" s="336">
        <f>Gasto_o_ing_per_capita!E510*100/Gasto_o_ing_per_capita!$D510</f>
        <v>42.467730008386212</v>
      </c>
      <c r="F510" s="336">
        <f>Gasto_o_ing_per_capita!F510*100/Gasto_o_ing_per_capita!$D510</f>
        <v>56.010541054712171</v>
      </c>
      <c r="G510" s="336">
        <f>Gasto_o_ing_per_capita!G510*100/Gasto_o_ing_per_capita!$D510</f>
        <v>49.928932773469029</v>
      </c>
      <c r="H510" s="336">
        <f>Gasto_o_ing_per_capita!H510*100/Gasto_o_ing_per_capita!$D510</f>
        <v>50.540913482292964</v>
      </c>
      <c r="I510" s="336">
        <f>Gasto_o_ing_per_capita!I510*100/Gasto_o_ing_per_capita!$D510</f>
        <v>44.152534739273726</v>
      </c>
      <c r="J510" s="336">
        <f>Gasto_o_ing_per_capita!J510*100/Gasto_o_ing_per_capita!$D510</f>
        <v>54.584030639201849</v>
      </c>
      <c r="K510" s="336">
        <f>Gasto_o_ing_per_capita!K510*100/Gasto_o_ing_per_capita!$D510</f>
        <v>51.672377723282487</v>
      </c>
      <c r="L510" s="336">
        <f>Gasto_o_ing_per_capita!L510*100/Gasto_o_ing_per_capita!$D510</f>
        <v>42.441659129412081</v>
      </c>
      <c r="M510" s="336">
        <f>Gasto_o_ing_per_capita!M510*100/Gasto_o_ing_per_capita!$D510</f>
        <v>53.825125215372928</v>
      </c>
      <c r="N510" s="336">
        <f>Gasto_o_ing_per_capita!N510*100/Gasto_o_ing_per_capita!$D510</f>
        <v>45.477443236730174</v>
      </c>
      <c r="O510" s="336">
        <f>Gasto_o_ing_per_capita!O510*100/Gasto_o_ing_per_capita!$D510</f>
        <v>43.728588249808816</v>
      </c>
      <c r="P510" s="336">
        <f>Gasto_o_ing_per_capita!P510*100/Gasto_o_ing_per_capita!$D510</f>
        <v>48.682951963682108</v>
      </c>
      <c r="Q510" s="336">
        <f>Gasto_o_ing_per_capita!Q510*100/Gasto_o_ing_per_capita!$D510</f>
        <v>64.901812688527443</v>
      </c>
      <c r="R510" s="336">
        <f>Gasto_o_ing_per_capita!R510*100/Gasto_o_ing_per_capita!$D510</f>
        <v>43.482397357153175</v>
      </c>
      <c r="S510" s="336">
        <f>Gasto_o_ing_per_capita!S510*100/Gasto_o_ing_per_capita!$D510</f>
        <v>3227.6321365386316</v>
      </c>
      <c r="T510" s="336">
        <f>Gasto_o_ing_per_capita!T510*100/Gasto_o_ing_per_capita!$D510</f>
        <v>184.72830691919003</v>
      </c>
      <c r="U510" s="336">
        <f>Gasto_o_ing_per_capita!U510*100/Gasto_o_ing_per_capita!$D510</f>
        <v>52.551812957847716</v>
      </c>
      <c r="V510" s="336">
        <f>Gasto_o_ing_per_capita!V510*100/Gasto_o_ing_per_capita!$D510</f>
        <v>69.933101841181141</v>
      </c>
    </row>
    <row r="511" spans="1:22" s="102" customFormat="1" ht="13.15">
      <c r="A511" s="355" t="str">
        <f>IF(B511="","",(IF(ISERROR(MATCH(B511,Tot_res!C:C,0)),"Eliminar!!!","")))</f>
        <v/>
      </c>
      <c r="B511" s="102" t="s">
        <v>461</v>
      </c>
      <c r="C511" s="333" t="str">
        <f>VLOOKUP(B511,Tot_res!C:D,2,FALSE)</f>
        <v>Sucesiones y donaciones, sobreesfuerzo fiscal</v>
      </c>
      <c r="D511" s="336">
        <f>Gasto_o_ing_per_capita!D511*100/Gasto_o_ing_per_capita!$D511</f>
        <v>100</v>
      </c>
      <c r="E511" s="336">
        <f>Gasto_o_ing_per_capita!E511*100/Gasto_o_ing_per_capita!$D511</f>
        <v>-1654.5739229470516</v>
      </c>
      <c r="F511" s="336">
        <f>Gasto_o_ing_per_capita!F511*100/Gasto_o_ing_per_capita!$D511</f>
        <v>-3017.1905353156289</v>
      </c>
      <c r="G511" s="336">
        <f>Gasto_o_ing_per_capita!G511*100/Gasto_o_ing_per_capita!$D511</f>
        <v>-6011.778006653235</v>
      </c>
      <c r="H511" s="336">
        <f>Gasto_o_ing_per_capita!H511*100/Gasto_o_ing_per_capita!$D511</f>
        <v>-2682.773923500803</v>
      </c>
      <c r="I511" s="336">
        <f>Gasto_o_ing_per_capita!I511*100/Gasto_o_ing_per_capita!$D511</f>
        <v>26.894738974314134</v>
      </c>
      <c r="J511" s="336">
        <f>Gasto_o_ing_per_capita!J511*100/Gasto_o_ing_per_capita!$D511</f>
        <v>-7608.2792777836548</v>
      </c>
      <c r="K511" s="336">
        <f>Gasto_o_ing_per_capita!K511*100/Gasto_o_ing_per_capita!$D511</f>
        <v>1336.3358596480359</v>
      </c>
      <c r="L511" s="336">
        <f>Gasto_o_ing_per_capita!L511*100/Gasto_o_ing_per_capita!$D511</f>
        <v>314.37279557417554</v>
      </c>
      <c r="M511" s="336">
        <f>Gasto_o_ing_per_capita!M511*100/Gasto_o_ing_per_capita!$D511</f>
        <v>2378.5691314538949</v>
      </c>
      <c r="N511" s="336">
        <f>Gasto_o_ing_per_capita!N511*100/Gasto_o_ing_per_capita!$D511</f>
        <v>2194.0546306171523</v>
      </c>
      <c r="O511" s="336">
        <f>Gasto_o_ing_per_capita!O511*100/Gasto_o_ing_per_capita!$D511</f>
        <v>-2039.1776810812139</v>
      </c>
      <c r="P511" s="336">
        <f>Gasto_o_ing_per_capita!P511*100/Gasto_o_ing_per_capita!$D511</f>
        <v>1003.3588816309114</v>
      </c>
      <c r="Q511" s="336">
        <f>Gasto_o_ing_per_capita!Q511*100/Gasto_o_ing_per_capita!$D511</f>
        <v>-309.06445375445304</v>
      </c>
      <c r="R511" s="336">
        <f>Gasto_o_ing_per_capita!R511*100/Gasto_o_ing_per_capita!$D511</f>
        <v>-101.372970915167</v>
      </c>
      <c r="S511" s="336">
        <f>Gasto_o_ing_per_capita!S511*100/Gasto_o_ing_per_capita!$D511</f>
        <v>-10232.59782341768</v>
      </c>
      <c r="T511" s="336">
        <f>Gasto_o_ing_per_capita!T511*100/Gasto_o_ing_per_capita!$D511</f>
        <v>4846.1053452534625</v>
      </c>
      <c r="U511" s="336">
        <f>Gasto_o_ing_per_capita!U511*100/Gasto_o_ing_per_capita!$D511</f>
        <v>1154.3746657161628</v>
      </c>
      <c r="V511" s="336">
        <f>Gasto_o_ing_per_capita!V511*100/Gasto_o_ing_per_capita!$D511</f>
        <v>3891.0119207398152</v>
      </c>
    </row>
    <row r="512" spans="1:22" s="102" customFormat="1" ht="13.15">
      <c r="A512" s="355" t="str">
        <f>IF(B512="","",(IF(ISERROR(MATCH(B512,Tot_res!C:C,0)),"Eliminar!!!","")))</f>
        <v/>
      </c>
      <c r="B512" s="102" t="s">
        <v>664</v>
      </c>
      <c r="C512" s="333" t="str">
        <f>VLOOKUP(B512,Tot_res!C:D,2,FALSE)</f>
        <v>Patrimonio, sobreesfuerzo fiscal</v>
      </c>
      <c r="D512" s="336">
        <f>Gasto_o_ing_per_capita!D512*100/Gasto_o_ing_per_capita!$D512</f>
        <v>100</v>
      </c>
      <c r="E512" s="336">
        <f>Gasto_o_ing_per_capita!E512*100/Gasto_o_ing_per_capita!$D512</f>
        <v>0</v>
      </c>
      <c r="F512" s="336">
        <f>Gasto_o_ing_per_capita!F512*100/Gasto_o_ing_per_capita!$D512</f>
        <v>0</v>
      </c>
      <c r="G512" s="336">
        <f>Gasto_o_ing_per_capita!G512*100/Gasto_o_ing_per_capita!$D512</f>
        <v>0</v>
      </c>
      <c r="H512" s="336">
        <f>Gasto_o_ing_per_capita!H512*100/Gasto_o_ing_per_capita!$D512</f>
        <v>0</v>
      </c>
      <c r="I512" s="336">
        <f>Gasto_o_ing_per_capita!I512*100/Gasto_o_ing_per_capita!$D512</f>
        <v>0</v>
      </c>
      <c r="J512" s="336">
        <f>Gasto_o_ing_per_capita!J512*100/Gasto_o_ing_per_capita!$D512</f>
        <v>0</v>
      </c>
      <c r="K512" s="336">
        <f>Gasto_o_ing_per_capita!K512*100/Gasto_o_ing_per_capita!$D512</f>
        <v>0</v>
      </c>
      <c r="L512" s="336">
        <f>Gasto_o_ing_per_capita!L512*100/Gasto_o_ing_per_capita!$D512</f>
        <v>0</v>
      </c>
      <c r="M512" s="336">
        <f>Gasto_o_ing_per_capita!M512*100/Gasto_o_ing_per_capita!$D512</f>
        <v>0</v>
      </c>
      <c r="N512" s="336">
        <f>Gasto_o_ing_per_capita!N512*100/Gasto_o_ing_per_capita!$D512</f>
        <v>0</v>
      </c>
      <c r="O512" s="336">
        <f>Gasto_o_ing_per_capita!O512*100/Gasto_o_ing_per_capita!$D512</f>
        <v>0</v>
      </c>
      <c r="P512" s="336">
        <f>Gasto_o_ing_per_capita!P512*100/Gasto_o_ing_per_capita!$D512</f>
        <v>0</v>
      </c>
      <c r="Q512" s="336">
        <f>Gasto_o_ing_per_capita!Q512*100/Gasto_o_ing_per_capita!$D512</f>
        <v>0</v>
      </c>
      <c r="R512" s="336">
        <f>Gasto_o_ing_per_capita!R512*100/Gasto_o_ing_per_capita!$D512</f>
        <v>0</v>
      </c>
      <c r="S512" s="336">
        <f>Gasto_o_ing_per_capita!S512*100/Gasto_o_ing_per_capita!$D512</f>
        <v>0</v>
      </c>
      <c r="T512" s="336">
        <f>Gasto_o_ing_per_capita!T512*100/Gasto_o_ing_per_capita!$D512</f>
        <v>0</v>
      </c>
      <c r="U512" s="336">
        <f>Gasto_o_ing_per_capita!U512*100/Gasto_o_ing_per_capita!$D512</f>
        <v>0</v>
      </c>
      <c r="V512" s="336">
        <f>Gasto_o_ing_per_capita!V512*100/Gasto_o_ing_per_capita!$D512</f>
        <v>27836.494125947505</v>
      </c>
    </row>
    <row r="513" spans="1:22" s="102" customFormat="1" ht="13.15">
      <c r="A513" s="355" t="str">
        <f>IF(B513="","",(IF(ISERROR(MATCH(B513,Tot_res!C:C,0)),"Eliminar!!!","")))</f>
        <v/>
      </c>
      <c r="B513" s="102" t="s">
        <v>1125</v>
      </c>
      <c r="C513" s="333" t="str">
        <f>VLOOKUP(B513,Tot_res!C:D,2,FALSE)</f>
        <v>IH, sobreesfuerzo fiscal</v>
      </c>
      <c r="D513" s="336">
        <f>Gasto_o_ing_per_capita!D513*100/Gasto_o_ing_per_capita!$D513</f>
        <v>100</v>
      </c>
      <c r="E513" s="336">
        <f>Gasto_o_ing_per_capita!E513*100/Gasto_o_ing_per_capita!$D513</f>
        <v>117.71454098738901</v>
      </c>
      <c r="F513" s="336">
        <f>Gasto_o_ing_per_capita!F513*100/Gasto_o_ing_per_capita!$D513</f>
        <v>15.651572913659701</v>
      </c>
      <c r="G513" s="336">
        <f>Gasto_o_ing_per_capita!G513*100/Gasto_o_ing_per_capita!$D513</f>
        <v>114.15525343825126</v>
      </c>
      <c r="H513" s="336">
        <f>Gasto_o_ing_per_capita!H513*100/Gasto_o_ing_per_capita!$D513</f>
        <v>147.27799765517628</v>
      </c>
      <c r="I513" s="336">
        <f>Gasto_o_ing_per_capita!I513*100/Gasto_o_ing_per_capita!$D513</f>
        <v>7.2032949375641229</v>
      </c>
      <c r="J513" s="336">
        <f>Gasto_o_ing_per_capita!J513*100/Gasto_o_ing_per_capita!$D513</f>
        <v>17.990330780570297</v>
      </c>
      <c r="K513" s="336">
        <f>Gasto_o_ing_per_capita!K513*100/Gasto_o_ing_per_capita!$D513</f>
        <v>146.39217239300856</v>
      </c>
      <c r="L513" s="336">
        <f>Gasto_o_ing_per_capita!L513*100/Gasto_o_ing_per_capita!$D513</f>
        <v>164.18940526160395</v>
      </c>
      <c r="M513" s="336">
        <f>Gasto_o_ing_per_capita!M513*100/Gasto_o_ing_per_capita!$D513</f>
        <v>135.61442020922212</v>
      </c>
      <c r="N513" s="336">
        <f>Gasto_o_ing_per_capita!N513*100/Gasto_o_ing_per_capita!$D513</f>
        <v>124.23032019657796</v>
      </c>
      <c r="O513" s="336">
        <f>Gasto_o_ing_per_capita!O513*100/Gasto_o_ing_per_capita!$D513</f>
        <v>175.19448006374606</v>
      </c>
      <c r="P513" s="336">
        <f>Gasto_o_ing_per_capita!P513*100/Gasto_o_ing_per_capita!$D513</f>
        <v>54.426959894004163</v>
      </c>
      <c r="Q513" s="336">
        <f>Gasto_o_ing_per_capita!Q513*100/Gasto_o_ing_per_capita!$D513</f>
        <v>51.920874276047854</v>
      </c>
      <c r="R513" s="336">
        <f>Gasto_o_ing_per_capita!R513*100/Gasto_o_ing_per_capita!$D513</f>
        <v>155.59587361532041</v>
      </c>
      <c r="S513" s="336">
        <f>Gasto_o_ing_per_capita!S513*100/Gasto_o_ing_per_capita!$D513</f>
        <v>90.141935346987168</v>
      </c>
      <c r="T513" s="336">
        <f>Gasto_o_ing_per_capita!T513*100/Gasto_o_ing_per_capita!$D513</f>
        <v>17.702863679843468</v>
      </c>
      <c r="U513" s="336">
        <f>Gasto_o_ing_per_capita!U513*100/Gasto_o_ing_per_capita!$D513</f>
        <v>15.421484547527125</v>
      </c>
      <c r="V513" s="336">
        <f>Gasto_o_ing_per_capita!V513*100/Gasto_o_ing_per_capita!$D513</f>
        <v>11.902241559230673</v>
      </c>
    </row>
    <row r="514" spans="1:22" ht="13.15">
      <c r="A514" s="355" t="str">
        <f>IF(B514="","",(IF(ISERROR(MATCH(B514,Tot_res!C:C,0)),"Eliminar!!!","")))</f>
        <v/>
      </c>
      <c r="B514" s="102" t="s">
        <v>463</v>
      </c>
      <c r="C514" s="333" t="str">
        <f>VLOOKUP(B514,Tot_res!C:D,2,FALSE)</f>
        <v>ITP y AJD, sobreesfuerzo fiscal</v>
      </c>
      <c r="D514" s="336">
        <f>Gasto_o_ing_per_capita!D514*100/Gasto_o_ing_per_capita!$D514</f>
        <v>99.999999999999986</v>
      </c>
      <c r="E514" s="336">
        <f>Gasto_o_ing_per_capita!E514*100/Gasto_o_ing_per_capita!$D514</f>
        <v>135.78413870031082</v>
      </c>
      <c r="F514" s="336">
        <f>Gasto_o_ing_per_capita!F514*100/Gasto_o_ing_per_capita!$D514</f>
        <v>35.897103105654004</v>
      </c>
      <c r="G514" s="336">
        <f>Gasto_o_ing_per_capita!G514*100/Gasto_o_ing_per_capita!$D514</f>
        <v>108.49350275510278</v>
      </c>
      <c r="H514" s="336">
        <f>Gasto_o_ing_per_capita!H514*100/Gasto_o_ing_per_capita!$D514</f>
        <v>166.5833199905675</v>
      </c>
      <c r="I514" s="336">
        <f>Gasto_o_ing_per_capita!I514*100/Gasto_o_ing_per_capita!$D514</f>
        <v>-29.232237864935019</v>
      </c>
      <c r="J514" s="336">
        <f>Gasto_o_ing_per_capita!J514*100/Gasto_o_ing_per_capita!$D514</f>
        <v>128.31506544316861</v>
      </c>
      <c r="K514" s="336">
        <f>Gasto_o_ing_per_capita!K514*100/Gasto_o_ing_per_capita!$D514</f>
        <v>140.30057835051775</v>
      </c>
      <c r="L514" s="336">
        <f>Gasto_o_ing_per_capita!L514*100/Gasto_o_ing_per_capita!$D514</f>
        <v>115.87264666190659</v>
      </c>
      <c r="M514" s="336">
        <f>Gasto_o_ing_per_capita!M514*100/Gasto_o_ing_per_capita!$D514</f>
        <v>284.60742007445924</v>
      </c>
      <c r="N514" s="336">
        <f>Gasto_o_ing_per_capita!N514*100/Gasto_o_ing_per_capita!$D514</f>
        <v>159.57098433558733</v>
      </c>
      <c r="O514" s="336">
        <f>Gasto_o_ing_per_capita!O514*100/Gasto_o_ing_per_capita!$D514</f>
        <v>100.34247681952461</v>
      </c>
      <c r="P514" s="336">
        <f>Gasto_o_ing_per_capita!P514*100/Gasto_o_ing_per_capita!$D514</f>
        <v>201.82018012309192</v>
      </c>
      <c r="Q514" s="336">
        <f>Gasto_o_ing_per_capita!Q514*100/Gasto_o_ing_per_capita!$D514</f>
        <v>47.216192870635815</v>
      </c>
      <c r="R514" s="336">
        <f>Gasto_o_ing_per_capita!R514*100/Gasto_o_ing_per_capita!$D514</f>
        <v>70.355757556207053</v>
      </c>
      <c r="S514" s="336">
        <f>Gasto_o_ing_per_capita!S514*100/Gasto_o_ing_per_capita!$D514</f>
        <v>-337.75384158352313</v>
      </c>
      <c r="T514" s="336">
        <f>Gasto_o_ing_per_capita!T514*100/Gasto_o_ing_per_capita!$D514</f>
        <v>-689.38387277573111</v>
      </c>
      <c r="U514" s="336">
        <f>Gasto_o_ing_per_capita!U514*100/Gasto_o_ing_per_capita!$D514</f>
        <v>39.066690757688704</v>
      </c>
      <c r="V514" s="336">
        <f>Gasto_o_ing_per_capita!V514*100/Gasto_o_ing_per_capita!$D514</f>
        <v>1670.6746651891351</v>
      </c>
    </row>
    <row r="515" spans="1:22" s="102" customFormat="1" ht="13.15">
      <c r="A515" s="355" t="str">
        <f>IF(B515="","",(IF(ISERROR(MATCH(B515,Tot_res!C:C,0)),"Eliminar!!!","")))</f>
        <v/>
      </c>
      <c r="B515" s="102" t="s">
        <v>464</v>
      </c>
      <c r="C515" s="333" t="str">
        <f>VLOOKUP(B515,Tot_res!C:D,2,FALSE)</f>
        <v>IVMH, sobreesfuerzo fiscal</v>
      </c>
      <c r="D515" s="336">
        <f>Gasto_o_ing_per_capita!D515*100/Gasto_o_ing_per_capita!$D515</f>
        <v>100</v>
      </c>
      <c r="E515" s="336">
        <f>Gasto_o_ing_per_capita!E515*100/Gasto_o_ing_per_capita!$D515</f>
        <v>119.37415029108104</v>
      </c>
      <c r="F515" s="336">
        <f>Gasto_o_ing_per_capita!F515*100/Gasto_o_ing_per_capita!$D515</f>
        <v>15.71783301606505</v>
      </c>
      <c r="G515" s="336">
        <f>Gasto_o_ing_per_capita!G515*100/Gasto_o_ing_per_capita!$D515</f>
        <v>74.298950028466365</v>
      </c>
      <c r="H515" s="336">
        <f>Gasto_o_ing_per_capita!H515*100/Gasto_o_ing_per_capita!$D515</f>
        <v>123.21436906672693</v>
      </c>
      <c r="I515" s="336">
        <f>Gasto_o_ing_per_capita!I515*100/Gasto_o_ing_per_capita!$D515</f>
        <v>7.2337897039912313</v>
      </c>
      <c r="J515" s="336">
        <f>Gasto_o_ing_per_capita!J515*100/Gasto_o_ing_per_capita!$D515</f>
        <v>134.08305536488737</v>
      </c>
      <c r="K515" s="336">
        <f>Gasto_o_ing_per_capita!K515*100/Gasto_o_ing_per_capita!$D515</f>
        <v>160.0305027288471</v>
      </c>
      <c r="L515" s="336">
        <f>Gasto_o_ing_per_capita!L515*100/Gasto_o_ing_per_capita!$D515</f>
        <v>155.48646885853768</v>
      </c>
      <c r="M515" s="336">
        <f>Gasto_o_ing_per_capita!M515*100/Gasto_o_ing_per_capita!$D515</f>
        <v>140.10092514584917</v>
      </c>
      <c r="N515" s="336">
        <f>Gasto_o_ing_per_capita!N515*100/Gasto_o_ing_per_capita!$D515</f>
        <v>117.59626217380602</v>
      </c>
      <c r="O515" s="336">
        <f>Gasto_o_ing_per_capita!O515*100/Gasto_o_ing_per_capita!$D515</f>
        <v>147.32316635649892</v>
      </c>
      <c r="P515" s="336">
        <f>Gasto_o_ing_per_capita!P515*100/Gasto_o_ing_per_capita!$D515</f>
        <v>57.464712600884127</v>
      </c>
      <c r="Q515" s="336">
        <f>Gasto_o_ing_per_capita!Q515*100/Gasto_o_ing_per_capita!$D515</f>
        <v>57.27178234909838</v>
      </c>
      <c r="R515" s="336">
        <f>Gasto_o_ing_per_capita!R515*100/Gasto_o_ing_per_capita!$D515</f>
        <v>117.70740414023764</v>
      </c>
      <c r="S515" s="336">
        <f>Gasto_o_ing_per_capita!S515*100/Gasto_o_ing_per_capita!$D515</f>
        <v>110.92030925046387</v>
      </c>
      <c r="T515" s="336">
        <f>Gasto_o_ing_per_capita!T515*100/Gasto_o_ing_per_capita!$D515</f>
        <v>17.777807812728078</v>
      </c>
      <c r="U515" s="336">
        <f>Gasto_o_ing_per_capita!U515*100/Gasto_o_ing_per_capita!$D515</f>
        <v>15.486770583058409</v>
      </c>
      <c r="V515" s="336">
        <f>Gasto_o_ing_per_capita!V515*100/Gasto_o_ing_per_capita!$D515</f>
        <v>11.952629066538615</v>
      </c>
    </row>
    <row r="516" spans="1:22" s="102" customFormat="1" ht="13.15">
      <c r="A516" s="355" t="str">
        <f>IF(B516="","",(IF(ISERROR(MATCH(B516,Tot_res!C:C,0)),"Eliminar!!!","")))</f>
        <v/>
      </c>
      <c r="B516" s="102" t="s">
        <v>466</v>
      </c>
      <c r="C516" s="333" t="str">
        <f>VLOOKUP(B516,Tot_res!C:D,2,FALSE)</f>
        <v>Tasas sobre el juego, sobreesfuerzo fiscal</v>
      </c>
      <c r="D516" s="336">
        <f>Gasto_o_ing_per_capita!D516*100/Gasto_o_ing_per_capita!$D516</f>
        <v>100</v>
      </c>
      <c r="E516" s="336">
        <f>Gasto_o_ing_per_capita!E516*100/Gasto_o_ing_per_capita!$D516</f>
        <v>394.31919589054934</v>
      </c>
      <c r="F516" s="336">
        <f>Gasto_o_ing_per_capita!F516*100/Gasto_o_ing_per_capita!$D516</f>
        <v>1695.1768379434075</v>
      </c>
      <c r="G516" s="336">
        <f>Gasto_o_ing_per_capita!G516*100/Gasto_o_ing_per_capita!$D516</f>
        <v>991.5841335003729</v>
      </c>
      <c r="H516" s="336">
        <f>Gasto_o_ing_per_capita!H516*100/Gasto_o_ing_per_capita!$D516</f>
        <v>-1524.9667895728994</v>
      </c>
      <c r="I516" s="336">
        <f>Gasto_o_ing_per_capita!I516*100/Gasto_o_ing_per_capita!$D516</f>
        <v>2254.3953050269311</v>
      </c>
      <c r="J516" s="336">
        <f>Gasto_o_ing_per_capita!J516*100/Gasto_o_ing_per_capita!$D516</f>
        <v>707.19147728435269</v>
      </c>
      <c r="K516" s="336">
        <f>Gasto_o_ing_per_capita!K516*100/Gasto_o_ing_per_capita!$D516</f>
        <v>355.63089932143907</v>
      </c>
      <c r="L516" s="336">
        <f>Gasto_o_ing_per_capita!L516*100/Gasto_o_ing_per_capita!$D516</f>
        <v>-650.14469136901289</v>
      </c>
      <c r="M516" s="336">
        <f>Gasto_o_ing_per_capita!M516*100/Gasto_o_ing_per_capita!$D516</f>
        <v>1598.828624132673</v>
      </c>
      <c r="N516" s="336">
        <f>Gasto_o_ing_per_capita!N516*100/Gasto_o_ing_per_capita!$D516</f>
        <v>-732.37037067750293</v>
      </c>
      <c r="O516" s="336">
        <f>Gasto_o_ing_per_capita!O516*100/Gasto_o_ing_per_capita!$D516</f>
        <v>1339.743710295855</v>
      </c>
      <c r="P516" s="336">
        <f>Gasto_o_ing_per_capita!P516*100/Gasto_o_ing_per_capita!$D516</f>
        <v>61.789896897712083</v>
      </c>
      <c r="Q516" s="336">
        <f>Gasto_o_ing_per_capita!Q516*100/Gasto_o_ing_per_capita!$D516</f>
        <v>-3136.5797286857014</v>
      </c>
      <c r="R516" s="336">
        <f>Gasto_o_ing_per_capita!R516*100/Gasto_o_ing_per_capita!$D516</f>
        <v>227.16714478375906</v>
      </c>
      <c r="S516" s="336">
        <f>Gasto_o_ing_per_capita!S516*100/Gasto_o_ing_per_capita!$D516</f>
        <v>-582.47932309270698</v>
      </c>
      <c r="T516" s="336">
        <f>Gasto_o_ing_per_capita!T516*100/Gasto_o_ing_per_capita!$D516</f>
        <v>2127.9292297558495</v>
      </c>
      <c r="U516" s="336">
        <f>Gasto_o_ing_per_capita!U516*100/Gasto_o_ing_per_capita!$D516</f>
        <v>1181.3234617213366</v>
      </c>
      <c r="V516" s="336">
        <f>Gasto_o_ing_per_capita!V516*100/Gasto_o_ing_per_capita!$D516</f>
        <v>2080.4890597340495</v>
      </c>
    </row>
    <row r="517" spans="1:22" s="102" customFormat="1" ht="13.15">
      <c r="A517" s="355" t="str">
        <f>IF(B517="","",(IF(ISERROR(MATCH(B517,Tot_res!C:C,0)),"Eliminar!!!","")))</f>
        <v/>
      </c>
      <c r="B517" s="102" t="s">
        <v>467</v>
      </c>
      <c r="C517" s="333" t="str">
        <f>VLOOKUP(B517,Tot_res!C:D,2,FALSE)</f>
        <v>Canarias, sobreesfuerzo fiscal consumo</v>
      </c>
      <c r="D517" s="336">
        <f>Gasto_o_ing_per_capita!D517*100/Gasto_o_ing_per_capita!$D517</f>
        <v>100</v>
      </c>
      <c r="E517" s="336">
        <f>Gasto_o_ing_per_capita!E517*100/Gasto_o_ing_per_capita!$D517</f>
        <v>25.065867754473842</v>
      </c>
      <c r="F517" s="336">
        <f>Gasto_o_ing_per_capita!F517*100/Gasto_o_ing_per_capita!$D517</f>
        <v>25.692307819911573</v>
      </c>
      <c r="G517" s="336">
        <f>Gasto_o_ing_per_capita!G517*100/Gasto_o_ing_per_capita!$D517</f>
        <v>30.752984343665872</v>
      </c>
      <c r="H517" s="336">
        <f>Gasto_o_ing_per_capita!H517*100/Gasto_o_ing_per_capita!$D517</f>
        <v>25.573193385378211</v>
      </c>
      <c r="I517" s="336">
        <f>Gasto_o_ing_per_capita!I517*100/Gasto_o_ing_per_capita!$D517</f>
        <v>1663.2690958042708</v>
      </c>
      <c r="J517" s="336">
        <f>Gasto_o_ing_per_capita!J517*100/Gasto_o_ing_per_capita!$D517</f>
        <v>28.698232331341917</v>
      </c>
      <c r="K517" s="336">
        <f>Gasto_o_ing_per_capita!K517*100/Gasto_o_ing_per_capita!$D517</f>
        <v>26.514541152476419</v>
      </c>
      <c r="L517" s="336">
        <f>Gasto_o_ing_per_capita!L517*100/Gasto_o_ing_per_capita!$D517</f>
        <v>25.16370329305791</v>
      </c>
      <c r="M517" s="336">
        <f>Gasto_o_ing_per_capita!M517*100/Gasto_o_ing_per_capita!$D517</f>
        <v>25.726791042479881</v>
      </c>
      <c r="N517" s="336">
        <f>Gasto_o_ing_per_capita!N517*100/Gasto_o_ing_per_capita!$D517</f>
        <v>25.313486666513477</v>
      </c>
      <c r="O517" s="336">
        <f>Gasto_o_ing_per_capita!O517*100/Gasto_o_ing_per_capita!$D517</f>
        <v>24.780202253933759</v>
      </c>
      <c r="P517" s="336">
        <f>Gasto_o_ing_per_capita!P517*100/Gasto_o_ing_per_capita!$D517</f>
        <v>28.066018900855077</v>
      </c>
      <c r="Q517" s="336">
        <f>Gasto_o_ing_per_capita!Q517*100/Gasto_o_ing_per_capita!$D517</f>
        <v>27.723606254115378</v>
      </c>
      <c r="R517" s="336">
        <f>Gasto_o_ing_per_capita!R517*100/Gasto_o_ing_per_capita!$D517</f>
        <v>24.904462025328204</v>
      </c>
      <c r="S517" s="336">
        <f>Gasto_o_ing_per_capita!S517*100/Gasto_o_ing_per_capita!$D517</f>
        <v>27.713769419755955</v>
      </c>
      <c r="T517" s="336">
        <f>Gasto_o_ing_per_capita!T517*100/Gasto_o_ing_per_capita!$D517</f>
        <v>30.657424971195493</v>
      </c>
      <c r="U517" s="336">
        <f>Gasto_o_ing_per_capita!U517*100/Gasto_o_ing_per_capita!$D517</f>
        <v>25.450302402181968</v>
      </c>
      <c r="V517" s="336">
        <f>Gasto_o_ing_per_capita!V517*100/Gasto_o_ing_per_capita!$D517</f>
        <v>25.405526142848085</v>
      </c>
    </row>
    <row r="518" spans="1:22" s="102" customFormat="1" ht="13.15">
      <c r="A518" s="355" t="str">
        <f>IF(B518="","",(IF(ISERROR(MATCH(B518,Tot_res!C:C,0)),"Eliminar!!!","")))</f>
        <v/>
      </c>
      <c r="B518" s="102" t="s">
        <v>468</v>
      </c>
      <c r="C518" s="333" t="str">
        <f>VLOOKUP(B518,Tot_res!C:D,2,FALSE)</f>
        <v>Ceuta y Melilla, sobreesfuerzo fiscal consumo</v>
      </c>
      <c r="D518" s="336">
        <f>Gasto_o_ing_per_capita!D518*100/Gasto_o_ing_per_capita!$D518</f>
        <v>100.00000000000001</v>
      </c>
      <c r="E518" s="336">
        <f>Gasto_o_ing_per_capita!E518*100/Gasto_o_ing_per_capita!$D518</f>
        <v>0</v>
      </c>
      <c r="F518" s="336">
        <f>Gasto_o_ing_per_capita!F518*100/Gasto_o_ing_per_capita!$D518</f>
        <v>0</v>
      </c>
      <c r="G518" s="336">
        <f>Gasto_o_ing_per_capita!G518*100/Gasto_o_ing_per_capita!$D518</f>
        <v>0</v>
      </c>
      <c r="H518" s="336">
        <f>Gasto_o_ing_per_capita!H518*100/Gasto_o_ing_per_capita!$D518</f>
        <v>0</v>
      </c>
      <c r="I518" s="336">
        <f>Gasto_o_ing_per_capita!I518*100/Gasto_o_ing_per_capita!$D518</f>
        <v>0</v>
      </c>
      <c r="J518" s="336">
        <f>Gasto_o_ing_per_capita!J518*100/Gasto_o_ing_per_capita!$D518</f>
        <v>0</v>
      </c>
      <c r="K518" s="336">
        <f>Gasto_o_ing_per_capita!K518*100/Gasto_o_ing_per_capita!$D518</f>
        <v>0</v>
      </c>
      <c r="L518" s="336">
        <f>Gasto_o_ing_per_capita!L518*100/Gasto_o_ing_per_capita!$D518</f>
        <v>0</v>
      </c>
      <c r="M518" s="336">
        <f>Gasto_o_ing_per_capita!M518*100/Gasto_o_ing_per_capita!$D518</f>
        <v>0</v>
      </c>
      <c r="N518" s="336">
        <f>Gasto_o_ing_per_capita!N518*100/Gasto_o_ing_per_capita!$D518</f>
        <v>0</v>
      </c>
      <c r="O518" s="336">
        <f>Gasto_o_ing_per_capita!O518*100/Gasto_o_ing_per_capita!$D518</f>
        <v>0</v>
      </c>
      <c r="P518" s="336">
        <f>Gasto_o_ing_per_capita!P518*100/Gasto_o_ing_per_capita!$D518</f>
        <v>0</v>
      </c>
      <c r="Q518" s="336">
        <f>Gasto_o_ing_per_capita!Q518*100/Gasto_o_ing_per_capita!$D518</f>
        <v>0</v>
      </c>
      <c r="R518" s="336">
        <f>Gasto_o_ing_per_capita!R518*100/Gasto_o_ing_per_capita!$D518</f>
        <v>0</v>
      </c>
      <c r="S518" s="336">
        <f>Gasto_o_ing_per_capita!S518*100/Gasto_o_ing_per_capita!$D518</f>
        <v>0</v>
      </c>
      <c r="T518" s="336">
        <f>Gasto_o_ing_per_capita!T518*100/Gasto_o_ing_per_capita!$D518</f>
        <v>0</v>
      </c>
      <c r="U518" s="336">
        <f>Gasto_o_ing_per_capita!U518*100/Gasto_o_ing_per_capita!$D518</f>
        <v>0</v>
      </c>
      <c r="V518" s="336">
        <f>Gasto_o_ing_per_capita!V518*100/Gasto_o_ing_per_capita!$D518</f>
        <v>27836.494125947509</v>
      </c>
    </row>
    <row r="519" spans="1:22" s="102" customFormat="1" ht="13.15">
      <c r="A519" s="355" t="str">
        <f>IF(B519="","",(IF(ISERROR(MATCH(B519,Tot_res!C:C,0)),"Eliminar!!!","")))</f>
        <v/>
      </c>
      <c r="B519" s="102" t="s">
        <v>469</v>
      </c>
      <c r="C519" s="333" t="str">
        <f>VLOOKUP(B519,Tot_res!C:D,2,FALSE)</f>
        <v>Impuesto de matriculación, sobreesfuerzo fiscal</v>
      </c>
      <c r="D519" s="336">
        <f>Gasto_o_ing_per_capita!D519*100/Gasto_o_ing_per_capita!$D519</f>
        <v>100</v>
      </c>
      <c r="E519" s="336">
        <f>Gasto_o_ing_per_capita!E519*100/Gasto_o_ing_per_capita!$D519</f>
        <v>214.6549280470779</v>
      </c>
      <c r="F519" s="336">
        <f>Gasto_o_ing_per_capita!F519*100/Gasto_o_ing_per_capita!$D519</f>
        <v>10.525966036119014</v>
      </c>
      <c r="G519" s="336">
        <f>Gasto_o_ing_per_capita!G519*100/Gasto_o_ing_per_capita!$D519</f>
        <v>93.577817275387119</v>
      </c>
      <c r="H519" s="336">
        <f>Gasto_o_ing_per_capita!H519*100/Gasto_o_ing_per_capita!$D519</f>
        <v>287.92450651085346</v>
      </c>
      <c r="I519" s="336">
        <f>Gasto_o_ing_per_capita!I519*100/Gasto_o_ing_per_capita!$D519</f>
        <v>4.8716132985455856</v>
      </c>
      <c r="J519" s="336">
        <f>Gasto_o_ing_per_capita!J519*100/Gasto_o_ing_per_capita!$D519</f>
        <v>320.19932873633337</v>
      </c>
      <c r="K519" s="336">
        <f>Gasto_o_ing_per_capita!K519*100/Gasto_o_ing_per_capita!$D519</f>
        <v>10.222228902567842</v>
      </c>
      <c r="L519" s="336">
        <f>Gasto_o_ing_per_capita!L519*100/Gasto_o_ing_per_capita!$D519</f>
        <v>9.4880698258924259</v>
      </c>
      <c r="M519" s="336">
        <f>Gasto_o_ing_per_capita!M519*100/Gasto_o_ing_per_capita!$D519</f>
        <v>187.09478263499298</v>
      </c>
      <c r="N519" s="336">
        <f>Gasto_o_ing_per_capita!N519*100/Gasto_o_ing_per_capita!$D519</f>
        <v>9.9836735031338772</v>
      </c>
      <c r="O519" s="336">
        <f>Gasto_o_ing_per_capita!O519*100/Gasto_o_ing_per_capita!$D519</f>
        <v>540.17540507922763</v>
      </c>
      <c r="P519" s="336">
        <f>Gasto_o_ing_per_capita!P519*100/Gasto_o_ing_per_capita!$D519</f>
        <v>10.110072239443939</v>
      </c>
      <c r="Q519" s="336">
        <f>Gasto_o_ing_per_capita!Q519*100/Gasto_o_ing_per_capita!$D519</f>
        <v>11.591605498503583</v>
      </c>
      <c r="R519" s="336">
        <f>Gasto_o_ing_per_capita!R519*100/Gasto_o_ing_per_capita!$D519</f>
        <v>9.2926599467178868</v>
      </c>
      <c r="S519" s="336">
        <f>Gasto_o_ing_per_capita!S519*100/Gasto_o_ing_per_capita!$D519</f>
        <v>10.882349383499593</v>
      </c>
      <c r="T519" s="336">
        <f>Gasto_o_ing_per_capita!T519*100/Gasto_o_ing_per_capita!$D519</f>
        <v>11.905660933180151</v>
      </c>
      <c r="U519" s="336">
        <f>Gasto_o_ing_per_capita!U519*100/Gasto_o_ing_per_capita!$D519</f>
        <v>10.37120896810138</v>
      </c>
      <c r="V519" s="336">
        <f>Gasto_o_ing_per_capita!V519*100/Gasto_o_ing_per_capita!$D519</f>
        <v>8.0041717481640298</v>
      </c>
    </row>
    <row r="520" spans="1:22" s="102" customFormat="1" ht="13.15">
      <c r="A520" s="355" t="str">
        <f>IF(B520="","",(IF(ISERROR(MATCH(B520,Tot_res!C:C,0)),"Eliminar!!!","")))</f>
        <v/>
      </c>
      <c r="B520" s="102" t="s">
        <v>470</v>
      </c>
      <c r="C520" s="333" t="str">
        <f>VLOOKUP(B520,Tot_res!C:D,2,FALSE)</f>
        <v>Impuestos propios de las CCAA</v>
      </c>
      <c r="D520" s="336">
        <f>Gasto_o_ing_per_capita!D520*100/Gasto_o_ing_per_capita!$D520</f>
        <v>100</v>
      </c>
      <c r="E520" s="336">
        <f>Gasto_o_ing_per_capita!E520*100/Gasto_o_ing_per_capita!$D520</f>
        <v>66.04704943311171</v>
      </c>
      <c r="F520" s="336">
        <f>Gasto_o_ing_per_capita!F520*100/Gasto_o_ing_per_capita!$D520</f>
        <v>95.096583005026446</v>
      </c>
      <c r="G520" s="336">
        <f>Gasto_o_ing_per_capita!G520*100/Gasto_o_ing_per_capita!$D520</f>
        <v>168.9432017838551</v>
      </c>
      <c r="H520" s="336">
        <f>Gasto_o_ing_per_capita!H520*100/Gasto_o_ing_per_capita!$D520</f>
        <v>183.03691623974174</v>
      </c>
      <c r="I520" s="336">
        <f>Gasto_o_ing_per_capita!I520*100/Gasto_o_ing_per_capita!$D520</f>
        <v>62.32320477590126</v>
      </c>
      <c r="J520" s="336">
        <f>Gasto_o_ing_per_capita!J520*100/Gasto_o_ing_per_capita!$D520</f>
        <v>111.50498766936931</v>
      </c>
      <c r="K520" s="336">
        <f>Gasto_o_ing_per_capita!K520*100/Gasto_o_ing_per_capita!$D520</f>
        <v>71.109701471049917</v>
      </c>
      <c r="L520" s="336">
        <f>Gasto_o_ing_per_capita!L520*100/Gasto_o_ing_per_capita!$D520</f>
        <v>-141.28060517765266</v>
      </c>
      <c r="M520" s="336">
        <f>Gasto_o_ing_per_capita!M520*100/Gasto_o_ing_per_capita!$D520</f>
        <v>249.96876374464992</v>
      </c>
      <c r="N520" s="336">
        <f>Gasto_o_ing_per_capita!N520*100/Gasto_o_ing_per_capita!$D520</f>
        <v>119.94530545587327</v>
      </c>
      <c r="O520" s="336">
        <f>Gasto_o_ing_per_capita!O520*100/Gasto_o_ing_per_capita!$D520</f>
        <v>250.21747138308109</v>
      </c>
      <c r="P520" s="336">
        <f>Gasto_o_ing_per_capita!P520*100/Gasto_o_ing_per_capita!$D520</f>
        <v>79.112106740153237</v>
      </c>
      <c r="Q520" s="336">
        <f>Gasto_o_ing_per_capita!Q520*100/Gasto_o_ing_per_capita!$D520</f>
        <v>9.2880823752645654</v>
      </c>
      <c r="R520" s="336">
        <f>Gasto_o_ing_per_capita!R520*100/Gasto_o_ing_per_capita!$D520</f>
        <v>83.968353558685195</v>
      </c>
      <c r="S520" s="336">
        <f>Gasto_o_ing_per_capita!S520*100/Gasto_o_ing_per_capita!$D520</f>
        <v>135.13717167225155</v>
      </c>
      <c r="T520" s="336">
        <f>Gasto_o_ing_per_capita!T520*100/Gasto_o_ing_per_capita!$D520</f>
        <v>113.83192020795531</v>
      </c>
      <c r="U520" s="336">
        <f>Gasto_o_ing_per_capita!U520*100/Gasto_o_ing_per_capita!$D520</f>
        <v>138.696300180756</v>
      </c>
      <c r="V520" s="336">
        <f>Gasto_o_ing_per_capita!V520*100/Gasto_o_ing_per_capita!$D520</f>
        <v>0</v>
      </c>
    </row>
    <row r="521" spans="1:22" s="102" customFormat="1" ht="13.15">
      <c r="A521" s="356"/>
      <c r="C521" s="119"/>
      <c r="D521" s="110"/>
      <c r="E521" s="110"/>
      <c r="F521" s="110"/>
      <c r="G521" s="110"/>
      <c r="H521" s="110"/>
      <c r="I521" s="110"/>
      <c r="J521" s="110"/>
      <c r="K521" s="110"/>
      <c r="L521" s="110"/>
      <c r="M521" s="110"/>
      <c r="N521" s="110"/>
      <c r="O521" s="110"/>
      <c r="P521" s="110"/>
      <c r="Q521" s="110"/>
      <c r="R521" s="110"/>
      <c r="S521" s="110"/>
      <c r="T521" s="110"/>
      <c r="U521" s="110"/>
      <c r="V521" s="110"/>
    </row>
    <row r="522" spans="1:22" s="102" customFormat="1" ht="13.15">
      <c r="A522" s="356"/>
      <c r="C522" s="154" t="s">
        <v>436</v>
      </c>
      <c r="D522" s="110">
        <f>Gasto_o_ing_per_capita!D522*100/Gasto_o_ing_per_capita!$D522</f>
        <v>100</v>
      </c>
      <c r="E522" s="110">
        <f>Gasto_o_ing_per_capita!E522*100/Gasto_o_ing_per_capita!$D522</f>
        <v>82.598316802437992</v>
      </c>
      <c r="F522" s="110">
        <f>Gasto_o_ing_per_capita!F522*100/Gasto_o_ing_per_capita!$D522</f>
        <v>105.06482599419314</v>
      </c>
      <c r="G522" s="110">
        <f>Gasto_o_ing_per_capita!G522*100/Gasto_o_ing_per_capita!$D522</f>
        <v>95.01322476128351</v>
      </c>
      <c r="H522" s="110">
        <f>Gasto_o_ing_per_capita!H522*100/Gasto_o_ing_per_capita!$D522</f>
        <v>129.69437345390759</v>
      </c>
      <c r="I522" s="110">
        <f>Gasto_o_ing_per_capita!I522*100/Gasto_o_ing_per_capita!$D522</f>
        <v>76.500021314996005</v>
      </c>
      <c r="J522" s="110">
        <f>Gasto_o_ing_per_capita!J522*100/Gasto_o_ing_per_capita!$D522</f>
        <v>107.63230922661556</v>
      </c>
      <c r="K522" s="110">
        <f>Gasto_o_ing_per_capita!K522*100/Gasto_o_ing_per_capita!$D522</f>
        <v>95.032189042928835</v>
      </c>
      <c r="L522" s="110">
        <f>Gasto_o_ing_per_capita!L522*100/Gasto_o_ing_per_capita!$D522</f>
        <v>89.716593923292081</v>
      </c>
      <c r="M522" s="110">
        <f>Gasto_o_ing_per_capita!M522*100/Gasto_o_ing_per_capita!$D522</f>
        <v>125.27347104657565</v>
      </c>
      <c r="N522" s="110">
        <f>Gasto_o_ing_per_capita!N522*100/Gasto_o_ing_per_capita!$D522</f>
        <v>96.989250145213759</v>
      </c>
      <c r="O522" s="110">
        <f>Gasto_o_ing_per_capita!O522*100/Gasto_o_ing_per_capita!$D522</f>
        <v>69.041660088969763</v>
      </c>
      <c r="P522" s="110">
        <f>Gasto_o_ing_per_capita!P522*100/Gasto_o_ing_per_capita!$D522</f>
        <v>74.420622406000263</v>
      </c>
      <c r="Q522" s="110">
        <f>Gasto_o_ing_per_capita!Q522*100/Gasto_o_ing_per_capita!$D522</f>
        <v>123.21853939357419</v>
      </c>
      <c r="R522" s="110">
        <f>Gasto_o_ing_per_capita!R522*100/Gasto_o_ing_per_capita!$D522</f>
        <v>89.671395868981065</v>
      </c>
      <c r="S522" s="110">
        <f>Gasto_o_ing_per_capita!S522*100/Gasto_o_ing_per_capita!$D522</f>
        <v>93.962607842035084</v>
      </c>
      <c r="T522" s="110">
        <f>Gasto_o_ing_per_capita!T522*100/Gasto_o_ing_per_capita!$D522</f>
        <v>99.740993973096806</v>
      </c>
      <c r="U522" s="110">
        <f>Gasto_o_ing_per_capita!U522*100/Gasto_o_ing_per_capita!$D522</f>
        <v>106.96333077736681</v>
      </c>
      <c r="V522" s="110">
        <f>Gasto_o_ing_per_capita!V522*100/Gasto_o_ing_per_capita!$D522</f>
        <v>27.219665534503182</v>
      </c>
    </row>
    <row r="523" spans="1:22" s="102" customFormat="1" ht="13.15">
      <c r="A523" s="355" t="str">
        <f>IF(B523="","",(IF(ISERROR(MATCH(B523,Tot_res!C:C,0)),"Eliminar!!!","")))</f>
        <v/>
      </c>
      <c r="B523" s="102" t="s">
        <v>625</v>
      </c>
      <c r="C523" s="333" t="str">
        <f>VLOOKUP(B523,Tot_res!C:D,2,FALSE)</f>
        <v>Impuestos y tasas municipales</v>
      </c>
      <c r="D523" s="336">
        <f>Gasto_o_ing_per_capita!D523*100/Gasto_o_ing_per_capita!$D523</f>
        <v>100</v>
      </c>
      <c r="E523" s="336">
        <f>Gasto_o_ing_per_capita!E523*100/Gasto_o_ing_per_capita!$D523</f>
        <v>82.598316802437992</v>
      </c>
      <c r="F523" s="336">
        <f>Gasto_o_ing_per_capita!F523*100/Gasto_o_ing_per_capita!$D523</f>
        <v>105.06482599419314</v>
      </c>
      <c r="G523" s="336">
        <f>Gasto_o_ing_per_capita!G523*100/Gasto_o_ing_per_capita!$D523</f>
        <v>95.01322476128351</v>
      </c>
      <c r="H523" s="336">
        <f>Gasto_o_ing_per_capita!H523*100/Gasto_o_ing_per_capita!$D523</f>
        <v>129.69437345390759</v>
      </c>
      <c r="I523" s="336">
        <f>Gasto_o_ing_per_capita!I523*100/Gasto_o_ing_per_capita!$D523</f>
        <v>76.500021314996005</v>
      </c>
      <c r="J523" s="336">
        <f>Gasto_o_ing_per_capita!J523*100/Gasto_o_ing_per_capita!$D523</f>
        <v>107.63230922661556</v>
      </c>
      <c r="K523" s="336">
        <f>Gasto_o_ing_per_capita!K523*100/Gasto_o_ing_per_capita!$D523</f>
        <v>95.032189042928835</v>
      </c>
      <c r="L523" s="336">
        <f>Gasto_o_ing_per_capita!L523*100/Gasto_o_ing_per_capita!$D523</f>
        <v>89.716593923292081</v>
      </c>
      <c r="M523" s="336">
        <f>Gasto_o_ing_per_capita!M523*100/Gasto_o_ing_per_capita!$D523</f>
        <v>125.27347104657565</v>
      </c>
      <c r="N523" s="336">
        <f>Gasto_o_ing_per_capita!N523*100/Gasto_o_ing_per_capita!$D523</f>
        <v>96.989250145213759</v>
      </c>
      <c r="O523" s="336">
        <f>Gasto_o_ing_per_capita!O523*100/Gasto_o_ing_per_capita!$D523</f>
        <v>69.041660088969763</v>
      </c>
      <c r="P523" s="336">
        <f>Gasto_o_ing_per_capita!P523*100/Gasto_o_ing_per_capita!$D523</f>
        <v>74.420622406000263</v>
      </c>
      <c r="Q523" s="336">
        <f>Gasto_o_ing_per_capita!Q523*100/Gasto_o_ing_per_capita!$D523</f>
        <v>123.21853939357419</v>
      </c>
      <c r="R523" s="336">
        <f>Gasto_o_ing_per_capita!R523*100/Gasto_o_ing_per_capita!$D523</f>
        <v>89.671395868981065</v>
      </c>
      <c r="S523" s="336">
        <f>Gasto_o_ing_per_capita!S523*100/Gasto_o_ing_per_capita!$D523</f>
        <v>93.962607842035084</v>
      </c>
      <c r="T523" s="336">
        <f>Gasto_o_ing_per_capita!T523*100/Gasto_o_ing_per_capita!$D523</f>
        <v>99.740993973096806</v>
      </c>
      <c r="U523" s="336">
        <f>Gasto_o_ing_per_capita!U523*100/Gasto_o_ing_per_capita!$D523</f>
        <v>106.96333077736681</v>
      </c>
      <c r="V523" s="336">
        <f>Gasto_o_ing_per_capita!V523*100/Gasto_o_ing_per_capita!$D523</f>
        <v>27.219665534503182</v>
      </c>
    </row>
    <row r="524" spans="1:22" s="102" customFormat="1" ht="13.15">
      <c r="A524" s="356"/>
      <c r="C524" s="104"/>
      <c r="D524" s="110"/>
      <c r="E524" s="110"/>
      <c r="F524" s="110"/>
      <c r="G524" s="110"/>
      <c r="H524" s="110"/>
      <c r="I524" s="110"/>
      <c r="J524" s="110"/>
      <c r="K524" s="110"/>
      <c r="L524" s="110"/>
      <c r="M524" s="110"/>
      <c r="N524" s="110"/>
      <c r="O524" s="110"/>
      <c r="P524" s="110"/>
      <c r="Q524" s="110"/>
      <c r="R524" s="110"/>
      <c r="S524" s="110"/>
      <c r="T524" s="110"/>
      <c r="U524" s="110"/>
      <c r="V524" s="110"/>
    </row>
    <row r="525" spans="1:22" s="102" customFormat="1" ht="13.15">
      <c r="A525" s="356"/>
      <c r="C525" s="154" t="s">
        <v>94</v>
      </c>
      <c r="D525" s="110">
        <f>Gasto_o_ing_per_capita!D525*100/Gasto_o_ing_per_capita!$D525</f>
        <v>100</v>
      </c>
      <c r="E525" s="110">
        <f>Gasto_o_ing_per_capita!E525*100/Gasto_o_ing_per_capita!$D525</f>
        <v>80.382207199555836</v>
      </c>
      <c r="F525" s="110">
        <f>Gasto_o_ing_per_capita!F525*100/Gasto_o_ing_per_capita!$D525</f>
        <v>107.52574198278113</v>
      </c>
      <c r="G525" s="110">
        <f>Gasto_o_ing_per_capita!G525*100/Gasto_o_ing_per_capita!$D525</f>
        <v>105.48180109581824</v>
      </c>
      <c r="H525" s="110">
        <f>Gasto_o_ing_per_capita!H525*100/Gasto_o_ing_per_capita!$D525</f>
        <v>106.8801132344292</v>
      </c>
      <c r="I525" s="110">
        <f>Gasto_o_ing_per_capita!I525*100/Gasto_o_ing_per_capita!$D525</f>
        <v>62.663439634128707</v>
      </c>
      <c r="J525" s="110">
        <f>Gasto_o_ing_per_capita!J525*100/Gasto_o_ing_per_capita!$D525</f>
        <v>106.1337259529262</v>
      </c>
      <c r="K525" s="110">
        <f>Gasto_o_ing_per_capita!K525*100/Gasto_o_ing_per_capita!$D525</f>
        <v>97.221704376473468</v>
      </c>
      <c r="L525" s="110">
        <f>Gasto_o_ing_per_capita!L525*100/Gasto_o_ing_per_capita!$D525</f>
        <v>80.620846098632583</v>
      </c>
      <c r="M525" s="110">
        <f>Gasto_o_ing_per_capita!M525*100/Gasto_o_ing_per_capita!$D525</f>
        <v>118.21876813010201</v>
      </c>
      <c r="N525" s="110">
        <f>Gasto_o_ing_per_capita!N525*100/Gasto_o_ing_per_capita!$D525</f>
        <v>89.365648654924826</v>
      </c>
      <c r="O525" s="110">
        <f>Gasto_o_ing_per_capita!O525*100/Gasto_o_ing_per_capita!$D525</f>
        <v>79.159033688514157</v>
      </c>
      <c r="P525" s="110">
        <f>Gasto_o_ing_per_capita!P525*100/Gasto_o_ing_per_capita!$D525</f>
        <v>90.586012827520008</v>
      </c>
      <c r="Q525" s="110">
        <f>Gasto_o_ing_per_capita!Q525*100/Gasto_o_ing_per_capita!$D525</f>
        <v>134.40183761312895</v>
      </c>
      <c r="R525" s="110">
        <f>Gasto_o_ing_per_capita!R525*100/Gasto_o_ing_per_capita!$D525</f>
        <v>81.204922581873944</v>
      </c>
      <c r="S525" s="110">
        <f>Gasto_o_ing_per_capita!S525*100/Gasto_o_ing_per_capita!$D525</f>
        <v>104.44987656069311</v>
      </c>
      <c r="T525" s="110">
        <f>Gasto_o_ing_per_capita!T525*100/Gasto_o_ing_per_capita!$D525</f>
        <v>116.75770377424558</v>
      </c>
      <c r="U525" s="110">
        <f>Gasto_o_ing_per_capita!U525*100/Gasto_o_ing_per_capita!$D525</f>
        <v>102.31869413836398</v>
      </c>
      <c r="V525" s="110">
        <f>Gasto_o_ing_per_capita!V525*100/Gasto_o_ing_per_capita!$D525</f>
        <v>66.57531175235674</v>
      </c>
    </row>
    <row r="526" spans="1:22" s="102" customFormat="1" ht="13.15">
      <c r="A526" s="356"/>
      <c r="C526" s="104"/>
      <c r="D526" s="110"/>
      <c r="E526" s="110"/>
      <c r="F526" s="110"/>
      <c r="G526" s="110"/>
      <c r="H526" s="110"/>
      <c r="I526" s="110"/>
      <c r="J526" s="110"/>
      <c r="K526" s="110"/>
      <c r="L526" s="110"/>
      <c r="M526" s="110"/>
      <c r="N526" s="110"/>
      <c r="O526" s="110"/>
      <c r="P526" s="110"/>
      <c r="Q526" s="110"/>
      <c r="R526" s="110"/>
      <c r="S526" s="110"/>
      <c r="T526" s="110"/>
      <c r="U526" s="110"/>
      <c r="V526" s="110"/>
    </row>
    <row r="527" spans="1:22" s="102" customFormat="1" ht="13.15">
      <c r="A527" s="356"/>
      <c r="C527" s="154" t="s">
        <v>437</v>
      </c>
      <c r="D527" s="110">
        <f>Gasto_o_ing_per_capita!D527*100/Gasto_o_ing_per_capita!$D527</f>
        <v>100</v>
      </c>
      <c r="E527" s="110">
        <f>Gasto_o_ing_per_capita!E527*100/Gasto_o_ing_per_capita!$D527</f>
        <v>76.050590147957806</v>
      </c>
      <c r="F527" s="110">
        <f>Gasto_o_ing_per_capita!F527*100/Gasto_o_ing_per_capita!$D527</f>
        <v>108.45801102013854</v>
      </c>
      <c r="G527" s="110">
        <f>Gasto_o_ing_per_capita!G527*100/Gasto_o_ing_per_capita!$D527</f>
        <v>102.53711050845961</v>
      </c>
      <c r="H527" s="110">
        <f>Gasto_o_ing_per_capita!H527*100/Gasto_o_ing_per_capita!$D527</f>
        <v>105.33059042729116</v>
      </c>
      <c r="I527" s="110">
        <f>Gasto_o_ing_per_capita!I527*100/Gasto_o_ing_per_capita!$D527</f>
        <v>85.470394150838771</v>
      </c>
      <c r="J527" s="110">
        <f>Gasto_o_ing_per_capita!J527*100/Gasto_o_ing_per_capita!$D527</f>
        <v>103.13073966806463</v>
      </c>
      <c r="K527" s="110">
        <f>Gasto_o_ing_per_capita!K527*100/Gasto_o_ing_per_capita!$D527</f>
        <v>97.189852173471877</v>
      </c>
      <c r="L527" s="110">
        <f>Gasto_o_ing_per_capita!L527*100/Gasto_o_ing_per_capita!$D527</f>
        <v>84.388955386837608</v>
      </c>
      <c r="M527" s="110">
        <f>Gasto_o_ing_per_capita!M527*100/Gasto_o_ing_per_capita!$D527</f>
        <v>117.96372061889339</v>
      </c>
      <c r="N527" s="110">
        <f>Gasto_o_ing_per_capita!N527*100/Gasto_o_ing_per_capita!$D527</f>
        <v>84.892879838076226</v>
      </c>
      <c r="O527" s="110">
        <f>Gasto_o_ing_per_capita!O527*100/Gasto_o_ing_per_capita!$D527</f>
        <v>74.075407068774496</v>
      </c>
      <c r="P527" s="110">
        <f>Gasto_o_ing_per_capita!P527*100/Gasto_o_ing_per_capita!$D527</f>
        <v>92.638864360234919</v>
      </c>
      <c r="Q527" s="110">
        <f>Gasto_o_ing_per_capita!Q527*100/Gasto_o_ing_per_capita!$D527</f>
        <v>126.9173505862814</v>
      </c>
      <c r="R527" s="110">
        <f>Gasto_o_ing_per_capita!R527*100/Gasto_o_ing_per_capita!$D527</f>
        <v>80.07722884918455</v>
      </c>
      <c r="S527" s="110">
        <f>Gasto_o_ing_per_capita!S527*100/Gasto_o_ing_per_capita!$D527</f>
        <v>125.78187685701688</v>
      </c>
      <c r="T527" s="110">
        <f>Gasto_o_ing_per_capita!T527*100/Gasto_o_ing_per_capita!$D527</f>
        <v>136.54542368121244</v>
      </c>
      <c r="U527" s="110">
        <f>Gasto_o_ing_per_capita!U527*100/Gasto_o_ing_per_capita!$D527</f>
        <v>105.89488350776845</v>
      </c>
      <c r="V527" s="110">
        <f>Gasto_o_ing_per_capita!V527*100/Gasto_o_ing_per_capita!$D527</f>
        <v>80.296372316730043</v>
      </c>
    </row>
    <row r="528" spans="1:22" s="102" customFormat="1" ht="13.15">
      <c r="A528" s="355" t="str">
        <f>IF(B528="","",(IF(ISERROR(MATCH(B528,Tot_res!C:C,0)),"Eliminar!!!","")))</f>
        <v/>
      </c>
      <c r="B528" s="102" t="s">
        <v>624</v>
      </c>
      <c r="C528" s="333" t="str">
        <f>VLOOKUP(B528,Tot_res!C:D,2,FALSE)</f>
        <v>Cotizaciones sociales</v>
      </c>
      <c r="D528" s="336">
        <f>Gasto_o_ing_per_capita!D528*100/Gasto_o_ing_per_capita!$D528</f>
        <v>100</v>
      </c>
      <c r="E528" s="336">
        <f>Gasto_o_ing_per_capita!E528*100/Gasto_o_ing_per_capita!$D528</f>
        <v>76.050590147957806</v>
      </c>
      <c r="F528" s="336">
        <f>Gasto_o_ing_per_capita!F528*100/Gasto_o_ing_per_capita!$D528</f>
        <v>108.45801102013854</v>
      </c>
      <c r="G528" s="336">
        <f>Gasto_o_ing_per_capita!G528*100/Gasto_o_ing_per_capita!$D528</f>
        <v>102.53711050845961</v>
      </c>
      <c r="H528" s="336">
        <f>Gasto_o_ing_per_capita!H528*100/Gasto_o_ing_per_capita!$D528</f>
        <v>105.33059042729116</v>
      </c>
      <c r="I528" s="336">
        <f>Gasto_o_ing_per_capita!I528*100/Gasto_o_ing_per_capita!$D528</f>
        <v>85.470394150838771</v>
      </c>
      <c r="J528" s="336">
        <f>Gasto_o_ing_per_capita!J528*100/Gasto_o_ing_per_capita!$D528</f>
        <v>103.13073966806463</v>
      </c>
      <c r="K528" s="336">
        <f>Gasto_o_ing_per_capita!K528*100/Gasto_o_ing_per_capita!$D528</f>
        <v>97.189852173471877</v>
      </c>
      <c r="L528" s="336">
        <f>Gasto_o_ing_per_capita!L528*100/Gasto_o_ing_per_capita!$D528</f>
        <v>84.388955386837608</v>
      </c>
      <c r="M528" s="336">
        <f>Gasto_o_ing_per_capita!M528*100/Gasto_o_ing_per_capita!$D528</f>
        <v>117.96372061889339</v>
      </c>
      <c r="N528" s="336">
        <f>Gasto_o_ing_per_capita!N528*100/Gasto_o_ing_per_capita!$D528</f>
        <v>84.892879838076226</v>
      </c>
      <c r="O528" s="336">
        <f>Gasto_o_ing_per_capita!O528*100/Gasto_o_ing_per_capita!$D528</f>
        <v>74.075407068774496</v>
      </c>
      <c r="P528" s="336">
        <f>Gasto_o_ing_per_capita!P528*100/Gasto_o_ing_per_capita!$D528</f>
        <v>92.638864360234919</v>
      </c>
      <c r="Q528" s="336">
        <f>Gasto_o_ing_per_capita!Q528*100/Gasto_o_ing_per_capita!$D528</f>
        <v>126.9173505862814</v>
      </c>
      <c r="R528" s="336">
        <f>Gasto_o_ing_per_capita!R528*100/Gasto_o_ing_per_capita!$D528</f>
        <v>80.07722884918455</v>
      </c>
      <c r="S528" s="336">
        <f>Gasto_o_ing_per_capita!S528*100/Gasto_o_ing_per_capita!$D528</f>
        <v>125.78187685701688</v>
      </c>
      <c r="T528" s="336">
        <f>Gasto_o_ing_per_capita!T528*100/Gasto_o_ing_per_capita!$D528</f>
        <v>136.54542368121244</v>
      </c>
      <c r="U528" s="336">
        <f>Gasto_o_ing_per_capita!U528*100/Gasto_o_ing_per_capita!$D528</f>
        <v>105.89488350776845</v>
      </c>
      <c r="V528" s="336">
        <f>Gasto_o_ing_per_capita!V528*100/Gasto_o_ing_per_capita!$D528</f>
        <v>80.296372316730043</v>
      </c>
    </row>
    <row r="529" spans="1:22" s="102" customFormat="1" ht="13.15">
      <c r="A529" s="356"/>
      <c r="C529" s="154"/>
      <c r="D529" s="110"/>
      <c r="E529" s="110"/>
      <c r="F529" s="110"/>
      <c r="G529" s="110"/>
      <c r="H529" s="110"/>
      <c r="I529" s="110"/>
      <c r="J529" s="110"/>
      <c r="K529" s="110"/>
      <c r="L529" s="110"/>
      <c r="M529" s="110"/>
      <c r="N529" s="110"/>
      <c r="O529" s="110"/>
      <c r="P529" s="110"/>
      <c r="Q529" s="110"/>
      <c r="R529" s="110"/>
      <c r="S529" s="110"/>
      <c r="T529" s="110"/>
      <c r="U529" s="110"/>
      <c r="V529" s="110"/>
    </row>
    <row r="530" spans="1:22" s="102" customFormat="1" ht="13.15">
      <c r="A530" s="356"/>
      <c r="C530" s="154" t="s">
        <v>95</v>
      </c>
      <c r="D530" s="110">
        <f>Gasto_o_ing_per_capita!D530*100/Gasto_o_ing_per_capita!$D530</f>
        <v>100</v>
      </c>
      <c r="E530" s="110">
        <f>Gasto_o_ing_per_capita!E530*100/Gasto_o_ing_per_capita!$D530</f>
        <v>99.954488853397947</v>
      </c>
      <c r="F530" s="110">
        <f>Gasto_o_ing_per_capita!F530*100/Gasto_o_ing_per_capita!$D530</f>
        <v>100.00779068590538</v>
      </c>
      <c r="G530" s="110">
        <f>Gasto_o_ing_per_capita!G530*100/Gasto_o_ing_per_capita!$D530</f>
        <v>100.00724482155574</v>
      </c>
      <c r="H530" s="110">
        <f>Gasto_o_ing_per_capita!H530*100/Gasto_o_ing_per_capita!$D530</f>
        <v>100.04490933052158</v>
      </c>
      <c r="I530" s="110">
        <f>Gasto_o_ing_per_capita!I530*100/Gasto_o_ing_per_capita!$D530</f>
        <v>99.959544062019233</v>
      </c>
      <c r="J530" s="110">
        <f>Gasto_o_ing_per_capita!J530*100/Gasto_o_ing_per_capita!$D530</f>
        <v>100.02100540481666</v>
      </c>
      <c r="K530" s="110">
        <f>Gasto_o_ing_per_capita!K530*100/Gasto_o_ing_per_capita!$D530</f>
        <v>99.997378863819918</v>
      </c>
      <c r="L530" s="110">
        <f>Gasto_o_ing_per_capita!L530*100/Gasto_o_ing_per_capita!$D530</f>
        <v>99.962782481411068</v>
      </c>
      <c r="M530" s="110">
        <f>Gasto_o_ing_per_capita!M530*100/Gasto_o_ing_per_capita!$D530</f>
        <v>100.04054224827962</v>
      </c>
      <c r="N530" s="110">
        <f>Gasto_o_ing_per_capita!N530*100/Gasto_o_ing_per_capita!$D530</f>
        <v>99.973461096170837</v>
      </c>
      <c r="O530" s="110">
        <f>Gasto_o_ing_per_capita!O530*100/Gasto_o_ing_per_capita!$D530</f>
        <v>99.941191639882561</v>
      </c>
      <c r="P530" s="110">
        <f>Gasto_o_ing_per_capita!P530*100/Gasto_o_ing_per_capita!$D530</f>
        <v>99.982550944858446</v>
      </c>
      <c r="Q530" s="110">
        <f>Gasto_o_ing_per_capita!Q530*100/Gasto_o_ing_per_capita!$D530</f>
        <v>100.05375485697265</v>
      </c>
      <c r="R530" s="110">
        <f>Gasto_o_ing_per_capita!R530*100/Gasto_o_ing_per_capita!$D530</f>
        <v>99.940027473595023</v>
      </c>
      <c r="S530" s="110">
        <f>Gasto_o_ing_per_capita!S530*100/Gasto_o_ing_per_capita!$D530</f>
        <v>100.02495509714235</v>
      </c>
      <c r="T530" s="110">
        <f>Gasto_o_ing_per_capita!T530*100/Gasto_o_ing_per_capita!$D530</f>
        <v>100.07013170347909</v>
      </c>
      <c r="U530" s="110">
        <f>Gasto_o_ing_per_capita!U530*100/Gasto_o_ing_per_capita!$D530</f>
        <v>99.994535497910263</v>
      </c>
      <c r="V530" s="110">
        <f>Gasto_o_ing_per_capita!V530*100/Gasto_o_ing_per_capita!$D530</f>
        <v>99.920474256920883</v>
      </c>
    </row>
    <row r="531" spans="1:22" s="102" customFormat="1" ht="13.15">
      <c r="A531" s="355" t="str">
        <f>IF(B531="","",(IF(ISERROR(MATCH(B531,Tot_res!C:C,0)),"Eliminar!!!","")))</f>
        <v/>
      </c>
      <c r="B531" s="102" t="s">
        <v>665</v>
      </c>
      <c r="C531" s="333" t="str">
        <f>VLOOKUP(B531,Tot_res!C:D,2,FALSE)</f>
        <v>Tasas, precios públicos e ingresos procedentes de la venta de bienes y servicios de la AC</v>
      </c>
      <c r="D531" s="336">
        <f>Gasto_o_ing_per_capita!D531*100/Gasto_o_ing_per_capita!$D531</f>
        <v>100</v>
      </c>
      <c r="E531" s="336">
        <f>Gasto_o_ing_per_capita!E531*100/Gasto_o_ing_per_capita!$D531</f>
        <v>100.00000000000001</v>
      </c>
      <c r="F531" s="336">
        <f>Gasto_o_ing_per_capita!F531*100/Gasto_o_ing_per_capita!$D531</f>
        <v>100.00000000000001</v>
      </c>
      <c r="G531" s="336">
        <f>Gasto_o_ing_per_capita!G531*100/Gasto_o_ing_per_capita!$D531</f>
        <v>100.00000000000001</v>
      </c>
      <c r="H531" s="336">
        <f>Gasto_o_ing_per_capita!H531*100/Gasto_o_ing_per_capita!$D531</f>
        <v>100.00000000000001</v>
      </c>
      <c r="I531" s="336">
        <f>Gasto_o_ing_per_capita!I531*100/Gasto_o_ing_per_capita!$D531</f>
        <v>100.00000000000001</v>
      </c>
      <c r="J531" s="336">
        <f>Gasto_o_ing_per_capita!J531*100/Gasto_o_ing_per_capita!$D531</f>
        <v>100.00000000000001</v>
      </c>
      <c r="K531" s="336">
        <f>Gasto_o_ing_per_capita!K531*100/Gasto_o_ing_per_capita!$D531</f>
        <v>100</v>
      </c>
      <c r="L531" s="336">
        <f>Gasto_o_ing_per_capita!L531*100/Gasto_o_ing_per_capita!$D531</f>
        <v>100.00000000000001</v>
      </c>
      <c r="M531" s="336">
        <f>Gasto_o_ing_per_capita!M531*100/Gasto_o_ing_per_capita!$D531</f>
        <v>100.00000000000001</v>
      </c>
      <c r="N531" s="336">
        <f>Gasto_o_ing_per_capita!N531*100/Gasto_o_ing_per_capita!$D531</f>
        <v>100</v>
      </c>
      <c r="O531" s="336">
        <f>Gasto_o_ing_per_capita!O531*100/Gasto_o_ing_per_capita!$D531</f>
        <v>100.00000000000001</v>
      </c>
      <c r="P531" s="336">
        <f>Gasto_o_ing_per_capita!P531*100/Gasto_o_ing_per_capita!$D531</f>
        <v>100.00000000000001</v>
      </c>
      <c r="Q531" s="336">
        <f>Gasto_o_ing_per_capita!Q531*100/Gasto_o_ing_per_capita!$D531</f>
        <v>100.00000000000001</v>
      </c>
      <c r="R531" s="336">
        <f>Gasto_o_ing_per_capita!R531*100/Gasto_o_ing_per_capita!$D531</f>
        <v>100</v>
      </c>
      <c r="S531" s="336">
        <f>Gasto_o_ing_per_capita!S531*100/Gasto_o_ing_per_capita!$D531</f>
        <v>100.00000000000001</v>
      </c>
      <c r="T531" s="336">
        <f>Gasto_o_ing_per_capita!T531*100/Gasto_o_ing_per_capita!$D531</f>
        <v>100.00000000000001</v>
      </c>
      <c r="U531" s="336">
        <f>Gasto_o_ing_per_capita!U531*100/Gasto_o_ing_per_capita!$D531</f>
        <v>100.00000000000001</v>
      </c>
      <c r="V531" s="336">
        <f>Gasto_o_ing_per_capita!V531*100/Gasto_o_ing_per_capita!$D531</f>
        <v>100.00000000000001</v>
      </c>
    </row>
    <row r="532" spans="1:22" s="102" customFormat="1" ht="13.15">
      <c r="A532" s="355" t="str">
        <f>IF(B532="","",(IF(ISERROR(MATCH(B532,Tot_res!C:C,0)),"Eliminar!!!","")))</f>
        <v/>
      </c>
      <c r="B532" s="102" t="s">
        <v>472</v>
      </c>
      <c r="C532" s="333" t="str">
        <f>VLOOKUP(B532,Tot_res!C:D,2,FALSE)</f>
        <v>Tasas, Comisión del Mercado de Telecomunicaciones, CMT</v>
      </c>
      <c r="D532" s="336">
        <f>Gasto_o_ing_per_capita!D532*100/Gasto_o_ing_per_capita!$D532</f>
        <v>100</v>
      </c>
      <c r="E532" s="336">
        <f>Gasto_o_ing_per_capita!E532*100/Gasto_o_ing_per_capita!$D532</f>
        <v>92.578190898909909</v>
      </c>
      <c r="F532" s="336">
        <f>Gasto_o_ing_per_capita!F532*100/Gasto_o_ing_per_capita!$D532</f>
        <v>100.81936543318753</v>
      </c>
      <c r="G532" s="336">
        <f>Gasto_o_ing_per_capita!G532*100/Gasto_o_ing_per_capita!$D532</f>
        <v>101.80479465384974</v>
      </c>
      <c r="H532" s="336">
        <f>Gasto_o_ing_per_capita!H532*100/Gasto_o_ing_per_capita!$D532</f>
        <v>115.07405115718021</v>
      </c>
      <c r="I532" s="336">
        <f>Gasto_o_ing_per_capita!I532*100/Gasto_o_ing_per_capita!$D532</f>
        <v>98.666893950183251</v>
      </c>
      <c r="J532" s="336">
        <f>Gasto_o_ing_per_capita!J532*100/Gasto_o_ing_per_capita!$D532</f>
        <v>102.44187361329338</v>
      </c>
      <c r="K532" s="336">
        <f>Gasto_o_ing_per_capita!K532*100/Gasto_o_ing_per_capita!$D532</f>
        <v>97.217458817190092</v>
      </c>
      <c r="L532" s="336">
        <f>Gasto_o_ing_per_capita!L532*100/Gasto_o_ing_per_capita!$D532</f>
        <v>89.648241138061351</v>
      </c>
      <c r="M532" s="336">
        <f>Gasto_o_ing_per_capita!M532*100/Gasto_o_ing_per_capita!$D532</f>
        <v>107.89816413471493</v>
      </c>
      <c r="N532" s="336">
        <f>Gasto_o_ing_per_capita!N532*100/Gasto_o_ing_per_capita!$D532</f>
        <v>95.390649048007646</v>
      </c>
      <c r="O532" s="336">
        <f>Gasto_o_ing_per_capita!O532*100/Gasto_o_ing_per_capita!$D532</f>
        <v>88.65751973565996</v>
      </c>
      <c r="P532" s="336">
        <f>Gasto_o_ing_per_capita!P532*100/Gasto_o_ing_per_capita!$D532</f>
        <v>94.216690958245024</v>
      </c>
      <c r="Q532" s="336">
        <f>Gasto_o_ing_per_capita!Q532*100/Gasto_o_ing_per_capita!$D532</f>
        <v>109.05108401893446</v>
      </c>
      <c r="R532" s="336">
        <f>Gasto_o_ing_per_capita!R532*100/Gasto_o_ing_per_capita!$D532</f>
        <v>86.652513874055572</v>
      </c>
      <c r="S532" s="336">
        <f>Gasto_o_ing_per_capita!S532*100/Gasto_o_ing_per_capita!$D532</f>
        <v>100.62961524405652</v>
      </c>
      <c r="T532" s="336">
        <f>Gasto_o_ing_per_capita!T532*100/Gasto_o_ing_per_capita!$D532</f>
        <v>113.31969580890855</v>
      </c>
      <c r="U532" s="336">
        <f>Gasto_o_ing_per_capita!U532*100/Gasto_o_ing_per_capita!$D532</f>
        <v>96.512088013036887</v>
      </c>
      <c r="V532" s="336">
        <f>Gasto_o_ing_per_capita!V532*100/Gasto_o_ing_per_capita!$D532</f>
        <v>85.534721784643565</v>
      </c>
    </row>
    <row r="533" spans="1:22" s="102" customFormat="1" ht="13.15">
      <c r="A533" s="355" t="str">
        <f>IF(B533="","",(IF(ISERROR(MATCH(B533,Tot_res!C:C,0)),"Eliminar!!!","")))</f>
        <v/>
      </c>
      <c r="B533" s="102" t="s">
        <v>473</v>
      </c>
      <c r="C533" s="333" t="str">
        <f>VLOOKUP(B533,Tot_res!C:D,2,FALSE)</f>
        <v>Tasas, Comisión Nacional de la Energía, CME</v>
      </c>
      <c r="D533" s="336">
        <f>Gasto_o_ing_per_capita!D533*100/Gasto_o_ing_per_capita!$D533</f>
        <v>100</v>
      </c>
      <c r="E533" s="336">
        <f>Gasto_o_ing_per_capita!E533*100/Gasto_o_ing_per_capita!$D533</f>
        <v>92.64104288189418</v>
      </c>
      <c r="F533" s="336">
        <f>Gasto_o_ing_per_capita!F533*100/Gasto_o_ing_per_capita!$D533</f>
        <v>101.49186221909298</v>
      </c>
      <c r="G533" s="336">
        <f>Gasto_o_ing_per_capita!G533*100/Gasto_o_ing_per_capita!$D533</f>
        <v>100.63764701827064</v>
      </c>
      <c r="H533" s="336">
        <f>Gasto_o_ing_per_capita!H533*100/Gasto_o_ing_per_capita!$D533</f>
        <v>108.02219250706844</v>
      </c>
      <c r="I533" s="336">
        <f>Gasto_o_ing_per_capita!I533*100/Gasto_o_ing_per_capita!$D533</f>
        <v>89.260103257951727</v>
      </c>
      <c r="J533" s="336">
        <f>Gasto_o_ing_per_capita!J533*100/Gasto_o_ing_per_capita!$D533</f>
        <v>106.96479673452073</v>
      </c>
      <c r="K533" s="336">
        <f>Gasto_o_ing_per_capita!K533*100/Gasto_o_ing_per_capita!$D533</f>
        <v>102.47202308859576</v>
      </c>
      <c r="L533" s="336">
        <f>Gasto_o_ing_per_capita!L533*100/Gasto_o_ing_per_capita!$D533</f>
        <v>98.592315778832457</v>
      </c>
      <c r="M533" s="336">
        <f>Gasto_o_ing_per_capita!M533*100/Gasto_o_ing_per_capita!$D533</f>
        <v>106.12747385795144</v>
      </c>
      <c r="N533" s="336">
        <f>Gasto_o_ing_per_capita!N533*100/Gasto_o_ing_per_capita!$D533</f>
        <v>94.551487762117787</v>
      </c>
      <c r="O533" s="336">
        <f>Gasto_o_ing_per_capita!O533*100/Gasto_o_ing_per_capita!$D533</f>
        <v>91.223523377835008</v>
      </c>
      <c r="P533" s="336">
        <f>Gasto_o_ing_per_capita!P533*100/Gasto_o_ing_per_capita!$D533</f>
        <v>98.766346719325696</v>
      </c>
      <c r="Q533" s="336">
        <f>Gasto_o_ing_per_capita!Q533*100/Gasto_o_ing_per_capita!$D533</f>
        <v>109.34389423442342</v>
      </c>
      <c r="R533" s="336">
        <f>Gasto_o_ing_per_capita!R533*100/Gasto_o_ing_per_capita!$D533</f>
        <v>91.744751860339747</v>
      </c>
      <c r="S533" s="336">
        <f>Gasto_o_ing_per_capita!S533*100/Gasto_o_ing_per_capita!$D533</f>
        <v>104.90506765746504</v>
      </c>
      <c r="T533" s="336">
        <f>Gasto_o_ing_per_capita!T533*100/Gasto_o_ing_per_capita!$D533</f>
        <v>105.62481303758641</v>
      </c>
      <c r="U533" s="336">
        <f>Gasto_o_ing_per_capita!U533*100/Gasto_o_ing_per_capita!$D533</f>
        <v>99.793612842160613</v>
      </c>
      <c r="V533" s="336">
        <f>Gasto_o_ing_per_capita!V533*100/Gasto_o_ing_per_capita!$D533</f>
        <v>78.706723502956251</v>
      </c>
    </row>
    <row r="534" spans="1:22" s="102" customFormat="1" ht="13.15">
      <c r="A534" s="355" t="str">
        <f>IF(B534="","",(IF(ISERROR(MATCH(B534,Tot_res!C:C,0)),"Eliminar!!!","")))</f>
        <v/>
      </c>
      <c r="B534" s="102" t="s">
        <v>475</v>
      </c>
      <c r="C534" s="333" t="str">
        <f>VLOOKUP(B534,Tot_res!C:D,2,FALSE)</f>
        <v>Tasas, CNMV</v>
      </c>
      <c r="D534" s="336">
        <f>Gasto_o_ing_per_capita!D534*100/Gasto_o_ing_per_capita!$D534</f>
        <v>100</v>
      </c>
      <c r="E534" s="336">
        <f>Gasto_o_ing_per_capita!E534*100/Gasto_o_ing_per_capita!$D534</f>
        <v>89.873426108389978</v>
      </c>
      <c r="F534" s="336">
        <f>Gasto_o_ing_per_capita!F534*100/Gasto_o_ing_per_capita!$D534</f>
        <v>101.78188879285922</v>
      </c>
      <c r="G534" s="336">
        <f>Gasto_o_ing_per_capita!G534*100/Gasto_o_ing_per_capita!$D534</f>
        <v>101.69157343767461</v>
      </c>
      <c r="H534" s="336">
        <f>Gasto_o_ing_per_capita!H534*100/Gasto_o_ing_per_capita!$D534</f>
        <v>105.89717252790746</v>
      </c>
      <c r="I534" s="336">
        <f>Gasto_o_ing_per_capita!I534*100/Gasto_o_ing_per_capita!$D534</f>
        <v>91.457047000701479</v>
      </c>
      <c r="J534" s="336">
        <f>Gasto_o_ing_per_capita!J534*100/Gasto_o_ing_per_capita!$D534</f>
        <v>102.67477371790062</v>
      </c>
      <c r="K534" s="336">
        <f>Gasto_o_ing_per_capita!K534*100/Gasto_o_ing_per_capita!$D534</f>
        <v>98.512098391381016</v>
      </c>
      <c r="L534" s="336">
        <f>Gasto_o_ing_per_capita!L534*100/Gasto_o_ing_per_capita!$D534</f>
        <v>90.524311889097049</v>
      </c>
      <c r="M534" s="336">
        <f>Gasto_o_ing_per_capita!M534*100/Gasto_o_ing_per_capita!$D534</f>
        <v>108.72201910661248</v>
      </c>
      <c r="N534" s="336">
        <f>Gasto_o_ing_per_capita!N534*100/Gasto_o_ing_per_capita!$D534</f>
        <v>95.020053536282845</v>
      </c>
      <c r="O534" s="336">
        <f>Gasto_o_ing_per_capita!O534*100/Gasto_o_ing_per_capita!$D534</f>
        <v>87.218918690340729</v>
      </c>
      <c r="P534" s="336">
        <f>Gasto_o_ing_per_capita!P534*100/Gasto_o_ing_per_capita!$D534</f>
        <v>96.380416037139796</v>
      </c>
      <c r="Q534" s="336">
        <f>Gasto_o_ing_per_capita!Q534*100/Gasto_o_ing_per_capita!$D534</f>
        <v>111.3814228533339</v>
      </c>
      <c r="R534" s="336">
        <f>Gasto_o_ing_per_capita!R534*100/Gasto_o_ing_per_capita!$D534</f>
        <v>87.309011806431684</v>
      </c>
      <c r="S534" s="336">
        <f>Gasto_o_ing_per_capita!S534*100/Gasto_o_ing_per_capita!$D534</f>
        <v>106.54054703692378</v>
      </c>
      <c r="T534" s="336">
        <f>Gasto_o_ing_per_capita!T534*100/Gasto_o_ing_per_capita!$D534</f>
        <v>118.66494798864576</v>
      </c>
      <c r="U534" s="336">
        <f>Gasto_o_ing_per_capita!U534*100/Gasto_o_ing_per_capita!$D534</f>
        <v>99.515726309133655</v>
      </c>
      <c r="V534" s="336">
        <f>Gasto_o_ing_per_capita!V534*100/Gasto_o_ing_per_capita!$D534</f>
        <v>88.791698721147682</v>
      </c>
    </row>
    <row r="535" spans="1:22" s="102" customFormat="1" ht="13.15">
      <c r="A535" s="355" t="str">
        <f>IF(B535="","",(IF(ISERROR(MATCH(B535,Tot_res!C:C,0)),"Eliminar!!!","")))</f>
        <v/>
      </c>
      <c r="B535" s="102" t="s">
        <v>471</v>
      </c>
      <c r="C535" s="333" t="str">
        <f>VLOOKUP(B535,Tot_res!C:D,2,FALSE)</f>
        <v>Ingresos financieros, patrimoniales y similares de la Administración Central</v>
      </c>
      <c r="D535" s="336">
        <f>Gasto_o_ing_per_capita!D535*100/Gasto_o_ing_per_capita!$D535</f>
        <v>100</v>
      </c>
      <c r="E535" s="336">
        <f>Gasto_o_ing_per_capita!E535*100/Gasto_o_ing_per_capita!$D535</f>
        <v>100</v>
      </c>
      <c r="F535" s="336">
        <f>Gasto_o_ing_per_capita!F535*100/Gasto_o_ing_per_capita!$D535</f>
        <v>100</v>
      </c>
      <c r="G535" s="336">
        <f>Gasto_o_ing_per_capita!G535*100/Gasto_o_ing_per_capita!$D535</f>
        <v>100.00000000000003</v>
      </c>
      <c r="H535" s="336">
        <f>Gasto_o_ing_per_capita!H535*100/Gasto_o_ing_per_capita!$D535</f>
        <v>100.00000000000003</v>
      </c>
      <c r="I535" s="336">
        <f>Gasto_o_ing_per_capita!I535*100/Gasto_o_ing_per_capita!$D535</f>
        <v>100.00000000000003</v>
      </c>
      <c r="J535" s="336">
        <f>Gasto_o_ing_per_capita!J535*100/Gasto_o_ing_per_capita!$D535</f>
        <v>100</v>
      </c>
      <c r="K535" s="336">
        <f>Gasto_o_ing_per_capita!K535*100/Gasto_o_ing_per_capita!$D535</f>
        <v>100.00000000000003</v>
      </c>
      <c r="L535" s="336">
        <f>Gasto_o_ing_per_capita!L535*100/Gasto_o_ing_per_capita!$D535</f>
        <v>100.00000000000003</v>
      </c>
      <c r="M535" s="336">
        <f>Gasto_o_ing_per_capita!M535*100/Gasto_o_ing_per_capita!$D535</f>
        <v>100</v>
      </c>
      <c r="N535" s="336">
        <f>Gasto_o_ing_per_capita!N535*100/Gasto_o_ing_per_capita!$D535</f>
        <v>100</v>
      </c>
      <c r="O535" s="336">
        <f>Gasto_o_ing_per_capita!O535*100/Gasto_o_ing_per_capita!$D535</f>
        <v>100.00000000000003</v>
      </c>
      <c r="P535" s="336">
        <f>Gasto_o_ing_per_capita!P535*100/Gasto_o_ing_per_capita!$D535</f>
        <v>100</v>
      </c>
      <c r="Q535" s="336">
        <f>Gasto_o_ing_per_capita!Q535*100/Gasto_o_ing_per_capita!$D535</f>
        <v>100</v>
      </c>
      <c r="R535" s="336">
        <f>Gasto_o_ing_per_capita!R535*100/Gasto_o_ing_per_capita!$D535</f>
        <v>100</v>
      </c>
      <c r="S535" s="336">
        <f>Gasto_o_ing_per_capita!S535*100/Gasto_o_ing_per_capita!$D535</f>
        <v>100</v>
      </c>
      <c r="T535" s="336">
        <f>Gasto_o_ing_per_capita!T535*100/Gasto_o_ing_per_capita!$D535</f>
        <v>100</v>
      </c>
      <c r="U535" s="336">
        <f>Gasto_o_ing_per_capita!U535*100/Gasto_o_ing_per_capita!$D535</f>
        <v>100</v>
      </c>
      <c r="V535" s="336">
        <f>Gasto_o_ing_per_capita!V535*100/Gasto_o_ing_per_capita!$D535</f>
        <v>100</v>
      </c>
    </row>
    <row r="536" spans="1:22" s="102" customFormat="1" ht="13.15">
      <c r="A536" s="355" t="str">
        <f>IF(B536="","",(IF(ISERROR(MATCH(B536,Tot_res!C:C,0)),"Eliminar!!!","")))</f>
        <v/>
      </c>
      <c r="B536" s="102" t="s">
        <v>476</v>
      </c>
      <c r="C536" s="333" t="str">
        <f>VLOOKUP(B536,Tot_res!C:D,2,FALSE)</f>
        <v>Ingresos del Banco de España, BdE</v>
      </c>
      <c r="D536" s="336">
        <f>Gasto_o_ing_per_capita!D536*100/Gasto_o_ing_per_capita!$D536</f>
        <v>100</v>
      </c>
      <c r="E536" s="336">
        <f>Gasto_o_ing_per_capita!E536*100/Gasto_o_ing_per_capita!$D536</f>
        <v>99.999999999999957</v>
      </c>
      <c r="F536" s="336">
        <f>Gasto_o_ing_per_capita!F536*100/Gasto_o_ing_per_capita!$D536</f>
        <v>99.999999999999957</v>
      </c>
      <c r="G536" s="336">
        <f>Gasto_o_ing_per_capita!G536*100/Gasto_o_ing_per_capita!$D536</f>
        <v>99.999999999999986</v>
      </c>
      <c r="H536" s="336">
        <f>Gasto_o_ing_per_capita!H536*100/Gasto_o_ing_per_capita!$D536</f>
        <v>99.999999999999957</v>
      </c>
      <c r="I536" s="336">
        <f>Gasto_o_ing_per_capita!I536*100/Gasto_o_ing_per_capita!$D536</f>
        <v>99.999999999999986</v>
      </c>
      <c r="J536" s="336">
        <f>Gasto_o_ing_per_capita!J536*100/Gasto_o_ing_per_capita!$D536</f>
        <v>99.999999999999986</v>
      </c>
      <c r="K536" s="336">
        <f>Gasto_o_ing_per_capita!K536*100/Gasto_o_ing_per_capita!$D536</f>
        <v>99.999999999999986</v>
      </c>
      <c r="L536" s="336">
        <f>Gasto_o_ing_per_capita!L536*100/Gasto_o_ing_per_capita!$D536</f>
        <v>99.999999999999986</v>
      </c>
      <c r="M536" s="336">
        <f>Gasto_o_ing_per_capita!M536*100/Gasto_o_ing_per_capita!$D536</f>
        <v>99.999999999999957</v>
      </c>
      <c r="N536" s="336">
        <f>Gasto_o_ing_per_capita!N536*100/Gasto_o_ing_per_capita!$D536</f>
        <v>99.999999999999986</v>
      </c>
      <c r="O536" s="336">
        <f>Gasto_o_ing_per_capita!O536*100/Gasto_o_ing_per_capita!$D536</f>
        <v>99.999999999999957</v>
      </c>
      <c r="P536" s="336">
        <f>Gasto_o_ing_per_capita!P536*100/Gasto_o_ing_per_capita!$D536</f>
        <v>99.999999999999957</v>
      </c>
      <c r="Q536" s="336">
        <f>Gasto_o_ing_per_capita!Q536*100/Gasto_o_ing_per_capita!$D536</f>
        <v>99.999999999999957</v>
      </c>
      <c r="R536" s="336">
        <f>Gasto_o_ing_per_capita!R536*100/Gasto_o_ing_per_capita!$D536</f>
        <v>99.999999999999957</v>
      </c>
      <c r="S536" s="336">
        <f>Gasto_o_ing_per_capita!S536*100/Gasto_o_ing_per_capita!$D536</f>
        <v>99.999999999999986</v>
      </c>
      <c r="T536" s="336">
        <f>Gasto_o_ing_per_capita!T536*100/Gasto_o_ing_per_capita!$D536</f>
        <v>99.999999999999957</v>
      </c>
      <c r="U536" s="336">
        <f>Gasto_o_ing_per_capita!U536*100/Gasto_o_ing_per_capita!$D536</f>
        <v>99.999999999999986</v>
      </c>
      <c r="V536" s="336">
        <f>Gasto_o_ing_per_capita!V536*100/Gasto_o_ing_per_capita!$D536</f>
        <v>99.999999999999957</v>
      </c>
    </row>
    <row r="537" spans="1:22" s="102" customFormat="1" ht="13.15">
      <c r="A537" s="353" t="s">
        <v>1114</v>
      </c>
      <c r="C537" s="154"/>
      <c r="D537" s="110"/>
      <c r="E537" s="110"/>
      <c r="F537" s="110"/>
      <c r="G537" s="110"/>
      <c r="H537" s="110"/>
      <c r="I537" s="110"/>
      <c r="J537" s="110"/>
      <c r="K537" s="110"/>
      <c r="L537" s="110"/>
      <c r="M537" s="110"/>
      <c r="N537" s="110"/>
      <c r="O537" s="110"/>
      <c r="P537" s="110"/>
      <c r="Q537" s="110"/>
      <c r="R537" s="110"/>
      <c r="S537" s="110"/>
      <c r="T537" s="110"/>
      <c r="U537" s="110"/>
      <c r="V537" s="110"/>
    </row>
    <row r="538" spans="1:22" s="102" customFormat="1">
      <c r="A538" s="353" t="str">
        <f>IF(B538="","",(IF(ISERROR(MATCH(B538,Tot_res!C:C,0)),"Eliminar!!!","")))</f>
        <v/>
      </c>
      <c r="D538" s="110"/>
      <c r="E538" s="110"/>
      <c r="F538" s="110"/>
      <c r="G538" s="110"/>
      <c r="H538" s="110"/>
      <c r="I538" s="110"/>
      <c r="J538" s="110"/>
      <c r="K538" s="110"/>
      <c r="L538" s="110"/>
      <c r="M538" s="110"/>
      <c r="N538" s="110"/>
      <c r="O538" s="110"/>
      <c r="P538" s="110"/>
      <c r="Q538" s="110"/>
      <c r="R538" s="110"/>
      <c r="S538" s="110"/>
      <c r="T538" s="110"/>
      <c r="U538" s="110"/>
      <c r="V538" s="110"/>
    </row>
    <row r="539" spans="1:22" s="102" customFormat="1">
      <c r="A539" s="353" t="str">
        <f>IF(B539="","",(IF(ISERROR(MATCH(B539,Tot_res!C:C,0)),"Eliminar!!!","")))</f>
        <v/>
      </c>
      <c r="C539" s="103" t="s">
        <v>96</v>
      </c>
      <c r="D539" s="110">
        <f>Gasto_o_ing_per_capita!D539*100/Gasto_o_ing_per_capita!$D539</f>
        <v>100</v>
      </c>
      <c r="E539" s="110">
        <f>Gasto_o_ing_per_capita!E539*100/Gasto_o_ing_per_capita!$D539</f>
        <v>79.981728756951597</v>
      </c>
      <c r="F539" s="110">
        <f>Gasto_o_ing_per_capita!F539*100/Gasto_o_ing_per_capita!$D539</f>
        <v>107.43316821112131</v>
      </c>
      <c r="G539" s="110">
        <f>Gasto_o_ing_per_capita!G539*100/Gasto_o_ing_per_capita!$D539</f>
        <v>104.19390353385513</v>
      </c>
      <c r="H539" s="110">
        <f>Gasto_o_ing_per_capita!H539*100/Gasto_o_ing_per_capita!$D539</f>
        <v>105.98854903472764</v>
      </c>
      <c r="I539" s="110">
        <f>Gasto_o_ing_per_capita!I539*100/Gasto_o_ing_per_capita!$D539</f>
        <v>72.362267726643054</v>
      </c>
      <c r="J539" s="110">
        <f>Gasto_o_ing_per_capita!J539*100/Gasto_o_ing_per_capita!$D539</f>
        <v>104.79168063864438</v>
      </c>
      <c r="K539" s="110">
        <f>Gasto_o_ing_per_capita!K539*100/Gasto_o_ing_per_capita!$D539</f>
        <v>97.361087651586374</v>
      </c>
      <c r="L539" s="110">
        <f>Gasto_o_ing_per_capita!L539*100/Gasto_o_ing_per_capita!$D539</f>
        <v>82.936050580077719</v>
      </c>
      <c r="M539" s="110">
        <f>Gasto_o_ing_per_capita!M539*100/Gasto_o_ing_per_capita!$D539</f>
        <v>117.14976378299086</v>
      </c>
      <c r="N539" s="110">
        <f>Gasto_o_ing_per_capita!N539*100/Gasto_o_ing_per_capita!$D539</f>
        <v>88.43281874607959</v>
      </c>
      <c r="O539" s="110">
        <f>Gasto_o_ing_per_capita!O539*100/Gasto_o_ing_per_capita!$D539</f>
        <v>78.570695784791951</v>
      </c>
      <c r="P539" s="110">
        <f>Gasto_o_ing_per_capita!P539*100/Gasto_o_ing_per_capita!$D539</f>
        <v>91.785627540200252</v>
      </c>
      <c r="Q539" s="110">
        <f>Gasto_o_ing_per_capita!Q539*100/Gasto_o_ing_per_capita!$D539</f>
        <v>130.02333736364329</v>
      </c>
      <c r="R539" s="110">
        <f>Gasto_o_ing_per_capita!R539*100/Gasto_o_ing_per_capita!$D539</f>
        <v>81.838310318554917</v>
      </c>
      <c r="S539" s="110">
        <f>Gasto_o_ing_per_capita!S539*100/Gasto_o_ing_per_capita!$D539</f>
        <v>111.39559083036228</v>
      </c>
      <c r="T539" s="110">
        <f>Gasto_o_ing_per_capita!T539*100/Gasto_o_ing_per_capita!$D539</f>
        <v>122.5200969747163</v>
      </c>
      <c r="U539" s="110">
        <f>Gasto_o_ing_per_capita!U539*100/Gasto_o_ing_per_capita!$D539</f>
        <v>103.39752882416519</v>
      </c>
      <c r="V539" s="110">
        <f>Gasto_o_ing_per_capita!V539*100/Gasto_o_ing_per_capita!$D539</f>
        <v>73.000168247331345</v>
      </c>
    </row>
    <row r="540" spans="1:22" s="102" customFormat="1">
      <c r="A540" s="353" t="str">
        <f>IF(B540="","",(IF(ISERROR(MATCH(B540,Tot_res!C:C,0)),"Eliminar!!!","")))</f>
        <v/>
      </c>
      <c r="C540" s="103" t="s">
        <v>97</v>
      </c>
      <c r="D540" s="110">
        <f>Gasto_o_ing_per_capita!D540*100/Gasto_o_ing_per_capita!$D540</f>
        <v>100</v>
      </c>
      <c r="E540" s="110">
        <f>Gasto_o_ing_per_capita!E540*100/Gasto_o_ing_per_capita!$D540</f>
        <v>79.009107124896843</v>
      </c>
      <c r="F540" s="110">
        <f>Gasto_o_ing_per_capita!F540*100/Gasto_o_ing_per_capita!$D540</f>
        <v>106.47455095925933</v>
      </c>
      <c r="G540" s="110">
        <f>Gasto_o_ing_per_capita!G540*100/Gasto_o_ing_per_capita!$D540</f>
        <v>102.10103204703071</v>
      </c>
      <c r="H540" s="110">
        <f>Gasto_o_ing_per_capita!H540*100/Gasto_o_ing_per_capita!$D540</f>
        <v>104.10311673481192</v>
      </c>
      <c r="I540" s="110">
        <f>Gasto_o_ing_per_capita!I540*100/Gasto_o_ing_per_capita!$D540</f>
        <v>82.691855487866235</v>
      </c>
      <c r="J540" s="110">
        <f>Gasto_o_ing_per_capita!J540*100/Gasto_o_ing_per_capita!$D540</f>
        <v>103.20268660116868</v>
      </c>
      <c r="K540" s="110">
        <f>Gasto_o_ing_per_capita!K540*100/Gasto_o_ing_per_capita!$D540</f>
        <v>96.749637556011209</v>
      </c>
      <c r="L540" s="110">
        <f>Gasto_o_ing_per_capita!L540*100/Gasto_o_ing_per_capita!$D540</f>
        <v>83.752105696138187</v>
      </c>
      <c r="M540" s="110">
        <f>Gasto_o_ing_per_capita!M540*100/Gasto_o_ing_per_capita!$D540</f>
        <v>115.00133117234951</v>
      </c>
      <c r="N540" s="110">
        <f>Gasto_o_ing_per_capita!N540*100/Gasto_o_ing_per_capita!$D540</f>
        <v>87.548991199110091</v>
      </c>
      <c r="O540" s="110">
        <f>Gasto_o_ing_per_capita!O540*100/Gasto_o_ing_per_capita!$D540</f>
        <v>75.976303832702229</v>
      </c>
      <c r="P540" s="110">
        <f>Gasto_o_ing_per_capita!P540*100/Gasto_o_ing_per_capita!$D540</f>
        <v>91.280987315749272</v>
      </c>
      <c r="Q540" s="110">
        <f>Gasto_o_ing_per_capita!Q540*100/Gasto_o_ing_per_capita!$D540</f>
        <v>130.60867923169997</v>
      </c>
      <c r="R540" s="110">
        <f>Gasto_o_ing_per_capita!R540*100/Gasto_o_ing_per_capita!$D540</f>
        <v>80.848704283176815</v>
      </c>
      <c r="S540" s="110">
        <f>Gasto_o_ing_per_capita!S540*100/Gasto_o_ing_per_capita!$D540</f>
        <v>117.04314317501333</v>
      </c>
      <c r="T540" s="110">
        <f>Gasto_o_ing_per_capita!T540*100/Gasto_o_ing_per_capita!$D540</f>
        <v>127.51668794174003</v>
      </c>
      <c r="U540" s="110">
        <f>Gasto_o_ing_per_capita!U540*100/Gasto_o_ing_per_capita!$D540</f>
        <v>102.76006099742452</v>
      </c>
      <c r="V540" s="110">
        <f>Gasto_o_ing_per_capita!V540*100/Gasto_o_ing_per_capita!$D540</f>
        <v>78.624199470894709</v>
      </c>
    </row>
    <row r="541" spans="1:22" s="102" customFormat="1">
      <c r="A541" s="353"/>
    </row>
  </sheetData>
  <pageMargins left="0.75" right="0.75" top="1" bottom="1" header="0.5" footer="0.5"/>
  <pageSetup paperSize="9" orientation="portrait"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X543"/>
  <sheetViews>
    <sheetView zoomScaleNormal="100" workbookViewId="0">
      <pane xSplit="3" ySplit="7" topLeftCell="D8" activePane="bottomRight" state="frozen"/>
      <selection activeCell="A537" sqref="A537"/>
      <selection pane="topRight" activeCell="A537" sqref="A537"/>
      <selection pane="bottomLeft" activeCell="A537" sqref="A537"/>
      <selection pane="bottomRight" activeCell="B114" sqref="B114"/>
    </sheetView>
  </sheetViews>
  <sheetFormatPr baseColWidth="10" defaultRowHeight="12.55"/>
  <cols>
    <col min="1" max="1" width="11" style="353"/>
    <col min="2" max="2" width="7.8984375" customWidth="1"/>
    <col min="3" max="3" width="54.69921875" customWidth="1"/>
    <col min="5" max="5" width="12.09765625" customWidth="1"/>
  </cols>
  <sheetData>
    <row r="1" spans="1:24" s="102" customFormat="1">
      <c r="A1" s="353"/>
    </row>
    <row r="2" spans="1:24" s="102" customFormat="1">
      <c r="A2" s="353"/>
    </row>
    <row r="3" spans="1:24" s="102" customFormat="1">
      <c r="A3" s="353"/>
      <c r="C3" s="103" t="s">
        <v>90</v>
      </c>
    </row>
    <row r="4" spans="1:24" s="102" customFormat="1">
      <c r="A4" s="353"/>
      <c r="C4" s="103" t="s">
        <v>91</v>
      </c>
    </row>
    <row r="5" spans="1:24" s="102" customFormat="1">
      <c r="A5" s="353"/>
      <c r="C5" s="104" t="s">
        <v>100</v>
      </c>
      <c r="D5" s="105"/>
      <c r="E5" s="105"/>
      <c r="F5" s="105"/>
      <c r="G5" s="105"/>
      <c r="H5" s="105"/>
      <c r="I5" s="105"/>
      <c r="J5" s="105"/>
      <c r="K5" s="105"/>
      <c r="L5" s="105"/>
      <c r="M5" s="105"/>
      <c r="N5" s="105"/>
      <c r="O5" s="105"/>
      <c r="P5" s="105"/>
      <c r="Q5" s="105"/>
      <c r="R5" s="105"/>
      <c r="S5" s="105"/>
      <c r="T5" s="105"/>
      <c r="U5" s="105"/>
      <c r="V5" s="105"/>
      <c r="W5" s="105"/>
    </row>
    <row r="6" spans="1:24" s="102" customFormat="1">
      <c r="A6" s="353"/>
      <c r="C6" s="104"/>
      <c r="D6" s="105"/>
      <c r="E6" s="105"/>
      <c r="F6" s="105"/>
      <c r="G6" s="105"/>
      <c r="H6" s="105"/>
      <c r="I6" s="105"/>
      <c r="J6" s="105"/>
      <c r="K6" s="105"/>
      <c r="L6" s="105"/>
      <c r="M6" s="105"/>
      <c r="N6" s="105"/>
      <c r="O6" s="105"/>
      <c r="P6" s="105"/>
      <c r="Q6" s="105"/>
      <c r="R6" s="105"/>
      <c r="S6" s="105"/>
      <c r="T6" s="105"/>
      <c r="U6" s="105"/>
      <c r="V6" s="105"/>
      <c r="W6" s="105"/>
    </row>
    <row r="7" spans="1:24" s="102" customFormat="1">
      <c r="A7" s="354"/>
      <c r="B7" s="106"/>
      <c r="C7" s="106"/>
      <c r="D7" s="107" t="s">
        <v>104</v>
      </c>
      <c r="E7" s="108" t="s">
        <v>66</v>
      </c>
      <c r="F7" s="108" t="s">
        <v>67</v>
      </c>
      <c r="G7" s="108" t="s">
        <v>56</v>
      </c>
      <c r="H7" s="108" t="s">
        <v>48</v>
      </c>
      <c r="I7" s="108" t="s">
        <v>49</v>
      </c>
      <c r="J7" s="108" t="s">
        <v>50</v>
      </c>
      <c r="K7" s="108" t="s">
        <v>51</v>
      </c>
      <c r="L7" s="108" t="s">
        <v>24</v>
      </c>
      <c r="M7" s="108" t="s">
        <v>46</v>
      </c>
      <c r="N7" s="108" t="s">
        <v>72</v>
      </c>
      <c r="O7" s="108" t="s">
        <v>73</v>
      </c>
      <c r="P7" s="108" t="s">
        <v>74</v>
      </c>
      <c r="Q7" s="108" t="s">
        <v>37</v>
      </c>
      <c r="R7" s="108" t="s">
        <v>38</v>
      </c>
      <c r="S7" s="108" t="s">
        <v>33</v>
      </c>
      <c r="T7" s="108" t="s">
        <v>34</v>
      </c>
      <c r="U7" s="108" t="s">
        <v>88</v>
      </c>
      <c r="V7" s="108" t="s">
        <v>89</v>
      </c>
      <c r="W7" s="108"/>
    </row>
    <row r="8" spans="1:24" s="102" customFormat="1" ht="13.15">
      <c r="A8" s="353"/>
      <c r="C8" s="109" t="s">
        <v>83</v>
      </c>
      <c r="D8" s="110">
        <f>Gasto_o_ing_per_capita!D8-Gasto_o_ing_per_capita!$D8</f>
        <v>0</v>
      </c>
      <c r="E8" s="110">
        <f>Gasto_o_ing_per_capita!E8-Gasto_o_ing_per_capita!$D8</f>
        <v>0</v>
      </c>
      <c r="F8" s="110">
        <f>Gasto_o_ing_per_capita!F8-Gasto_o_ing_per_capita!$D8</f>
        <v>0</v>
      </c>
      <c r="G8" s="110">
        <f>Gasto_o_ing_per_capita!G8-Gasto_o_ing_per_capita!$D8</f>
        <v>0</v>
      </c>
      <c r="H8" s="110">
        <f>Gasto_o_ing_per_capita!H8-Gasto_o_ing_per_capita!$D8</f>
        <v>0</v>
      </c>
      <c r="I8" s="110">
        <f>Gasto_o_ing_per_capita!I8-Gasto_o_ing_per_capita!$D8</f>
        <v>0</v>
      </c>
      <c r="J8" s="110">
        <f>Gasto_o_ing_per_capita!J8-Gasto_o_ing_per_capita!$D8</f>
        <v>0</v>
      </c>
      <c r="K8" s="110">
        <f>Gasto_o_ing_per_capita!K8-Gasto_o_ing_per_capita!$D8</f>
        <v>0</v>
      </c>
      <c r="L8" s="110">
        <f>Gasto_o_ing_per_capita!L8-Gasto_o_ing_per_capita!$D8</f>
        <v>0</v>
      </c>
      <c r="M8" s="110">
        <f>Gasto_o_ing_per_capita!M8-Gasto_o_ing_per_capita!$D8</f>
        <v>0</v>
      </c>
      <c r="N8" s="110">
        <f>Gasto_o_ing_per_capita!N8-Gasto_o_ing_per_capita!$D8</f>
        <v>0</v>
      </c>
      <c r="O8" s="110">
        <f>Gasto_o_ing_per_capita!O8-Gasto_o_ing_per_capita!$D8</f>
        <v>0</v>
      </c>
      <c r="P8" s="110">
        <f>Gasto_o_ing_per_capita!P8-Gasto_o_ing_per_capita!$D8</f>
        <v>0</v>
      </c>
      <c r="Q8" s="110">
        <f>Gasto_o_ing_per_capita!Q8-Gasto_o_ing_per_capita!$D8</f>
        <v>0</v>
      </c>
      <c r="R8" s="110">
        <f>Gasto_o_ing_per_capita!R8-Gasto_o_ing_per_capita!$D8</f>
        <v>0</v>
      </c>
      <c r="S8" s="110">
        <f>Gasto_o_ing_per_capita!S8-Gasto_o_ing_per_capita!$D8</f>
        <v>0</v>
      </c>
      <c r="T8" s="110">
        <f>Gasto_o_ing_per_capita!T8-Gasto_o_ing_per_capita!$D8</f>
        <v>0</v>
      </c>
      <c r="U8" s="110">
        <f>Gasto_o_ing_per_capita!U8-Gasto_o_ing_per_capita!$D8</f>
        <v>0</v>
      </c>
      <c r="V8" s="110">
        <f>Gasto_o_ing_per_capita!V8-Gasto_o_ing_per_capita!$D8</f>
        <v>0</v>
      </c>
      <c r="W8" s="111"/>
    </row>
    <row r="9" spans="1:24" s="102" customFormat="1">
      <c r="A9" s="353"/>
      <c r="D9" s="110"/>
      <c r="E9" s="110"/>
      <c r="F9" s="110"/>
      <c r="G9" s="110"/>
      <c r="H9" s="110"/>
      <c r="I9" s="110"/>
      <c r="J9" s="110"/>
      <c r="K9" s="110"/>
      <c r="L9" s="110"/>
      <c r="M9" s="110"/>
      <c r="N9" s="110"/>
      <c r="O9" s="110"/>
      <c r="P9" s="110"/>
      <c r="Q9" s="110"/>
      <c r="R9" s="110"/>
      <c r="S9" s="110"/>
      <c r="T9" s="110"/>
      <c r="U9" s="110"/>
      <c r="V9" s="110"/>
      <c r="W9" s="105"/>
    </row>
    <row r="10" spans="1:24" s="102" customFormat="1" ht="13.15">
      <c r="A10" s="353"/>
      <c r="C10" s="112" t="s">
        <v>32</v>
      </c>
      <c r="D10" s="113">
        <f>Gasto_o_ing_per_capita!D10-Gasto_o_ing_per_capita!$D10</f>
        <v>0</v>
      </c>
      <c r="E10" s="113">
        <f>Gasto_o_ing_per_capita!E10-Gasto_o_ing_per_capita!$D10</f>
        <v>0</v>
      </c>
      <c r="F10" s="113">
        <f>Gasto_o_ing_per_capita!F10-Gasto_o_ing_per_capita!$D10</f>
        <v>0</v>
      </c>
      <c r="G10" s="113">
        <f>Gasto_o_ing_per_capita!G10-Gasto_o_ing_per_capita!$D10</f>
        <v>0</v>
      </c>
      <c r="H10" s="113">
        <f>Gasto_o_ing_per_capita!H10-Gasto_o_ing_per_capita!$D10</f>
        <v>0</v>
      </c>
      <c r="I10" s="113">
        <f>Gasto_o_ing_per_capita!I10-Gasto_o_ing_per_capita!$D10</f>
        <v>0</v>
      </c>
      <c r="J10" s="113">
        <f>Gasto_o_ing_per_capita!J10-Gasto_o_ing_per_capita!$D10</f>
        <v>0</v>
      </c>
      <c r="K10" s="113">
        <f>Gasto_o_ing_per_capita!K10-Gasto_o_ing_per_capita!$D10</f>
        <v>0</v>
      </c>
      <c r="L10" s="113">
        <f>Gasto_o_ing_per_capita!L10-Gasto_o_ing_per_capita!$D10</f>
        <v>0</v>
      </c>
      <c r="M10" s="113">
        <f>Gasto_o_ing_per_capita!M10-Gasto_o_ing_per_capita!$D10</f>
        <v>0</v>
      </c>
      <c r="N10" s="113">
        <f>Gasto_o_ing_per_capita!N10-Gasto_o_ing_per_capita!$D10</f>
        <v>0</v>
      </c>
      <c r="O10" s="113">
        <f>Gasto_o_ing_per_capita!O10-Gasto_o_ing_per_capita!$D10</f>
        <v>0</v>
      </c>
      <c r="P10" s="113">
        <f>Gasto_o_ing_per_capita!P10-Gasto_o_ing_per_capita!$D10</f>
        <v>0</v>
      </c>
      <c r="Q10" s="113">
        <f>Gasto_o_ing_per_capita!Q10-Gasto_o_ing_per_capita!$D10</f>
        <v>0</v>
      </c>
      <c r="R10" s="113">
        <f>Gasto_o_ing_per_capita!R10-Gasto_o_ing_per_capita!$D10</f>
        <v>0</v>
      </c>
      <c r="S10" s="113">
        <f>Gasto_o_ing_per_capita!S10-Gasto_o_ing_per_capita!$D10</f>
        <v>0</v>
      </c>
      <c r="T10" s="113">
        <f>Gasto_o_ing_per_capita!T10-Gasto_o_ing_per_capita!$D10</f>
        <v>0</v>
      </c>
      <c r="U10" s="113">
        <f>Gasto_o_ing_per_capita!U10-Gasto_o_ing_per_capita!$D10</f>
        <v>0</v>
      </c>
      <c r="V10" s="113">
        <f>Gasto_o_ing_per_capita!V10-Gasto_o_ing_per_capita!$D10</f>
        <v>0</v>
      </c>
      <c r="W10" s="126"/>
      <c r="X10" s="104"/>
    </row>
    <row r="11" spans="1:24" s="102" customFormat="1" ht="13.15">
      <c r="A11" s="355" t="str">
        <f>IF(B11="","",(IF(ISERROR(MATCH(B11,Tot_res!C:C,0)),"Eliminar!!!","")))</f>
        <v/>
      </c>
      <c r="B11" s="115" t="s">
        <v>114</v>
      </c>
      <c r="C11" s="333" t="str">
        <f>VLOOKUP(B11,Tot_res!C:D,2,FALSE)</f>
        <v>Gobierno del poder judicial</v>
      </c>
      <c r="D11" s="336">
        <f>Gasto_o_ing_per_capita!D11-Gasto_o_ing_per_capita!$D11</f>
        <v>0</v>
      </c>
      <c r="E11" s="336">
        <f>Gasto_o_ing_per_capita!E11-Gasto_o_ing_per_capita!$D11</f>
        <v>0</v>
      </c>
      <c r="F11" s="336">
        <f>Gasto_o_ing_per_capita!F11-Gasto_o_ing_per_capita!$D11</f>
        <v>0</v>
      </c>
      <c r="G11" s="336">
        <f>Gasto_o_ing_per_capita!G11-Gasto_o_ing_per_capita!$D11</f>
        <v>0</v>
      </c>
      <c r="H11" s="336">
        <f>Gasto_o_ing_per_capita!H11-Gasto_o_ing_per_capita!$D11</f>
        <v>0</v>
      </c>
      <c r="I11" s="336">
        <f>Gasto_o_ing_per_capita!I11-Gasto_o_ing_per_capita!$D11</f>
        <v>0</v>
      </c>
      <c r="J11" s="336">
        <f>Gasto_o_ing_per_capita!J11-Gasto_o_ing_per_capita!$D11</f>
        <v>0</v>
      </c>
      <c r="K11" s="336">
        <f>Gasto_o_ing_per_capita!K11-Gasto_o_ing_per_capita!$D11</f>
        <v>0</v>
      </c>
      <c r="L11" s="336">
        <f>Gasto_o_ing_per_capita!L11-Gasto_o_ing_per_capita!$D11</f>
        <v>0</v>
      </c>
      <c r="M11" s="336">
        <f>Gasto_o_ing_per_capita!M11-Gasto_o_ing_per_capita!$D11</f>
        <v>0</v>
      </c>
      <c r="N11" s="336">
        <f>Gasto_o_ing_per_capita!N11-Gasto_o_ing_per_capita!$D11</f>
        <v>0</v>
      </c>
      <c r="O11" s="336">
        <f>Gasto_o_ing_per_capita!O11-Gasto_o_ing_per_capita!$D11</f>
        <v>0</v>
      </c>
      <c r="P11" s="336">
        <f>Gasto_o_ing_per_capita!P11-Gasto_o_ing_per_capita!$D11</f>
        <v>0</v>
      </c>
      <c r="Q11" s="336">
        <f>Gasto_o_ing_per_capita!Q11-Gasto_o_ing_per_capita!$D11</f>
        <v>0</v>
      </c>
      <c r="R11" s="336">
        <f>Gasto_o_ing_per_capita!R11-Gasto_o_ing_per_capita!$D11</f>
        <v>0</v>
      </c>
      <c r="S11" s="336">
        <f>Gasto_o_ing_per_capita!S11-Gasto_o_ing_per_capita!$D11</f>
        <v>0</v>
      </c>
      <c r="T11" s="336">
        <f>Gasto_o_ing_per_capita!T11-Gasto_o_ing_per_capita!$D11</f>
        <v>0</v>
      </c>
      <c r="U11" s="336">
        <f>Gasto_o_ing_per_capita!U11-Gasto_o_ing_per_capita!$D11</f>
        <v>0</v>
      </c>
      <c r="V11" s="336">
        <f>Gasto_o_ing_per_capita!V11-Gasto_o_ing_per_capita!$D11</f>
        <v>0</v>
      </c>
      <c r="W11" s="122"/>
      <c r="X11" s="104"/>
    </row>
    <row r="12" spans="1:24" s="102" customFormat="1" ht="13.15">
      <c r="A12" s="355" t="str">
        <f>IF(B12="","",(IF(ISERROR(MATCH(B12,Tot_res!C:C,0)),"Eliminar!!!","")))</f>
        <v/>
      </c>
      <c r="B12" s="115" t="s">
        <v>115</v>
      </c>
      <c r="C12" s="333" t="str">
        <f>VLOOKUP(B12,Tot_res!C:D,2,FALSE)</f>
        <v>Selección y formación de jueces</v>
      </c>
      <c r="D12" s="336">
        <f>Gasto_o_ing_per_capita!D12-Gasto_o_ing_per_capita!$D12</f>
        <v>0</v>
      </c>
      <c r="E12" s="336">
        <f>Gasto_o_ing_per_capita!E12-Gasto_o_ing_per_capita!$D12</f>
        <v>0</v>
      </c>
      <c r="F12" s="336">
        <f>Gasto_o_ing_per_capita!F12-Gasto_o_ing_per_capita!$D12</f>
        <v>0</v>
      </c>
      <c r="G12" s="336">
        <f>Gasto_o_ing_per_capita!G12-Gasto_o_ing_per_capita!$D12</f>
        <v>0</v>
      </c>
      <c r="H12" s="336">
        <f>Gasto_o_ing_per_capita!H12-Gasto_o_ing_per_capita!$D12</f>
        <v>0</v>
      </c>
      <c r="I12" s="336">
        <f>Gasto_o_ing_per_capita!I12-Gasto_o_ing_per_capita!$D12</f>
        <v>0</v>
      </c>
      <c r="J12" s="336">
        <f>Gasto_o_ing_per_capita!J12-Gasto_o_ing_per_capita!$D12</f>
        <v>0</v>
      </c>
      <c r="K12" s="336">
        <f>Gasto_o_ing_per_capita!K12-Gasto_o_ing_per_capita!$D12</f>
        <v>0</v>
      </c>
      <c r="L12" s="336">
        <f>Gasto_o_ing_per_capita!L12-Gasto_o_ing_per_capita!$D12</f>
        <v>0</v>
      </c>
      <c r="M12" s="336">
        <f>Gasto_o_ing_per_capita!M12-Gasto_o_ing_per_capita!$D12</f>
        <v>0</v>
      </c>
      <c r="N12" s="336">
        <f>Gasto_o_ing_per_capita!N12-Gasto_o_ing_per_capita!$D12</f>
        <v>0</v>
      </c>
      <c r="O12" s="336">
        <f>Gasto_o_ing_per_capita!O12-Gasto_o_ing_per_capita!$D12</f>
        <v>0</v>
      </c>
      <c r="P12" s="336">
        <f>Gasto_o_ing_per_capita!P12-Gasto_o_ing_per_capita!$D12</f>
        <v>0</v>
      </c>
      <c r="Q12" s="336">
        <f>Gasto_o_ing_per_capita!Q12-Gasto_o_ing_per_capita!$D12</f>
        <v>0</v>
      </c>
      <c r="R12" s="336">
        <f>Gasto_o_ing_per_capita!R12-Gasto_o_ing_per_capita!$D12</f>
        <v>0</v>
      </c>
      <c r="S12" s="336">
        <f>Gasto_o_ing_per_capita!S12-Gasto_o_ing_per_capita!$D12</f>
        <v>0</v>
      </c>
      <c r="T12" s="336">
        <f>Gasto_o_ing_per_capita!T12-Gasto_o_ing_per_capita!$D12</f>
        <v>0</v>
      </c>
      <c r="U12" s="336">
        <f>Gasto_o_ing_per_capita!U12-Gasto_o_ing_per_capita!$D12</f>
        <v>0</v>
      </c>
      <c r="V12" s="336">
        <f>Gasto_o_ing_per_capita!V12-Gasto_o_ing_per_capita!$D12</f>
        <v>0</v>
      </c>
      <c r="W12" s="122"/>
      <c r="X12" s="104"/>
    </row>
    <row r="13" spans="1:24" s="102" customFormat="1" ht="13.15">
      <c r="A13" s="355" t="str">
        <f>IF(B13="","",(IF(ISERROR(MATCH(B13,Tot_res!C:C,0)),"Eliminar!!!","")))</f>
        <v/>
      </c>
      <c r="B13" s="115" t="s">
        <v>116</v>
      </c>
      <c r="C13" s="333" t="str">
        <f>VLOOKUP(B13,Tot_res!C:D,2,FALSE)</f>
        <v>Documentación y publicaciones judiciales</v>
      </c>
      <c r="D13" s="336">
        <f>Gasto_o_ing_per_capita!D13-Gasto_o_ing_per_capita!$D13</f>
        <v>0</v>
      </c>
      <c r="E13" s="336">
        <f>Gasto_o_ing_per_capita!E13-Gasto_o_ing_per_capita!$D13</f>
        <v>0</v>
      </c>
      <c r="F13" s="336">
        <f>Gasto_o_ing_per_capita!F13-Gasto_o_ing_per_capita!$D13</f>
        <v>0</v>
      </c>
      <c r="G13" s="336">
        <f>Gasto_o_ing_per_capita!G13-Gasto_o_ing_per_capita!$D13</f>
        <v>0</v>
      </c>
      <c r="H13" s="336">
        <f>Gasto_o_ing_per_capita!H13-Gasto_o_ing_per_capita!$D13</f>
        <v>0</v>
      </c>
      <c r="I13" s="336">
        <f>Gasto_o_ing_per_capita!I13-Gasto_o_ing_per_capita!$D13</f>
        <v>0</v>
      </c>
      <c r="J13" s="336">
        <f>Gasto_o_ing_per_capita!J13-Gasto_o_ing_per_capita!$D13</f>
        <v>0</v>
      </c>
      <c r="K13" s="336">
        <f>Gasto_o_ing_per_capita!K13-Gasto_o_ing_per_capita!$D13</f>
        <v>0</v>
      </c>
      <c r="L13" s="336">
        <f>Gasto_o_ing_per_capita!L13-Gasto_o_ing_per_capita!$D13</f>
        <v>0</v>
      </c>
      <c r="M13" s="336">
        <f>Gasto_o_ing_per_capita!M13-Gasto_o_ing_per_capita!$D13</f>
        <v>0</v>
      </c>
      <c r="N13" s="336">
        <f>Gasto_o_ing_per_capita!N13-Gasto_o_ing_per_capita!$D13</f>
        <v>0</v>
      </c>
      <c r="O13" s="336">
        <f>Gasto_o_ing_per_capita!O13-Gasto_o_ing_per_capita!$D13</f>
        <v>0</v>
      </c>
      <c r="P13" s="336">
        <f>Gasto_o_ing_per_capita!P13-Gasto_o_ing_per_capita!$D13</f>
        <v>0</v>
      </c>
      <c r="Q13" s="336">
        <f>Gasto_o_ing_per_capita!Q13-Gasto_o_ing_per_capita!$D13</f>
        <v>0</v>
      </c>
      <c r="R13" s="336">
        <f>Gasto_o_ing_per_capita!R13-Gasto_o_ing_per_capita!$D13</f>
        <v>0</v>
      </c>
      <c r="S13" s="336">
        <f>Gasto_o_ing_per_capita!S13-Gasto_o_ing_per_capita!$D13</f>
        <v>0</v>
      </c>
      <c r="T13" s="336">
        <f>Gasto_o_ing_per_capita!T13-Gasto_o_ing_per_capita!$D13</f>
        <v>0</v>
      </c>
      <c r="U13" s="336">
        <f>Gasto_o_ing_per_capita!U13-Gasto_o_ing_per_capita!$D13</f>
        <v>0</v>
      </c>
      <c r="V13" s="336">
        <f>Gasto_o_ing_per_capita!V13-Gasto_o_ing_per_capita!$D13</f>
        <v>0</v>
      </c>
      <c r="W13" s="122"/>
      <c r="X13" s="104"/>
    </row>
    <row r="14" spans="1:24" s="102" customFormat="1" ht="13.15">
      <c r="A14" s="355" t="str">
        <f>IF(B14="","",(IF(ISERROR(MATCH(B14,Tot_res!C:C,0)),"Eliminar!!!","")))</f>
        <v/>
      </c>
      <c r="B14" s="115" t="s">
        <v>117</v>
      </c>
      <c r="C14" s="333" t="str">
        <f>VLOOKUP(B14,Tot_res!C:D,2,FALSE)</f>
        <v>Jefatura del estado</v>
      </c>
      <c r="D14" s="336">
        <f>Gasto_o_ing_per_capita!D14-Gasto_o_ing_per_capita!$D14</f>
        <v>0</v>
      </c>
      <c r="E14" s="336">
        <f>Gasto_o_ing_per_capita!E14-Gasto_o_ing_per_capita!$D14</f>
        <v>0</v>
      </c>
      <c r="F14" s="336">
        <f>Gasto_o_ing_per_capita!F14-Gasto_o_ing_per_capita!$D14</f>
        <v>0</v>
      </c>
      <c r="G14" s="336">
        <f>Gasto_o_ing_per_capita!G14-Gasto_o_ing_per_capita!$D14</f>
        <v>0</v>
      </c>
      <c r="H14" s="336">
        <f>Gasto_o_ing_per_capita!H14-Gasto_o_ing_per_capita!$D14</f>
        <v>0</v>
      </c>
      <c r="I14" s="336">
        <f>Gasto_o_ing_per_capita!I14-Gasto_o_ing_per_capita!$D14</f>
        <v>0</v>
      </c>
      <c r="J14" s="336">
        <f>Gasto_o_ing_per_capita!J14-Gasto_o_ing_per_capita!$D14</f>
        <v>0</v>
      </c>
      <c r="K14" s="336">
        <f>Gasto_o_ing_per_capita!K14-Gasto_o_ing_per_capita!$D14</f>
        <v>0</v>
      </c>
      <c r="L14" s="336">
        <f>Gasto_o_ing_per_capita!L14-Gasto_o_ing_per_capita!$D14</f>
        <v>0</v>
      </c>
      <c r="M14" s="336">
        <f>Gasto_o_ing_per_capita!M14-Gasto_o_ing_per_capita!$D14</f>
        <v>0</v>
      </c>
      <c r="N14" s="336">
        <f>Gasto_o_ing_per_capita!N14-Gasto_o_ing_per_capita!$D14</f>
        <v>0</v>
      </c>
      <c r="O14" s="336">
        <f>Gasto_o_ing_per_capita!O14-Gasto_o_ing_per_capita!$D14</f>
        <v>0</v>
      </c>
      <c r="P14" s="336">
        <f>Gasto_o_ing_per_capita!P14-Gasto_o_ing_per_capita!$D14</f>
        <v>0</v>
      </c>
      <c r="Q14" s="336">
        <f>Gasto_o_ing_per_capita!Q14-Gasto_o_ing_per_capita!$D14</f>
        <v>0</v>
      </c>
      <c r="R14" s="336">
        <f>Gasto_o_ing_per_capita!R14-Gasto_o_ing_per_capita!$D14</f>
        <v>0</v>
      </c>
      <c r="S14" s="336">
        <f>Gasto_o_ing_per_capita!S14-Gasto_o_ing_per_capita!$D14</f>
        <v>0</v>
      </c>
      <c r="T14" s="336">
        <f>Gasto_o_ing_per_capita!T14-Gasto_o_ing_per_capita!$D14</f>
        <v>0</v>
      </c>
      <c r="U14" s="336">
        <f>Gasto_o_ing_per_capita!U14-Gasto_o_ing_per_capita!$D14</f>
        <v>0</v>
      </c>
      <c r="V14" s="336">
        <f>Gasto_o_ing_per_capita!V14-Gasto_o_ing_per_capita!$D14</f>
        <v>0</v>
      </c>
      <c r="W14" s="122"/>
      <c r="X14" s="104"/>
    </row>
    <row r="15" spans="1:24" s="102" customFormat="1" ht="13.15">
      <c r="A15" s="355" t="str">
        <f>IF(B15="","",(IF(ISERROR(MATCH(B15,Tot_res!C:C,0)),"Eliminar!!!","")))</f>
        <v/>
      </c>
      <c r="B15" s="115" t="s">
        <v>118</v>
      </c>
      <c r="C15" s="333" t="str">
        <f>VLOOKUP(B15,Tot_res!C:D,2,FALSE)</f>
        <v>Actividad legislativa</v>
      </c>
      <c r="D15" s="336">
        <f>Gasto_o_ing_per_capita!D15-Gasto_o_ing_per_capita!$D15</f>
        <v>0</v>
      </c>
      <c r="E15" s="336">
        <f>Gasto_o_ing_per_capita!E15-Gasto_o_ing_per_capita!$D15</f>
        <v>0</v>
      </c>
      <c r="F15" s="336">
        <f>Gasto_o_ing_per_capita!F15-Gasto_o_ing_per_capita!$D15</f>
        <v>0</v>
      </c>
      <c r="G15" s="336">
        <f>Gasto_o_ing_per_capita!G15-Gasto_o_ing_per_capita!$D15</f>
        <v>0</v>
      </c>
      <c r="H15" s="336">
        <f>Gasto_o_ing_per_capita!H15-Gasto_o_ing_per_capita!$D15</f>
        <v>0</v>
      </c>
      <c r="I15" s="336">
        <f>Gasto_o_ing_per_capita!I15-Gasto_o_ing_per_capita!$D15</f>
        <v>0</v>
      </c>
      <c r="J15" s="336">
        <f>Gasto_o_ing_per_capita!J15-Gasto_o_ing_per_capita!$D15</f>
        <v>0</v>
      </c>
      <c r="K15" s="336">
        <f>Gasto_o_ing_per_capita!K15-Gasto_o_ing_per_capita!$D15</f>
        <v>0</v>
      </c>
      <c r="L15" s="336">
        <f>Gasto_o_ing_per_capita!L15-Gasto_o_ing_per_capita!$D15</f>
        <v>0</v>
      </c>
      <c r="M15" s="336">
        <f>Gasto_o_ing_per_capita!M15-Gasto_o_ing_per_capita!$D15</f>
        <v>0</v>
      </c>
      <c r="N15" s="336">
        <f>Gasto_o_ing_per_capita!N15-Gasto_o_ing_per_capita!$D15</f>
        <v>0</v>
      </c>
      <c r="O15" s="336">
        <f>Gasto_o_ing_per_capita!O15-Gasto_o_ing_per_capita!$D15</f>
        <v>0</v>
      </c>
      <c r="P15" s="336">
        <f>Gasto_o_ing_per_capita!P15-Gasto_o_ing_per_capita!$D15</f>
        <v>0</v>
      </c>
      <c r="Q15" s="336">
        <f>Gasto_o_ing_per_capita!Q15-Gasto_o_ing_per_capita!$D15</f>
        <v>0</v>
      </c>
      <c r="R15" s="336">
        <f>Gasto_o_ing_per_capita!R15-Gasto_o_ing_per_capita!$D15</f>
        <v>0</v>
      </c>
      <c r="S15" s="336">
        <f>Gasto_o_ing_per_capita!S15-Gasto_o_ing_per_capita!$D15</f>
        <v>0</v>
      </c>
      <c r="T15" s="336">
        <f>Gasto_o_ing_per_capita!T15-Gasto_o_ing_per_capita!$D15</f>
        <v>0</v>
      </c>
      <c r="U15" s="336">
        <f>Gasto_o_ing_per_capita!U15-Gasto_o_ing_per_capita!$D15</f>
        <v>0</v>
      </c>
      <c r="V15" s="336">
        <f>Gasto_o_ing_per_capita!V15-Gasto_o_ing_per_capita!$D15</f>
        <v>0</v>
      </c>
      <c r="W15" s="122"/>
      <c r="X15" s="104"/>
    </row>
    <row r="16" spans="1:24" s="102" customFormat="1" ht="13.15">
      <c r="A16" s="355" t="str">
        <f>IF(B16="","",(IF(ISERROR(MATCH(B16,Tot_res!C:C,0)),"Eliminar!!!","")))</f>
        <v/>
      </c>
      <c r="B16" s="115" t="s">
        <v>120</v>
      </c>
      <c r="C16" s="333" t="str">
        <f>VLOOKUP(B16,Tot_res!C:D,2,FALSE)</f>
        <v>Control externo del sector público</v>
      </c>
      <c r="D16" s="336">
        <f>Gasto_o_ing_per_capita!D16-Gasto_o_ing_per_capita!$D16</f>
        <v>0</v>
      </c>
      <c r="E16" s="336">
        <f>Gasto_o_ing_per_capita!E16-Gasto_o_ing_per_capita!$D16</f>
        <v>0</v>
      </c>
      <c r="F16" s="336">
        <f>Gasto_o_ing_per_capita!F16-Gasto_o_ing_per_capita!$D16</f>
        <v>0</v>
      </c>
      <c r="G16" s="336">
        <f>Gasto_o_ing_per_capita!G16-Gasto_o_ing_per_capita!$D16</f>
        <v>0</v>
      </c>
      <c r="H16" s="336">
        <f>Gasto_o_ing_per_capita!H16-Gasto_o_ing_per_capita!$D16</f>
        <v>0</v>
      </c>
      <c r="I16" s="336">
        <f>Gasto_o_ing_per_capita!I16-Gasto_o_ing_per_capita!$D16</f>
        <v>0</v>
      </c>
      <c r="J16" s="336">
        <f>Gasto_o_ing_per_capita!J16-Gasto_o_ing_per_capita!$D16</f>
        <v>0</v>
      </c>
      <c r="K16" s="336">
        <f>Gasto_o_ing_per_capita!K16-Gasto_o_ing_per_capita!$D16</f>
        <v>0</v>
      </c>
      <c r="L16" s="336">
        <f>Gasto_o_ing_per_capita!L16-Gasto_o_ing_per_capita!$D16</f>
        <v>0</v>
      </c>
      <c r="M16" s="336">
        <f>Gasto_o_ing_per_capita!M16-Gasto_o_ing_per_capita!$D16</f>
        <v>0</v>
      </c>
      <c r="N16" s="336">
        <f>Gasto_o_ing_per_capita!N16-Gasto_o_ing_per_capita!$D16</f>
        <v>0</v>
      </c>
      <c r="O16" s="336">
        <f>Gasto_o_ing_per_capita!O16-Gasto_o_ing_per_capita!$D16</f>
        <v>0</v>
      </c>
      <c r="P16" s="336">
        <f>Gasto_o_ing_per_capita!P16-Gasto_o_ing_per_capita!$D16</f>
        <v>0</v>
      </c>
      <c r="Q16" s="336">
        <f>Gasto_o_ing_per_capita!Q16-Gasto_o_ing_per_capita!$D16</f>
        <v>0</v>
      </c>
      <c r="R16" s="336">
        <f>Gasto_o_ing_per_capita!R16-Gasto_o_ing_per_capita!$D16</f>
        <v>0</v>
      </c>
      <c r="S16" s="336">
        <f>Gasto_o_ing_per_capita!S16-Gasto_o_ing_per_capita!$D16</f>
        <v>0</v>
      </c>
      <c r="T16" s="336">
        <f>Gasto_o_ing_per_capita!T16-Gasto_o_ing_per_capita!$D16</f>
        <v>0</v>
      </c>
      <c r="U16" s="336">
        <f>Gasto_o_ing_per_capita!U16-Gasto_o_ing_per_capita!$D16</f>
        <v>0</v>
      </c>
      <c r="V16" s="336">
        <f>Gasto_o_ing_per_capita!V16-Gasto_o_ing_per_capita!$D16</f>
        <v>0</v>
      </c>
      <c r="W16" s="122"/>
      <c r="X16" s="104"/>
    </row>
    <row r="17" spans="1:24" s="102" customFormat="1" ht="13.15">
      <c r="A17" s="355" t="str">
        <f>IF(B17="","",(IF(ISERROR(MATCH(B17,Tot_res!C:C,0)),"Eliminar!!!","")))</f>
        <v/>
      </c>
      <c r="B17" s="115" t="s">
        <v>121</v>
      </c>
      <c r="C17" s="333" t="str">
        <f>VLOOKUP(B17,Tot_res!C:D,2,FALSE)</f>
        <v>Control constitucional</v>
      </c>
      <c r="D17" s="336">
        <f>Gasto_o_ing_per_capita!D17-Gasto_o_ing_per_capita!$D17</f>
        <v>0</v>
      </c>
      <c r="E17" s="336">
        <f>Gasto_o_ing_per_capita!E17-Gasto_o_ing_per_capita!$D17</f>
        <v>0</v>
      </c>
      <c r="F17" s="336">
        <f>Gasto_o_ing_per_capita!F17-Gasto_o_ing_per_capita!$D17</f>
        <v>0</v>
      </c>
      <c r="G17" s="336">
        <f>Gasto_o_ing_per_capita!G17-Gasto_o_ing_per_capita!$D17</f>
        <v>0</v>
      </c>
      <c r="H17" s="336">
        <f>Gasto_o_ing_per_capita!H17-Gasto_o_ing_per_capita!$D17</f>
        <v>0</v>
      </c>
      <c r="I17" s="336">
        <f>Gasto_o_ing_per_capita!I17-Gasto_o_ing_per_capita!$D17</f>
        <v>0</v>
      </c>
      <c r="J17" s="336">
        <f>Gasto_o_ing_per_capita!J17-Gasto_o_ing_per_capita!$D17</f>
        <v>0</v>
      </c>
      <c r="K17" s="336">
        <f>Gasto_o_ing_per_capita!K17-Gasto_o_ing_per_capita!$D17</f>
        <v>0</v>
      </c>
      <c r="L17" s="336">
        <f>Gasto_o_ing_per_capita!L17-Gasto_o_ing_per_capita!$D17</f>
        <v>0</v>
      </c>
      <c r="M17" s="336">
        <f>Gasto_o_ing_per_capita!M17-Gasto_o_ing_per_capita!$D17</f>
        <v>0</v>
      </c>
      <c r="N17" s="336">
        <f>Gasto_o_ing_per_capita!N17-Gasto_o_ing_per_capita!$D17</f>
        <v>0</v>
      </c>
      <c r="O17" s="336">
        <f>Gasto_o_ing_per_capita!O17-Gasto_o_ing_per_capita!$D17</f>
        <v>0</v>
      </c>
      <c r="P17" s="336">
        <f>Gasto_o_ing_per_capita!P17-Gasto_o_ing_per_capita!$D17</f>
        <v>0</v>
      </c>
      <c r="Q17" s="336">
        <f>Gasto_o_ing_per_capita!Q17-Gasto_o_ing_per_capita!$D17</f>
        <v>0</v>
      </c>
      <c r="R17" s="336">
        <f>Gasto_o_ing_per_capita!R17-Gasto_o_ing_per_capita!$D17</f>
        <v>0</v>
      </c>
      <c r="S17" s="336">
        <f>Gasto_o_ing_per_capita!S17-Gasto_o_ing_per_capita!$D17</f>
        <v>0</v>
      </c>
      <c r="T17" s="336">
        <f>Gasto_o_ing_per_capita!T17-Gasto_o_ing_per_capita!$D17</f>
        <v>0</v>
      </c>
      <c r="U17" s="336">
        <f>Gasto_o_ing_per_capita!U17-Gasto_o_ing_per_capita!$D17</f>
        <v>0</v>
      </c>
      <c r="V17" s="336">
        <f>Gasto_o_ing_per_capita!V17-Gasto_o_ing_per_capita!$D17</f>
        <v>0</v>
      </c>
      <c r="W17" s="122"/>
      <c r="X17" s="104"/>
    </row>
    <row r="18" spans="1:24" s="102" customFormat="1" ht="13.15">
      <c r="A18" s="355" t="str">
        <f>IF(B18="","",(IF(ISERROR(MATCH(B18,Tot_res!C:C,0)),"Eliminar!!!","")))</f>
        <v/>
      </c>
      <c r="B18" s="115" t="s">
        <v>122</v>
      </c>
      <c r="C18" s="333" t="str">
        <f>VLOOKUP(B18,Tot_res!C:D,2,FALSE)</f>
        <v>Apoyo a la gestión administrativa de la jefatura del estado</v>
      </c>
      <c r="D18" s="336">
        <f>Gasto_o_ing_per_capita!D18-Gasto_o_ing_per_capita!$D18</f>
        <v>0</v>
      </c>
      <c r="E18" s="336">
        <f>Gasto_o_ing_per_capita!E18-Gasto_o_ing_per_capita!$D18</f>
        <v>0</v>
      </c>
      <c r="F18" s="336">
        <f>Gasto_o_ing_per_capita!F18-Gasto_o_ing_per_capita!$D18</f>
        <v>0</v>
      </c>
      <c r="G18" s="336">
        <f>Gasto_o_ing_per_capita!G18-Gasto_o_ing_per_capita!$D18</f>
        <v>0</v>
      </c>
      <c r="H18" s="336">
        <f>Gasto_o_ing_per_capita!H18-Gasto_o_ing_per_capita!$D18</f>
        <v>0</v>
      </c>
      <c r="I18" s="336">
        <f>Gasto_o_ing_per_capita!I18-Gasto_o_ing_per_capita!$D18</f>
        <v>0</v>
      </c>
      <c r="J18" s="336">
        <f>Gasto_o_ing_per_capita!J18-Gasto_o_ing_per_capita!$D18</f>
        <v>0</v>
      </c>
      <c r="K18" s="336">
        <f>Gasto_o_ing_per_capita!K18-Gasto_o_ing_per_capita!$D18</f>
        <v>0</v>
      </c>
      <c r="L18" s="336">
        <f>Gasto_o_ing_per_capita!L18-Gasto_o_ing_per_capita!$D18</f>
        <v>0</v>
      </c>
      <c r="M18" s="336">
        <f>Gasto_o_ing_per_capita!M18-Gasto_o_ing_per_capita!$D18</f>
        <v>0</v>
      </c>
      <c r="N18" s="336">
        <f>Gasto_o_ing_per_capita!N18-Gasto_o_ing_per_capita!$D18</f>
        <v>0</v>
      </c>
      <c r="O18" s="336">
        <f>Gasto_o_ing_per_capita!O18-Gasto_o_ing_per_capita!$D18</f>
        <v>0</v>
      </c>
      <c r="P18" s="336">
        <f>Gasto_o_ing_per_capita!P18-Gasto_o_ing_per_capita!$D18</f>
        <v>0</v>
      </c>
      <c r="Q18" s="336">
        <f>Gasto_o_ing_per_capita!Q18-Gasto_o_ing_per_capita!$D18</f>
        <v>0</v>
      </c>
      <c r="R18" s="336">
        <f>Gasto_o_ing_per_capita!R18-Gasto_o_ing_per_capita!$D18</f>
        <v>0</v>
      </c>
      <c r="S18" s="336">
        <f>Gasto_o_ing_per_capita!S18-Gasto_o_ing_per_capita!$D18</f>
        <v>0</v>
      </c>
      <c r="T18" s="336">
        <f>Gasto_o_ing_per_capita!T18-Gasto_o_ing_per_capita!$D18</f>
        <v>0</v>
      </c>
      <c r="U18" s="336">
        <f>Gasto_o_ing_per_capita!U18-Gasto_o_ing_per_capita!$D18</f>
        <v>0</v>
      </c>
      <c r="V18" s="336">
        <f>Gasto_o_ing_per_capita!V18-Gasto_o_ing_per_capita!$D18</f>
        <v>0</v>
      </c>
      <c r="W18" s="122"/>
      <c r="X18" s="104"/>
    </row>
    <row r="19" spans="1:24" s="102" customFormat="1" ht="13.15">
      <c r="A19" s="355" t="str">
        <f>IF(B19="","",(IF(ISERROR(MATCH(B19,Tot_res!C:C,0)),"Eliminar!!!","")))</f>
        <v/>
      </c>
      <c r="B19" s="115" t="s">
        <v>123</v>
      </c>
      <c r="C19" s="333" t="str">
        <f>VLOOKUP(B19,Tot_res!C:D,2,FALSE)</f>
        <v>Presidencia del gobierno</v>
      </c>
      <c r="D19" s="336">
        <f>Gasto_o_ing_per_capita!D19-Gasto_o_ing_per_capita!$D19</f>
        <v>0</v>
      </c>
      <c r="E19" s="336">
        <f>Gasto_o_ing_per_capita!E19-Gasto_o_ing_per_capita!$D19</f>
        <v>0</v>
      </c>
      <c r="F19" s="336">
        <f>Gasto_o_ing_per_capita!F19-Gasto_o_ing_per_capita!$D19</f>
        <v>0</v>
      </c>
      <c r="G19" s="336">
        <f>Gasto_o_ing_per_capita!G19-Gasto_o_ing_per_capita!$D19</f>
        <v>0</v>
      </c>
      <c r="H19" s="336">
        <f>Gasto_o_ing_per_capita!H19-Gasto_o_ing_per_capita!$D19</f>
        <v>0</v>
      </c>
      <c r="I19" s="336">
        <f>Gasto_o_ing_per_capita!I19-Gasto_o_ing_per_capita!$D19</f>
        <v>0</v>
      </c>
      <c r="J19" s="336">
        <f>Gasto_o_ing_per_capita!J19-Gasto_o_ing_per_capita!$D19</f>
        <v>0</v>
      </c>
      <c r="K19" s="336">
        <f>Gasto_o_ing_per_capita!K19-Gasto_o_ing_per_capita!$D19</f>
        <v>0</v>
      </c>
      <c r="L19" s="336">
        <f>Gasto_o_ing_per_capita!L19-Gasto_o_ing_per_capita!$D19</f>
        <v>0</v>
      </c>
      <c r="M19" s="336">
        <f>Gasto_o_ing_per_capita!M19-Gasto_o_ing_per_capita!$D19</f>
        <v>0</v>
      </c>
      <c r="N19" s="336">
        <f>Gasto_o_ing_per_capita!N19-Gasto_o_ing_per_capita!$D19</f>
        <v>0</v>
      </c>
      <c r="O19" s="336">
        <f>Gasto_o_ing_per_capita!O19-Gasto_o_ing_per_capita!$D19</f>
        <v>0</v>
      </c>
      <c r="P19" s="336">
        <f>Gasto_o_ing_per_capita!P19-Gasto_o_ing_per_capita!$D19</f>
        <v>0</v>
      </c>
      <c r="Q19" s="336">
        <f>Gasto_o_ing_per_capita!Q19-Gasto_o_ing_per_capita!$D19</f>
        <v>0</v>
      </c>
      <c r="R19" s="336">
        <f>Gasto_o_ing_per_capita!R19-Gasto_o_ing_per_capita!$D19</f>
        <v>0</v>
      </c>
      <c r="S19" s="336">
        <f>Gasto_o_ing_per_capita!S19-Gasto_o_ing_per_capita!$D19</f>
        <v>0</v>
      </c>
      <c r="T19" s="336">
        <f>Gasto_o_ing_per_capita!T19-Gasto_o_ing_per_capita!$D19</f>
        <v>0</v>
      </c>
      <c r="U19" s="336">
        <f>Gasto_o_ing_per_capita!U19-Gasto_o_ing_per_capita!$D19</f>
        <v>0</v>
      </c>
      <c r="V19" s="336">
        <f>Gasto_o_ing_per_capita!V19-Gasto_o_ing_per_capita!$D19</f>
        <v>0</v>
      </c>
      <c r="W19" s="122"/>
      <c r="X19" s="104"/>
    </row>
    <row r="20" spans="1:24" s="102" customFormat="1" ht="13.15">
      <c r="A20" s="355" t="str">
        <f>IF(B20="","",(IF(ISERROR(MATCH(B20,Tot_res!C:C,0)),"Eliminar!!!","")))</f>
        <v/>
      </c>
      <c r="B20" s="115" t="s">
        <v>124</v>
      </c>
      <c r="C20" s="333" t="str">
        <f>VLOOKUP(B20,Tot_res!C:D,2,FALSE)</f>
        <v>Alto asesoramiento del estado</v>
      </c>
      <c r="D20" s="336">
        <f>Gasto_o_ing_per_capita!D20-Gasto_o_ing_per_capita!$D20</f>
        <v>0</v>
      </c>
      <c r="E20" s="336">
        <f>Gasto_o_ing_per_capita!E20-Gasto_o_ing_per_capita!$D20</f>
        <v>0</v>
      </c>
      <c r="F20" s="336">
        <f>Gasto_o_ing_per_capita!F20-Gasto_o_ing_per_capita!$D20</f>
        <v>0</v>
      </c>
      <c r="G20" s="336">
        <f>Gasto_o_ing_per_capita!G20-Gasto_o_ing_per_capita!$D20</f>
        <v>0</v>
      </c>
      <c r="H20" s="336">
        <f>Gasto_o_ing_per_capita!H20-Gasto_o_ing_per_capita!$D20</f>
        <v>0</v>
      </c>
      <c r="I20" s="336">
        <f>Gasto_o_ing_per_capita!I20-Gasto_o_ing_per_capita!$D20</f>
        <v>0</v>
      </c>
      <c r="J20" s="336">
        <f>Gasto_o_ing_per_capita!J20-Gasto_o_ing_per_capita!$D20</f>
        <v>0</v>
      </c>
      <c r="K20" s="336">
        <f>Gasto_o_ing_per_capita!K20-Gasto_o_ing_per_capita!$D20</f>
        <v>0</v>
      </c>
      <c r="L20" s="336">
        <f>Gasto_o_ing_per_capita!L20-Gasto_o_ing_per_capita!$D20</f>
        <v>0</v>
      </c>
      <c r="M20" s="336">
        <f>Gasto_o_ing_per_capita!M20-Gasto_o_ing_per_capita!$D20</f>
        <v>0</v>
      </c>
      <c r="N20" s="336">
        <f>Gasto_o_ing_per_capita!N20-Gasto_o_ing_per_capita!$D20</f>
        <v>0</v>
      </c>
      <c r="O20" s="336">
        <f>Gasto_o_ing_per_capita!O20-Gasto_o_ing_per_capita!$D20</f>
        <v>0</v>
      </c>
      <c r="P20" s="336">
        <f>Gasto_o_ing_per_capita!P20-Gasto_o_ing_per_capita!$D20</f>
        <v>0</v>
      </c>
      <c r="Q20" s="336">
        <f>Gasto_o_ing_per_capita!Q20-Gasto_o_ing_per_capita!$D20</f>
        <v>0</v>
      </c>
      <c r="R20" s="336">
        <f>Gasto_o_ing_per_capita!R20-Gasto_o_ing_per_capita!$D20</f>
        <v>0</v>
      </c>
      <c r="S20" s="336">
        <f>Gasto_o_ing_per_capita!S20-Gasto_o_ing_per_capita!$D20</f>
        <v>0</v>
      </c>
      <c r="T20" s="336">
        <f>Gasto_o_ing_per_capita!T20-Gasto_o_ing_per_capita!$D20</f>
        <v>0</v>
      </c>
      <c r="U20" s="336">
        <f>Gasto_o_ing_per_capita!U20-Gasto_o_ing_per_capita!$D20</f>
        <v>0</v>
      </c>
      <c r="V20" s="336">
        <f>Gasto_o_ing_per_capita!V20-Gasto_o_ing_per_capita!$D20</f>
        <v>0</v>
      </c>
      <c r="W20" s="122"/>
      <c r="X20" s="104"/>
    </row>
    <row r="21" spans="1:24" s="102" customFormat="1" ht="13.15">
      <c r="A21" s="355" t="str">
        <f>IF(B21="","",(IF(ISERROR(MATCH(B21,Tot_res!C:C,0)),"Eliminar!!!","")))</f>
        <v/>
      </c>
      <c r="B21" s="115" t="s">
        <v>125</v>
      </c>
      <c r="C21" s="333" t="str">
        <f>VLOOKUP(B21,Tot_res!C:D,2,FALSE)</f>
        <v>Relaciones con las cortes generales, secretariado del gobierno y apoyo a la alta dirección</v>
      </c>
      <c r="D21" s="336">
        <f>Gasto_o_ing_per_capita!D21-Gasto_o_ing_per_capita!$D21</f>
        <v>0</v>
      </c>
      <c r="E21" s="336">
        <f>Gasto_o_ing_per_capita!E21-Gasto_o_ing_per_capita!$D21</f>
        <v>0</v>
      </c>
      <c r="F21" s="336">
        <f>Gasto_o_ing_per_capita!F21-Gasto_o_ing_per_capita!$D21</f>
        <v>0</v>
      </c>
      <c r="G21" s="336">
        <f>Gasto_o_ing_per_capita!G21-Gasto_o_ing_per_capita!$D21</f>
        <v>0</v>
      </c>
      <c r="H21" s="336">
        <f>Gasto_o_ing_per_capita!H21-Gasto_o_ing_per_capita!$D21</f>
        <v>0</v>
      </c>
      <c r="I21" s="336">
        <f>Gasto_o_ing_per_capita!I21-Gasto_o_ing_per_capita!$D21</f>
        <v>0</v>
      </c>
      <c r="J21" s="336">
        <f>Gasto_o_ing_per_capita!J21-Gasto_o_ing_per_capita!$D21</f>
        <v>0</v>
      </c>
      <c r="K21" s="336">
        <f>Gasto_o_ing_per_capita!K21-Gasto_o_ing_per_capita!$D21</f>
        <v>0</v>
      </c>
      <c r="L21" s="336">
        <f>Gasto_o_ing_per_capita!L21-Gasto_o_ing_per_capita!$D21</f>
        <v>0</v>
      </c>
      <c r="M21" s="336">
        <f>Gasto_o_ing_per_capita!M21-Gasto_o_ing_per_capita!$D21</f>
        <v>0</v>
      </c>
      <c r="N21" s="336">
        <f>Gasto_o_ing_per_capita!N21-Gasto_o_ing_per_capita!$D21</f>
        <v>0</v>
      </c>
      <c r="O21" s="336">
        <f>Gasto_o_ing_per_capita!O21-Gasto_o_ing_per_capita!$D21</f>
        <v>0</v>
      </c>
      <c r="P21" s="336">
        <f>Gasto_o_ing_per_capita!P21-Gasto_o_ing_per_capita!$D21</f>
        <v>0</v>
      </c>
      <c r="Q21" s="336">
        <f>Gasto_o_ing_per_capita!Q21-Gasto_o_ing_per_capita!$D21</f>
        <v>0</v>
      </c>
      <c r="R21" s="336">
        <f>Gasto_o_ing_per_capita!R21-Gasto_o_ing_per_capita!$D21</f>
        <v>0</v>
      </c>
      <c r="S21" s="336">
        <f>Gasto_o_ing_per_capita!S21-Gasto_o_ing_per_capita!$D21</f>
        <v>0</v>
      </c>
      <c r="T21" s="336">
        <f>Gasto_o_ing_per_capita!T21-Gasto_o_ing_per_capita!$D21</f>
        <v>0</v>
      </c>
      <c r="U21" s="336">
        <f>Gasto_o_ing_per_capita!U21-Gasto_o_ing_per_capita!$D21</f>
        <v>0</v>
      </c>
      <c r="V21" s="336">
        <f>Gasto_o_ing_per_capita!V21-Gasto_o_ing_per_capita!$D21</f>
        <v>0</v>
      </c>
      <c r="W21" s="122"/>
      <c r="X21" s="104"/>
    </row>
    <row r="22" spans="1:24" s="102" customFormat="1" ht="13.15">
      <c r="A22" s="355" t="str">
        <f>IF(B22="","",(IF(ISERROR(MATCH(B22,Tot_res!C:C,0)),"Eliminar!!!","")))</f>
        <v/>
      </c>
      <c r="B22" s="115" t="s">
        <v>126</v>
      </c>
      <c r="C22" s="333" t="str">
        <f>VLOOKUP(B22,Tot_res!C:D,2,FALSE)</f>
        <v>Asesoramiento del gobierno en materia social, económica y laboral</v>
      </c>
      <c r="D22" s="336">
        <f>Gasto_o_ing_per_capita!D22-Gasto_o_ing_per_capita!$D22</f>
        <v>0</v>
      </c>
      <c r="E22" s="336">
        <f>Gasto_o_ing_per_capita!E22-Gasto_o_ing_per_capita!$D22</f>
        <v>0</v>
      </c>
      <c r="F22" s="336">
        <f>Gasto_o_ing_per_capita!F22-Gasto_o_ing_per_capita!$D22</f>
        <v>0</v>
      </c>
      <c r="G22" s="336">
        <f>Gasto_o_ing_per_capita!G22-Gasto_o_ing_per_capita!$D22</f>
        <v>0</v>
      </c>
      <c r="H22" s="336">
        <f>Gasto_o_ing_per_capita!H22-Gasto_o_ing_per_capita!$D22</f>
        <v>0</v>
      </c>
      <c r="I22" s="336">
        <f>Gasto_o_ing_per_capita!I22-Gasto_o_ing_per_capita!$D22</f>
        <v>0</v>
      </c>
      <c r="J22" s="336">
        <f>Gasto_o_ing_per_capita!J22-Gasto_o_ing_per_capita!$D22</f>
        <v>0</v>
      </c>
      <c r="K22" s="336">
        <f>Gasto_o_ing_per_capita!K22-Gasto_o_ing_per_capita!$D22</f>
        <v>0</v>
      </c>
      <c r="L22" s="336">
        <f>Gasto_o_ing_per_capita!L22-Gasto_o_ing_per_capita!$D22</f>
        <v>0</v>
      </c>
      <c r="M22" s="336">
        <f>Gasto_o_ing_per_capita!M22-Gasto_o_ing_per_capita!$D22</f>
        <v>0</v>
      </c>
      <c r="N22" s="336">
        <f>Gasto_o_ing_per_capita!N22-Gasto_o_ing_per_capita!$D22</f>
        <v>0</v>
      </c>
      <c r="O22" s="336">
        <f>Gasto_o_ing_per_capita!O22-Gasto_o_ing_per_capita!$D22</f>
        <v>0</v>
      </c>
      <c r="P22" s="336">
        <f>Gasto_o_ing_per_capita!P22-Gasto_o_ing_per_capita!$D22</f>
        <v>0</v>
      </c>
      <c r="Q22" s="336">
        <f>Gasto_o_ing_per_capita!Q22-Gasto_o_ing_per_capita!$D22</f>
        <v>0</v>
      </c>
      <c r="R22" s="336">
        <f>Gasto_o_ing_per_capita!R22-Gasto_o_ing_per_capita!$D22</f>
        <v>0</v>
      </c>
      <c r="S22" s="336">
        <f>Gasto_o_ing_per_capita!S22-Gasto_o_ing_per_capita!$D22</f>
        <v>0</v>
      </c>
      <c r="T22" s="336">
        <f>Gasto_o_ing_per_capita!T22-Gasto_o_ing_per_capita!$D22</f>
        <v>0</v>
      </c>
      <c r="U22" s="336">
        <f>Gasto_o_ing_per_capita!U22-Gasto_o_ing_per_capita!$D22</f>
        <v>0</v>
      </c>
      <c r="V22" s="336">
        <f>Gasto_o_ing_per_capita!V22-Gasto_o_ing_per_capita!$D22</f>
        <v>0</v>
      </c>
      <c r="W22" s="122"/>
      <c r="X22" s="104"/>
    </row>
    <row r="23" spans="1:24" s="102" customFormat="1" ht="13.15">
      <c r="A23" s="355" t="str">
        <f>IF(B23="","",(IF(ISERROR(MATCH(B23,Tot_res!C:C,0)),"Eliminar!!!","")))</f>
        <v/>
      </c>
      <c r="B23" s="115" t="s">
        <v>127</v>
      </c>
      <c r="C23" s="333" t="str">
        <f>VLOOKUP(B23,Tot_res!C:D,2,FALSE)</f>
        <v>Cobertura informativa</v>
      </c>
      <c r="D23" s="336">
        <f>Gasto_o_ing_per_capita!D23-Gasto_o_ing_per_capita!$D23</f>
        <v>0</v>
      </c>
      <c r="E23" s="336">
        <f>Gasto_o_ing_per_capita!E23-Gasto_o_ing_per_capita!$D23</f>
        <v>0</v>
      </c>
      <c r="F23" s="336">
        <f>Gasto_o_ing_per_capita!F23-Gasto_o_ing_per_capita!$D23</f>
        <v>0</v>
      </c>
      <c r="G23" s="336">
        <f>Gasto_o_ing_per_capita!G23-Gasto_o_ing_per_capita!$D23</f>
        <v>0</v>
      </c>
      <c r="H23" s="336">
        <f>Gasto_o_ing_per_capita!H23-Gasto_o_ing_per_capita!$D23</f>
        <v>0</v>
      </c>
      <c r="I23" s="336">
        <f>Gasto_o_ing_per_capita!I23-Gasto_o_ing_per_capita!$D23</f>
        <v>0</v>
      </c>
      <c r="J23" s="336">
        <f>Gasto_o_ing_per_capita!J23-Gasto_o_ing_per_capita!$D23</f>
        <v>0</v>
      </c>
      <c r="K23" s="336">
        <f>Gasto_o_ing_per_capita!K23-Gasto_o_ing_per_capita!$D23</f>
        <v>0</v>
      </c>
      <c r="L23" s="336">
        <f>Gasto_o_ing_per_capita!L23-Gasto_o_ing_per_capita!$D23</f>
        <v>0</v>
      </c>
      <c r="M23" s="336">
        <f>Gasto_o_ing_per_capita!M23-Gasto_o_ing_per_capita!$D23</f>
        <v>0</v>
      </c>
      <c r="N23" s="336">
        <f>Gasto_o_ing_per_capita!N23-Gasto_o_ing_per_capita!$D23</f>
        <v>0</v>
      </c>
      <c r="O23" s="336">
        <f>Gasto_o_ing_per_capita!O23-Gasto_o_ing_per_capita!$D23</f>
        <v>0</v>
      </c>
      <c r="P23" s="336">
        <f>Gasto_o_ing_per_capita!P23-Gasto_o_ing_per_capita!$D23</f>
        <v>0</v>
      </c>
      <c r="Q23" s="336">
        <f>Gasto_o_ing_per_capita!Q23-Gasto_o_ing_per_capita!$D23</f>
        <v>0</v>
      </c>
      <c r="R23" s="336">
        <f>Gasto_o_ing_per_capita!R23-Gasto_o_ing_per_capita!$D23</f>
        <v>0</v>
      </c>
      <c r="S23" s="336">
        <f>Gasto_o_ing_per_capita!S23-Gasto_o_ing_per_capita!$D23</f>
        <v>0</v>
      </c>
      <c r="T23" s="336">
        <f>Gasto_o_ing_per_capita!T23-Gasto_o_ing_per_capita!$D23</f>
        <v>0</v>
      </c>
      <c r="U23" s="336">
        <f>Gasto_o_ing_per_capita!U23-Gasto_o_ing_per_capita!$D23</f>
        <v>0</v>
      </c>
      <c r="V23" s="336">
        <f>Gasto_o_ing_per_capita!V23-Gasto_o_ing_per_capita!$D23</f>
        <v>0</v>
      </c>
      <c r="W23" s="122"/>
      <c r="X23" s="104"/>
    </row>
    <row r="24" spans="1:24" s="102" customFormat="1" ht="13.15">
      <c r="A24" s="356"/>
      <c r="B24" s="115"/>
      <c r="D24" s="110"/>
      <c r="E24" s="110"/>
      <c r="F24" s="110"/>
      <c r="G24" s="110"/>
      <c r="H24" s="110"/>
      <c r="I24" s="110"/>
      <c r="J24" s="110"/>
      <c r="K24" s="110"/>
      <c r="L24" s="110"/>
      <c r="M24" s="110"/>
      <c r="N24" s="110"/>
      <c r="O24" s="110"/>
      <c r="P24" s="110"/>
      <c r="Q24" s="110"/>
      <c r="R24" s="110"/>
      <c r="S24" s="110"/>
      <c r="T24" s="110"/>
      <c r="U24" s="110"/>
      <c r="V24" s="110"/>
      <c r="W24" s="122"/>
      <c r="X24" s="104"/>
    </row>
    <row r="25" spans="1:24" s="102" customFormat="1" ht="13.15">
      <c r="A25" s="356"/>
      <c r="B25" s="115"/>
      <c r="C25" s="117" t="s">
        <v>47</v>
      </c>
      <c r="D25" s="113">
        <f>Gasto_o_ing_per_capita!D25-Gasto_o_ing_per_capita!$D25</f>
        <v>0</v>
      </c>
      <c r="E25" s="113">
        <f>Gasto_o_ing_per_capita!E25-Gasto_o_ing_per_capita!$D25</f>
        <v>0</v>
      </c>
      <c r="F25" s="113">
        <f>Gasto_o_ing_per_capita!F25-Gasto_o_ing_per_capita!$D25</f>
        <v>0</v>
      </c>
      <c r="G25" s="113">
        <f>Gasto_o_ing_per_capita!G25-Gasto_o_ing_per_capita!$D25</f>
        <v>0</v>
      </c>
      <c r="H25" s="113">
        <f>Gasto_o_ing_per_capita!H25-Gasto_o_ing_per_capita!$D25</f>
        <v>0</v>
      </c>
      <c r="I25" s="113">
        <f>Gasto_o_ing_per_capita!I25-Gasto_o_ing_per_capita!$D25</f>
        <v>0</v>
      </c>
      <c r="J25" s="113">
        <f>Gasto_o_ing_per_capita!J25-Gasto_o_ing_per_capita!$D25</f>
        <v>0</v>
      </c>
      <c r="K25" s="113">
        <f>Gasto_o_ing_per_capita!K25-Gasto_o_ing_per_capita!$D25</f>
        <v>0</v>
      </c>
      <c r="L25" s="113">
        <f>Gasto_o_ing_per_capita!L25-Gasto_o_ing_per_capita!$D25</f>
        <v>0</v>
      </c>
      <c r="M25" s="113">
        <f>Gasto_o_ing_per_capita!M25-Gasto_o_ing_per_capita!$D25</f>
        <v>0</v>
      </c>
      <c r="N25" s="113">
        <f>Gasto_o_ing_per_capita!N25-Gasto_o_ing_per_capita!$D25</f>
        <v>0</v>
      </c>
      <c r="O25" s="113">
        <f>Gasto_o_ing_per_capita!O25-Gasto_o_ing_per_capita!$D25</f>
        <v>0</v>
      </c>
      <c r="P25" s="113">
        <f>Gasto_o_ing_per_capita!P25-Gasto_o_ing_per_capita!$D25</f>
        <v>0</v>
      </c>
      <c r="Q25" s="113">
        <f>Gasto_o_ing_per_capita!Q25-Gasto_o_ing_per_capita!$D25</f>
        <v>0</v>
      </c>
      <c r="R25" s="113">
        <f>Gasto_o_ing_per_capita!R25-Gasto_o_ing_per_capita!$D25</f>
        <v>0</v>
      </c>
      <c r="S25" s="113">
        <f>Gasto_o_ing_per_capita!S25-Gasto_o_ing_per_capita!$D25</f>
        <v>0</v>
      </c>
      <c r="T25" s="113">
        <f>Gasto_o_ing_per_capita!T25-Gasto_o_ing_per_capita!$D25</f>
        <v>0</v>
      </c>
      <c r="U25" s="113">
        <f>Gasto_o_ing_per_capita!U25-Gasto_o_ing_per_capita!$D25</f>
        <v>0</v>
      </c>
      <c r="V25" s="113">
        <f>Gasto_o_ing_per_capita!V25-Gasto_o_ing_per_capita!$D25</f>
        <v>0</v>
      </c>
      <c r="W25" s="122"/>
      <c r="X25" s="104"/>
    </row>
    <row r="26" spans="1:24" s="102" customFormat="1" ht="13.15">
      <c r="A26" s="355" t="str">
        <f>IF(B26="","",(IF(ISERROR(MATCH(B26,Tot_res!C:C,0)),"Eliminar!!!","")))</f>
        <v/>
      </c>
      <c r="B26" s="115" t="s">
        <v>129</v>
      </c>
      <c r="C26" s="333" t="str">
        <f>VLOOKUP(B26,Tot_res!C:D,2,FALSE)</f>
        <v>Dirección y servicios generales de asuntos exteriores</v>
      </c>
      <c r="D26" s="336">
        <f>Gasto_o_ing_per_capita!D26-Gasto_o_ing_per_capita!$D26</f>
        <v>0</v>
      </c>
      <c r="E26" s="336">
        <f>Gasto_o_ing_per_capita!E26-Gasto_o_ing_per_capita!$D26</f>
        <v>0</v>
      </c>
      <c r="F26" s="336">
        <f>Gasto_o_ing_per_capita!F26-Gasto_o_ing_per_capita!$D26</f>
        <v>0</v>
      </c>
      <c r="G26" s="336">
        <f>Gasto_o_ing_per_capita!G26-Gasto_o_ing_per_capita!$D26</f>
        <v>0</v>
      </c>
      <c r="H26" s="336">
        <f>Gasto_o_ing_per_capita!H26-Gasto_o_ing_per_capita!$D26</f>
        <v>0</v>
      </c>
      <c r="I26" s="336">
        <f>Gasto_o_ing_per_capita!I26-Gasto_o_ing_per_capita!$D26</f>
        <v>0</v>
      </c>
      <c r="J26" s="336">
        <f>Gasto_o_ing_per_capita!J26-Gasto_o_ing_per_capita!$D26</f>
        <v>0</v>
      </c>
      <c r="K26" s="336">
        <f>Gasto_o_ing_per_capita!K26-Gasto_o_ing_per_capita!$D26</f>
        <v>0</v>
      </c>
      <c r="L26" s="336">
        <f>Gasto_o_ing_per_capita!L26-Gasto_o_ing_per_capita!$D26</f>
        <v>0</v>
      </c>
      <c r="M26" s="336">
        <f>Gasto_o_ing_per_capita!M26-Gasto_o_ing_per_capita!$D26</f>
        <v>0</v>
      </c>
      <c r="N26" s="336">
        <f>Gasto_o_ing_per_capita!N26-Gasto_o_ing_per_capita!$D26</f>
        <v>0</v>
      </c>
      <c r="O26" s="336">
        <f>Gasto_o_ing_per_capita!O26-Gasto_o_ing_per_capita!$D26</f>
        <v>0</v>
      </c>
      <c r="P26" s="336">
        <f>Gasto_o_ing_per_capita!P26-Gasto_o_ing_per_capita!$D26</f>
        <v>0</v>
      </c>
      <c r="Q26" s="336">
        <f>Gasto_o_ing_per_capita!Q26-Gasto_o_ing_per_capita!$D26</f>
        <v>0</v>
      </c>
      <c r="R26" s="336">
        <f>Gasto_o_ing_per_capita!R26-Gasto_o_ing_per_capita!$D26</f>
        <v>0</v>
      </c>
      <c r="S26" s="336">
        <f>Gasto_o_ing_per_capita!S26-Gasto_o_ing_per_capita!$D26</f>
        <v>0</v>
      </c>
      <c r="T26" s="336">
        <f>Gasto_o_ing_per_capita!T26-Gasto_o_ing_per_capita!$D26</f>
        <v>0</v>
      </c>
      <c r="U26" s="336">
        <f>Gasto_o_ing_per_capita!U26-Gasto_o_ing_per_capita!$D26</f>
        <v>0</v>
      </c>
      <c r="V26" s="336">
        <f>Gasto_o_ing_per_capita!V26-Gasto_o_ing_per_capita!$D26</f>
        <v>0</v>
      </c>
      <c r="W26" s="127"/>
      <c r="X26" s="104"/>
    </row>
    <row r="27" spans="1:24" s="102" customFormat="1" ht="13.15">
      <c r="A27" s="355" t="str">
        <f>IF(B27="","",(IF(ISERROR(MATCH(B27,Tot_res!C:C,0)),"Eliminar!!!","")))</f>
        <v/>
      </c>
      <c r="B27" s="115" t="s">
        <v>130</v>
      </c>
      <c r="C27" s="333" t="str">
        <f>VLOOKUP(B27,Tot_res!C:D,2,FALSE)</f>
        <v>Acción del estado en el exterior</v>
      </c>
      <c r="D27" s="336">
        <f>Gasto_o_ing_per_capita!D27-Gasto_o_ing_per_capita!$D27</f>
        <v>0</v>
      </c>
      <c r="E27" s="336">
        <f>Gasto_o_ing_per_capita!E27-Gasto_o_ing_per_capita!$D27</f>
        <v>0</v>
      </c>
      <c r="F27" s="336">
        <f>Gasto_o_ing_per_capita!F27-Gasto_o_ing_per_capita!$D27</f>
        <v>0</v>
      </c>
      <c r="G27" s="336">
        <f>Gasto_o_ing_per_capita!G27-Gasto_o_ing_per_capita!$D27</f>
        <v>0</v>
      </c>
      <c r="H27" s="336">
        <f>Gasto_o_ing_per_capita!H27-Gasto_o_ing_per_capita!$D27</f>
        <v>0</v>
      </c>
      <c r="I27" s="336">
        <f>Gasto_o_ing_per_capita!I27-Gasto_o_ing_per_capita!$D27</f>
        <v>0</v>
      </c>
      <c r="J27" s="336">
        <f>Gasto_o_ing_per_capita!J27-Gasto_o_ing_per_capita!$D27</f>
        <v>0</v>
      </c>
      <c r="K27" s="336">
        <f>Gasto_o_ing_per_capita!K27-Gasto_o_ing_per_capita!$D27</f>
        <v>0</v>
      </c>
      <c r="L27" s="336">
        <f>Gasto_o_ing_per_capita!L27-Gasto_o_ing_per_capita!$D27</f>
        <v>0</v>
      </c>
      <c r="M27" s="336">
        <f>Gasto_o_ing_per_capita!M27-Gasto_o_ing_per_capita!$D27</f>
        <v>0</v>
      </c>
      <c r="N27" s="336">
        <f>Gasto_o_ing_per_capita!N27-Gasto_o_ing_per_capita!$D27</f>
        <v>0</v>
      </c>
      <c r="O27" s="336">
        <f>Gasto_o_ing_per_capita!O27-Gasto_o_ing_per_capita!$D27</f>
        <v>0</v>
      </c>
      <c r="P27" s="336">
        <f>Gasto_o_ing_per_capita!P27-Gasto_o_ing_per_capita!$D27</f>
        <v>0</v>
      </c>
      <c r="Q27" s="336">
        <f>Gasto_o_ing_per_capita!Q27-Gasto_o_ing_per_capita!$D27</f>
        <v>0</v>
      </c>
      <c r="R27" s="336">
        <f>Gasto_o_ing_per_capita!R27-Gasto_o_ing_per_capita!$D27</f>
        <v>0</v>
      </c>
      <c r="S27" s="336">
        <f>Gasto_o_ing_per_capita!S27-Gasto_o_ing_per_capita!$D27</f>
        <v>0</v>
      </c>
      <c r="T27" s="336">
        <f>Gasto_o_ing_per_capita!T27-Gasto_o_ing_per_capita!$D27</f>
        <v>0</v>
      </c>
      <c r="U27" s="336">
        <f>Gasto_o_ing_per_capita!U27-Gasto_o_ing_per_capita!$D27</f>
        <v>0</v>
      </c>
      <c r="V27" s="336">
        <f>Gasto_o_ing_per_capita!V27-Gasto_o_ing_per_capita!$D27</f>
        <v>0</v>
      </c>
      <c r="W27" s="122"/>
      <c r="X27" s="104"/>
    </row>
    <row r="28" spans="1:24" s="102" customFormat="1" ht="13.15">
      <c r="A28" s="355" t="str">
        <f>IF(B28="","",(IF(ISERROR(MATCH(B28,Tot_res!C:C,0)),"Eliminar!!!","")))</f>
        <v/>
      </c>
      <c r="B28" s="115" t="s">
        <v>131</v>
      </c>
      <c r="C28" s="333" t="str">
        <f>VLOOKUP(B28,Tot_res!C:D,2,FALSE)</f>
        <v>Acción diplomática ante la unión europea</v>
      </c>
      <c r="D28" s="336">
        <f>Gasto_o_ing_per_capita!D28-Gasto_o_ing_per_capita!$D28</f>
        <v>0</v>
      </c>
      <c r="E28" s="336">
        <f>Gasto_o_ing_per_capita!E28-Gasto_o_ing_per_capita!$D28</f>
        <v>0</v>
      </c>
      <c r="F28" s="336">
        <f>Gasto_o_ing_per_capita!F28-Gasto_o_ing_per_capita!$D28</f>
        <v>0</v>
      </c>
      <c r="G28" s="336">
        <f>Gasto_o_ing_per_capita!G28-Gasto_o_ing_per_capita!$D28</f>
        <v>0</v>
      </c>
      <c r="H28" s="336">
        <f>Gasto_o_ing_per_capita!H28-Gasto_o_ing_per_capita!$D28</f>
        <v>0</v>
      </c>
      <c r="I28" s="336">
        <f>Gasto_o_ing_per_capita!I28-Gasto_o_ing_per_capita!$D28</f>
        <v>0</v>
      </c>
      <c r="J28" s="336">
        <f>Gasto_o_ing_per_capita!J28-Gasto_o_ing_per_capita!$D28</f>
        <v>0</v>
      </c>
      <c r="K28" s="336">
        <f>Gasto_o_ing_per_capita!K28-Gasto_o_ing_per_capita!$D28</f>
        <v>0</v>
      </c>
      <c r="L28" s="336">
        <f>Gasto_o_ing_per_capita!L28-Gasto_o_ing_per_capita!$D28</f>
        <v>0</v>
      </c>
      <c r="M28" s="336">
        <f>Gasto_o_ing_per_capita!M28-Gasto_o_ing_per_capita!$D28</f>
        <v>0</v>
      </c>
      <c r="N28" s="336">
        <f>Gasto_o_ing_per_capita!N28-Gasto_o_ing_per_capita!$D28</f>
        <v>0</v>
      </c>
      <c r="O28" s="336">
        <f>Gasto_o_ing_per_capita!O28-Gasto_o_ing_per_capita!$D28</f>
        <v>0</v>
      </c>
      <c r="P28" s="336">
        <f>Gasto_o_ing_per_capita!P28-Gasto_o_ing_per_capita!$D28</f>
        <v>0</v>
      </c>
      <c r="Q28" s="336">
        <f>Gasto_o_ing_per_capita!Q28-Gasto_o_ing_per_capita!$D28</f>
        <v>0</v>
      </c>
      <c r="R28" s="336">
        <f>Gasto_o_ing_per_capita!R28-Gasto_o_ing_per_capita!$D28</f>
        <v>0</v>
      </c>
      <c r="S28" s="336">
        <f>Gasto_o_ing_per_capita!S28-Gasto_o_ing_per_capita!$D28</f>
        <v>0</v>
      </c>
      <c r="T28" s="336">
        <f>Gasto_o_ing_per_capita!T28-Gasto_o_ing_per_capita!$D28</f>
        <v>0</v>
      </c>
      <c r="U28" s="336">
        <f>Gasto_o_ing_per_capita!U28-Gasto_o_ing_per_capita!$D28</f>
        <v>0</v>
      </c>
      <c r="V28" s="336">
        <f>Gasto_o_ing_per_capita!V28-Gasto_o_ing_per_capita!$D28</f>
        <v>0</v>
      </c>
      <c r="W28" s="122"/>
      <c r="X28" s="104"/>
    </row>
    <row r="29" spans="1:24" s="102" customFormat="1" ht="13.15">
      <c r="A29" s="355" t="str">
        <f>IF(B29="","",(IF(ISERROR(MATCH(B29,Tot_res!C:C,0)),"Eliminar!!!","")))</f>
        <v/>
      </c>
      <c r="B29" s="115" t="s">
        <v>132</v>
      </c>
      <c r="C29" s="333" t="str">
        <f>VLOOKUP(B29,Tot_res!C:D,2,FALSE)</f>
        <v>Cooperación para el desarrollo</v>
      </c>
      <c r="D29" s="336">
        <f>Gasto_o_ing_per_capita!D29-Gasto_o_ing_per_capita!$D29</f>
        <v>0</v>
      </c>
      <c r="E29" s="336">
        <f>Gasto_o_ing_per_capita!E29-Gasto_o_ing_per_capita!$D29</f>
        <v>0</v>
      </c>
      <c r="F29" s="336">
        <f>Gasto_o_ing_per_capita!F29-Gasto_o_ing_per_capita!$D29</f>
        <v>0</v>
      </c>
      <c r="G29" s="336">
        <f>Gasto_o_ing_per_capita!G29-Gasto_o_ing_per_capita!$D29</f>
        <v>0</v>
      </c>
      <c r="H29" s="336">
        <f>Gasto_o_ing_per_capita!H29-Gasto_o_ing_per_capita!$D29</f>
        <v>0</v>
      </c>
      <c r="I29" s="336">
        <f>Gasto_o_ing_per_capita!I29-Gasto_o_ing_per_capita!$D29</f>
        <v>0</v>
      </c>
      <c r="J29" s="336">
        <f>Gasto_o_ing_per_capita!J29-Gasto_o_ing_per_capita!$D29</f>
        <v>0</v>
      </c>
      <c r="K29" s="336">
        <f>Gasto_o_ing_per_capita!K29-Gasto_o_ing_per_capita!$D29</f>
        <v>0</v>
      </c>
      <c r="L29" s="336">
        <f>Gasto_o_ing_per_capita!L29-Gasto_o_ing_per_capita!$D29</f>
        <v>0</v>
      </c>
      <c r="M29" s="336">
        <f>Gasto_o_ing_per_capita!M29-Gasto_o_ing_per_capita!$D29</f>
        <v>0</v>
      </c>
      <c r="N29" s="336">
        <f>Gasto_o_ing_per_capita!N29-Gasto_o_ing_per_capita!$D29</f>
        <v>0</v>
      </c>
      <c r="O29" s="336">
        <f>Gasto_o_ing_per_capita!O29-Gasto_o_ing_per_capita!$D29</f>
        <v>0</v>
      </c>
      <c r="P29" s="336">
        <f>Gasto_o_ing_per_capita!P29-Gasto_o_ing_per_capita!$D29</f>
        <v>0</v>
      </c>
      <c r="Q29" s="336">
        <f>Gasto_o_ing_per_capita!Q29-Gasto_o_ing_per_capita!$D29</f>
        <v>0</v>
      </c>
      <c r="R29" s="336">
        <f>Gasto_o_ing_per_capita!R29-Gasto_o_ing_per_capita!$D29</f>
        <v>0</v>
      </c>
      <c r="S29" s="336">
        <f>Gasto_o_ing_per_capita!S29-Gasto_o_ing_per_capita!$D29</f>
        <v>0</v>
      </c>
      <c r="T29" s="336">
        <f>Gasto_o_ing_per_capita!T29-Gasto_o_ing_per_capita!$D29</f>
        <v>0</v>
      </c>
      <c r="U29" s="336">
        <f>Gasto_o_ing_per_capita!U29-Gasto_o_ing_per_capita!$D29</f>
        <v>0</v>
      </c>
      <c r="V29" s="336">
        <f>Gasto_o_ing_per_capita!V29-Gasto_o_ing_per_capita!$D29</f>
        <v>0</v>
      </c>
      <c r="W29" s="122"/>
      <c r="X29" s="104"/>
    </row>
    <row r="30" spans="1:24" s="102" customFormat="1" ht="13.15">
      <c r="A30" s="355" t="str">
        <f>IF(B30="","",(IF(ISERROR(MATCH(B30,Tot_res!C:C,0)),"Eliminar!!!","")))</f>
        <v/>
      </c>
      <c r="B30" s="115" t="s">
        <v>134</v>
      </c>
      <c r="C30" s="333" t="str">
        <f>VLOOKUP(B30,Tot_res!C:D,2,FALSE)</f>
        <v>Cooperación, promoción y difusión cultural en el exterior</v>
      </c>
      <c r="D30" s="336">
        <f>Gasto_o_ing_per_capita!D30-Gasto_o_ing_per_capita!$D30</f>
        <v>0</v>
      </c>
      <c r="E30" s="336">
        <f>Gasto_o_ing_per_capita!E30-Gasto_o_ing_per_capita!$D30</f>
        <v>0</v>
      </c>
      <c r="F30" s="336">
        <f>Gasto_o_ing_per_capita!F30-Gasto_o_ing_per_capita!$D30</f>
        <v>0</v>
      </c>
      <c r="G30" s="336">
        <f>Gasto_o_ing_per_capita!G30-Gasto_o_ing_per_capita!$D30</f>
        <v>0</v>
      </c>
      <c r="H30" s="336">
        <f>Gasto_o_ing_per_capita!H30-Gasto_o_ing_per_capita!$D30</f>
        <v>0</v>
      </c>
      <c r="I30" s="336">
        <f>Gasto_o_ing_per_capita!I30-Gasto_o_ing_per_capita!$D30</f>
        <v>0</v>
      </c>
      <c r="J30" s="336">
        <f>Gasto_o_ing_per_capita!J30-Gasto_o_ing_per_capita!$D30</f>
        <v>0</v>
      </c>
      <c r="K30" s="336">
        <f>Gasto_o_ing_per_capita!K30-Gasto_o_ing_per_capita!$D30</f>
        <v>0</v>
      </c>
      <c r="L30" s="336">
        <f>Gasto_o_ing_per_capita!L30-Gasto_o_ing_per_capita!$D30</f>
        <v>0</v>
      </c>
      <c r="M30" s="336">
        <f>Gasto_o_ing_per_capita!M30-Gasto_o_ing_per_capita!$D30</f>
        <v>0</v>
      </c>
      <c r="N30" s="336">
        <f>Gasto_o_ing_per_capita!N30-Gasto_o_ing_per_capita!$D30</f>
        <v>0</v>
      </c>
      <c r="O30" s="336">
        <f>Gasto_o_ing_per_capita!O30-Gasto_o_ing_per_capita!$D30</f>
        <v>0</v>
      </c>
      <c r="P30" s="336">
        <f>Gasto_o_ing_per_capita!P30-Gasto_o_ing_per_capita!$D30</f>
        <v>0</v>
      </c>
      <c r="Q30" s="336">
        <f>Gasto_o_ing_per_capita!Q30-Gasto_o_ing_per_capita!$D30</f>
        <v>0</v>
      </c>
      <c r="R30" s="336">
        <f>Gasto_o_ing_per_capita!R30-Gasto_o_ing_per_capita!$D30</f>
        <v>0</v>
      </c>
      <c r="S30" s="336">
        <f>Gasto_o_ing_per_capita!S30-Gasto_o_ing_per_capita!$D30</f>
        <v>0</v>
      </c>
      <c r="T30" s="336">
        <f>Gasto_o_ing_per_capita!T30-Gasto_o_ing_per_capita!$D30</f>
        <v>0</v>
      </c>
      <c r="U30" s="336">
        <f>Gasto_o_ing_per_capita!U30-Gasto_o_ing_per_capita!$D30</f>
        <v>0</v>
      </c>
      <c r="V30" s="336">
        <f>Gasto_o_ing_per_capita!V30-Gasto_o_ing_per_capita!$D30</f>
        <v>0</v>
      </c>
      <c r="W30" s="122"/>
      <c r="X30" s="104"/>
    </row>
    <row r="31" spans="1:24" s="102" customFormat="1" ht="13.15">
      <c r="A31" s="355" t="str">
        <f>IF(B31="","",(IF(ISERROR(MATCH(B31,Tot_res!C:C,0)),"Eliminar!!!","")))</f>
        <v/>
      </c>
      <c r="B31" s="119" t="s">
        <v>136</v>
      </c>
      <c r="C31" s="333" t="str">
        <f>VLOOKUP(B31,Tot_res!C:D,2,FALSE)</f>
        <v>Educación en el exterior</v>
      </c>
      <c r="D31" s="336">
        <f>Gasto_o_ing_per_capita!D31-Gasto_o_ing_per_capita!$D31</f>
        <v>0</v>
      </c>
      <c r="E31" s="336">
        <f>Gasto_o_ing_per_capita!E31-Gasto_o_ing_per_capita!$D31</f>
        <v>0</v>
      </c>
      <c r="F31" s="336">
        <f>Gasto_o_ing_per_capita!F31-Gasto_o_ing_per_capita!$D31</f>
        <v>0</v>
      </c>
      <c r="G31" s="336">
        <f>Gasto_o_ing_per_capita!G31-Gasto_o_ing_per_capita!$D31</f>
        <v>0</v>
      </c>
      <c r="H31" s="336">
        <f>Gasto_o_ing_per_capita!H31-Gasto_o_ing_per_capita!$D31</f>
        <v>0</v>
      </c>
      <c r="I31" s="336">
        <f>Gasto_o_ing_per_capita!I31-Gasto_o_ing_per_capita!$D31</f>
        <v>0</v>
      </c>
      <c r="J31" s="336">
        <f>Gasto_o_ing_per_capita!J31-Gasto_o_ing_per_capita!$D31</f>
        <v>0</v>
      </c>
      <c r="K31" s="336">
        <f>Gasto_o_ing_per_capita!K31-Gasto_o_ing_per_capita!$D31</f>
        <v>0</v>
      </c>
      <c r="L31" s="336">
        <f>Gasto_o_ing_per_capita!L31-Gasto_o_ing_per_capita!$D31</f>
        <v>0</v>
      </c>
      <c r="M31" s="336">
        <f>Gasto_o_ing_per_capita!M31-Gasto_o_ing_per_capita!$D31</f>
        <v>0</v>
      </c>
      <c r="N31" s="336">
        <f>Gasto_o_ing_per_capita!N31-Gasto_o_ing_per_capita!$D31</f>
        <v>0</v>
      </c>
      <c r="O31" s="336">
        <f>Gasto_o_ing_per_capita!O31-Gasto_o_ing_per_capita!$D31</f>
        <v>0</v>
      </c>
      <c r="P31" s="336">
        <f>Gasto_o_ing_per_capita!P31-Gasto_o_ing_per_capita!$D31</f>
        <v>0</v>
      </c>
      <c r="Q31" s="336">
        <f>Gasto_o_ing_per_capita!Q31-Gasto_o_ing_per_capita!$D31</f>
        <v>0</v>
      </c>
      <c r="R31" s="336">
        <f>Gasto_o_ing_per_capita!R31-Gasto_o_ing_per_capita!$D31</f>
        <v>0</v>
      </c>
      <c r="S31" s="336">
        <f>Gasto_o_ing_per_capita!S31-Gasto_o_ing_per_capita!$D31</f>
        <v>0</v>
      </c>
      <c r="T31" s="336">
        <f>Gasto_o_ing_per_capita!T31-Gasto_o_ing_per_capita!$D31</f>
        <v>0</v>
      </c>
      <c r="U31" s="336">
        <f>Gasto_o_ing_per_capita!U31-Gasto_o_ing_per_capita!$D31</f>
        <v>0</v>
      </c>
      <c r="V31" s="336">
        <f>Gasto_o_ing_per_capita!V31-Gasto_o_ing_per_capita!$D31</f>
        <v>0</v>
      </c>
      <c r="W31" s="122"/>
      <c r="X31" s="104"/>
    </row>
    <row r="32" spans="1:24" s="102" customFormat="1" ht="13.15">
      <c r="A32" s="355" t="str">
        <f>IF(B32="","",(IF(ISERROR(MATCH(B32,Tot_res!C:C,0)),"Eliminar!!!","")))</f>
        <v/>
      </c>
      <c r="B32" s="115" t="s">
        <v>138</v>
      </c>
      <c r="C32" s="333" t="str">
        <f>VLOOKUP(B32,Tot_res!C:D,2,FALSE)</f>
        <v>Relaciones con los organismos financieros multilaterales</v>
      </c>
      <c r="D32" s="336">
        <f>Gasto_o_ing_per_capita!D32-Gasto_o_ing_per_capita!$D32</f>
        <v>0</v>
      </c>
      <c r="E32" s="336">
        <f>Gasto_o_ing_per_capita!E32-Gasto_o_ing_per_capita!$D32</f>
        <v>0</v>
      </c>
      <c r="F32" s="336">
        <f>Gasto_o_ing_per_capita!F32-Gasto_o_ing_per_capita!$D32</f>
        <v>0</v>
      </c>
      <c r="G32" s="336">
        <f>Gasto_o_ing_per_capita!G32-Gasto_o_ing_per_capita!$D32</f>
        <v>0</v>
      </c>
      <c r="H32" s="336">
        <f>Gasto_o_ing_per_capita!H32-Gasto_o_ing_per_capita!$D32</f>
        <v>0</v>
      </c>
      <c r="I32" s="336">
        <f>Gasto_o_ing_per_capita!I32-Gasto_o_ing_per_capita!$D32</f>
        <v>0</v>
      </c>
      <c r="J32" s="336">
        <f>Gasto_o_ing_per_capita!J32-Gasto_o_ing_per_capita!$D32</f>
        <v>0</v>
      </c>
      <c r="K32" s="336">
        <f>Gasto_o_ing_per_capita!K32-Gasto_o_ing_per_capita!$D32</f>
        <v>0</v>
      </c>
      <c r="L32" s="336">
        <f>Gasto_o_ing_per_capita!L32-Gasto_o_ing_per_capita!$D32</f>
        <v>0</v>
      </c>
      <c r="M32" s="336">
        <f>Gasto_o_ing_per_capita!M32-Gasto_o_ing_per_capita!$D32</f>
        <v>0</v>
      </c>
      <c r="N32" s="336">
        <f>Gasto_o_ing_per_capita!N32-Gasto_o_ing_per_capita!$D32</f>
        <v>0</v>
      </c>
      <c r="O32" s="336">
        <f>Gasto_o_ing_per_capita!O32-Gasto_o_ing_per_capita!$D32</f>
        <v>0</v>
      </c>
      <c r="P32" s="336">
        <f>Gasto_o_ing_per_capita!P32-Gasto_o_ing_per_capita!$D32</f>
        <v>0</v>
      </c>
      <c r="Q32" s="336">
        <f>Gasto_o_ing_per_capita!Q32-Gasto_o_ing_per_capita!$D32</f>
        <v>0</v>
      </c>
      <c r="R32" s="336">
        <f>Gasto_o_ing_per_capita!R32-Gasto_o_ing_per_capita!$D32</f>
        <v>0</v>
      </c>
      <c r="S32" s="336">
        <f>Gasto_o_ing_per_capita!S32-Gasto_o_ing_per_capita!$D32</f>
        <v>0</v>
      </c>
      <c r="T32" s="336">
        <f>Gasto_o_ing_per_capita!T32-Gasto_o_ing_per_capita!$D32</f>
        <v>0</v>
      </c>
      <c r="U32" s="336">
        <f>Gasto_o_ing_per_capita!U32-Gasto_o_ing_per_capita!$D32</f>
        <v>0</v>
      </c>
      <c r="V32" s="336">
        <f>Gasto_o_ing_per_capita!V32-Gasto_o_ing_per_capita!$D32</f>
        <v>0</v>
      </c>
      <c r="W32" s="122"/>
      <c r="X32" s="104"/>
    </row>
    <row r="33" spans="1:24" s="102" customFormat="1" ht="13.15">
      <c r="A33" s="355" t="str">
        <f>IF(B33="","",(IF(ISERROR(MATCH(B33,Tot_res!C:C,0)),"Eliminar!!!","")))</f>
        <v/>
      </c>
      <c r="B33" s="115" t="s">
        <v>139</v>
      </c>
      <c r="C33" s="333" t="str">
        <f>VLOOKUP(B33,Tot_res!C:D,2,FALSE)</f>
        <v>Transferencias al presupuesto general de la unión europea</v>
      </c>
      <c r="D33" s="336">
        <f>Gasto_o_ing_per_capita!D33-Gasto_o_ing_per_capita!$D33</f>
        <v>0</v>
      </c>
      <c r="E33" s="336">
        <f>Gasto_o_ing_per_capita!E33-Gasto_o_ing_per_capita!$D33</f>
        <v>0</v>
      </c>
      <c r="F33" s="336">
        <f>Gasto_o_ing_per_capita!F33-Gasto_o_ing_per_capita!$D33</f>
        <v>0</v>
      </c>
      <c r="G33" s="336">
        <f>Gasto_o_ing_per_capita!G33-Gasto_o_ing_per_capita!$D33</f>
        <v>0</v>
      </c>
      <c r="H33" s="336">
        <f>Gasto_o_ing_per_capita!H33-Gasto_o_ing_per_capita!$D33</f>
        <v>0</v>
      </c>
      <c r="I33" s="336">
        <f>Gasto_o_ing_per_capita!I33-Gasto_o_ing_per_capita!$D33</f>
        <v>0</v>
      </c>
      <c r="J33" s="336">
        <f>Gasto_o_ing_per_capita!J33-Gasto_o_ing_per_capita!$D33</f>
        <v>0</v>
      </c>
      <c r="K33" s="336">
        <f>Gasto_o_ing_per_capita!K33-Gasto_o_ing_per_capita!$D33</f>
        <v>0</v>
      </c>
      <c r="L33" s="336">
        <f>Gasto_o_ing_per_capita!L33-Gasto_o_ing_per_capita!$D33</f>
        <v>0</v>
      </c>
      <c r="M33" s="336">
        <f>Gasto_o_ing_per_capita!M33-Gasto_o_ing_per_capita!$D33</f>
        <v>0</v>
      </c>
      <c r="N33" s="336">
        <f>Gasto_o_ing_per_capita!N33-Gasto_o_ing_per_capita!$D33</f>
        <v>0</v>
      </c>
      <c r="O33" s="336">
        <f>Gasto_o_ing_per_capita!O33-Gasto_o_ing_per_capita!$D33</f>
        <v>0</v>
      </c>
      <c r="P33" s="336">
        <f>Gasto_o_ing_per_capita!P33-Gasto_o_ing_per_capita!$D33</f>
        <v>0</v>
      </c>
      <c r="Q33" s="336">
        <f>Gasto_o_ing_per_capita!Q33-Gasto_o_ing_per_capita!$D33</f>
        <v>0</v>
      </c>
      <c r="R33" s="336">
        <f>Gasto_o_ing_per_capita!R33-Gasto_o_ing_per_capita!$D33</f>
        <v>0</v>
      </c>
      <c r="S33" s="336">
        <f>Gasto_o_ing_per_capita!S33-Gasto_o_ing_per_capita!$D33</f>
        <v>0</v>
      </c>
      <c r="T33" s="336">
        <f>Gasto_o_ing_per_capita!T33-Gasto_o_ing_per_capita!$D33</f>
        <v>0</v>
      </c>
      <c r="U33" s="336">
        <f>Gasto_o_ing_per_capita!U33-Gasto_o_ing_per_capita!$D33</f>
        <v>0</v>
      </c>
      <c r="V33" s="336">
        <f>Gasto_o_ing_per_capita!V33-Gasto_o_ing_per_capita!$D33</f>
        <v>0</v>
      </c>
      <c r="W33" s="122"/>
      <c r="X33" s="104"/>
    </row>
    <row r="34" spans="1:24" s="102" customFormat="1" ht="13.15">
      <c r="A34" s="356"/>
      <c r="B34" s="115"/>
      <c r="D34" s="110"/>
      <c r="E34" s="110"/>
      <c r="F34" s="110"/>
      <c r="G34" s="110"/>
      <c r="H34" s="110"/>
      <c r="I34" s="110"/>
      <c r="J34" s="110"/>
      <c r="K34" s="110"/>
      <c r="L34" s="110"/>
      <c r="M34" s="110"/>
      <c r="N34" s="110"/>
      <c r="O34" s="110"/>
      <c r="P34" s="110"/>
      <c r="Q34" s="110"/>
      <c r="R34" s="110"/>
      <c r="S34" s="110"/>
      <c r="T34" s="110"/>
      <c r="U34" s="110"/>
      <c r="V34" s="110"/>
      <c r="W34" s="122"/>
      <c r="X34" s="104"/>
    </row>
    <row r="35" spans="1:24" s="102" customFormat="1" ht="13.15">
      <c r="A35" s="356"/>
      <c r="B35" s="115"/>
      <c r="C35" s="128" t="s">
        <v>35</v>
      </c>
      <c r="D35" s="113">
        <f>Gasto_o_ing_per_capita!D35-Gasto_o_ing_per_capita!$D35</f>
        <v>0</v>
      </c>
      <c r="E35" s="113">
        <f>Gasto_o_ing_per_capita!E35-Gasto_o_ing_per_capita!$D35</f>
        <v>0</v>
      </c>
      <c r="F35" s="113">
        <f>Gasto_o_ing_per_capita!F35-Gasto_o_ing_per_capita!$D35</f>
        <v>0</v>
      </c>
      <c r="G35" s="113">
        <f>Gasto_o_ing_per_capita!G35-Gasto_o_ing_per_capita!$D35</f>
        <v>0</v>
      </c>
      <c r="H35" s="113">
        <f>Gasto_o_ing_per_capita!H35-Gasto_o_ing_per_capita!$D35</f>
        <v>0</v>
      </c>
      <c r="I35" s="113">
        <f>Gasto_o_ing_per_capita!I35-Gasto_o_ing_per_capita!$D35</f>
        <v>0</v>
      </c>
      <c r="J35" s="113">
        <f>Gasto_o_ing_per_capita!J35-Gasto_o_ing_per_capita!$D35</f>
        <v>0</v>
      </c>
      <c r="K35" s="113">
        <f>Gasto_o_ing_per_capita!K35-Gasto_o_ing_per_capita!$D35</f>
        <v>0</v>
      </c>
      <c r="L35" s="113">
        <f>Gasto_o_ing_per_capita!L35-Gasto_o_ing_per_capita!$D35</f>
        <v>0</v>
      </c>
      <c r="M35" s="113">
        <f>Gasto_o_ing_per_capita!M35-Gasto_o_ing_per_capita!$D35</f>
        <v>0</v>
      </c>
      <c r="N35" s="113">
        <f>Gasto_o_ing_per_capita!N35-Gasto_o_ing_per_capita!$D35</f>
        <v>0</v>
      </c>
      <c r="O35" s="113">
        <f>Gasto_o_ing_per_capita!O35-Gasto_o_ing_per_capita!$D35</f>
        <v>0</v>
      </c>
      <c r="P35" s="113">
        <f>Gasto_o_ing_per_capita!P35-Gasto_o_ing_per_capita!$D35</f>
        <v>0</v>
      </c>
      <c r="Q35" s="113">
        <f>Gasto_o_ing_per_capita!Q35-Gasto_o_ing_per_capita!$D35</f>
        <v>0</v>
      </c>
      <c r="R35" s="113">
        <f>Gasto_o_ing_per_capita!R35-Gasto_o_ing_per_capita!$D35</f>
        <v>0</v>
      </c>
      <c r="S35" s="113">
        <f>Gasto_o_ing_per_capita!S35-Gasto_o_ing_per_capita!$D35</f>
        <v>0</v>
      </c>
      <c r="T35" s="113">
        <f>Gasto_o_ing_per_capita!T35-Gasto_o_ing_per_capita!$D35</f>
        <v>0</v>
      </c>
      <c r="U35" s="113">
        <f>Gasto_o_ing_per_capita!U35-Gasto_o_ing_per_capita!$D35</f>
        <v>0</v>
      </c>
      <c r="V35" s="113">
        <f>Gasto_o_ing_per_capita!V35-Gasto_o_ing_per_capita!$D35</f>
        <v>0</v>
      </c>
      <c r="W35" s="122"/>
      <c r="X35" s="104"/>
    </row>
    <row r="36" spans="1:24" s="102" customFormat="1" ht="13.15">
      <c r="A36" s="355" t="str">
        <f>IF(B36="","",(IF(ISERROR(MATCH(B36,Tot_res!C:C,0)),"Eliminar!!!","")))</f>
        <v/>
      </c>
      <c r="B36" s="115" t="s">
        <v>140</v>
      </c>
      <c r="C36" s="333" t="str">
        <f>VLOOKUP(B36,Tot_res!C:D,2,FALSE)</f>
        <v>Administración y servicios generales de defensa</v>
      </c>
      <c r="D36" s="336">
        <f>Gasto_o_ing_per_capita!D36-Gasto_o_ing_per_capita!$D36</f>
        <v>0</v>
      </c>
      <c r="E36" s="336">
        <f>Gasto_o_ing_per_capita!E36-Gasto_o_ing_per_capita!$D36</f>
        <v>0</v>
      </c>
      <c r="F36" s="336">
        <f>Gasto_o_ing_per_capita!F36-Gasto_o_ing_per_capita!$D36</f>
        <v>0</v>
      </c>
      <c r="G36" s="336">
        <f>Gasto_o_ing_per_capita!G36-Gasto_o_ing_per_capita!$D36</f>
        <v>0</v>
      </c>
      <c r="H36" s="336">
        <f>Gasto_o_ing_per_capita!H36-Gasto_o_ing_per_capita!$D36</f>
        <v>0</v>
      </c>
      <c r="I36" s="336">
        <f>Gasto_o_ing_per_capita!I36-Gasto_o_ing_per_capita!$D36</f>
        <v>0</v>
      </c>
      <c r="J36" s="336">
        <f>Gasto_o_ing_per_capita!J36-Gasto_o_ing_per_capita!$D36</f>
        <v>0</v>
      </c>
      <c r="K36" s="336">
        <f>Gasto_o_ing_per_capita!K36-Gasto_o_ing_per_capita!$D36</f>
        <v>0</v>
      </c>
      <c r="L36" s="336">
        <f>Gasto_o_ing_per_capita!L36-Gasto_o_ing_per_capita!$D36</f>
        <v>0</v>
      </c>
      <c r="M36" s="336">
        <f>Gasto_o_ing_per_capita!M36-Gasto_o_ing_per_capita!$D36</f>
        <v>0</v>
      </c>
      <c r="N36" s="336">
        <f>Gasto_o_ing_per_capita!N36-Gasto_o_ing_per_capita!$D36</f>
        <v>0</v>
      </c>
      <c r="O36" s="336">
        <f>Gasto_o_ing_per_capita!O36-Gasto_o_ing_per_capita!$D36</f>
        <v>0</v>
      </c>
      <c r="P36" s="336">
        <f>Gasto_o_ing_per_capita!P36-Gasto_o_ing_per_capita!$D36</f>
        <v>0</v>
      </c>
      <c r="Q36" s="336">
        <f>Gasto_o_ing_per_capita!Q36-Gasto_o_ing_per_capita!$D36</f>
        <v>0</v>
      </c>
      <c r="R36" s="336">
        <f>Gasto_o_ing_per_capita!R36-Gasto_o_ing_per_capita!$D36</f>
        <v>0</v>
      </c>
      <c r="S36" s="336">
        <f>Gasto_o_ing_per_capita!S36-Gasto_o_ing_per_capita!$D36</f>
        <v>0</v>
      </c>
      <c r="T36" s="336">
        <f>Gasto_o_ing_per_capita!T36-Gasto_o_ing_per_capita!$D36</f>
        <v>0</v>
      </c>
      <c r="U36" s="336">
        <f>Gasto_o_ing_per_capita!U36-Gasto_o_ing_per_capita!$D36</f>
        <v>0</v>
      </c>
      <c r="V36" s="336">
        <f>Gasto_o_ing_per_capita!V36-Gasto_o_ing_per_capita!$D36</f>
        <v>0</v>
      </c>
      <c r="W36" s="127"/>
      <c r="X36" s="104"/>
    </row>
    <row r="37" spans="1:24" s="102" customFormat="1" ht="13.15">
      <c r="A37" s="355" t="str">
        <f>IF(B37="","",(IF(ISERROR(MATCH(B37,Tot_res!C:C,0)),"Eliminar!!!","")))</f>
        <v/>
      </c>
      <c r="B37" s="115" t="s">
        <v>141</v>
      </c>
      <c r="C37" s="333" t="str">
        <f>VLOOKUP(B37,Tot_res!C:D,2,FALSE)</f>
        <v>Formación del personal de las fuerzas armadas</v>
      </c>
      <c r="D37" s="336">
        <f>Gasto_o_ing_per_capita!D37-Gasto_o_ing_per_capita!$D37</f>
        <v>0</v>
      </c>
      <c r="E37" s="336">
        <f>Gasto_o_ing_per_capita!E37-Gasto_o_ing_per_capita!$D37</f>
        <v>0</v>
      </c>
      <c r="F37" s="336">
        <f>Gasto_o_ing_per_capita!F37-Gasto_o_ing_per_capita!$D37</f>
        <v>0</v>
      </c>
      <c r="G37" s="336">
        <f>Gasto_o_ing_per_capita!G37-Gasto_o_ing_per_capita!$D37</f>
        <v>0</v>
      </c>
      <c r="H37" s="336">
        <f>Gasto_o_ing_per_capita!H37-Gasto_o_ing_per_capita!$D37</f>
        <v>0</v>
      </c>
      <c r="I37" s="336">
        <f>Gasto_o_ing_per_capita!I37-Gasto_o_ing_per_capita!$D37</f>
        <v>0</v>
      </c>
      <c r="J37" s="336">
        <f>Gasto_o_ing_per_capita!J37-Gasto_o_ing_per_capita!$D37</f>
        <v>0</v>
      </c>
      <c r="K37" s="336">
        <f>Gasto_o_ing_per_capita!K37-Gasto_o_ing_per_capita!$D37</f>
        <v>0</v>
      </c>
      <c r="L37" s="336">
        <f>Gasto_o_ing_per_capita!L37-Gasto_o_ing_per_capita!$D37</f>
        <v>0</v>
      </c>
      <c r="M37" s="336">
        <f>Gasto_o_ing_per_capita!M37-Gasto_o_ing_per_capita!$D37</f>
        <v>0</v>
      </c>
      <c r="N37" s="336">
        <f>Gasto_o_ing_per_capita!N37-Gasto_o_ing_per_capita!$D37</f>
        <v>0</v>
      </c>
      <c r="O37" s="336">
        <f>Gasto_o_ing_per_capita!O37-Gasto_o_ing_per_capita!$D37</f>
        <v>0</v>
      </c>
      <c r="P37" s="336">
        <f>Gasto_o_ing_per_capita!P37-Gasto_o_ing_per_capita!$D37</f>
        <v>0</v>
      </c>
      <c r="Q37" s="336">
        <f>Gasto_o_ing_per_capita!Q37-Gasto_o_ing_per_capita!$D37</f>
        <v>0</v>
      </c>
      <c r="R37" s="336">
        <f>Gasto_o_ing_per_capita!R37-Gasto_o_ing_per_capita!$D37</f>
        <v>0</v>
      </c>
      <c r="S37" s="336">
        <f>Gasto_o_ing_per_capita!S37-Gasto_o_ing_per_capita!$D37</f>
        <v>0</v>
      </c>
      <c r="T37" s="336">
        <f>Gasto_o_ing_per_capita!T37-Gasto_o_ing_per_capita!$D37</f>
        <v>0</v>
      </c>
      <c r="U37" s="336">
        <f>Gasto_o_ing_per_capita!U37-Gasto_o_ing_per_capita!$D37</f>
        <v>0</v>
      </c>
      <c r="V37" s="336">
        <f>Gasto_o_ing_per_capita!V37-Gasto_o_ing_per_capita!$D37</f>
        <v>0</v>
      </c>
      <c r="W37" s="122"/>
      <c r="X37" s="104"/>
    </row>
    <row r="38" spans="1:24" s="102" customFormat="1" ht="13.15">
      <c r="A38" s="355" t="str">
        <f>IF(B38="","",(IF(ISERROR(MATCH(B38,Tot_res!C:C,0)),"Eliminar!!!","")))</f>
        <v/>
      </c>
      <c r="B38" s="115" t="s">
        <v>142</v>
      </c>
      <c r="C38" s="333" t="str">
        <f>VLOOKUP(B38,Tot_res!C:D,2,FALSE)</f>
        <v>Personal en reserva</v>
      </c>
      <c r="D38" s="336">
        <f>Gasto_o_ing_per_capita!D38-Gasto_o_ing_per_capita!$D38</f>
        <v>0</v>
      </c>
      <c r="E38" s="336">
        <f>Gasto_o_ing_per_capita!E38-Gasto_o_ing_per_capita!$D38</f>
        <v>0</v>
      </c>
      <c r="F38" s="336">
        <f>Gasto_o_ing_per_capita!F38-Gasto_o_ing_per_capita!$D38</f>
        <v>0</v>
      </c>
      <c r="G38" s="336">
        <f>Gasto_o_ing_per_capita!G38-Gasto_o_ing_per_capita!$D38</f>
        <v>0</v>
      </c>
      <c r="H38" s="336">
        <f>Gasto_o_ing_per_capita!H38-Gasto_o_ing_per_capita!$D38</f>
        <v>0</v>
      </c>
      <c r="I38" s="336">
        <f>Gasto_o_ing_per_capita!I38-Gasto_o_ing_per_capita!$D38</f>
        <v>0</v>
      </c>
      <c r="J38" s="336">
        <f>Gasto_o_ing_per_capita!J38-Gasto_o_ing_per_capita!$D38</f>
        <v>0</v>
      </c>
      <c r="K38" s="336">
        <f>Gasto_o_ing_per_capita!K38-Gasto_o_ing_per_capita!$D38</f>
        <v>0</v>
      </c>
      <c r="L38" s="336">
        <f>Gasto_o_ing_per_capita!L38-Gasto_o_ing_per_capita!$D38</f>
        <v>0</v>
      </c>
      <c r="M38" s="336">
        <f>Gasto_o_ing_per_capita!M38-Gasto_o_ing_per_capita!$D38</f>
        <v>0</v>
      </c>
      <c r="N38" s="336">
        <f>Gasto_o_ing_per_capita!N38-Gasto_o_ing_per_capita!$D38</f>
        <v>0</v>
      </c>
      <c r="O38" s="336">
        <f>Gasto_o_ing_per_capita!O38-Gasto_o_ing_per_capita!$D38</f>
        <v>0</v>
      </c>
      <c r="P38" s="336">
        <f>Gasto_o_ing_per_capita!P38-Gasto_o_ing_per_capita!$D38</f>
        <v>0</v>
      </c>
      <c r="Q38" s="336">
        <f>Gasto_o_ing_per_capita!Q38-Gasto_o_ing_per_capita!$D38</f>
        <v>0</v>
      </c>
      <c r="R38" s="336">
        <f>Gasto_o_ing_per_capita!R38-Gasto_o_ing_per_capita!$D38</f>
        <v>0</v>
      </c>
      <c r="S38" s="336">
        <f>Gasto_o_ing_per_capita!S38-Gasto_o_ing_per_capita!$D38</f>
        <v>0</v>
      </c>
      <c r="T38" s="336">
        <f>Gasto_o_ing_per_capita!T38-Gasto_o_ing_per_capita!$D38</f>
        <v>0</v>
      </c>
      <c r="U38" s="336">
        <f>Gasto_o_ing_per_capita!U38-Gasto_o_ing_per_capita!$D38</f>
        <v>0</v>
      </c>
      <c r="V38" s="336">
        <f>Gasto_o_ing_per_capita!V38-Gasto_o_ing_per_capita!$D38</f>
        <v>0</v>
      </c>
      <c r="W38" s="122"/>
      <c r="X38" s="104"/>
    </row>
    <row r="39" spans="1:24" s="102" customFormat="1" ht="13.15">
      <c r="A39" s="355" t="str">
        <f>IF(B39="","",(IF(ISERROR(MATCH(B39,Tot_res!C:C,0)),"Eliminar!!!","")))</f>
        <v/>
      </c>
      <c r="B39" s="115" t="s">
        <v>144</v>
      </c>
      <c r="C39" s="333" t="str">
        <f>VLOOKUP(B39,Tot_res!C:D,2,FALSE)</f>
        <v>Modernización de las fuerzas armadas</v>
      </c>
      <c r="D39" s="336">
        <f>Gasto_o_ing_per_capita!D39-Gasto_o_ing_per_capita!$D39</f>
        <v>0</v>
      </c>
      <c r="E39" s="336">
        <f>Gasto_o_ing_per_capita!E39-Gasto_o_ing_per_capita!$D39</f>
        <v>0</v>
      </c>
      <c r="F39" s="336">
        <f>Gasto_o_ing_per_capita!F39-Gasto_o_ing_per_capita!$D39</f>
        <v>0</v>
      </c>
      <c r="G39" s="336">
        <f>Gasto_o_ing_per_capita!G39-Gasto_o_ing_per_capita!$D39</f>
        <v>0</v>
      </c>
      <c r="H39" s="336">
        <f>Gasto_o_ing_per_capita!H39-Gasto_o_ing_per_capita!$D39</f>
        <v>0</v>
      </c>
      <c r="I39" s="336">
        <f>Gasto_o_ing_per_capita!I39-Gasto_o_ing_per_capita!$D39</f>
        <v>0</v>
      </c>
      <c r="J39" s="336">
        <f>Gasto_o_ing_per_capita!J39-Gasto_o_ing_per_capita!$D39</f>
        <v>0</v>
      </c>
      <c r="K39" s="336">
        <f>Gasto_o_ing_per_capita!K39-Gasto_o_ing_per_capita!$D39</f>
        <v>0</v>
      </c>
      <c r="L39" s="336">
        <f>Gasto_o_ing_per_capita!L39-Gasto_o_ing_per_capita!$D39</f>
        <v>0</v>
      </c>
      <c r="M39" s="336">
        <f>Gasto_o_ing_per_capita!M39-Gasto_o_ing_per_capita!$D39</f>
        <v>0</v>
      </c>
      <c r="N39" s="336">
        <f>Gasto_o_ing_per_capita!N39-Gasto_o_ing_per_capita!$D39</f>
        <v>0</v>
      </c>
      <c r="O39" s="336">
        <f>Gasto_o_ing_per_capita!O39-Gasto_o_ing_per_capita!$D39</f>
        <v>0</v>
      </c>
      <c r="P39" s="336">
        <f>Gasto_o_ing_per_capita!P39-Gasto_o_ing_per_capita!$D39</f>
        <v>0</v>
      </c>
      <c r="Q39" s="336">
        <f>Gasto_o_ing_per_capita!Q39-Gasto_o_ing_per_capita!$D39</f>
        <v>0</v>
      </c>
      <c r="R39" s="336">
        <f>Gasto_o_ing_per_capita!R39-Gasto_o_ing_per_capita!$D39</f>
        <v>0</v>
      </c>
      <c r="S39" s="336">
        <f>Gasto_o_ing_per_capita!S39-Gasto_o_ing_per_capita!$D39</f>
        <v>0</v>
      </c>
      <c r="T39" s="336">
        <f>Gasto_o_ing_per_capita!T39-Gasto_o_ing_per_capita!$D39</f>
        <v>0</v>
      </c>
      <c r="U39" s="336">
        <f>Gasto_o_ing_per_capita!U39-Gasto_o_ing_per_capita!$D39</f>
        <v>0</v>
      </c>
      <c r="V39" s="336">
        <f>Gasto_o_ing_per_capita!V39-Gasto_o_ing_per_capita!$D39</f>
        <v>0</v>
      </c>
      <c r="W39" s="122"/>
      <c r="X39" s="104"/>
    </row>
    <row r="40" spans="1:24" s="102" customFormat="1" ht="13.15">
      <c r="A40" s="355" t="str">
        <f>IF(B40="","",(IF(ISERROR(MATCH(B40,Tot_res!C:C,0)),"Eliminar!!!","")))</f>
        <v/>
      </c>
      <c r="B40" s="115" t="s">
        <v>145</v>
      </c>
      <c r="C40" s="333" t="str">
        <f>VLOOKUP(B40,Tot_res!C:D,2,FALSE)</f>
        <v>Programas especiales de modernización</v>
      </c>
      <c r="D40" s="336">
        <f>Gasto_o_ing_per_capita!D40-Gasto_o_ing_per_capita!$D40</f>
        <v>0</v>
      </c>
      <c r="E40" s="336">
        <f>Gasto_o_ing_per_capita!E40-Gasto_o_ing_per_capita!$D40</f>
        <v>0</v>
      </c>
      <c r="F40" s="336">
        <f>Gasto_o_ing_per_capita!F40-Gasto_o_ing_per_capita!$D40</f>
        <v>0</v>
      </c>
      <c r="G40" s="336">
        <f>Gasto_o_ing_per_capita!G40-Gasto_o_ing_per_capita!$D40</f>
        <v>0</v>
      </c>
      <c r="H40" s="336">
        <f>Gasto_o_ing_per_capita!H40-Gasto_o_ing_per_capita!$D40</f>
        <v>0</v>
      </c>
      <c r="I40" s="336">
        <f>Gasto_o_ing_per_capita!I40-Gasto_o_ing_per_capita!$D40</f>
        <v>0</v>
      </c>
      <c r="J40" s="336">
        <f>Gasto_o_ing_per_capita!J40-Gasto_o_ing_per_capita!$D40</f>
        <v>0</v>
      </c>
      <c r="K40" s="336">
        <f>Gasto_o_ing_per_capita!K40-Gasto_o_ing_per_capita!$D40</f>
        <v>0</v>
      </c>
      <c r="L40" s="336">
        <f>Gasto_o_ing_per_capita!L40-Gasto_o_ing_per_capita!$D40</f>
        <v>0</v>
      </c>
      <c r="M40" s="336">
        <f>Gasto_o_ing_per_capita!M40-Gasto_o_ing_per_capita!$D40</f>
        <v>0</v>
      </c>
      <c r="N40" s="336">
        <f>Gasto_o_ing_per_capita!N40-Gasto_o_ing_per_capita!$D40</f>
        <v>0</v>
      </c>
      <c r="O40" s="336">
        <f>Gasto_o_ing_per_capita!O40-Gasto_o_ing_per_capita!$D40</f>
        <v>0</v>
      </c>
      <c r="P40" s="336">
        <f>Gasto_o_ing_per_capita!P40-Gasto_o_ing_per_capita!$D40</f>
        <v>0</v>
      </c>
      <c r="Q40" s="336">
        <f>Gasto_o_ing_per_capita!Q40-Gasto_o_ing_per_capita!$D40</f>
        <v>0</v>
      </c>
      <c r="R40" s="336">
        <f>Gasto_o_ing_per_capita!R40-Gasto_o_ing_per_capita!$D40</f>
        <v>0</v>
      </c>
      <c r="S40" s="336">
        <f>Gasto_o_ing_per_capita!S40-Gasto_o_ing_per_capita!$D40</f>
        <v>0</v>
      </c>
      <c r="T40" s="336">
        <f>Gasto_o_ing_per_capita!T40-Gasto_o_ing_per_capita!$D40</f>
        <v>0</v>
      </c>
      <c r="U40" s="336">
        <f>Gasto_o_ing_per_capita!U40-Gasto_o_ing_per_capita!$D40</f>
        <v>0</v>
      </c>
      <c r="V40" s="336">
        <f>Gasto_o_ing_per_capita!V40-Gasto_o_ing_per_capita!$D40</f>
        <v>0</v>
      </c>
      <c r="W40" s="122"/>
      <c r="X40" s="104"/>
    </row>
    <row r="41" spans="1:24" s="102" customFormat="1" ht="13.15">
      <c r="A41" s="355" t="str">
        <f>IF(B41="","",(IF(ISERROR(MATCH(B41,Tot_res!C:C,0)),"Eliminar!!!","")))</f>
        <v/>
      </c>
      <c r="B41" s="115" t="s">
        <v>147</v>
      </c>
      <c r="C41" s="333" t="str">
        <f>VLOOKUP(B41,Tot_res!C:D,2,FALSE)</f>
        <v>Gastos operativos de las fuerzas armadas</v>
      </c>
      <c r="D41" s="336">
        <f>Gasto_o_ing_per_capita!D41-Gasto_o_ing_per_capita!$D41</f>
        <v>0</v>
      </c>
      <c r="E41" s="336">
        <f>Gasto_o_ing_per_capita!E41-Gasto_o_ing_per_capita!$D41</f>
        <v>0</v>
      </c>
      <c r="F41" s="336">
        <f>Gasto_o_ing_per_capita!F41-Gasto_o_ing_per_capita!$D41</f>
        <v>0</v>
      </c>
      <c r="G41" s="336">
        <f>Gasto_o_ing_per_capita!G41-Gasto_o_ing_per_capita!$D41</f>
        <v>0</v>
      </c>
      <c r="H41" s="336">
        <f>Gasto_o_ing_per_capita!H41-Gasto_o_ing_per_capita!$D41</f>
        <v>0</v>
      </c>
      <c r="I41" s="336">
        <f>Gasto_o_ing_per_capita!I41-Gasto_o_ing_per_capita!$D41</f>
        <v>0</v>
      </c>
      <c r="J41" s="336">
        <f>Gasto_o_ing_per_capita!J41-Gasto_o_ing_per_capita!$D41</f>
        <v>0</v>
      </c>
      <c r="K41" s="336">
        <f>Gasto_o_ing_per_capita!K41-Gasto_o_ing_per_capita!$D41</f>
        <v>0</v>
      </c>
      <c r="L41" s="336">
        <f>Gasto_o_ing_per_capita!L41-Gasto_o_ing_per_capita!$D41</f>
        <v>0</v>
      </c>
      <c r="M41" s="336">
        <f>Gasto_o_ing_per_capita!M41-Gasto_o_ing_per_capita!$D41</f>
        <v>0</v>
      </c>
      <c r="N41" s="336">
        <f>Gasto_o_ing_per_capita!N41-Gasto_o_ing_per_capita!$D41</f>
        <v>0</v>
      </c>
      <c r="O41" s="336">
        <f>Gasto_o_ing_per_capita!O41-Gasto_o_ing_per_capita!$D41</f>
        <v>0</v>
      </c>
      <c r="P41" s="336">
        <f>Gasto_o_ing_per_capita!P41-Gasto_o_ing_per_capita!$D41</f>
        <v>0</v>
      </c>
      <c r="Q41" s="336">
        <f>Gasto_o_ing_per_capita!Q41-Gasto_o_ing_per_capita!$D41</f>
        <v>0</v>
      </c>
      <c r="R41" s="336">
        <f>Gasto_o_ing_per_capita!R41-Gasto_o_ing_per_capita!$D41</f>
        <v>0</v>
      </c>
      <c r="S41" s="336">
        <f>Gasto_o_ing_per_capita!S41-Gasto_o_ing_per_capita!$D41</f>
        <v>0</v>
      </c>
      <c r="T41" s="336">
        <f>Gasto_o_ing_per_capita!T41-Gasto_o_ing_per_capita!$D41</f>
        <v>0</v>
      </c>
      <c r="U41" s="336">
        <f>Gasto_o_ing_per_capita!U41-Gasto_o_ing_per_capita!$D41</f>
        <v>0</v>
      </c>
      <c r="V41" s="336">
        <f>Gasto_o_ing_per_capita!V41-Gasto_o_ing_per_capita!$D41</f>
        <v>0</v>
      </c>
      <c r="W41" s="122"/>
      <c r="X41" s="104"/>
    </row>
    <row r="42" spans="1:24" s="102" customFormat="1" ht="13.15">
      <c r="A42" s="355" t="str">
        <f>IF(B42="","",(IF(ISERROR(MATCH(B42,Tot_res!C:C,0)),"Eliminar!!!","")))</f>
        <v/>
      </c>
      <c r="B42" s="115" t="s">
        <v>148</v>
      </c>
      <c r="C42" s="333" t="str">
        <f>VLOOKUP(B42,Tot_res!C:D,2,FALSE)</f>
        <v>Apoyo logístico</v>
      </c>
      <c r="D42" s="336">
        <f>Gasto_o_ing_per_capita!D42-Gasto_o_ing_per_capita!$D42</f>
        <v>0</v>
      </c>
      <c r="E42" s="336">
        <f>Gasto_o_ing_per_capita!E42-Gasto_o_ing_per_capita!$D42</f>
        <v>0</v>
      </c>
      <c r="F42" s="336">
        <f>Gasto_o_ing_per_capita!F42-Gasto_o_ing_per_capita!$D42</f>
        <v>0</v>
      </c>
      <c r="G42" s="336">
        <f>Gasto_o_ing_per_capita!G42-Gasto_o_ing_per_capita!$D42</f>
        <v>0</v>
      </c>
      <c r="H42" s="336">
        <f>Gasto_o_ing_per_capita!H42-Gasto_o_ing_per_capita!$D42</f>
        <v>0</v>
      </c>
      <c r="I42" s="336">
        <f>Gasto_o_ing_per_capita!I42-Gasto_o_ing_per_capita!$D42</f>
        <v>0</v>
      </c>
      <c r="J42" s="336">
        <f>Gasto_o_ing_per_capita!J42-Gasto_o_ing_per_capita!$D42</f>
        <v>0</v>
      </c>
      <c r="K42" s="336">
        <f>Gasto_o_ing_per_capita!K42-Gasto_o_ing_per_capita!$D42</f>
        <v>0</v>
      </c>
      <c r="L42" s="336">
        <f>Gasto_o_ing_per_capita!L42-Gasto_o_ing_per_capita!$D42</f>
        <v>0</v>
      </c>
      <c r="M42" s="336">
        <f>Gasto_o_ing_per_capita!M42-Gasto_o_ing_per_capita!$D42</f>
        <v>0</v>
      </c>
      <c r="N42" s="336">
        <f>Gasto_o_ing_per_capita!N42-Gasto_o_ing_per_capita!$D42</f>
        <v>0</v>
      </c>
      <c r="O42" s="336">
        <f>Gasto_o_ing_per_capita!O42-Gasto_o_ing_per_capita!$D42</f>
        <v>0</v>
      </c>
      <c r="P42" s="336">
        <f>Gasto_o_ing_per_capita!P42-Gasto_o_ing_per_capita!$D42</f>
        <v>0</v>
      </c>
      <c r="Q42" s="336">
        <f>Gasto_o_ing_per_capita!Q42-Gasto_o_ing_per_capita!$D42</f>
        <v>0</v>
      </c>
      <c r="R42" s="336">
        <f>Gasto_o_ing_per_capita!R42-Gasto_o_ing_per_capita!$D42</f>
        <v>0</v>
      </c>
      <c r="S42" s="336">
        <f>Gasto_o_ing_per_capita!S42-Gasto_o_ing_per_capita!$D42</f>
        <v>0</v>
      </c>
      <c r="T42" s="336">
        <f>Gasto_o_ing_per_capita!T42-Gasto_o_ing_per_capita!$D42</f>
        <v>0</v>
      </c>
      <c r="U42" s="336">
        <f>Gasto_o_ing_per_capita!U42-Gasto_o_ing_per_capita!$D42</f>
        <v>0</v>
      </c>
      <c r="V42" s="336">
        <f>Gasto_o_ing_per_capita!V42-Gasto_o_ing_per_capita!$D42</f>
        <v>0</v>
      </c>
      <c r="W42" s="122"/>
      <c r="X42" s="104"/>
    </row>
    <row r="43" spans="1:24" s="102" customFormat="1" ht="13.15">
      <c r="A43" s="355" t="str">
        <f>IF(B43="","",(IF(ISERROR(MATCH(B43,Tot_res!C:C,0)),"Eliminar!!!","")))</f>
        <v/>
      </c>
      <c r="B43" s="115" t="s">
        <v>149</v>
      </c>
      <c r="C43" s="333" t="str">
        <f>VLOOKUP(B43,Tot_res!C:D,2,FALSE)</f>
        <v>Asistencia hospitalaria en las fuerzas armadas</v>
      </c>
      <c r="D43" s="336">
        <f>Gasto_o_ing_per_capita!D43-Gasto_o_ing_per_capita!$D43</f>
        <v>0</v>
      </c>
      <c r="E43" s="336">
        <f>Gasto_o_ing_per_capita!E43-Gasto_o_ing_per_capita!$D43</f>
        <v>0</v>
      </c>
      <c r="F43" s="336">
        <f>Gasto_o_ing_per_capita!F43-Gasto_o_ing_per_capita!$D43</f>
        <v>0</v>
      </c>
      <c r="G43" s="336">
        <f>Gasto_o_ing_per_capita!G43-Gasto_o_ing_per_capita!$D43</f>
        <v>0</v>
      </c>
      <c r="H43" s="336">
        <f>Gasto_o_ing_per_capita!H43-Gasto_o_ing_per_capita!$D43</f>
        <v>0</v>
      </c>
      <c r="I43" s="336">
        <f>Gasto_o_ing_per_capita!I43-Gasto_o_ing_per_capita!$D43</f>
        <v>0</v>
      </c>
      <c r="J43" s="336">
        <f>Gasto_o_ing_per_capita!J43-Gasto_o_ing_per_capita!$D43</f>
        <v>0</v>
      </c>
      <c r="K43" s="336">
        <f>Gasto_o_ing_per_capita!K43-Gasto_o_ing_per_capita!$D43</f>
        <v>0</v>
      </c>
      <c r="L43" s="336">
        <f>Gasto_o_ing_per_capita!L43-Gasto_o_ing_per_capita!$D43</f>
        <v>0</v>
      </c>
      <c r="M43" s="336">
        <f>Gasto_o_ing_per_capita!M43-Gasto_o_ing_per_capita!$D43</f>
        <v>0</v>
      </c>
      <c r="N43" s="336">
        <f>Gasto_o_ing_per_capita!N43-Gasto_o_ing_per_capita!$D43</f>
        <v>0</v>
      </c>
      <c r="O43" s="336">
        <f>Gasto_o_ing_per_capita!O43-Gasto_o_ing_per_capita!$D43</f>
        <v>0</v>
      </c>
      <c r="P43" s="336">
        <f>Gasto_o_ing_per_capita!P43-Gasto_o_ing_per_capita!$D43</f>
        <v>0</v>
      </c>
      <c r="Q43" s="336">
        <f>Gasto_o_ing_per_capita!Q43-Gasto_o_ing_per_capita!$D43</f>
        <v>0</v>
      </c>
      <c r="R43" s="336">
        <f>Gasto_o_ing_per_capita!R43-Gasto_o_ing_per_capita!$D43</f>
        <v>0</v>
      </c>
      <c r="S43" s="336">
        <f>Gasto_o_ing_per_capita!S43-Gasto_o_ing_per_capita!$D43</f>
        <v>0</v>
      </c>
      <c r="T43" s="336">
        <f>Gasto_o_ing_per_capita!T43-Gasto_o_ing_per_capita!$D43</f>
        <v>0</v>
      </c>
      <c r="U43" s="336">
        <f>Gasto_o_ing_per_capita!U43-Gasto_o_ing_per_capita!$D43</f>
        <v>0</v>
      </c>
      <c r="V43" s="336">
        <f>Gasto_o_ing_per_capita!V43-Gasto_o_ing_per_capita!$D43</f>
        <v>0</v>
      </c>
      <c r="W43" s="122"/>
      <c r="X43" s="104"/>
    </row>
    <row r="44" spans="1:24" s="102" customFormat="1" ht="13.15">
      <c r="A44" s="355" t="str">
        <f>IF(B44="","",(IF(ISERROR(MATCH(B44,Tot_res!C:C,0)),"Eliminar!!!","")))</f>
        <v/>
      </c>
      <c r="B44" s="115" t="s">
        <v>150</v>
      </c>
      <c r="C44" s="333" t="str">
        <f>VLOOKUP(B44,Tot_res!C:D,2,FALSE)</f>
        <v>Investigación y estudios de las fuerzas armadas</v>
      </c>
      <c r="D44" s="336">
        <f>Gasto_o_ing_per_capita!D44-Gasto_o_ing_per_capita!$D44</f>
        <v>0</v>
      </c>
      <c r="E44" s="336">
        <f>Gasto_o_ing_per_capita!E44-Gasto_o_ing_per_capita!$D44</f>
        <v>0</v>
      </c>
      <c r="F44" s="336">
        <f>Gasto_o_ing_per_capita!F44-Gasto_o_ing_per_capita!$D44</f>
        <v>0</v>
      </c>
      <c r="G44" s="336">
        <f>Gasto_o_ing_per_capita!G44-Gasto_o_ing_per_capita!$D44</f>
        <v>0</v>
      </c>
      <c r="H44" s="336">
        <f>Gasto_o_ing_per_capita!H44-Gasto_o_ing_per_capita!$D44</f>
        <v>0</v>
      </c>
      <c r="I44" s="336">
        <f>Gasto_o_ing_per_capita!I44-Gasto_o_ing_per_capita!$D44</f>
        <v>0</v>
      </c>
      <c r="J44" s="336">
        <f>Gasto_o_ing_per_capita!J44-Gasto_o_ing_per_capita!$D44</f>
        <v>0</v>
      </c>
      <c r="K44" s="336">
        <f>Gasto_o_ing_per_capita!K44-Gasto_o_ing_per_capita!$D44</f>
        <v>0</v>
      </c>
      <c r="L44" s="336">
        <f>Gasto_o_ing_per_capita!L44-Gasto_o_ing_per_capita!$D44</f>
        <v>0</v>
      </c>
      <c r="M44" s="336">
        <f>Gasto_o_ing_per_capita!M44-Gasto_o_ing_per_capita!$D44</f>
        <v>0</v>
      </c>
      <c r="N44" s="336">
        <f>Gasto_o_ing_per_capita!N44-Gasto_o_ing_per_capita!$D44</f>
        <v>0</v>
      </c>
      <c r="O44" s="336">
        <f>Gasto_o_ing_per_capita!O44-Gasto_o_ing_per_capita!$D44</f>
        <v>0</v>
      </c>
      <c r="P44" s="336">
        <f>Gasto_o_ing_per_capita!P44-Gasto_o_ing_per_capita!$D44</f>
        <v>0</v>
      </c>
      <c r="Q44" s="336">
        <f>Gasto_o_ing_per_capita!Q44-Gasto_o_ing_per_capita!$D44</f>
        <v>0</v>
      </c>
      <c r="R44" s="336">
        <f>Gasto_o_ing_per_capita!R44-Gasto_o_ing_per_capita!$D44</f>
        <v>0</v>
      </c>
      <c r="S44" s="336">
        <f>Gasto_o_ing_per_capita!S44-Gasto_o_ing_per_capita!$D44</f>
        <v>0</v>
      </c>
      <c r="T44" s="336">
        <f>Gasto_o_ing_per_capita!T44-Gasto_o_ing_per_capita!$D44</f>
        <v>0</v>
      </c>
      <c r="U44" s="336">
        <f>Gasto_o_ing_per_capita!U44-Gasto_o_ing_per_capita!$D44</f>
        <v>0</v>
      </c>
      <c r="V44" s="336">
        <f>Gasto_o_ing_per_capita!V44-Gasto_o_ing_per_capita!$D44</f>
        <v>0</v>
      </c>
      <c r="W44" s="122"/>
      <c r="X44" s="104"/>
    </row>
    <row r="45" spans="1:24" s="102" customFormat="1" ht="13.15">
      <c r="A45" s="355" t="str">
        <f>IF(B45="","",(IF(ISERROR(MATCH(B45,Tot_res!C:C,0)),"Eliminar!!!","")))</f>
        <v/>
      </c>
      <c r="B45" s="115" t="s">
        <v>152</v>
      </c>
      <c r="C45" s="333" t="str">
        <f>VLOOKUP(B45,Tot_res!C:D,2,FALSE)</f>
        <v>Apoyo a la innovación tecnológica en el sector de la defensa</v>
      </c>
      <c r="D45" s="336">
        <f>Gasto_o_ing_per_capita!D45-Gasto_o_ing_per_capita!$D45</f>
        <v>0</v>
      </c>
      <c r="E45" s="336">
        <f>Gasto_o_ing_per_capita!E45-Gasto_o_ing_per_capita!$D45</f>
        <v>0</v>
      </c>
      <c r="F45" s="336">
        <f>Gasto_o_ing_per_capita!F45-Gasto_o_ing_per_capita!$D45</f>
        <v>0</v>
      </c>
      <c r="G45" s="336">
        <f>Gasto_o_ing_per_capita!G45-Gasto_o_ing_per_capita!$D45</f>
        <v>0</v>
      </c>
      <c r="H45" s="336">
        <f>Gasto_o_ing_per_capita!H45-Gasto_o_ing_per_capita!$D45</f>
        <v>0</v>
      </c>
      <c r="I45" s="336">
        <f>Gasto_o_ing_per_capita!I45-Gasto_o_ing_per_capita!$D45</f>
        <v>0</v>
      </c>
      <c r="J45" s="336">
        <f>Gasto_o_ing_per_capita!J45-Gasto_o_ing_per_capita!$D45</f>
        <v>0</v>
      </c>
      <c r="K45" s="336">
        <f>Gasto_o_ing_per_capita!K45-Gasto_o_ing_per_capita!$D45</f>
        <v>0</v>
      </c>
      <c r="L45" s="336">
        <f>Gasto_o_ing_per_capita!L45-Gasto_o_ing_per_capita!$D45</f>
        <v>0</v>
      </c>
      <c r="M45" s="336">
        <f>Gasto_o_ing_per_capita!M45-Gasto_o_ing_per_capita!$D45</f>
        <v>0</v>
      </c>
      <c r="N45" s="336">
        <f>Gasto_o_ing_per_capita!N45-Gasto_o_ing_per_capita!$D45</f>
        <v>0</v>
      </c>
      <c r="O45" s="336">
        <f>Gasto_o_ing_per_capita!O45-Gasto_o_ing_per_capita!$D45</f>
        <v>0</v>
      </c>
      <c r="P45" s="336">
        <f>Gasto_o_ing_per_capita!P45-Gasto_o_ing_per_capita!$D45</f>
        <v>0</v>
      </c>
      <c r="Q45" s="336">
        <f>Gasto_o_ing_per_capita!Q45-Gasto_o_ing_per_capita!$D45</f>
        <v>0</v>
      </c>
      <c r="R45" s="336">
        <f>Gasto_o_ing_per_capita!R45-Gasto_o_ing_per_capita!$D45</f>
        <v>0</v>
      </c>
      <c r="S45" s="336">
        <f>Gasto_o_ing_per_capita!S45-Gasto_o_ing_per_capita!$D45</f>
        <v>0</v>
      </c>
      <c r="T45" s="336">
        <f>Gasto_o_ing_per_capita!T45-Gasto_o_ing_per_capita!$D45</f>
        <v>0</v>
      </c>
      <c r="U45" s="336">
        <f>Gasto_o_ing_per_capita!U45-Gasto_o_ing_per_capita!$D45</f>
        <v>0</v>
      </c>
      <c r="V45" s="336">
        <f>Gasto_o_ing_per_capita!V45-Gasto_o_ing_per_capita!$D45</f>
        <v>0</v>
      </c>
      <c r="W45" s="122"/>
      <c r="X45" s="104"/>
    </row>
    <row r="46" spans="1:24" s="102" customFormat="1" ht="13.15">
      <c r="A46" s="356"/>
      <c r="B46" s="115"/>
      <c r="D46" s="110"/>
      <c r="E46" s="110"/>
      <c r="F46" s="110"/>
      <c r="G46" s="110"/>
      <c r="H46" s="110"/>
      <c r="I46" s="110"/>
      <c r="J46" s="110"/>
      <c r="K46" s="110"/>
      <c r="L46" s="110"/>
      <c r="M46" s="110"/>
      <c r="N46" s="110"/>
      <c r="O46" s="110"/>
      <c r="P46" s="110"/>
      <c r="Q46" s="110"/>
      <c r="R46" s="110"/>
      <c r="S46" s="110"/>
      <c r="T46" s="110"/>
      <c r="U46" s="110"/>
      <c r="V46" s="110"/>
      <c r="W46" s="122"/>
      <c r="X46" s="104"/>
    </row>
    <row r="47" spans="1:24" s="102" customFormat="1" ht="13.15">
      <c r="A47" s="356"/>
      <c r="B47" s="115"/>
      <c r="C47" s="128" t="s">
        <v>30</v>
      </c>
      <c r="D47" s="113">
        <f>Gasto_o_ing_per_capita!D47-Gasto_o_ing_per_capita!$D47</f>
        <v>0</v>
      </c>
      <c r="E47" s="113">
        <f>Gasto_o_ing_per_capita!E47-Gasto_o_ing_per_capita!$D47</f>
        <v>0</v>
      </c>
      <c r="F47" s="113">
        <f>Gasto_o_ing_per_capita!F47-Gasto_o_ing_per_capita!$D47</f>
        <v>0</v>
      </c>
      <c r="G47" s="113">
        <f>Gasto_o_ing_per_capita!G47-Gasto_o_ing_per_capita!$D47</f>
        <v>0</v>
      </c>
      <c r="H47" s="113">
        <f>Gasto_o_ing_per_capita!H47-Gasto_o_ing_per_capita!$D47</f>
        <v>0</v>
      </c>
      <c r="I47" s="113">
        <f>Gasto_o_ing_per_capita!I47-Gasto_o_ing_per_capita!$D47</f>
        <v>0</v>
      </c>
      <c r="J47" s="113">
        <f>Gasto_o_ing_per_capita!J47-Gasto_o_ing_per_capita!$D47</f>
        <v>0</v>
      </c>
      <c r="K47" s="113">
        <f>Gasto_o_ing_per_capita!K47-Gasto_o_ing_per_capita!$D47</f>
        <v>0</v>
      </c>
      <c r="L47" s="113">
        <f>Gasto_o_ing_per_capita!L47-Gasto_o_ing_per_capita!$D47</f>
        <v>0</v>
      </c>
      <c r="M47" s="113">
        <f>Gasto_o_ing_per_capita!M47-Gasto_o_ing_per_capita!$D47</f>
        <v>0</v>
      </c>
      <c r="N47" s="113">
        <f>Gasto_o_ing_per_capita!N47-Gasto_o_ing_per_capita!$D47</f>
        <v>0</v>
      </c>
      <c r="O47" s="113">
        <f>Gasto_o_ing_per_capita!O47-Gasto_o_ing_per_capita!$D47</f>
        <v>0</v>
      </c>
      <c r="P47" s="113">
        <f>Gasto_o_ing_per_capita!P47-Gasto_o_ing_per_capita!$D47</f>
        <v>0</v>
      </c>
      <c r="Q47" s="113">
        <f>Gasto_o_ing_per_capita!Q47-Gasto_o_ing_per_capita!$D47</f>
        <v>0</v>
      </c>
      <c r="R47" s="113">
        <f>Gasto_o_ing_per_capita!R47-Gasto_o_ing_per_capita!$D47</f>
        <v>0</v>
      </c>
      <c r="S47" s="113">
        <f>Gasto_o_ing_per_capita!S47-Gasto_o_ing_per_capita!$D47</f>
        <v>0</v>
      </c>
      <c r="T47" s="113">
        <f>Gasto_o_ing_per_capita!T47-Gasto_o_ing_per_capita!$D47</f>
        <v>0</v>
      </c>
      <c r="U47" s="113">
        <f>Gasto_o_ing_per_capita!U47-Gasto_o_ing_per_capita!$D47</f>
        <v>0</v>
      </c>
      <c r="V47" s="113">
        <f>Gasto_o_ing_per_capita!V47-Gasto_o_ing_per_capita!$D47</f>
        <v>0</v>
      </c>
      <c r="W47" s="122"/>
      <c r="X47" s="104"/>
    </row>
    <row r="48" spans="1:24" s="102" customFormat="1" ht="13.15">
      <c r="A48" s="355" t="str">
        <f>IF(B48="","",(IF(ISERROR(MATCH(B48,Tot_res!C:C,0)),"Eliminar!!!","")))</f>
        <v/>
      </c>
      <c r="B48" s="115" t="s">
        <v>153</v>
      </c>
      <c r="C48" s="333" t="str">
        <f>VLOOKUP(B48,Tot_res!C:D,2,FALSE)</f>
        <v>Coordinación y relaciones financieras con los entes territoriales</v>
      </c>
      <c r="D48" s="336">
        <f>Gasto_o_ing_per_capita!D48-Gasto_o_ing_per_capita!$D48</f>
        <v>0</v>
      </c>
      <c r="E48" s="336">
        <f>Gasto_o_ing_per_capita!E48-Gasto_o_ing_per_capita!$D48</f>
        <v>0</v>
      </c>
      <c r="F48" s="336">
        <f>Gasto_o_ing_per_capita!F48-Gasto_o_ing_per_capita!$D48</f>
        <v>0</v>
      </c>
      <c r="G48" s="336">
        <f>Gasto_o_ing_per_capita!G48-Gasto_o_ing_per_capita!$D48</f>
        <v>0</v>
      </c>
      <c r="H48" s="336">
        <f>Gasto_o_ing_per_capita!H48-Gasto_o_ing_per_capita!$D48</f>
        <v>0</v>
      </c>
      <c r="I48" s="336">
        <f>Gasto_o_ing_per_capita!I48-Gasto_o_ing_per_capita!$D48</f>
        <v>0</v>
      </c>
      <c r="J48" s="336">
        <f>Gasto_o_ing_per_capita!J48-Gasto_o_ing_per_capita!$D48</f>
        <v>0</v>
      </c>
      <c r="K48" s="336">
        <f>Gasto_o_ing_per_capita!K48-Gasto_o_ing_per_capita!$D48</f>
        <v>0</v>
      </c>
      <c r="L48" s="336">
        <f>Gasto_o_ing_per_capita!L48-Gasto_o_ing_per_capita!$D48</f>
        <v>0</v>
      </c>
      <c r="M48" s="336">
        <f>Gasto_o_ing_per_capita!M48-Gasto_o_ing_per_capita!$D48</f>
        <v>0</v>
      </c>
      <c r="N48" s="336">
        <f>Gasto_o_ing_per_capita!N48-Gasto_o_ing_per_capita!$D48</f>
        <v>0</v>
      </c>
      <c r="O48" s="336">
        <f>Gasto_o_ing_per_capita!O48-Gasto_o_ing_per_capita!$D48</f>
        <v>0</v>
      </c>
      <c r="P48" s="336">
        <f>Gasto_o_ing_per_capita!P48-Gasto_o_ing_per_capita!$D48</f>
        <v>0</v>
      </c>
      <c r="Q48" s="336">
        <f>Gasto_o_ing_per_capita!Q48-Gasto_o_ing_per_capita!$D48</f>
        <v>0</v>
      </c>
      <c r="R48" s="336">
        <f>Gasto_o_ing_per_capita!R48-Gasto_o_ing_per_capita!$D48</f>
        <v>0</v>
      </c>
      <c r="S48" s="336">
        <f>Gasto_o_ing_per_capita!S48-Gasto_o_ing_per_capita!$D48</f>
        <v>0</v>
      </c>
      <c r="T48" s="336">
        <f>Gasto_o_ing_per_capita!T48-Gasto_o_ing_per_capita!$D48</f>
        <v>0</v>
      </c>
      <c r="U48" s="336">
        <f>Gasto_o_ing_per_capita!U48-Gasto_o_ing_per_capita!$D48</f>
        <v>0</v>
      </c>
      <c r="V48" s="336">
        <f>Gasto_o_ing_per_capita!V48-Gasto_o_ing_per_capita!$D48</f>
        <v>0</v>
      </c>
      <c r="W48" s="131"/>
      <c r="X48" s="104"/>
    </row>
    <row r="49" spans="1:24" s="102" customFormat="1" ht="13.15">
      <c r="A49" s="355" t="str">
        <f>IF(B49="","",(IF(ISERROR(MATCH(B49,Tot_res!C:C,0)),"Eliminar!!!","")))</f>
        <v/>
      </c>
      <c r="B49" s="115" t="s">
        <v>630</v>
      </c>
      <c r="C49" s="333" t="str">
        <f>VLOOKUP(B49,Tot_res!C:D,2,FALSE)</f>
        <v>Gestión del patrimonio del estado</v>
      </c>
      <c r="D49" s="336">
        <f>Gasto_o_ing_per_capita!D49-Gasto_o_ing_per_capita!$D49</f>
        <v>0</v>
      </c>
      <c r="E49" s="336">
        <f>Gasto_o_ing_per_capita!E49-Gasto_o_ing_per_capita!$D49</f>
        <v>0</v>
      </c>
      <c r="F49" s="336">
        <f>Gasto_o_ing_per_capita!F49-Gasto_o_ing_per_capita!$D49</f>
        <v>0</v>
      </c>
      <c r="G49" s="336">
        <f>Gasto_o_ing_per_capita!G49-Gasto_o_ing_per_capita!$D49</f>
        <v>0</v>
      </c>
      <c r="H49" s="336">
        <f>Gasto_o_ing_per_capita!H49-Gasto_o_ing_per_capita!$D49</f>
        <v>0</v>
      </c>
      <c r="I49" s="336">
        <f>Gasto_o_ing_per_capita!I49-Gasto_o_ing_per_capita!$D49</f>
        <v>0</v>
      </c>
      <c r="J49" s="336">
        <f>Gasto_o_ing_per_capita!J49-Gasto_o_ing_per_capita!$D49</f>
        <v>0</v>
      </c>
      <c r="K49" s="336">
        <f>Gasto_o_ing_per_capita!K49-Gasto_o_ing_per_capita!$D49</f>
        <v>0</v>
      </c>
      <c r="L49" s="336">
        <f>Gasto_o_ing_per_capita!L49-Gasto_o_ing_per_capita!$D49</f>
        <v>0</v>
      </c>
      <c r="M49" s="336">
        <f>Gasto_o_ing_per_capita!M49-Gasto_o_ing_per_capita!$D49</f>
        <v>0</v>
      </c>
      <c r="N49" s="336">
        <f>Gasto_o_ing_per_capita!N49-Gasto_o_ing_per_capita!$D49</f>
        <v>0</v>
      </c>
      <c r="O49" s="336">
        <f>Gasto_o_ing_per_capita!O49-Gasto_o_ing_per_capita!$D49</f>
        <v>0</v>
      </c>
      <c r="P49" s="336">
        <f>Gasto_o_ing_per_capita!P49-Gasto_o_ing_per_capita!$D49</f>
        <v>0</v>
      </c>
      <c r="Q49" s="336">
        <f>Gasto_o_ing_per_capita!Q49-Gasto_o_ing_per_capita!$D49</f>
        <v>0</v>
      </c>
      <c r="R49" s="336">
        <f>Gasto_o_ing_per_capita!R49-Gasto_o_ing_per_capita!$D49</f>
        <v>0</v>
      </c>
      <c r="S49" s="336">
        <f>Gasto_o_ing_per_capita!S49-Gasto_o_ing_per_capita!$D49</f>
        <v>0</v>
      </c>
      <c r="T49" s="336">
        <f>Gasto_o_ing_per_capita!T49-Gasto_o_ing_per_capita!$D49</f>
        <v>0</v>
      </c>
      <c r="U49" s="336">
        <f>Gasto_o_ing_per_capita!U49-Gasto_o_ing_per_capita!$D49</f>
        <v>0</v>
      </c>
      <c r="V49" s="336">
        <f>Gasto_o_ing_per_capita!V49-Gasto_o_ing_per_capita!$D49</f>
        <v>0</v>
      </c>
      <c r="W49" s="122"/>
      <c r="X49" s="104"/>
    </row>
    <row r="50" spans="1:24" s="102" customFormat="1" ht="13.15">
      <c r="A50" s="355" t="str">
        <f>IF(B50="","",(IF(ISERROR(MATCH(B50,Tot_res!C:C,0)),"Eliminar!!!","")))</f>
        <v/>
      </c>
      <c r="B50" s="115" t="s">
        <v>696</v>
      </c>
      <c r="C50" s="333" t="str">
        <f>VLOOKUP(B50,Tot_res!C:D,2,FALSE)</f>
        <v>Dirección y servicios generales de hacienda y administraciones públicas</v>
      </c>
      <c r="D50" s="336">
        <f>Gasto_o_ing_per_capita!D50-Gasto_o_ing_per_capita!$D50</f>
        <v>0</v>
      </c>
      <c r="E50" s="336">
        <f>Gasto_o_ing_per_capita!E50-Gasto_o_ing_per_capita!$D50</f>
        <v>0</v>
      </c>
      <c r="F50" s="336">
        <f>Gasto_o_ing_per_capita!F50-Gasto_o_ing_per_capita!$D50</f>
        <v>0</v>
      </c>
      <c r="G50" s="336">
        <f>Gasto_o_ing_per_capita!G50-Gasto_o_ing_per_capita!$D50</f>
        <v>0</v>
      </c>
      <c r="H50" s="336">
        <f>Gasto_o_ing_per_capita!H50-Gasto_o_ing_per_capita!$D50</f>
        <v>0</v>
      </c>
      <c r="I50" s="336">
        <f>Gasto_o_ing_per_capita!I50-Gasto_o_ing_per_capita!$D50</f>
        <v>0</v>
      </c>
      <c r="J50" s="336">
        <f>Gasto_o_ing_per_capita!J50-Gasto_o_ing_per_capita!$D50</f>
        <v>0</v>
      </c>
      <c r="K50" s="336">
        <f>Gasto_o_ing_per_capita!K50-Gasto_o_ing_per_capita!$D50</f>
        <v>0</v>
      </c>
      <c r="L50" s="336">
        <f>Gasto_o_ing_per_capita!L50-Gasto_o_ing_per_capita!$D50</f>
        <v>0</v>
      </c>
      <c r="M50" s="336">
        <f>Gasto_o_ing_per_capita!M50-Gasto_o_ing_per_capita!$D50</f>
        <v>0</v>
      </c>
      <c r="N50" s="336">
        <f>Gasto_o_ing_per_capita!N50-Gasto_o_ing_per_capita!$D50</f>
        <v>0</v>
      </c>
      <c r="O50" s="336">
        <f>Gasto_o_ing_per_capita!O50-Gasto_o_ing_per_capita!$D50</f>
        <v>0</v>
      </c>
      <c r="P50" s="336">
        <f>Gasto_o_ing_per_capita!P50-Gasto_o_ing_per_capita!$D50</f>
        <v>0</v>
      </c>
      <c r="Q50" s="336">
        <f>Gasto_o_ing_per_capita!Q50-Gasto_o_ing_per_capita!$D50</f>
        <v>0</v>
      </c>
      <c r="R50" s="336">
        <f>Gasto_o_ing_per_capita!R50-Gasto_o_ing_per_capita!$D50</f>
        <v>0</v>
      </c>
      <c r="S50" s="336">
        <f>Gasto_o_ing_per_capita!S50-Gasto_o_ing_per_capita!$D50</f>
        <v>0</v>
      </c>
      <c r="T50" s="336">
        <f>Gasto_o_ing_per_capita!T50-Gasto_o_ing_per_capita!$D50</f>
        <v>0</v>
      </c>
      <c r="U50" s="336">
        <f>Gasto_o_ing_per_capita!U50-Gasto_o_ing_per_capita!$D50</f>
        <v>0</v>
      </c>
      <c r="V50" s="336">
        <f>Gasto_o_ing_per_capita!V50-Gasto_o_ing_per_capita!$D50</f>
        <v>0</v>
      </c>
      <c r="W50" s="122"/>
      <c r="X50" s="104"/>
    </row>
    <row r="51" spans="1:24" s="102" customFormat="1" ht="13.15">
      <c r="A51" s="355" t="str">
        <f>IF(B51="","",(IF(ISERROR(MATCH(B51,Tot_res!C:C,0)),"Eliminar!!!","")))</f>
        <v/>
      </c>
      <c r="B51" s="115" t="s">
        <v>154</v>
      </c>
      <c r="C51" s="333" t="str">
        <f>VLOOKUP(B51,Tot_res!C:D,2,FALSE)</f>
        <v>Formación del personal de economía y hacienda</v>
      </c>
      <c r="D51" s="336">
        <f>Gasto_o_ing_per_capita!D51-Gasto_o_ing_per_capita!$D51</f>
        <v>0</v>
      </c>
      <c r="E51" s="336">
        <f>Gasto_o_ing_per_capita!E51-Gasto_o_ing_per_capita!$D51</f>
        <v>0</v>
      </c>
      <c r="F51" s="336">
        <f>Gasto_o_ing_per_capita!F51-Gasto_o_ing_per_capita!$D51</f>
        <v>0</v>
      </c>
      <c r="G51" s="336">
        <f>Gasto_o_ing_per_capita!G51-Gasto_o_ing_per_capita!$D51</f>
        <v>0</v>
      </c>
      <c r="H51" s="336">
        <f>Gasto_o_ing_per_capita!H51-Gasto_o_ing_per_capita!$D51</f>
        <v>0</v>
      </c>
      <c r="I51" s="336">
        <f>Gasto_o_ing_per_capita!I51-Gasto_o_ing_per_capita!$D51</f>
        <v>0</v>
      </c>
      <c r="J51" s="336">
        <f>Gasto_o_ing_per_capita!J51-Gasto_o_ing_per_capita!$D51</f>
        <v>0</v>
      </c>
      <c r="K51" s="336">
        <f>Gasto_o_ing_per_capita!K51-Gasto_o_ing_per_capita!$D51</f>
        <v>0</v>
      </c>
      <c r="L51" s="336">
        <f>Gasto_o_ing_per_capita!L51-Gasto_o_ing_per_capita!$D51</f>
        <v>0</v>
      </c>
      <c r="M51" s="336">
        <f>Gasto_o_ing_per_capita!M51-Gasto_o_ing_per_capita!$D51</f>
        <v>0</v>
      </c>
      <c r="N51" s="336">
        <f>Gasto_o_ing_per_capita!N51-Gasto_o_ing_per_capita!$D51</f>
        <v>0</v>
      </c>
      <c r="O51" s="336">
        <f>Gasto_o_ing_per_capita!O51-Gasto_o_ing_per_capita!$D51</f>
        <v>0</v>
      </c>
      <c r="P51" s="336">
        <f>Gasto_o_ing_per_capita!P51-Gasto_o_ing_per_capita!$D51</f>
        <v>0</v>
      </c>
      <c r="Q51" s="336">
        <f>Gasto_o_ing_per_capita!Q51-Gasto_o_ing_per_capita!$D51</f>
        <v>0</v>
      </c>
      <c r="R51" s="336">
        <f>Gasto_o_ing_per_capita!R51-Gasto_o_ing_per_capita!$D51</f>
        <v>0</v>
      </c>
      <c r="S51" s="336">
        <f>Gasto_o_ing_per_capita!S51-Gasto_o_ing_per_capita!$D51</f>
        <v>0</v>
      </c>
      <c r="T51" s="336">
        <f>Gasto_o_ing_per_capita!T51-Gasto_o_ing_per_capita!$D51</f>
        <v>0</v>
      </c>
      <c r="U51" s="336">
        <f>Gasto_o_ing_per_capita!U51-Gasto_o_ing_per_capita!$D51</f>
        <v>0</v>
      </c>
      <c r="V51" s="336">
        <f>Gasto_o_ing_per_capita!V51-Gasto_o_ing_per_capita!$D51</f>
        <v>0</v>
      </c>
      <c r="W51" s="122"/>
      <c r="X51" s="104"/>
    </row>
    <row r="52" spans="1:24" s="102" customFormat="1" ht="13.15">
      <c r="A52" s="355" t="str">
        <f>IF(B52="","",(IF(ISERROR(MATCH(B52,Tot_res!C:C,0)),"Eliminar!!!","")))</f>
        <v/>
      </c>
      <c r="B52" s="115" t="s">
        <v>698</v>
      </c>
      <c r="C52" s="333" t="str">
        <f>VLOOKUP(B52,Tot_res!C:D,2,FALSE)</f>
        <v>Gestión de la deuda y de la tesorería del estado</v>
      </c>
      <c r="D52" s="336">
        <f>Gasto_o_ing_per_capita!D52-Gasto_o_ing_per_capita!$D52</f>
        <v>0</v>
      </c>
      <c r="E52" s="336">
        <f>Gasto_o_ing_per_capita!E52-Gasto_o_ing_per_capita!$D52</f>
        <v>0</v>
      </c>
      <c r="F52" s="336">
        <f>Gasto_o_ing_per_capita!F52-Gasto_o_ing_per_capita!$D52</f>
        <v>0</v>
      </c>
      <c r="G52" s="336">
        <f>Gasto_o_ing_per_capita!G52-Gasto_o_ing_per_capita!$D52</f>
        <v>0</v>
      </c>
      <c r="H52" s="336">
        <f>Gasto_o_ing_per_capita!H52-Gasto_o_ing_per_capita!$D52</f>
        <v>0</v>
      </c>
      <c r="I52" s="336">
        <f>Gasto_o_ing_per_capita!I52-Gasto_o_ing_per_capita!$D52</f>
        <v>0</v>
      </c>
      <c r="J52" s="336">
        <f>Gasto_o_ing_per_capita!J52-Gasto_o_ing_per_capita!$D52</f>
        <v>0</v>
      </c>
      <c r="K52" s="336">
        <f>Gasto_o_ing_per_capita!K52-Gasto_o_ing_per_capita!$D52</f>
        <v>0</v>
      </c>
      <c r="L52" s="336">
        <f>Gasto_o_ing_per_capita!L52-Gasto_o_ing_per_capita!$D52</f>
        <v>0</v>
      </c>
      <c r="M52" s="336">
        <f>Gasto_o_ing_per_capita!M52-Gasto_o_ing_per_capita!$D52</f>
        <v>0</v>
      </c>
      <c r="N52" s="336">
        <f>Gasto_o_ing_per_capita!N52-Gasto_o_ing_per_capita!$D52</f>
        <v>0</v>
      </c>
      <c r="O52" s="336">
        <f>Gasto_o_ing_per_capita!O52-Gasto_o_ing_per_capita!$D52</f>
        <v>0</v>
      </c>
      <c r="P52" s="336">
        <f>Gasto_o_ing_per_capita!P52-Gasto_o_ing_per_capita!$D52</f>
        <v>0</v>
      </c>
      <c r="Q52" s="336">
        <f>Gasto_o_ing_per_capita!Q52-Gasto_o_ing_per_capita!$D52</f>
        <v>0</v>
      </c>
      <c r="R52" s="336">
        <f>Gasto_o_ing_per_capita!R52-Gasto_o_ing_per_capita!$D52</f>
        <v>0</v>
      </c>
      <c r="S52" s="336">
        <f>Gasto_o_ing_per_capita!S52-Gasto_o_ing_per_capita!$D52</f>
        <v>0</v>
      </c>
      <c r="T52" s="336">
        <f>Gasto_o_ing_per_capita!T52-Gasto_o_ing_per_capita!$D52</f>
        <v>0</v>
      </c>
      <c r="U52" s="336">
        <f>Gasto_o_ing_per_capita!U52-Gasto_o_ing_per_capita!$D52</f>
        <v>0</v>
      </c>
      <c r="V52" s="336">
        <f>Gasto_o_ing_per_capita!V52-Gasto_o_ing_per_capita!$D52</f>
        <v>0</v>
      </c>
      <c r="W52" s="122"/>
      <c r="X52" s="104"/>
    </row>
    <row r="53" spans="1:24" s="102" customFormat="1" ht="13.15">
      <c r="A53" s="355" t="str">
        <f>IF(B53="","",(IF(ISERROR(MATCH(B53,Tot_res!C:C,0)),"Eliminar!!!","")))</f>
        <v/>
      </c>
      <c r="B53" s="115" t="s">
        <v>700</v>
      </c>
      <c r="C53" s="333" t="str">
        <f>VLOOKUP(B53,Tot_res!C:D,2,FALSE)</f>
        <v>Previsión y política económica</v>
      </c>
      <c r="D53" s="336">
        <f>Gasto_o_ing_per_capita!D53-Gasto_o_ing_per_capita!$D53</f>
        <v>0</v>
      </c>
      <c r="E53" s="336">
        <f>Gasto_o_ing_per_capita!E53-Gasto_o_ing_per_capita!$D53</f>
        <v>0</v>
      </c>
      <c r="F53" s="336">
        <f>Gasto_o_ing_per_capita!F53-Gasto_o_ing_per_capita!$D53</f>
        <v>0</v>
      </c>
      <c r="G53" s="336">
        <f>Gasto_o_ing_per_capita!G53-Gasto_o_ing_per_capita!$D53</f>
        <v>0</v>
      </c>
      <c r="H53" s="336">
        <f>Gasto_o_ing_per_capita!H53-Gasto_o_ing_per_capita!$D53</f>
        <v>0</v>
      </c>
      <c r="I53" s="336">
        <f>Gasto_o_ing_per_capita!I53-Gasto_o_ing_per_capita!$D53</f>
        <v>0</v>
      </c>
      <c r="J53" s="336">
        <f>Gasto_o_ing_per_capita!J53-Gasto_o_ing_per_capita!$D53</f>
        <v>0</v>
      </c>
      <c r="K53" s="336">
        <f>Gasto_o_ing_per_capita!K53-Gasto_o_ing_per_capita!$D53</f>
        <v>0</v>
      </c>
      <c r="L53" s="336">
        <f>Gasto_o_ing_per_capita!L53-Gasto_o_ing_per_capita!$D53</f>
        <v>0</v>
      </c>
      <c r="M53" s="336">
        <f>Gasto_o_ing_per_capita!M53-Gasto_o_ing_per_capita!$D53</f>
        <v>0</v>
      </c>
      <c r="N53" s="336">
        <f>Gasto_o_ing_per_capita!N53-Gasto_o_ing_per_capita!$D53</f>
        <v>0</v>
      </c>
      <c r="O53" s="336">
        <f>Gasto_o_ing_per_capita!O53-Gasto_o_ing_per_capita!$D53</f>
        <v>0</v>
      </c>
      <c r="P53" s="336">
        <f>Gasto_o_ing_per_capita!P53-Gasto_o_ing_per_capita!$D53</f>
        <v>0</v>
      </c>
      <c r="Q53" s="336">
        <f>Gasto_o_ing_per_capita!Q53-Gasto_o_ing_per_capita!$D53</f>
        <v>0</v>
      </c>
      <c r="R53" s="336">
        <f>Gasto_o_ing_per_capita!R53-Gasto_o_ing_per_capita!$D53</f>
        <v>0</v>
      </c>
      <c r="S53" s="336">
        <f>Gasto_o_ing_per_capita!S53-Gasto_o_ing_per_capita!$D53</f>
        <v>0</v>
      </c>
      <c r="T53" s="336">
        <f>Gasto_o_ing_per_capita!T53-Gasto_o_ing_per_capita!$D53</f>
        <v>0</v>
      </c>
      <c r="U53" s="336">
        <f>Gasto_o_ing_per_capita!U53-Gasto_o_ing_per_capita!$D53</f>
        <v>0</v>
      </c>
      <c r="V53" s="336">
        <f>Gasto_o_ing_per_capita!V53-Gasto_o_ing_per_capita!$D53</f>
        <v>0</v>
      </c>
      <c r="W53" s="122"/>
      <c r="X53" s="104"/>
    </row>
    <row r="54" spans="1:24" s="102" customFormat="1" ht="13.15">
      <c r="A54" s="355" t="str">
        <f>IF(B54="","",(IF(ISERROR(MATCH(B54,Tot_res!C:C,0)),"Eliminar!!!","")))</f>
        <v/>
      </c>
      <c r="B54" s="115" t="s">
        <v>156</v>
      </c>
      <c r="C54" s="333" t="str">
        <f>VLOOKUP(B54,Tot_res!C:D,2,FALSE)</f>
        <v>Política presupuestaria</v>
      </c>
      <c r="D54" s="336">
        <f>Gasto_o_ing_per_capita!D54-Gasto_o_ing_per_capita!$D54</f>
        <v>0</v>
      </c>
      <c r="E54" s="336">
        <f>Gasto_o_ing_per_capita!E54-Gasto_o_ing_per_capita!$D54</f>
        <v>0</v>
      </c>
      <c r="F54" s="336">
        <f>Gasto_o_ing_per_capita!F54-Gasto_o_ing_per_capita!$D54</f>
        <v>0</v>
      </c>
      <c r="G54" s="336">
        <f>Gasto_o_ing_per_capita!G54-Gasto_o_ing_per_capita!$D54</f>
        <v>0</v>
      </c>
      <c r="H54" s="336">
        <f>Gasto_o_ing_per_capita!H54-Gasto_o_ing_per_capita!$D54</f>
        <v>0</v>
      </c>
      <c r="I54" s="336">
        <f>Gasto_o_ing_per_capita!I54-Gasto_o_ing_per_capita!$D54</f>
        <v>0</v>
      </c>
      <c r="J54" s="336">
        <f>Gasto_o_ing_per_capita!J54-Gasto_o_ing_per_capita!$D54</f>
        <v>0</v>
      </c>
      <c r="K54" s="336">
        <f>Gasto_o_ing_per_capita!K54-Gasto_o_ing_per_capita!$D54</f>
        <v>0</v>
      </c>
      <c r="L54" s="336">
        <f>Gasto_o_ing_per_capita!L54-Gasto_o_ing_per_capita!$D54</f>
        <v>0</v>
      </c>
      <c r="M54" s="336">
        <f>Gasto_o_ing_per_capita!M54-Gasto_o_ing_per_capita!$D54</f>
        <v>0</v>
      </c>
      <c r="N54" s="336">
        <f>Gasto_o_ing_per_capita!N54-Gasto_o_ing_per_capita!$D54</f>
        <v>0</v>
      </c>
      <c r="O54" s="336">
        <f>Gasto_o_ing_per_capita!O54-Gasto_o_ing_per_capita!$D54</f>
        <v>0</v>
      </c>
      <c r="P54" s="336">
        <f>Gasto_o_ing_per_capita!P54-Gasto_o_ing_per_capita!$D54</f>
        <v>0</v>
      </c>
      <c r="Q54" s="336">
        <f>Gasto_o_ing_per_capita!Q54-Gasto_o_ing_per_capita!$D54</f>
        <v>0</v>
      </c>
      <c r="R54" s="336">
        <f>Gasto_o_ing_per_capita!R54-Gasto_o_ing_per_capita!$D54</f>
        <v>0</v>
      </c>
      <c r="S54" s="336">
        <f>Gasto_o_ing_per_capita!S54-Gasto_o_ing_per_capita!$D54</f>
        <v>0</v>
      </c>
      <c r="T54" s="336">
        <f>Gasto_o_ing_per_capita!T54-Gasto_o_ing_per_capita!$D54</f>
        <v>0</v>
      </c>
      <c r="U54" s="336">
        <f>Gasto_o_ing_per_capita!U54-Gasto_o_ing_per_capita!$D54</f>
        <v>0</v>
      </c>
      <c r="V54" s="336">
        <f>Gasto_o_ing_per_capita!V54-Gasto_o_ing_per_capita!$D54</f>
        <v>0</v>
      </c>
      <c r="W54" s="122"/>
      <c r="X54" s="104"/>
    </row>
    <row r="55" spans="1:24" s="102" customFormat="1" ht="13.15">
      <c r="A55" s="355" t="str">
        <f>IF(B55="","",(IF(ISERROR(MATCH(B55,Tot_res!C:C,0)),"Eliminar!!!","")))</f>
        <v/>
      </c>
      <c r="B55" s="115" t="s">
        <v>158</v>
      </c>
      <c r="C55" s="333" t="str">
        <f>VLOOKUP(B55,Tot_res!C:D,2,FALSE)</f>
        <v>Política tributaria</v>
      </c>
      <c r="D55" s="336">
        <f>Gasto_o_ing_per_capita!D55-Gasto_o_ing_per_capita!$D55</f>
        <v>0</v>
      </c>
      <c r="E55" s="336">
        <f>Gasto_o_ing_per_capita!E55-Gasto_o_ing_per_capita!$D55</f>
        <v>0</v>
      </c>
      <c r="F55" s="336">
        <f>Gasto_o_ing_per_capita!F55-Gasto_o_ing_per_capita!$D55</f>
        <v>0</v>
      </c>
      <c r="G55" s="336">
        <f>Gasto_o_ing_per_capita!G55-Gasto_o_ing_per_capita!$D55</f>
        <v>0</v>
      </c>
      <c r="H55" s="336">
        <f>Gasto_o_ing_per_capita!H55-Gasto_o_ing_per_capita!$D55</f>
        <v>0</v>
      </c>
      <c r="I55" s="336">
        <f>Gasto_o_ing_per_capita!I55-Gasto_o_ing_per_capita!$D55</f>
        <v>0</v>
      </c>
      <c r="J55" s="336">
        <f>Gasto_o_ing_per_capita!J55-Gasto_o_ing_per_capita!$D55</f>
        <v>0</v>
      </c>
      <c r="K55" s="336">
        <f>Gasto_o_ing_per_capita!K55-Gasto_o_ing_per_capita!$D55</f>
        <v>0</v>
      </c>
      <c r="L55" s="336">
        <f>Gasto_o_ing_per_capita!L55-Gasto_o_ing_per_capita!$D55</f>
        <v>0</v>
      </c>
      <c r="M55" s="336">
        <f>Gasto_o_ing_per_capita!M55-Gasto_o_ing_per_capita!$D55</f>
        <v>0</v>
      </c>
      <c r="N55" s="336">
        <f>Gasto_o_ing_per_capita!N55-Gasto_o_ing_per_capita!$D55</f>
        <v>0</v>
      </c>
      <c r="O55" s="336">
        <f>Gasto_o_ing_per_capita!O55-Gasto_o_ing_per_capita!$D55</f>
        <v>0</v>
      </c>
      <c r="P55" s="336">
        <f>Gasto_o_ing_per_capita!P55-Gasto_o_ing_per_capita!$D55</f>
        <v>0</v>
      </c>
      <c r="Q55" s="336">
        <f>Gasto_o_ing_per_capita!Q55-Gasto_o_ing_per_capita!$D55</f>
        <v>0</v>
      </c>
      <c r="R55" s="336">
        <f>Gasto_o_ing_per_capita!R55-Gasto_o_ing_per_capita!$D55</f>
        <v>0</v>
      </c>
      <c r="S55" s="336">
        <f>Gasto_o_ing_per_capita!S55-Gasto_o_ing_per_capita!$D55</f>
        <v>0</v>
      </c>
      <c r="T55" s="336">
        <f>Gasto_o_ing_per_capita!T55-Gasto_o_ing_per_capita!$D55</f>
        <v>0</v>
      </c>
      <c r="U55" s="336">
        <f>Gasto_o_ing_per_capita!U55-Gasto_o_ing_per_capita!$D55</f>
        <v>0</v>
      </c>
      <c r="V55" s="336">
        <f>Gasto_o_ing_per_capita!V55-Gasto_o_ing_per_capita!$D55</f>
        <v>0</v>
      </c>
      <c r="W55" s="122"/>
      <c r="X55" s="104"/>
    </row>
    <row r="56" spans="1:24" s="102" customFormat="1" ht="13.15">
      <c r="A56" s="355" t="str">
        <f>IF(B56="","",(IF(ISERROR(MATCH(B56,Tot_res!C:C,0)),"Eliminar!!!","")))</f>
        <v/>
      </c>
      <c r="B56" s="115" t="s">
        <v>160</v>
      </c>
      <c r="C56" s="333" t="str">
        <f>VLOOKUP(B56,Tot_res!C:D,2,FALSE)</f>
        <v>Control interno y contabilidad pública</v>
      </c>
      <c r="D56" s="336">
        <f>Gasto_o_ing_per_capita!D56-Gasto_o_ing_per_capita!$D56</f>
        <v>0</v>
      </c>
      <c r="E56" s="336">
        <f>Gasto_o_ing_per_capita!E56-Gasto_o_ing_per_capita!$D56</f>
        <v>0</v>
      </c>
      <c r="F56" s="336">
        <f>Gasto_o_ing_per_capita!F56-Gasto_o_ing_per_capita!$D56</f>
        <v>0</v>
      </c>
      <c r="G56" s="336">
        <f>Gasto_o_ing_per_capita!G56-Gasto_o_ing_per_capita!$D56</f>
        <v>0</v>
      </c>
      <c r="H56" s="336">
        <f>Gasto_o_ing_per_capita!H56-Gasto_o_ing_per_capita!$D56</f>
        <v>0</v>
      </c>
      <c r="I56" s="336">
        <f>Gasto_o_ing_per_capita!I56-Gasto_o_ing_per_capita!$D56</f>
        <v>0</v>
      </c>
      <c r="J56" s="336">
        <f>Gasto_o_ing_per_capita!J56-Gasto_o_ing_per_capita!$D56</f>
        <v>0</v>
      </c>
      <c r="K56" s="336">
        <f>Gasto_o_ing_per_capita!K56-Gasto_o_ing_per_capita!$D56</f>
        <v>0</v>
      </c>
      <c r="L56" s="336">
        <f>Gasto_o_ing_per_capita!L56-Gasto_o_ing_per_capita!$D56</f>
        <v>0</v>
      </c>
      <c r="M56" s="336">
        <f>Gasto_o_ing_per_capita!M56-Gasto_o_ing_per_capita!$D56</f>
        <v>0</v>
      </c>
      <c r="N56" s="336">
        <f>Gasto_o_ing_per_capita!N56-Gasto_o_ing_per_capita!$D56</f>
        <v>0</v>
      </c>
      <c r="O56" s="336">
        <f>Gasto_o_ing_per_capita!O56-Gasto_o_ing_per_capita!$D56</f>
        <v>0</v>
      </c>
      <c r="P56" s="336">
        <f>Gasto_o_ing_per_capita!P56-Gasto_o_ing_per_capita!$D56</f>
        <v>0</v>
      </c>
      <c r="Q56" s="336">
        <f>Gasto_o_ing_per_capita!Q56-Gasto_o_ing_per_capita!$D56</f>
        <v>0</v>
      </c>
      <c r="R56" s="336">
        <f>Gasto_o_ing_per_capita!R56-Gasto_o_ing_per_capita!$D56</f>
        <v>0</v>
      </c>
      <c r="S56" s="336">
        <f>Gasto_o_ing_per_capita!S56-Gasto_o_ing_per_capita!$D56</f>
        <v>0</v>
      </c>
      <c r="T56" s="336">
        <f>Gasto_o_ing_per_capita!T56-Gasto_o_ing_per_capita!$D56</f>
        <v>0</v>
      </c>
      <c r="U56" s="336">
        <f>Gasto_o_ing_per_capita!U56-Gasto_o_ing_per_capita!$D56</f>
        <v>0</v>
      </c>
      <c r="V56" s="336">
        <f>Gasto_o_ing_per_capita!V56-Gasto_o_ing_per_capita!$D56</f>
        <v>0</v>
      </c>
      <c r="W56" s="122"/>
      <c r="X56" s="104"/>
    </row>
    <row r="57" spans="1:24" s="102" customFormat="1" ht="13.15">
      <c r="A57" s="355" t="str">
        <f>IF(B57="","",(IF(ISERROR(MATCH(B57,Tot_res!C:C,0)),"Eliminar!!!","")))</f>
        <v/>
      </c>
      <c r="B57" s="115" t="s">
        <v>161</v>
      </c>
      <c r="C57" s="333" t="str">
        <f>VLOOKUP(B57,Tot_res!C:D,2,FALSE)</f>
        <v>Aplicación del sistema tributario estatal +  AF01: ajuste forales, gestión tributaria</v>
      </c>
      <c r="D57" s="336">
        <f>Gasto_o_ing_per_capita!D57-Gasto_o_ing_per_capita!$D57</f>
        <v>0</v>
      </c>
      <c r="E57" s="336">
        <f>Gasto_o_ing_per_capita!E57-Gasto_o_ing_per_capita!$D57</f>
        <v>0</v>
      </c>
      <c r="F57" s="336">
        <f>Gasto_o_ing_per_capita!F57-Gasto_o_ing_per_capita!$D57</f>
        <v>0</v>
      </c>
      <c r="G57" s="336">
        <f>Gasto_o_ing_per_capita!G57-Gasto_o_ing_per_capita!$D57</f>
        <v>0</v>
      </c>
      <c r="H57" s="336">
        <f>Gasto_o_ing_per_capita!H57-Gasto_o_ing_per_capita!$D57</f>
        <v>0</v>
      </c>
      <c r="I57" s="336">
        <f>Gasto_o_ing_per_capita!I57-Gasto_o_ing_per_capita!$D57</f>
        <v>0</v>
      </c>
      <c r="J57" s="336">
        <f>Gasto_o_ing_per_capita!J57-Gasto_o_ing_per_capita!$D57</f>
        <v>0</v>
      </c>
      <c r="K57" s="336">
        <f>Gasto_o_ing_per_capita!K57-Gasto_o_ing_per_capita!$D57</f>
        <v>0</v>
      </c>
      <c r="L57" s="336">
        <f>Gasto_o_ing_per_capita!L57-Gasto_o_ing_per_capita!$D57</f>
        <v>0</v>
      </c>
      <c r="M57" s="336">
        <f>Gasto_o_ing_per_capita!M57-Gasto_o_ing_per_capita!$D57</f>
        <v>0</v>
      </c>
      <c r="N57" s="336">
        <f>Gasto_o_ing_per_capita!N57-Gasto_o_ing_per_capita!$D57</f>
        <v>0</v>
      </c>
      <c r="O57" s="336">
        <f>Gasto_o_ing_per_capita!O57-Gasto_o_ing_per_capita!$D57</f>
        <v>0</v>
      </c>
      <c r="P57" s="336">
        <f>Gasto_o_ing_per_capita!P57-Gasto_o_ing_per_capita!$D57</f>
        <v>0</v>
      </c>
      <c r="Q57" s="336">
        <f>Gasto_o_ing_per_capita!Q57-Gasto_o_ing_per_capita!$D57</f>
        <v>0</v>
      </c>
      <c r="R57" s="336">
        <f>Gasto_o_ing_per_capita!R57-Gasto_o_ing_per_capita!$D57</f>
        <v>0</v>
      </c>
      <c r="S57" s="336">
        <f>Gasto_o_ing_per_capita!S57-Gasto_o_ing_per_capita!$D57</f>
        <v>0</v>
      </c>
      <c r="T57" s="336">
        <f>Gasto_o_ing_per_capita!T57-Gasto_o_ing_per_capita!$D57</f>
        <v>0</v>
      </c>
      <c r="U57" s="336">
        <f>Gasto_o_ing_per_capita!U57-Gasto_o_ing_per_capita!$D57</f>
        <v>0</v>
      </c>
      <c r="V57" s="336">
        <f>Gasto_o_ing_per_capita!V57-Gasto_o_ing_per_capita!$D57</f>
        <v>0</v>
      </c>
      <c r="W57" s="122"/>
      <c r="X57" s="104"/>
    </row>
    <row r="58" spans="1:24" s="102" customFormat="1" ht="13.15">
      <c r="A58" s="355" t="str">
        <f>IF(B58="","",(IF(ISERROR(MATCH(B58,Tot_res!C:C,0)),"Eliminar!!!","")))</f>
        <v/>
      </c>
      <c r="B58" s="115" t="s">
        <v>162</v>
      </c>
      <c r="C58" s="333" t="str">
        <f>VLOOKUP(B58,Tot_res!C:D,2,FALSE)</f>
        <v>Gestión del catastro inmobiliario + AF02: corrección forales, catastro</v>
      </c>
      <c r="D58" s="336">
        <f>Gasto_o_ing_per_capita!D58-Gasto_o_ing_per_capita!$D58</f>
        <v>0</v>
      </c>
      <c r="E58" s="336">
        <f>Gasto_o_ing_per_capita!E58-Gasto_o_ing_per_capita!$D58</f>
        <v>0</v>
      </c>
      <c r="F58" s="336">
        <f>Gasto_o_ing_per_capita!F58-Gasto_o_ing_per_capita!$D58</f>
        <v>0</v>
      </c>
      <c r="G58" s="336">
        <f>Gasto_o_ing_per_capita!G58-Gasto_o_ing_per_capita!$D58</f>
        <v>0</v>
      </c>
      <c r="H58" s="336">
        <f>Gasto_o_ing_per_capita!H58-Gasto_o_ing_per_capita!$D58</f>
        <v>0</v>
      </c>
      <c r="I58" s="336">
        <f>Gasto_o_ing_per_capita!I58-Gasto_o_ing_per_capita!$D58</f>
        <v>0</v>
      </c>
      <c r="J58" s="336">
        <f>Gasto_o_ing_per_capita!J58-Gasto_o_ing_per_capita!$D58</f>
        <v>0</v>
      </c>
      <c r="K58" s="336">
        <f>Gasto_o_ing_per_capita!K58-Gasto_o_ing_per_capita!$D58</f>
        <v>0</v>
      </c>
      <c r="L58" s="336">
        <f>Gasto_o_ing_per_capita!L58-Gasto_o_ing_per_capita!$D58</f>
        <v>0</v>
      </c>
      <c r="M58" s="336">
        <f>Gasto_o_ing_per_capita!M58-Gasto_o_ing_per_capita!$D58</f>
        <v>0</v>
      </c>
      <c r="N58" s="336">
        <f>Gasto_o_ing_per_capita!N58-Gasto_o_ing_per_capita!$D58</f>
        <v>0</v>
      </c>
      <c r="O58" s="336">
        <f>Gasto_o_ing_per_capita!O58-Gasto_o_ing_per_capita!$D58</f>
        <v>0</v>
      </c>
      <c r="P58" s="336">
        <f>Gasto_o_ing_per_capita!P58-Gasto_o_ing_per_capita!$D58</f>
        <v>0</v>
      </c>
      <c r="Q58" s="336">
        <f>Gasto_o_ing_per_capita!Q58-Gasto_o_ing_per_capita!$D58</f>
        <v>0</v>
      </c>
      <c r="R58" s="336">
        <f>Gasto_o_ing_per_capita!R58-Gasto_o_ing_per_capita!$D58</f>
        <v>0</v>
      </c>
      <c r="S58" s="336">
        <f>Gasto_o_ing_per_capita!S58-Gasto_o_ing_per_capita!$D58</f>
        <v>0</v>
      </c>
      <c r="T58" s="336">
        <f>Gasto_o_ing_per_capita!T58-Gasto_o_ing_per_capita!$D58</f>
        <v>0</v>
      </c>
      <c r="U58" s="336">
        <f>Gasto_o_ing_per_capita!U58-Gasto_o_ing_per_capita!$D58</f>
        <v>0</v>
      </c>
      <c r="V58" s="336">
        <f>Gasto_o_ing_per_capita!V58-Gasto_o_ing_per_capita!$D58</f>
        <v>0</v>
      </c>
      <c r="W58" s="122"/>
      <c r="X58" s="104"/>
    </row>
    <row r="59" spans="1:24" s="102" customFormat="1" ht="13.15">
      <c r="A59" s="355" t="str">
        <f>IF(B59="","",(IF(ISERROR(MATCH(B59,Tot_res!C:C,0)),"Eliminar!!!","")))</f>
        <v/>
      </c>
      <c r="B59" s="115" t="s">
        <v>163</v>
      </c>
      <c r="C59" s="333" t="str">
        <f>VLOOKUP(B59,Tot_res!C:D,2,FALSE)</f>
        <v>Resolución de reclamaciones económico-administrativas</v>
      </c>
      <c r="D59" s="336">
        <f>Gasto_o_ing_per_capita!D59-Gasto_o_ing_per_capita!$D59</f>
        <v>0</v>
      </c>
      <c r="E59" s="336">
        <f>Gasto_o_ing_per_capita!E59-Gasto_o_ing_per_capita!$D59</f>
        <v>0</v>
      </c>
      <c r="F59" s="336">
        <f>Gasto_o_ing_per_capita!F59-Gasto_o_ing_per_capita!$D59</f>
        <v>0</v>
      </c>
      <c r="G59" s="336">
        <f>Gasto_o_ing_per_capita!G59-Gasto_o_ing_per_capita!$D59</f>
        <v>0</v>
      </c>
      <c r="H59" s="336">
        <f>Gasto_o_ing_per_capita!H59-Gasto_o_ing_per_capita!$D59</f>
        <v>0</v>
      </c>
      <c r="I59" s="336">
        <f>Gasto_o_ing_per_capita!I59-Gasto_o_ing_per_capita!$D59</f>
        <v>0</v>
      </c>
      <c r="J59" s="336">
        <f>Gasto_o_ing_per_capita!J59-Gasto_o_ing_per_capita!$D59</f>
        <v>0</v>
      </c>
      <c r="K59" s="336">
        <f>Gasto_o_ing_per_capita!K59-Gasto_o_ing_per_capita!$D59</f>
        <v>0</v>
      </c>
      <c r="L59" s="336">
        <f>Gasto_o_ing_per_capita!L59-Gasto_o_ing_per_capita!$D59</f>
        <v>0</v>
      </c>
      <c r="M59" s="336">
        <f>Gasto_o_ing_per_capita!M59-Gasto_o_ing_per_capita!$D59</f>
        <v>0</v>
      </c>
      <c r="N59" s="336">
        <f>Gasto_o_ing_per_capita!N59-Gasto_o_ing_per_capita!$D59</f>
        <v>0</v>
      </c>
      <c r="O59" s="336">
        <f>Gasto_o_ing_per_capita!O59-Gasto_o_ing_per_capita!$D59</f>
        <v>0</v>
      </c>
      <c r="P59" s="336">
        <f>Gasto_o_ing_per_capita!P59-Gasto_o_ing_per_capita!$D59</f>
        <v>0</v>
      </c>
      <c r="Q59" s="336">
        <f>Gasto_o_ing_per_capita!Q59-Gasto_o_ing_per_capita!$D59</f>
        <v>0</v>
      </c>
      <c r="R59" s="336">
        <f>Gasto_o_ing_per_capita!R59-Gasto_o_ing_per_capita!$D59</f>
        <v>0</v>
      </c>
      <c r="S59" s="336">
        <f>Gasto_o_ing_per_capita!S59-Gasto_o_ing_per_capita!$D59</f>
        <v>0</v>
      </c>
      <c r="T59" s="336">
        <f>Gasto_o_ing_per_capita!T59-Gasto_o_ing_per_capita!$D59</f>
        <v>0</v>
      </c>
      <c r="U59" s="336">
        <f>Gasto_o_ing_per_capita!U59-Gasto_o_ing_per_capita!$D59</f>
        <v>0</v>
      </c>
      <c r="V59" s="336">
        <f>Gasto_o_ing_per_capita!V59-Gasto_o_ing_per_capita!$D59</f>
        <v>0</v>
      </c>
      <c r="W59" s="122"/>
      <c r="X59" s="104"/>
    </row>
    <row r="60" spans="1:24" s="102" customFormat="1" ht="13.15">
      <c r="A60" s="356"/>
      <c r="B60" s="115"/>
      <c r="D60" s="110"/>
      <c r="E60" s="110"/>
      <c r="F60" s="110"/>
      <c r="G60" s="110"/>
      <c r="H60" s="110"/>
      <c r="I60" s="110"/>
      <c r="J60" s="110"/>
      <c r="K60" s="110"/>
      <c r="L60" s="110"/>
      <c r="M60" s="110"/>
      <c r="N60" s="110"/>
      <c r="O60" s="110"/>
      <c r="P60" s="110"/>
      <c r="Q60" s="110"/>
      <c r="R60" s="110"/>
      <c r="S60" s="110"/>
      <c r="T60" s="110"/>
      <c r="U60" s="110"/>
      <c r="V60" s="110"/>
      <c r="W60" s="122"/>
      <c r="X60" s="104"/>
    </row>
    <row r="61" spans="1:24" s="102" customFormat="1" ht="13.15">
      <c r="A61" s="356"/>
      <c r="B61" s="115"/>
      <c r="C61" s="128" t="s">
        <v>0</v>
      </c>
      <c r="D61" s="113">
        <f>Gasto_o_ing_per_capita!D61-Gasto_o_ing_per_capita!$D61</f>
        <v>0</v>
      </c>
      <c r="E61" s="113">
        <f>Gasto_o_ing_per_capita!E61-Gasto_o_ing_per_capita!$D61</f>
        <v>0</v>
      </c>
      <c r="F61" s="113">
        <f>Gasto_o_ing_per_capita!F61-Gasto_o_ing_per_capita!$D61</f>
        <v>0</v>
      </c>
      <c r="G61" s="113">
        <f>Gasto_o_ing_per_capita!G61-Gasto_o_ing_per_capita!$D61</f>
        <v>0</v>
      </c>
      <c r="H61" s="113">
        <f>Gasto_o_ing_per_capita!H61-Gasto_o_ing_per_capita!$D61</f>
        <v>0</v>
      </c>
      <c r="I61" s="113">
        <f>Gasto_o_ing_per_capita!I61-Gasto_o_ing_per_capita!$D61</f>
        <v>0</v>
      </c>
      <c r="J61" s="113">
        <f>Gasto_o_ing_per_capita!J61-Gasto_o_ing_per_capita!$D61</f>
        <v>0</v>
      </c>
      <c r="K61" s="113">
        <f>Gasto_o_ing_per_capita!K61-Gasto_o_ing_per_capita!$D61</f>
        <v>0</v>
      </c>
      <c r="L61" s="113">
        <f>Gasto_o_ing_per_capita!L61-Gasto_o_ing_per_capita!$D61</f>
        <v>0</v>
      </c>
      <c r="M61" s="113">
        <f>Gasto_o_ing_per_capita!M61-Gasto_o_ing_per_capita!$D61</f>
        <v>0</v>
      </c>
      <c r="N61" s="113">
        <f>Gasto_o_ing_per_capita!N61-Gasto_o_ing_per_capita!$D61</f>
        <v>0</v>
      </c>
      <c r="O61" s="113">
        <f>Gasto_o_ing_per_capita!O61-Gasto_o_ing_per_capita!$D61</f>
        <v>0</v>
      </c>
      <c r="P61" s="113">
        <f>Gasto_o_ing_per_capita!P61-Gasto_o_ing_per_capita!$D61</f>
        <v>0</v>
      </c>
      <c r="Q61" s="113">
        <f>Gasto_o_ing_per_capita!Q61-Gasto_o_ing_per_capita!$D61</f>
        <v>0</v>
      </c>
      <c r="R61" s="113">
        <f>Gasto_o_ing_per_capita!R61-Gasto_o_ing_per_capita!$D61</f>
        <v>0</v>
      </c>
      <c r="S61" s="113">
        <f>Gasto_o_ing_per_capita!S61-Gasto_o_ing_per_capita!$D61</f>
        <v>0</v>
      </c>
      <c r="T61" s="113">
        <f>Gasto_o_ing_per_capita!T61-Gasto_o_ing_per_capita!$D61</f>
        <v>0</v>
      </c>
      <c r="U61" s="113">
        <f>Gasto_o_ing_per_capita!U61-Gasto_o_ing_per_capita!$D61</f>
        <v>0</v>
      </c>
      <c r="V61" s="113">
        <f>Gasto_o_ing_per_capita!V61-Gasto_o_ing_per_capita!$D61</f>
        <v>0</v>
      </c>
      <c r="W61" s="122"/>
      <c r="X61" s="104"/>
    </row>
    <row r="62" spans="1:24" s="102" customFormat="1" ht="13.15">
      <c r="A62" s="355" t="str">
        <f>IF(B62="","",(IF(ISERROR(MATCH(B62,Tot_res!C:C,0)),"Eliminar!!!","")))</f>
        <v/>
      </c>
      <c r="B62" s="115" t="s">
        <v>164</v>
      </c>
      <c r="C62" s="333" t="str">
        <f>VLOOKUP(B62,Tot_res!C:D,2,FALSE)</f>
        <v>Registros vinculados con la fe pública</v>
      </c>
      <c r="D62" s="336">
        <f>Gasto_o_ing_per_capita!D62-Gasto_o_ing_per_capita!$D62</f>
        <v>0</v>
      </c>
      <c r="E62" s="336">
        <f>Gasto_o_ing_per_capita!E62-Gasto_o_ing_per_capita!$D62</f>
        <v>0</v>
      </c>
      <c r="F62" s="336">
        <f>Gasto_o_ing_per_capita!F62-Gasto_o_ing_per_capita!$D62</f>
        <v>0</v>
      </c>
      <c r="G62" s="336">
        <f>Gasto_o_ing_per_capita!G62-Gasto_o_ing_per_capita!$D62</f>
        <v>0</v>
      </c>
      <c r="H62" s="336">
        <f>Gasto_o_ing_per_capita!H62-Gasto_o_ing_per_capita!$D62</f>
        <v>0</v>
      </c>
      <c r="I62" s="336">
        <f>Gasto_o_ing_per_capita!I62-Gasto_o_ing_per_capita!$D62</f>
        <v>0</v>
      </c>
      <c r="J62" s="336">
        <f>Gasto_o_ing_per_capita!J62-Gasto_o_ing_per_capita!$D62</f>
        <v>0</v>
      </c>
      <c r="K62" s="336">
        <f>Gasto_o_ing_per_capita!K62-Gasto_o_ing_per_capita!$D62</f>
        <v>0</v>
      </c>
      <c r="L62" s="336">
        <f>Gasto_o_ing_per_capita!L62-Gasto_o_ing_per_capita!$D62</f>
        <v>0</v>
      </c>
      <c r="M62" s="336">
        <f>Gasto_o_ing_per_capita!M62-Gasto_o_ing_per_capita!$D62</f>
        <v>0</v>
      </c>
      <c r="N62" s="336">
        <f>Gasto_o_ing_per_capita!N62-Gasto_o_ing_per_capita!$D62</f>
        <v>0</v>
      </c>
      <c r="O62" s="336">
        <f>Gasto_o_ing_per_capita!O62-Gasto_o_ing_per_capita!$D62</f>
        <v>0</v>
      </c>
      <c r="P62" s="336">
        <f>Gasto_o_ing_per_capita!P62-Gasto_o_ing_per_capita!$D62</f>
        <v>0</v>
      </c>
      <c r="Q62" s="336">
        <f>Gasto_o_ing_per_capita!Q62-Gasto_o_ing_per_capita!$D62</f>
        <v>0</v>
      </c>
      <c r="R62" s="336">
        <f>Gasto_o_ing_per_capita!R62-Gasto_o_ing_per_capita!$D62</f>
        <v>0</v>
      </c>
      <c r="S62" s="336">
        <f>Gasto_o_ing_per_capita!S62-Gasto_o_ing_per_capita!$D62</f>
        <v>0</v>
      </c>
      <c r="T62" s="336">
        <f>Gasto_o_ing_per_capita!T62-Gasto_o_ing_per_capita!$D62</f>
        <v>0</v>
      </c>
      <c r="U62" s="336">
        <f>Gasto_o_ing_per_capita!U62-Gasto_o_ing_per_capita!$D62</f>
        <v>0</v>
      </c>
      <c r="V62" s="336">
        <f>Gasto_o_ing_per_capita!V62-Gasto_o_ing_per_capita!$D62</f>
        <v>0</v>
      </c>
      <c r="W62" s="131"/>
      <c r="X62" s="104"/>
    </row>
    <row r="63" spans="1:24" s="102" customFormat="1" ht="13.15">
      <c r="A63" s="355" t="str">
        <f>IF(B63="","",(IF(ISERROR(MATCH(B63,Tot_res!C:C,0)),"Eliminar!!!","")))</f>
        <v/>
      </c>
      <c r="B63" s="115" t="s">
        <v>165</v>
      </c>
      <c r="C63" s="333" t="str">
        <f>VLOOKUP(B63,Tot_res!C:D,2,FALSE)</f>
        <v>Derecho de asilo y apátridas</v>
      </c>
      <c r="D63" s="336">
        <f>Gasto_o_ing_per_capita!D63-Gasto_o_ing_per_capita!$D63</f>
        <v>0</v>
      </c>
      <c r="E63" s="336">
        <f>Gasto_o_ing_per_capita!E63-Gasto_o_ing_per_capita!$D63</f>
        <v>0</v>
      </c>
      <c r="F63" s="336">
        <f>Gasto_o_ing_per_capita!F63-Gasto_o_ing_per_capita!$D63</f>
        <v>0</v>
      </c>
      <c r="G63" s="336">
        <f>Gasto_o_ing_per_capita!G63-Gasto_o_ing_per_capita!$D63</f>
        <v>0</v>
      </c>
      <c r="H63" s="336">
        <f>Gasto_o_ing_per_capita!H63-Gasto_o_ing_per_capita!$D63</f>
        <v>0</v>
      </c>
      <c r="I63" s="336">
        <f>Gasto_o_ing_per_capita!I63-Gasto_o_ing_per_capita!$D63</f>
        <v>0</v>
      </c>
      <c r="J63" s="336">
        <f>Gasto_o_ing_per_capita!J63-Gasto_o_ing_per_capita!$D63</f>
        <v>0</v>
      </c>
      <c r="K63" s="336">
        <f>Gasto_o_ing_per_capita!K63-Gasto_o_ing_per_capita!$D63</f>
        <v>0</v>
      </c>
      <c r="L63" s="336">
        <f>Gasto_o_ing_per_capita!L63-Gasto_o_ing_per_capita!$D63</f>
        <v>0</v>
      </c>
      <c r="M63" s="336">
        <f>Gasto_o_ing_per_capita!M63-Gasto_o_ing_per_capita!$D63</f>
        <v>0</v>
      </c>
      <c r="N63" s="336">
        <f>Gasto_o_ing_per_capita!N63-Gasto_o_ing_per_capita!$D63</f>
        <v>0</v>
      </c>
      <c r="O63" s="336">
        <f>Gasto_o_ing_per_capita!O63-Gasto_o_ing_per_capita!$D63</f>
        <v>0</v>
      </c>
      <c r="P63" s="336">
        <f>Gasto_o_ing_per_capita!P63-Gasto_o_ing_per_capita!$D63</f>
        <v>0</v>
      </c>
      <c r="Q63" s="336">
        <f>Gasto_o_ing_per_capita!Q63-Gasto_o_ing_per_capita!$D63</f>
        <v>0</v>
      </c>
      <c r="R63" s="336">
        <f>Gasto_o_ing_per_capita!R63-Gasto_o_ing_per_capita!$D63</f>
        <v>0</v>
      </c>
      <c r="S63" s="336">
        <f>Gasto_o_ing_per_capita!S63-Gasto_o_ing_per_capita!$D63</f>
        <v>0</v>
      </c>
      <c r="T63" s="336">
        <f>Gasto_o_ing_per_capita!T63-Gasto_o_ing_per_capita!$D63</f>
        <v>0</v>
      </c>
      <c r="U63" s="336">
        <f>Gasto_o_ing_per_capita!U63-Gasto_o_ing_per_capita!$D63</f>
        <v>0</v>
      </c>
      <c r="V63" s="336">
        <f>Gasto_o_ing_per_capita!V63-Gasto_o_ing_per_capita!$D63</f>
        <v>0</v>
      </c>
      <c r="W63" s="122"/>
      <c r="X63" s="104"/>
    </row>
    <row r="64" spans="1:24" s="102" customFormat="1" ht="13.15">
      <c r="A64" s="355" t="str">
        <f>IF(B64="","",(IF(ISERROR(MATCH(B64,Tot_res!C:C,0)),"Eliminar!!!","")))</f>
        <v/>
      </c>
      <c r="B64" s="115" t="s">
        <v>166</v>
      </c>
      <c r="C64" s="333" t="str">
        <f>VLOOKUP(B64,Tot_res!C:D,2,FALSE)</f>
        <v>Protección de datos de carácter personal</v>
      </c>
      <c r="D64" s="336">
        <f>Gasto_o_ing_per_capita!D64-Gasto_o_ing_per_capita!$D64</f>
        <v>0</v>
      </c>
      <c r="E64" s="336">
        <f>Gasto_o_ing_per_capita!E64-Gasto_o_ing_per_capita!$D64</f>
        <v>0</v>
      </c>
      <c r="F64" s="336">
        <f>Gasto_o_ing_per_capita!F64-Gasto_o_ing_per_capita!$D64</f>
        <v>0</v>
      </c>
      <c r="G64" s="336">
        <f>Gasto_o_ing_per_capita!G64-Gasto_o_ing_per_capita!$D64</f>
        <v>0</v>
      </c>
      <c r="H64" s="336">
        <f>Gasto_o_ing_per_capita!H64-Gasto_o_ing_per_capita!$D64</f>
        <v>0</v>
      </c>
      <c r="I64" s="336">
        <f>Gasto_o_ing_per_capita!I64-Gasto_o_ing_per_capita!$D64</f>
        <v>0</v>
      </c>
      <c r="J64" s="336">
        <f>Gasto_o_ing_per_capita!J64-Gasto_o_ing_per_capita!$D64</f>
        <v>0</v>
      </c>
      <c r="K64" s="336">
        <f>Gasto_o_ing_per_capita!K64-Gasto_o_ing_per_capita!$D64</f>
        <v>0</v>
      </c>
      <c r="L64" s="336">
        <f>Gasto_o_ing_per_capita!L64-Gasto_o_ing_per_capita!$D64</f>
        <v>0</v>
      </c>
      <c r="M64" s="336">
        <f>Gasto_o_ing_per_capita!M64-Gasto_o_ing_per_capita!$D64</f>
        <v>0</v>
      </c>
      <c r="N64" s="336">
        <f>Gasto_o_ing_per_capita!N64-Gasto_o_ing_per_capita!$D64</f>
        <v>0</v>
      </c>
      <c r="O64" s="336">
        <f>Gasto_o_ing_per_capita!O64-Gasto_o_ing_per_capita!$D64</f>
        <v>0</v>
      </c>
      <c r="P64" s="336">
        <f>Gasto_o_ing_per_capita!P64-Gasto_o_ing_per_capita!$D64</f>
        <v>0</v>
      </c>
      <c r="Q64" s="336">
        <f>Gasto_o_ing_per_capita!Q64-Gasto_o_ing_per_capita!$D64</f>
        <v>0</v>
      </c>
      <c r="R64" s="336">
        <f>Gasto_o_ing_per_capita!R64-Gasto_o_ing_per_capita!$D64</f>
        <v>0</v>
      </c>
      <c r="S64" s="336">
        <f>Gasto_o_ing_per_capita!S64-Gasto_o_ing_per_capita!$D64</f>
        <v>0</v>
      </c>
      <c r="T64" s="336">
        <f>Gasto_o_ing_per_capita!T64-Gasto_o_ing_per_capita!$D64</f>
        <v>0</v>
      </c>
      <c r="U64" s="336">
        <f>Gasto_o_ing_per_capita!U64-Gasto_o_ing_per_capita!$D64</f>
        <v>0</v>
      </c>
      <c r="V64" s="336">
        <f>Gasto_o_ing_per_capita!V64-Gasto_o_ing_per_capita!$D64</f>
        <v>0</v>
      </c>
      <c r="W64" s="122"/>
      <c r="X64" s="104"/>
    </row>
    <row r="65" spans="1:24" s="102" customFormat="1" ht="13.15">
      <c r="A65" s="355" t="str">
        <f>IF(B65="","",(IF(ISERROR(MATCH(B65,Tot_res!C:C,0)),"Eliminar!!!","")))</f>
        <v/>
      </c>
      <c r="B65" s="115" t="s">
        <v>167</v>
      </c>
      <c r="C65" s="333" t="str">
        <f>VLOOKUP(B65,Tot_res!C:D,2,FALSE)</f>
        <v>Meteorología</v>
      </c>
      <c r="D65" s="336">
        <f>Gasto_o_ing_per_capita!D65-Gasto_o_ing_per_capita!$D65</f>
        <v>0</v>
      </c>
      <c r="E65" s="336">
        <f>Gasto_o_ing_per_capita!E65-Gasto_o_ing_per_capita!$D65</f>
        <v>0</v>
      </c>
      <c r="F65" s="336">
        <f>Gasto_o_ing_per_capita!F65-Gasto_o_ing_per_capita!$D65</f>
        <v>0</v>
      </c>
      <c r="G65" s="336">
        <f>Gasto_o_ing_per_capita!G65-Gasto_o_ing_per_capita!$D65</f>
        <v>0</v>
      </c>
      <c r="H65" s="336">
        <f>Gasto_o_ing_per_capita!H65-Gasto_o_ing_per_capita!$D65</f>
        <v>0</v>
      </c>
      <c r="I65" s="336">
        <f>Gasto_o_ing_per_capita!I65-Gasto_o_ing_per_capita!$D65</f>
        <v>0</v>
      </c>
      <c r="J65" s="336">
        <f>Gasto_o_ing_per_capita!J65-Gasto_o_ing_per_capita!$D65</f>
        <v>0</v>
      </c>
      <c r="K65" s="336">
        <f>Gasto_o_ing_per_capita!K65-Gasto_o_ing_per_capita!$D65</f>
        <v>0</v>
      </c>
      <c r="L65" s="336">
        <f>Gasto_o_ing_per_capita!L65-Gasto_o_ing_per_capita!$D65</f>
        <v>0</v>
      </c>
      <c r="M65" s="336">
        <f>Gasto_o_ing_per_capita!M65-Gasto_o_ing_per_capita!$D65</f>
        <v>0</v>
      </c>
      <c r="N65" s="336">
        <f>Gasto_o_ing_per_capita!N65-Gasto_o_ing_per_capita!$D65</f>
        <v>0</v>
      </c>
      <c r="O65" s="336">
        <f>Gasto_o_ing_per_capita!O65-Gasto_o_ing_per_capita!$D65</f>
        <v>0</v>
      </c>
      <c r="P65" s="336">
        <f>Gasto_o_ing_per_capita!P65-Gasto_o_ing_per_capita!$D65</f>
        <v>0</v>
      </c>
      <c r="Q65" s="336">
        <f>Gasto_o_ing_per_capita!Q65-Gasto_o_ing_per_capita!$D65</f>
        <v>0</v>
      </c>
      <c r="R65" s="336">
        <f>Gasto_o_ing_per_capita!R65-Gasto_o_ing_per_capita!$D65</f>
        <v>0</v>
      </c>
      <c r="S65" s="336">
        <f>Gasto_o_ing_per_capita!S65-Gasto_o_ing_per_capita!$D65</f>
        <v>0</v>
      </c>
      <c r="T65" s="336">
        <f>Gasto_o_ing_per_capita!T65-Gasto_o_ing_per_capita!$D65</f>
        <v>0</v>
      </c>
      <c r="U65" s="336">
        <f>Gasto_o_ing_per_capita!U65-Gasto_o_ing_per_capita!$D65</f>
        <v>0</v>
      </c>
      <c r="V65" s="336">
        <f>Gasto_o_ing_per_capita!V65-Gasto_o_ing_per_capita!$D65</f>
        <v>0</v>
      </c>
      <c r="W65" s="122"/>
      <c r="X65" s="104"/>
    </row>
    <row r="66" spans="1:24" s="102" customFormat="1" ht="13.15">
      <c r="A66" s="355" t="str">
        <f>IF(B66="","",(IF(ISERROR(MATCH(B66,Tot_res!C:C,0)),"Eliminar!!!","")))</f>
        <v/>
      </c>
      <c r="B66" s="115" t="s">
        <v>169</v>
      </c>
      <c r="C66" s="333" t="str">
        <f>VLOOKUP(B66,Tot_res!C:D,2,FALSE)</f>
        <v>Metrología</v>
      </c>
      <c r="D66" s="336">
        <f>Gasto_o_ing_per_capita!D66-Gasto_o_ing_per_capita!$D66</f>
        <v>0</v>
      </c>
      <c r="E66" s="336">
        <f>Gasto_o_ing_per_capita!E66-Gasto_o_ing_per_capita!$D66</f>
        <v>0</v>
      </c>
      <c r="F66" s="336">
        <f>Gasto_o_ing_per_capita!F66-Gasto_o_ing_per_capita!$D66</f>
        <v>0</v>
      </c>
      <c r="G66" s="336">
        <f>Gasto_o_ing_per_capita!G66-Gasto_o_ing_per_capita!$D66</f>
        <v>0</v>
      </c>
      <c r="H66" s="336">
        <f>Gasto_o_ing_per_capita!H66-Gasto_o_ing_per_capita!$D66</f>
        <v>0</v>
      </c>
      <c r="I66" s="336">
        <f>Gasto_o_ing_per_capita!I66-Gasto_o_ing_per_capita!$D66</f>
        <v>0</v>
      </c>
      <c r="J66" s="336">
        <f>Gasto_o_ing_per_capita!J66-Gasto_o_ing_per_capita!$D66</f>
        <v>0</v>
      </c>
      <c r="K66" s="336">
        <f>Gasto_o_ing_per_capita!K66-Gasto_o_ing_per_capita!$D66</f>
        <v>0</v>
      </c>
      <c r="L66" s="336">
        <f>Gasto_o_ing_per_capita!L66-Gasto_o_ing_per_capita!$D66</f>
        <v>0</v>
      </c>
      <c r="M66" s="336">
        <f>Gasto_o_ing_per_capita!M66-Gasto_o_ing_per_capita!$D66</f>
        <v>0</v>
      </c>
      <c r="N66" s="336">
        <f>Gasto_o_ing_per_capita!N66-Gasto_o_ing_per_capita!$D66</f>
        <v>0</v>
      </c>
      <c r="O66" s="336">
        <f>Gasto_o_ing_per_capita!O66-Gasto_o_ing_per_capita!$D66</f>
        <v>0</v>
      </c>
      <c r="P66" s="336">
        <f>Gasto_o_ing_per_capita!P66-Gasto_o_ing_per_capita!$D66</f>
        <v>0</v>
      </c>
      <c r="Q66" s="336">
        <f>Gasto_o_ing_per_capita!Q66-Gasto_o_ing_per_capita!$D66</f>
        <v>0</v>
      </c>
      <c r="R66" s="336">
        <f>Gasto_o_ing_per_capita!R66-Gasto_o_ing_per_capita!$D66</f>
        <v>0</v>
      </c>
      <c r="S66" s="336">
        <f>Gasto_o_ing_per_capita!S66-Gasto_o_ing_per_capita!$D66</f>
        <v>0</v>
      </c>
      <c r="T66" s="336">
        <f>Gasto_o_ing_per_capita!T66-Gasto_o_ing_per_capita!$D66</f>
        <v>0</v>
      </c>
      <c r="U66" s="336">
        <f>Gasto_o_ing_per_capita!U66-Gasto_o_ing_per_capita!$D66</f>
        <v>0</v>
      </c>
      <c r="V66" s="336">
        <f>Gasto_o_ing_per_capita!V66-Gasto_o_ing_per_capita!$D66</f>
        <v>0</v>
      </c>
      <c r="W66" s="122"/>
      <c r="X66" s="104"/>
    </row>
    <row r="67" spans="1:24" s="102" customFormat="1" ht="13.15">
      <c r="A67" s="355" t="str">
        <f>IF(B67="","",(IF(ISERROR(MATCH(B67,Tot_res!C:C,0)),"Eliminar!!!","")))</f>
        <v/>
      </c>
      <c r="B67" s="115" t="s">
        <v>170</v>
      </c>
      <c r="C67" s="333" t="str">
        <f>VLOOKUP(B67,Tot_res!C:D,2,FALSE)</f>
        <v>Dirección y organización de la administración pública</v>
      </c>
      <c r="D67" s="336">
        <f>Gasto_o_ing_per_capita!D67-Gasto_o_ing_per_capita!$D67</f>
        <v>0</v>
      </c>
      <c r="E67" s="336">
        <f>Gasto_o_ing_per_capita!E67-Gasto_o_ing_per_capita!$D67</f>
        <v>0</v>
      </c>
      <c r="F67" s="336">
        <f>Gasto_o_ing_per_capita!F67-Gasto_o_ing_per_capita!$D67</f>
        <v>0</v>
      </c>
      <c r="G67" s="336">
        <f>Gasto_o_ing_per_capita!G67-Gasto_o_ing_per_capita!$D67</f>
        <v>0</v>
      </c>
      <c r="H67" s="336">
        <f>Gasto_o_ing_per_capita!H67-Gasto_o_ing_per_capita!$D67</f>
        <v>0</v>
      </c>
      <c r="I67" s="336">
        <f>Gasto_o_ing_per_capita!I67-Gasto_o_ing_per_capita!$D67</f>
        <v>0</v>
      </c>
      <c r="J67" s="336">
        <f>Gasto_o_ing_per_capita!J67-Gasto_o_ing_per_capita!$D67</f>
        <v>0</v>
      </c>
      <c r="K67" s="336">
        <f>Gasto_o_ing_per_capita!K67-Gasto_o_ing_per_capita!$D67</f>
        <v>0</v>
      </c>
      <c r="L67" s="336">
        <f>Gasto_o_ing_per_capita!L67-Gasto_o_ing_per_capita!$D67</f>
        <v>0</v>
      </c>
      <c r="M67" s="336">
        <f>Gasto_o_ing_per_capita!M67-Gasto_o_ing_per_capita!$D67</f>
        <v>0</v>
      </c>
      <c r="N67" s="336">
        <f>Gasto_o_ing_per_capita!N67-Gasto_o_ing_per_capita!$D67</f>
        <v>0</v>
      </c>
      <c r="O67" s="336">
        <f>Gasto_o_ing_per_capita!O67-Gasto_o_ing_per_capita!$D67</f>
        <v>0</v>
      </c>
      <c r="P67" s="336">
        <f>Gasto_o_ing_per_capita!P67-Gasto_o_ing_per_capita!$D67</f>
        <v>0</v>
      </c>
      <c r="Q67" s="336">
        <f>Gasto_o_ing_per_capita!Q67-Gasto_o_ing_per_capita!$D67</f>
        <v>0</v>
      </c>
      <c r="R67" s="336">
        <f>Gasto_o_ing_per_capita!R67-Gasto_o_ing_per_capita!$D67</f>
        <v>0</v>
      </c>
      <c r="S67" s="336">
        <f>Gasto_o_ing_per_capita!S67-Gasto_o_ing_per_capita!$D67</f>
        <v>0</v>
      </c>
      <c r="T67" s="336">
        <f>Gasto_o_ing_per_capita!T67-Gasto_o_ing_per_capita!$D67</f>
        <v>0</v>
      </c>
      <c r="U67" s="336">
        <f>Gasto_o_ing_per_capita!U67-Gasto_o_ing_per_capita!$D67</f>
        <v>0</v>
      </c>
      <c r="V67" s="336">
        <f>Gasto_o_ing_per_capita!V67-Gasto_o_ing_per_capita!$D67</f>
        <v>0</v>
      </c>
      <c r="W67" s="122"/>
      <c r="X67" s="104"/>
    </row>
    <row r="68" spans="1:24" s="102" customFormat="1" ht="13.15">
      <c r="A68" s="355" t="str">
        <f>IF(B68="","",(IF(ISERROR(MATCH(B68,Tot_res!C:C,0)),"Eliminar!!!","")))</f>
        <v/>
      </c>
      <c r="B68" s="115" t="s">
        <v>711</v>
      </c>
      <c r="C68" s="333" t="str">
        <f>VLOOKUP(B68,Tot_res!C:D,2,FALSE)</f>
        <v>Formación del personal de las administraciones públicas</v>
      </c>
      <c r="D68" s="336">
        <f>Gasto_o_ing_per_capita!D68-Gasto_o_ing_per_capita!$D68</f>
        <v>0</v>
      </c>
      <c r="E68" s="336">
        <f>Gasto_o_ing_per_capita!E68-Gasto_o_ing_per_capita!$D68</f>
        <v>0</v>
      </c>
      <c r="F68" s="336">
        <f>Gasto_o_ing_per_capita!F68-Gasto_o_ing_per_capita!$D68</f>
        <v>0</v>
      </c>
      <c r="G68" s="336">
        <f>Gasto_o_ing_per_capita!G68-Gasto_o_ing_per_capita!$D68</f>
        <v>0</v>
      </c>
      <c r="H68" s="336">
        <f>Gasto_o_ing_per_capita!H68-Gasto_o_ing_per_capita!$D68</f>
        <v>0</v>
      </c>
      <c r="I68" s="336">
        <f>Gasto_o_ing_per_capita!I68-Gasto_o_ing_per_capita!$D68</f>
        <v>0</v>
      </c>
      <c r="J68" s="336">
        <f>Gasto_o_ing_per_capita!J68-Gasto_o_ing_per_capita!$D68</f>
        <v>0</v>
      </c>
      <c r="K68" s="336">
        <f>Gasto_o_ing_per_capita!K68-Gasto_o_ing_per_capita!$D68</f>
        <v>0</v>
      </c>
      <c r="L68" s="336">
        <f>Gasto_o_ing_per_capita!L68-Gasto_o_ing_per_capita!$D68</f>
        <v>0</v>
      </c>
      <c r="M68" s="336">
        <f>Gasto_o_ing_per_capita!M68-Gasto_o_ing_per_capita!$D68</f>
        <v>0</v>
      </c>
      <c r="N68" s="336">
        <f>Gasto_o_ing_per_capita!N68-Gasto_o_ing_per_capita!$D68</f>
        <v>0</v>
      </c>
      <c r="O68" s="336">
        <f>Gasto_o_ing_per_capita!O68-Gasto_o_ing_per_capita!$D68</f>
        <v>0</v>
      </c>
      <c r="P68" s="336">
        <f>Gasto_o_ing_per_capita!P68-Gasto_o_ing_per_capita!$D68</f>
        <v>0</v>
      </c>
      <c r="Q68" s="336">
        <f>Gasto_o_ing_per_capita!Q68-Gasto_o_ing_per_capita!$D68</f>
        <v>0</v>
      </c>
      <c r="R68" s="336">
        <f>Gasto_o_ing_per_capita!R68-Gasto_o_ing_per_capita!$D68</f>
        <v>0</v>
      </c>
      <c r="S68" s="336">
        <f>Gasto_o_ing_per_capita!S68-Gasto_o_ing_per_capita!$D68</f>
        <v>0</v>
      </c>
      <c r="T68" s="336">
        <f>Gasto_o_ing_per_capita!T68-Gasto_o_ing_per_capita!$D68</f>
        <v>0</v>
      </c>
      <c r="U68" s="336">
        <f>Gasto_o_ing_per_capita!U68-Gasto_o_ing_per_capita!$D68</f>
        <v>0</v>
      </c>
      <c r="V68" s="336">
        <f>Gasto_o_ing_per_capita!V68-Gasto_o_ing_per_capita!$D68</f>
        <v>0</v>
      </c>
      <c r="W68" s="122"/>
      <c r="X68" s="104"/>
    </row>
    <row r="69" spans="1:24" s="102" customFormat="1" ht="13.15">
      <c r="A69" s="355" t="str">
        <f>IF(B69="","",(IF(ISERROR(MATCH(B69,Tot_res!C:C,0)),"Eliminar!!!","")))</f>
        <v/>
      </c>
      <c r="B69" s="115" t="s">
        <v>171</v>
      </c>
      <c r="C69" s="333" t="str">
        <f>VLOOKUP(B69,Tot_res!C:D,2,FALSE)</f>
        <v>Administración periférica del estado</v>
      </c>
      <c r="D69" s="336">
        <f>Gasto_o_ing_per_capita!D69-Gasto_o_ing_per_capita!$D69</f>
        <v>0</v>
      </c>
      <c r="E69" s="336">
        <f>Gasto_o_ing_per_capita!E69-Gasto_o_ing_per_capita!$D69</f>
        <v>0</v>
      </c>
      <c r="F69" s="336">
        <f>Gasto_o_ing_per_capita!F69-Gasto_o_ing_per_capita!$D69</f>
        <v>0</v>
      </c>
      <c r="G69" s="336">
        <f>Gasto_o_ing_per_capita!G69-Gasto_o_ing_per_capita!$D69</f>
        <v>0</v>
      </c>
      <c r="H69" s="336">
        <f>Gasto_o_ing_per_capita!H69-Gasto_o_ing_per_capita!$D69</f>
        <v>0</v>
      </c>
      <c r="I69" s="336">
        <f>Gasto_o_ing_per_capita!I69-Gasto_o_ing_per_capita!$D69</f>
        <v>0</v>
      </c>
      <c r="J69" s="336">
        <f>Gasto_o_ing_per_capita!J69-Gasto_o_ing_per_capita!$D69</f>
        <v>0</v>
      </c>
      <c r="K69" s="336">
        <f>Gasto_o_ing_per_capita!K69-Gasto_o_ing_per_capita!$D69</f>
        <v>0</v>
      </c>
      <c r="L69" s="336">
        <f>Gasto_o_ing_per_capita!L69-Gasto_o_ing_per_capita!$D69</f>
        <v>0</v>
      </c>
      <c r="M69" s="336">
        <f>Gasto_o_ing_per_capita!M69-Gasto_o_ing_per_capita!$D69</f>
        <v>0</v>
      </c>
      <c r="N69" s="336">
        <f>Gasto_o_ing_per_capita!N69-Gasto_o_ing_per_capita!$D69</f>
        <v>0</v>
      </c>
      <c r="O69" s="336">
        <f>Gasto_o_ing_per_capita!O69-Gasto_o_ing_per_capita!$D69</f>
        <v>0</v>
      </c>
      <c r="P69" s="336">
        <f>Gasto_o_ing_per_capita!P69-Gasto_o_ing_per_capita!$D69</f>
        <v>0</v>
      </c>
      <c r="Q69" s="336">
        <f>Gasto_o_ing_per_capita!Q69-Gasto_o_ing_per_capita!$D69</f>
        <v>0</v>
      </c>
      <c r="R69" s="336">
        <f>Gasto_o_ing_per_capita!R69-Gasto_o_ing_per_capita!$D69</f>
        <v>0</v>
      </c>
      <c r="S69" s="336">
        <f>Gasto_o_ing_per_capita!S69-Gasto_o_ing_per_capita!$D69</f>
        <v>0</v>
      </c>
      <c r="T69" s="336">
        <f>Gasto_o_ing_per_capita!T69-Gasto_o_ing_per_capita!$D69</f>
        <v>0</v>
      </c>
      <c r="U69" s="336">
        <f>Gasto_o_ing_per_capita!U69-Gasto_o_ing_per_capita!$D69</f>
        <v>0</v>
      </c>
      <c r="V69" s="336">
        <f>Gasto_o_ing_per_capita!V69-Gasto_o_ing_per_capita!$D69</f>
        <v>0</v>
      </c>
      <c r="W69" s="122"/>
      <c r="X69" s="104"/>
    </row>
    <row r="70" spans="1:24" s="102" customFormat="1" ht="13.15">
      <c r="A70" s="355" t="str">
        <f>IF(B70="","",(IF(ISERROR(MATCH(B70,Tot_res!C:C,0)),"Eliminar!!!","")))</f>
        <v/>
      </c>
      <c r="B70" s="115" t="s">
        <v>172</v>
      </c>
      <c r="C70" s="333" t="str">
        <f>VLOOKUP(B70,Tot_res!C:D,2,FALSE)</f>
        <v>Publicidad de las normas legales</v>
      </c>
      <c r="D70" s="336">
        <f>Gasto_o_ing_per_capita!D70-Gasto_o_ing_per_capita!$D70</f>
        <v>0</v>
      </c>
      <c r="E70" s="336">
        <f>Gasto_o_ing_per_capita!E70-Gasto_o_ing_per_capita!$D70</f>
        <v>0</v>
      </c>
      <c r="F70" s="336">
        <f>Gasto_o_ing_per_capita!F70-Gasto_o_ing_per_capita!$D70</f>
        <v>0</v>
      </c>
      <c r="G70" s="336">
        <f>Gasto_o_ing_per_capita!G70-Gasto_o_ing_per_capita!$D70</f>
        <v>0</v>
      </c>
      <c r="H70" s="336">
        <f>Gasto_o_ing_per_capita!H70-Gasto_o_ing_per_capita!$D70</f>
        <v>0</v>
      </c>
      <c r="I70" s="336">
        <f>Gasto_o_ing_per_capita!I70-Gasto_o_ing_per_capita!$D70</f>
        <v>0</v>
      </c>
      <c r="J70" s="336">
        <f>Gasto_o_ing_per_capita!J70-Gasto_o_ing_per_capita!$D70</f>
        <v>0</v>
      </c>
      <c r="K70" s="336">
        <f>Gasto_o_ing_per_capita!K70-Gasto_o_ing_per_capita!$D70</f>
        <v>0</v>
      </c>
      <c r="L70" s="336">
        <f>Gasto_o_ing_per_capita!L70-Gasto_o_ing_per_capita!$D70</f>
        <v>0</v>
      </c>
      <c r="M70" s="336">
        <f>Gasto_o_ing_per_capita!M70-Gasto_o_ing_per_capita!$D70</f>
        <v>0</v>
      </c>
      <c r="N70" s="336">
        <f>Gasto_o_ing_per_capita!N70-Gasto_o_ing_per_capita!$D70</f>
        <v>0</v>
      </c>
      <c r="O70" s="336">
        <f>Gasto_o_ing_per_capita!O70-Gasto_o_ing_per_capita!$D70</f>
        <v>0</v>
      </c>
      <c r="P70" s="336">
        <f>Gasto_o_ing_per_capita!P70-Gasto_o_ing_per_capita!$D70</f>
        <v>0</v>
      </c>
      <c r="Q70" s="336">
        <f>Gasto_o_ing_per_capita!Q70-Gasto_o_ing_per_capita!$D70</f>
        <v>0</v>
      </c>
      <c r="R70" s="336">
        <f>Gasto_o_ing_per_capita!R70-Gasto_o_ing_per_capita!$D70</f>
        <v>0</v>
      </c>
      <c r="S70" s="336">
        <f>Gasto_o_ing_per_capita!S70-Gasto_o_ing_per_capita!$D70</f>
        <v>0</v>
      </c>
      <c r="T70" s="336">
        <f>Gasto_o_ing_per_capita!T70-Gasto_o_ing_per_capita!$D70</f>
        <v>0</v>
      </c>
      <c r="U70" s="336">
        <f>Gasto_o_ing_per_capita!U70-Gasto_o_ing_per_capita!$D70</f>
        <v>0</v>
      </c>
      <c r="V70" s="336">
        <f>Gasto_o_ing_per_capita!V70-Gasto_o_ing_per_capita!$D70</f>
        <v>0</v>
      </c>
      <c r="W70" s="122"/>
      <c r="X70" s="104"/>
    </row>
    <row r="71" spans="1:24" s="102" customFormat="1" ht="13.15">
      <c r="A71" s="355" t="str">
        <f>IF(B71="","",(IF(ISERROR(MATCH(B71,Tot_res!C:C,0)),"Eliminar!!!","")))</f>
        <v/>
      </c>
      <c r="B71" s="115" t="s">
        <v>174</v>
      </c>
      <c r="C71" s="333" t="str">
        <f>VLOOKUP(B71,Tot_res!C:D,2,FALSE)</f>
        <v>Asesoramiento y defensa intereses del estado</v>
      </c>
      <c r="D71" s="336">
        <f>Gasto_o_ing_per_capita!D71-Gasto_o_ing_per_capita!$D71</f>
        <v>0</v>
      </c>
      <c r="E71" s="336">
        <f>Gasto_o_ing_per_capita!E71-Gasto_o_ing_per_capita!$D71</f>
        <v>0</v>
      </c>
      <c r="F71" s="336">
        <f>Gasto_o_ing_per_capita!F71-Gasto_o_ing_per_capita!$D71</f>
        <v>0</v>
      </c>
      <c r="G71" s="336">
        <f>Gasto_o_ing_per_capita!G71-Gasto_o_ing_per_capita!$D71</f>
        <v>0</v>
      </c>
      <c r="H71" s="336">
        <f>Gasto_o_ing_per_capita!H71-Gasto_o_ing_per_capita!$D71</f>
        <v>0</v>
      </c>
      <c r="I71" s="336">
        <f>Gasto_o_ing_per_capita!I71-Gasto_o_ing_per_capita!$D71</f>
        <v>0</v>
      </c>
      <c r="J71" s="336">
        <f>Gasto_o_ing_per_capita!J71-Gasto_o_ing_per_capita!$D71</f>
        <v>0</v>
      </c>
      <c r="K71" s="336">
        <f>Gasto_o_ing_per_capita!K71-Gasto_o_ing_per_capita!$D71</f>
        <v>0</v>
      </c>
      <c r="L71" s="336">
        <f>Gasto_o_ing_per_capita!L71-Gasto_o_ing_per_capita!$D71</f>
        <v>0</v>
      </c>
      <c r="M71" s="336">
        <f>Gasto_o_ing_per_capita!M71-Gasto_o_ing_per_capita!$D71</f>
        <v>0</v>
      </c>
      <c r="N71" s="336">
        <f>Gasto_o_ing_per_capita!N71-Gasto_o_ing_per_capita!$D71</f>
        <v>0</v>
      </c>
      <c r="O71" s="336">
        <f>Gasto_o_ing_per_capita!O71-Gasto_o_ing_per_capita!$D71</f>
        <v>0</v>
      </c>
      <c r="P71" s="336">
        <f>Gasto_o_ing_per_capita!P71-Gasto_o_ing_per_capita!$D71</f>
        <v>0</v>
      </c>
      <c r="Q71" s="336">
        <f>Gasto_o_ing_per_capita!Q71-Gasto_o_ing_per_capita!$D71</f>
        <v>0</v>
      </c>
      <c r="R71" s="336">
        <f>Gasto_o_ing_per_capita!R71-Gasto_o_ing_per_capita!$D71</f>
        <v>0</v>
      </c>
      <c r="S71" s="336">
        <f>Gasto_o_ing_per_capita!S71-Gasto_o_ing_per_capita!$D71</f>
        <v>0</v>
      </c>
      <c r="T71" s="336">
        <f>Gasto_o_ing_per_capita!T71-Gasto_o_ing_per_capita!$D71</f>
        <v>0</v>
      </c>
      <c r="U71" s="336">
        <f>Gasto_o_ing_per_capita!U71-Gasto_o_ing_per_capita!$D71</f>
        <v>0</v>
      </c>
      <c r="V71" s="336">
        <f>Gasto_o_ing_per_capita!V71-Gasto_o_ing_per_capita!$D71</f>
        <v>0</v>
      </c>
      <c r="W71" s="122"/>
      <c r="X71" s="104"/>
    </row>
    <row r="72" spans="1:24" s="102" customFormat="1" ht="13.15">
      <c r="A72" s="355" t="str">
        <f>IF(B72="","",(IF(ISERROR(MATCH(B72,Tot_res!C:C,0)),"Eliminar!!!","")))</f>
        <v/>
      </c>
      <c r="B72" s="115" t="s">
        <v>175</v>
      </c>
      <c r="C72" s="333" t="str">
        <f>VLOOKUP(B72,Tot_res!C:D,2,FALSE)</f>
        <v>Servicios de transportes de ministerios</v>
      </c>
      <c r="D72" s="336">
        <f>Gasto_o_ing_per_capita!D72-Gasto_o_ing_per_capita!$D72</f>
        <v>0</v>
      </c>
      <c r="E72" s="336">
        <f>Gasto_o_ing_per_capita!E72-Gasto_o_ing_per_capita!$D72</f>
        <v>0</v>
      </c>
      <c r="F72" s="336">
        <f>Gasto_o_ing_per_capita!F72-Gasto_o_ing_per_capita!$D72</f>
        <v>0</v>
      </c>
      <c r="G72" s="336">
        <f>Gasto_o_ing_per_capita!G72-Gasto_o_ing_per_capita!$D72</f>
        <v>0</v>
      </c>
      <c r="H72" s="336">
        <f>Gasto_o_ing_per_capita!H72-Gasto_o_ing_per_capita!$D72</f>
        <v>0</v>
      </c>
      <c r="I72" s="336">
        <f>Gasto_o_ing_per_capita!I72-Gasto_o_ing_per_capita!$D72</f>
        <v>0</v>
      </c>
      <c r="J72" s="336">
        <f>Gasto_o_ing_per_capita!J72-Gasto_o_ing_per_capita!$D72</f>
        <v>0</v>
      </c>
      <c r="K72" s="336">
        <f>Gasto_o_ing_per_capita!K72-Gasto_o_ing_per_capita!$D72</f>
        <v>0</v>
      </c>
      <c r="L72" s="336">
        <f>Gasto_o_ing_per_capita!L72-Gasto_o_ing_per_capita!$D72</f>
        <v>0</v>
      </c>
      <c r="M72" s="336">
        <f>Gasto_o_ing_per_capita!M72-Gasto_o_ing_per_capita!$D72</f>
        <v>0</v>
      </c>
      <c r="N72" s="336">
        <f>Gasto_o_ing_per_capita!N72-Gasto_o_ing_per_capita!$D72</f>
        <v>0</v>
      </c>
      <c r="O72" s="336">
        <f>Gasto_o_ing_per_capita!O72-Gasto_o_ing_per_capita!$D72</f>
        <v>0</v>
      </c>
      <c r="P72" s="336">
        <f>Gasto_o_ing_per_capita!P72-Gasto_o_ing_per_capita!$D72</f>
        <v>0</v>
      </c>
      <c r="Q72" s="336">
        <f>Gasto_o_ing_per_capita!Q72-Gasto_o_ing_per_capita!$D72</f>
        <v>0</v>
      </c>
      <c r="R72" s="336">
        <f>Gasto_o_ing_per_capita!R72-Gasto_o_ing_per_capita!$D72</f>
        <v>0</v>
      </c>
      <c r="S72" s="336">
        <f>Gasto_o_ing_per_capita!S72-Gasto_o_ing_per_capita!$D72</f>
        <v>0</v>
      </c>
      <c r="T72" s="336">
        <f>Gasto_o_ing_per_capita!T72-Gasto_o_ing_per_capita!$D72</f>
        <v>0</v>
      </c>
      <c r="U72" s="336">
        <f>Gasto_o_ing_per_capita!U72-Gasto_o_ing_per_capita!$D72</f>
        <v>0</v>
      </c>
      <c r="V72" s="336">
        <f>Gasto_o_ing_per_capita!V72-Gasto_o_ing_per_capita!$D72</f>
        <v>0</v>
      </c>
      <c r="W72" s="122"/>
      <c r="X72" s="104"/>
    </row>
    <row r="73" spans="1:24" s="102" customFormat="1" ht="13.15">
      <c r="A73" s="355" t="str">
        <f>IF(B73="","",(IF(ISERROR(MATCH(B73,Tot_res!C:C,0)),"Eliminar!!!","")))</f>
        <v/>
      </c>
      <c r="B73" s="115" t="s">
        <v>176</v>
      </c>
      <c r="C73" s="333" t="str">
        <f>VLOOKUP(B73,Tot_res!C:D,2,FALSE)</f>
        <v>Evaluación de políticas y programas públicos, calidad de los servicios e impacto normativo</v>
      </c>
      <c r="D73" s="336">
        <f>Gasto_o_ing_per_capita!D73-Gasto_o_ing_per_capita!$D73</f>
        <v>0</v>
      </c>
      <c r="E73" s="336">
        <f>Gasto_o_ing_per_capita!E73-Gasto_o_ing_per_capita!$D73</f>
        <v>0</v>
      </c>
      <c r="F73" s="336">
        <f>Gasto_o_ing_per_capita!F73-Gasto_o_ing_per_capita!$D73</f>
        <v>0</v>
      </c>
      <c r="G73" s="336">
        <f>Gasto_o_ing_per_capita!G73-Gasto_o_ing_per_capita!$D73</f>
        <v>0</v>
      </c>
      <c r="H73" s="336">
        <f>Gasto_o_ing_per_capita!H73-Gasto_o_ing_per_capita!$D73</f>
        <v>0</v>
      </c>
      <c r="I73" s="336">
        <f>Gasto_o_ing_per_capita!I73-Gasto_o_ing_per_capita!$D73</f>
        <v>0</v>
      </c>
      <c r="J73" s="336">
        <f>Gasto_o_ing_per_capita!J73-Gasto_o_ing_per_capita!$D73</f>
        <v>0</v>
      </c>
      <c r="K73" s="336">
        <f>Gasto_o_ing_per_capita!K73-Gasto_o_ing_per_capita!$D73</f>
        <v>0</v>
      </c>
      <c r="L73" s="336">
        <f>Gasto_o_ing_per_capita!L73-Gasto_o_ing_per_capita!$D73</f>
        <v>0</v>
      </c>
      <c r="M73" s="336">
        <f>Gasto_o_ing_per_capita!M73-Gasto_o_ing_per_capita!$D73</f>
        <v>0</v>
      </c>
      <c r="N73" s="336">
        <f>Gasto_o_ing_per_capita!N73-Gasto_o_ing_per_capita!$D73</f>
        <v>0</v>
      </c>
      <c r="O73" s="336">
        <f>Gasto_o_ing_per_capita!O73-Gasto_o_ing_per_capita!$D73</f>
        <v>0</v>
      </c>
      <c r="P73" s="336">
        <f>Gasto_o_ing_per_capita!P73-Gasto_o_ing_per_capita!$D73</f>
        <v>0</v>
      </c>
      <c r="Q73" s="336">
        <f>Gasto_o_ing_per_capita!Q73-Gasto_o_ing_per_capita!$D73</f>
        <v>0</v>
      </c>
      <c r="R73" s="336">
        <f>Gasto_o_ing_per_capita!R73-Gasto_o_ing_per_capita!$D73</f>
        <v>0</v>
      </c>
      <c r="S73" s="336">
        <f>Gasto_o_ing_per_capita!S73-Gasto_o_ing_per_capita!$D73</f>
        <v>0</v>
      </c>
      <c r="T73" s="336">
        <f>Gasto_o_ing_per_capita!T73-Gasto_o_ing_per_capita!$D73</f>
        <v>0</v>
      </c>
      <c r="U73" s="336">
        <f>Gasto_o_ing_per_capita!U73-Gasto_o_ing_per_capita!$D73</f>
        <v>0</v>
      </c>
      <c r="V73" s="336">
        <f>Gasto_o_ing_per_capita!V73-Gasto_o_ing_per_capita!$D73</f>
        <v>0</v>
      </c>
      <c r="W73" s="122"/>
      <c r="X73" s="104"/>
    </row>
    <row r="74" spans="1:24" s="102" customFormat="1" ht="13.15">
      <c r="A74" s="355" t="str">
        <f>IF(B74="","",(IF(ISERROR(MATCH(B74,Tot_res!C:C,0)),"Eliminar!!!","")))</f>
        <v/>
      </c>
      <c r="B74" s="115" t="s">
        <v>177</v>
      </c>
      <c r="C74" s="333" t="str">
        <f>VLOOKUP(B74,Tot_res!C:D,2,FALSE)</f>
        <v>Organización territorial del estado y desarrollo de sus sistemas de colaboración</v>
      </c>
      <c r="D74" s="336">
        <f>Gasto_o_ing_per_capita!D74-Gasto_o_ing_per_capita!$D74</f>
        <v>0</v>
      </c>
      <c r="E74" s="336">
        <f>Gasto_o_ing_per_capita!E74-Gasto_o_ing_per_capita!$D74</f>
        <v>0</v>
      </c>
      <c r="F74" s="336">
        <f>Gasto_o_ing_per_capita!F74-Gasto_o_ing_per_capita!$D74</f>
        <v>0</v>
      </c>
      <c r="G74" s="336">
        <f>Gasto_o_ing_per_capita!G74-Gasto_o_ing_per_capita!$D74</f>
        <v>0</v>
      </c>
      <c r="H74" s="336">
        <f>Gasto_o_ing_per_capita!H74-Gasto_o_ing_per_capita!$D74</f>
        <v>0</v>
      </c>
      <c r="I74" s="336">
        <f>Gasto_o_ing_per_capita!I74-Gasto_o_ing_per_capita!$D74</f>
        <v>0</v>
      </c>
      <c r="J74" s="336">
        <f>Gasto_o_ing_per_capita!J74-Gasto_o_ing_per_capita!$D74</f>
        <v>0</v>
      </c>
      <c r="K74" s="336">
        <f>Gasto_o_ing_per_capita!K74-Gasto_o_ing_per_capita!$D74</f>
        <v>0</v>
      </c>
      <c r="L74" s="336">
        <f>Gasto_o_ing_per_capita!L74-Gasto_o_ing_per_capita!$D74</f>
        <v>0</v>
      </c>
      <c r="M74" s="336">
        <f>Gasto_o_ing_per_capita!M74-Gasto_o_ing_per_capita!$D74</f>
        <v>0</v>
      </c>
      <c r="N74" s="336">
        <f>Gasto_o_ing_per_capita!N74-Gasto_o_ing_per_capita!$D74</f>
        <v>0</v>
      </c>
      <c r="O74" s="336">
        <f>Gasto_o_ing_per_capita!O74-Gasto_o_ing_per_capita!$D74</f>
        <v>0</v>
      </c>
      <c r="P74" s="336">
        <f>Gasto_o_ing_per_capita!P74-Gasto_o_ing_per_capita!$D74</f>
        <v>0</v>
      </c>
      <c r="Q74" s="336">
        <f>Gasto_o_ing_per_capita!Q74-Gasto_o_ing_per_capita!$D74</f>
        <v>0</v>
      </c>
      <c r="R74" s="336">
        <f>Gasto_o_ing_per_capita!R74-Gasto_o_ing_per_capita!$D74</f>
        <v>0</v>
      </c>
      <c r="S74" s="336">
        <f>Gasto_o_ing_per_capita!S74-Gasto_o_ing_per_capita!$D74</f>
        <v>0</v>
      </c>
      <c r="T74" s="336">
        <f>Gasto_o_ing_per_capita!T74-Gasto_o_ing_per_capita!$D74</f>
        <v>0</v>
      </c>
      <c r="U74" s="336">
        <f>Gasto_o_ing_per_capita!U74-Gasto_o_ing_per_capita!$D74</f>
        <v>0</v>
      </c>
      <c r="V74" s="336">
        <f>Gasto_o_ing_per_capita!V74-Gasto_o_ing_per_capita!$D74</f>
        <v>0</v>
      </c>
      <c r="W74" s="122"/>
      <c r="X74" s="104"/>
    </row>
    <row r="75" spans="1:24" s="102" customFormat="1" ht="13.15">
      <c r="A75" s="355" t="str">
        <f>IF(B75="","",(IF(ISERROR(MATCH(B75,Tot_res!C:C,0)),"Eliminar!!!","")))</f>
        <v/>
      </c>
      <c r="B75" s="115" t="s">
        <v>178</v>
      </c>
      <c r="C75" s="333" t="str">
        <f>VLOOKUP(B75,Tot_res!C:D,2,FALSE)</f>
        <v>Elecciones y partidos políticos</v>
      </c>
      <c r="D75" s="336">
        <f>Gasto_o_ing_per_capita!D75-Gasto_o_ing_per_capita!$D75</f>
        <v>0</v>
      </c>
      <c r="E75" s="336">
        <f>Gasto_o_ing_per_capita!E75-Gasto_o_ing_per_capita!$D75</f>
        <v>0</v>
      </c>
      <c r="F75" s="336">
        <f>Gasto_o_ing_per_capita!F75-Gasto_o_ing_per_capita!$D75</f>
        <v>0</v>
      </c>
      <c r="G75" s="336">
        <f>Gasto_o_ing_per_capita!G75-Gasto_o_ing_per_capita!$D75</f>
        <v>0</v>
      </c>
      <c r="H75" s="336">
        <f>Gasto_o_ing_per_capita!H75-Gasto_o_ing_per_capita!$D75</f>
        <v>0</v>
      </c>
      <c r="I75" s="336">
        <f>Gasto_o_ing_per_capita!I75-Gasto_o_ing_per_capita!$D75</f>
        <v>0</v>
      </c>
      <c r="J75" s="336">
        <f>Gasto_o_ing_per_capita!J75-Gasto_o_ing_per_capita!$D75</f>
        <v>0</v>
      </c>
      <c r="K75" s="336">
        <f>Gasto_o_ing_per_capita!K75-Gasto_o_ing_per_capita!$D75</f>
        <v>0</v>
      </c>
      <c r="L75" s="336">
        <f>Gasto_o_ing_per_capita!L75-Gasto_o_ing_per_capita!$D75</f>
        <v>0</v>
      </c>
      <c r="M75" s="336">
        <f>Gasto_o_ing_per_capita!M75-Gasto_o_ing_per_capita!$D75</f>
        <v>0</v>
      </c>
      <c r="N75" s="336">
        <f>Gasto_o_ing_per_capita!N75-Gasto_o_ing_per_capita!$D75</f>
        <v>0</v>
      </c>
      <c r="O75" s="336">
        <f>Gasto_o_ing_per_capita!O75-Gasto_o_ing_per_capita!$D75</f>
        <v>0</v>
      </c>
      <c r="P75" s="336">
        <f>Gasto_o_ing_per_capita!P75-Gasto_o_ing_per_capita!$D75</f>
        <v>0</v>
      </c>
      <c r="Q75" s="336">
        <f>Gasto_o_ing_per_capita!Q75-Gasto_o_ing_per_capita!$D75</f>
        <v>0</v>
      </c>
      <c r="R75" s="336">
        <f>Gasto_o_ing_per_capita!R75-Gasto_o_ing_per_capita!$D75</f>
        <v>0</v>
      </c>
      <c r="S75" s="336">
        <f>Gasto_o_ing_per_capita!S75-Gasto_o_ing_per_capita!$D75</f>
        <v>0</v>
      </c>
      <c r="T75" s="336">
        <f>Gasto_o_ing_per_capita!T75-Gasto_o_ing_per_capita!$D75</f>
        <v>0</v>
      </c>
      <c r="U75" s="336">
        <f>Gasto_o_ing_per_capita!U75-Gasto_o_ing_per_capita!$D75</f>
        <v>0</v>
      </c>
      <c r="V75" s="336">
        <f>Gasto_o_ing_per_capita!V75-Gasto_o_ing_per_capita!$D75</f>
        <v>0</v>
      </c>
      <c r="W75" s="122"/>
      <c r="X75" s="104"/>
    </row>
    <row r="76" spans="1:24" s="102" customFormat="1" ht="13.15">
      <c r="A76" s="356"/>
      <c r="B76" s="115"/>
      <c r="D76" s="110"/>
      <c r="E76" s="110"/>
      <c r="F76" s="110"/>
      <c r="G76" s="110"/>
      <c r="H76" s="110"/>
      <c r="I76" s="110"/>
      <c r="J76" s="110"/>
      <c r="K76" s="110"/>
      <c r="L76" s="110"/>
      <c r="M76" s="110"/>
      <c r="N76" s="110"/>
      <c r="O76" s="110"/>
      <c r="P76" s="110"/>
      <c r="Q76" s="110"/>
      <c r="R76" s="110"/>
      <c r="S76" s="110"/>
      <c r="T76" s="110"/>
      <c r="U76" s="110"/>
      <c r="V76" s="110"/>
      <c r="W76" s="122"/>
      <c r="X76" s="104"/>
    </row>
    <row r="77" spans="1:24" s="102" customFormat="1" ht="13.15">
      <c r="A77" s="356"/>
      <c r="B77" s="115"/>
      <c r="C77" s="128" t="s">
        <v>25</v>
      </c>
      <c r="D77" s="113">
        <f>Gasto_o_ing_per_capita!D77-Gasto_o_ing_per_capita!$D77</f>
        <v>0</v>
      </c>
      <c r="E77" s="113">
        <f>Gasto_o_ing_per_capita!E77-Gasto_o_ing_per_capita!$D77</f>
        <v>0</v>
      </c>
      <c r="F77" s="113">
        <f>Gasto_o_ing_per_capita!F77-Gasto_o_ing_per_capita!$D77</f>
        <v>0</v>
      </c>
      <c r="G77" s="113">
        <f>Gasto_o_ing_per_capita!G77-Gasto_o_ing_per_capita!$D77</f>
        <v>0</v>
      </c>
      <c r="H77" s="113">
        <f>Gasto_o_ing_per_capita!H77-Gasto_o_ing_per_capita!$D77</f>
        <v>0</v>
      </c>
      <c r="I77" s="113">
        <f>Gasto_o_ing_per_capita!I77-Gasto_o_ing_per_capita!$D77</f>
        <v>0</v>
      </c>
      <c r="J77" s="113">
        <f>Gasto_o_ing_per_capita!J77-Gasto_o_ing_per_capita!$D77</f>
        <v>0</v>
      </c>
      <c r="K77" s="113">
        <f>Gasto_o_ing_per_capita!K77-Gasto_o_ing_per_capita!$D77</f>
        <v>0</v>
      </c>
      <c r="L77" s="113">
        <f>Gasto_o_ing_per_capita!L77-Gasto_o_ing_per_capita!$D77</f>
        <v>0</v>
      </c>
      <c r="M77" s="113">
        <f>Gasto_o_ing_per_capita!M77-Gasto_o_ing_per_capita!$D77</f>
        <v>0</v>
      </c>
      <c r="N77" s="113">
        <f>Gasto_o_ing_per_capita!N77-Gasto_o_ing_per_capita!$D77</f>
        <v>0</v>
      </c>
      <c r="O77" s="113">
        <f>Gasto_o_ing_per_capita!O77-Gasto_o_ing_per_capita!$D77</f>
        <v>0</v>
      </c>
      <c r="P77" s="113">
        <f>Gasto_o_ing_per_capita!P77-Gasto_o_ing_per_capita!$D77</f>
        <v>0</v>
      </c>
      <c r="Q77" s="113">
        <f>Gasto_o_ing_per_capita!Q77-Gasto_o_ing_per_capita!$D77</f>
        <v>0</v>
      </c>
      <c r="R77" s="113">
        <f>Gasto_o_ing_per_capita!R77-Gasto_o_ing_per_capita!$D77</f>
        <v>0</v>
      </c>
      <c r="S77" s="113">
        <f>Gasto_o_ing_per_capita!S77-Gasto_o_ing_per_capita!$D77</f>
        <v>0</v>
      </c>
      <c r="T77" s="113">
        <f>Gasto_o_ing_per_capita!T77-Gasto_o_ing_per_capita!$D77</f>
        <v>0</v>
      </c>
      <c r="U77" s="113">
        <f>Gasto_o_ing_per_capita!U77-Gasto_o_ing_per_capita!$D77</f>
        <v>0</v>
      </c>
      <c r="V77" s="113">
        <f>Gasto_o_ing_per_capita!V77-Gasto_o_ing_per_capita!$D77</f>
        <v>0</v>
      </c>
      <c r="W77" s="131"/>
      <c r="X77" s="104"/>
    </row>
    <row r="78" spans="1:24" s="102" customFormat="1" ht="13.15">
      <c r="A78" s="355" t="str">
        <f>IF(B78="","",(IF(ISERROR(MATCH(B78,Tot_res!C:C,0)),"Eliminar!!!","")))</f>
        <v/>
      </c>
      <c r="B78" s="115" t="s">
        <v>179</v>
      </c>
      <c r="C78" s="333" t="str">
        <f>VLOOKUP(B78,Tot_res!C:D,2,FALSE)</f>
        <v>Investigación y estudios sociológicos y constitucionales</v>
      </c>
      <c r="D78" s="336">
        <f>Gasto_o_ing_per_capita!D78-Gasto_o_ing_per_capita!$D78</f>
        <v>0</v>
      </c>
      <c r="E78" s="336">
        <f>Gasto_o_ing_per_capita!E78-Gasto_o_ing_per_capita!$D78</f>
        <v>0</v>
      </c>
      <c r="F78" s="336">
        <f>Gasto_o_ing_per_capita!F78-Gasto_o_ing_per_capita!$D78</f>
        <v>0</v>
      </c>
      <c r="G78" s="336">
        <f>Gasto_o_ing_per_capita!G78-Gasto_o_ing_per_capita!$D78</f>
        <v>0</v>
      </c>
      <c r="H78" s="336">
        <f>Gasto_o_ing_per_capita!H78-Gasto_o_ing_per_capita!$D78</f>
        <v>0</v>
      </c>
      <c r="I78" s="336">
        <f>Gasto_o_ing_per_capita!I78-Gasto_o_ing_per_capita!$D78</f>
        <v>0</v>
      </c>
      <c r="J78" s="336">
        <f>Gasto_o_ing_per_capita!J78-Gasto_o_ing_per_capita!$D78</f>
        <v>0</v>
      </c>
      <c r="K78" s="336">
        <f>Gasto_o_ing_per_capita!K78-Gasto_o_ing_per_capita!$D78</f>
        <v>0</v>
      </c>
      <c r="L78" s="336">
        <f>Gasto_o_ing_per_capita!L78-Gasto_o_ing_per_capita!$D78</f>
        <v>0</v>
      </c>
      <c r="M78" s="336">
        <f>Gasto_o_ing_per_capita!M78-Gasto_o_ing_per_capita!$D78</f>
        <v>0</v>
      </c>
      <c r="N78" s="336">
        <f>Gasto_o_ing_per_capita!N78-Gasto_o_ing_per_capita!$D78</f>
        <v>0</v>
      </c>
      <c r="O78" s="336">
        <f>Gasto_o_ing_per_capita!O78-Gasto_o_ing_per_capita!$D78</f>
        <v>0</v>
      </c>
      <c r="P78" s="336">
        <f>Gasto_o_ing_per_capita!P78-Gasto_o_ing_per_capita!$D78</f>
        <v>0</v>
      </c>
      <c r="Q78" s="336">
        <f>Gasto_o_ing_per_capita!Q78-Gasto_o_ing_per_capita!$D78</f>
        <v>0</v>
      </c>
      <c r="R78" s="336">
        <f>Gasto_o_ing_per_capita!R78-Gasto_o_ing_per_capita!$D78</f>
        <v>0</v>
      </c>
      <c r="S78" s="336">
        <f>Gasto_o_ing_per_capita!S78-Gasto_o_ing_per_capita!$D78</f>
        <v>0</v>
      </c>
      <c r="T78" s="336">
        <f>Gasto_o_ing_per_capita!T78-Gasto_o_ing_per_capita!$D78</f>
        <v>0</v>
      </c>
      <c r="U78" s="336">
        <f>Gasto_o_ing_per_capita!U78-Gasto_o_ing_per_capita!$D78</f>
        <v>0</v>
      </c>
      <c r="V78" s="336">
        <f>Gasto_o_ing_per_capita!V78-Gasto_o_ing_per_capita!$D78</f>
        <v>0</v>
      </c>
      <c r="W78" s="122"/>
      <c r="X78" s="104"/>
    </row>
    <row r="79" spans="1:24" s="102" customFormat="1" ht="13.15">
      <c r="A79" s="355" t="str">
        <f>IF(B79="","",(IF(ISERROR(MATCH(B79,Tot_res!C:C,0)),"Eliminar!!!","")))</f>
        <v/>
      </c>
      <c r="B79" s="115" t="s">
        <v>181</v>
      </c>
      <c r="C79" s="333" t="str">
        <f>VLOOKUP(B79,Tot_res!C:D,2,FALSE)</f>
        <v>Investigación y estudios estadísticos y económicos</v>
      </c>
      <c r="D79" s="336">
        <f>Gasto_o_ing_per_capita!D79-Gasto_o_ing_per_capita!$D79</f>
        <v>0</v>
      </c>
      <c r="E79" s="336">
        <f>Gasto_o_ing_per_capita!E79-Gasto_o_ing_per_capita!$D79</f>
        <v>0</v>
      </c>
      <c r="F79" s="336">
        <f>Gasto_o_ing_per_capita!F79-Gasto_o_ing_per_capita!$D79</f>
        <v>0</v>
      </c>
      <c r="G79" s="336">
        <f>Gasto_o_ing_per_capita!G79-Gasto_o_ing_per_capita!$D79</f>
        <v>0</v>
      </c>
      <c r="H79" s="336">
        <f>Gasto_o_ing_per_capita!H79-Gasto_o_ing_per_capita!$D79</f>
        <v>0</v>
      </c>
      <c r="I79" s="336">
        <f>Gasto_o_ing_per_capita!I79-Gasto_o_ing_per_capita!$D79</f>
        <v>0</v>
      </c>
      <c r="J79" s="336">
        <f>Gasto_o_ing_per_capita!J79-Gasto_o_ing_per_capita!$D79</f>
        <v>0</v>
      </c>
      <c r="K79" s="336">
        <f>Gasto_o_ing_per_capita!K79-Gasto_o_ing_per_capita!$D79</f>
        <v>0</v>
      </c>
      <c r="L79" s="336">
        <f>Gasto_o_ing_per_capita!L79-Gasto_o_ing_per_capita!$D79</f>
        <v>0</v>
      </c>
      <c r="M79" s="336">
        <f>Gasto_o_ing_per_capita!M79-Gasto_o_ing_per_capita!$D79</f>
        <v>0</v>
      </c>
      <c r="N79" s="336">
        <f>Gasto_o_ing_per_capita!N79-Gasto_o_ing_per_capita!$D79</f>
        <v>0</v>
      </c>
      <c r="O79" s="336">
        <f>Gasto_o_ing_per_capita!O79-Gasto_o_ing_per_capita!$D79</f>
        <v>0</v>
      </c>
      <c r="P79" s="336">
        <f>Gasto_o_ing_per_capita!P79-Gasto_o_ing_per_capita!$D79</f>
        <v>0</v>
      </c>
      <c r="Q79" s="336">
        <f>Gasto_o_ing_per_capita!Q79-Gasto_o_ing_per_capita!$D79</f>
        <v>0</v>
      </c>
      <c r="R79" s="336">
        <f>Gasto_o_ing_per_capita!R79-Gasto_o_ing_per_capita!$D79</f>
        <v>0</v>
      </c>
      <c r="S79" s="336">
        <f>Gasto_o_ing_per_capita!S79-Gasto_o_ing_per_capita!$D79</f>
        <v>0</v>
      </c>
      <c r="T79" s="336">
        <f>Gasto_o_ing_per_capita!T79-Gasto_o_ing_per_capita!$D79</f>
        <v>0</v>
      </c>
      <c r="U79" s="336">
        <f>Gasto_o_ing_per_capita!U79-Gasto_o_ing_per_capita!$D79</f>
        <v>0</v>
      </c>
      <c r="V79" s="336">
        <f>Gasto_o_ing_per_capita!V79-Gasto_o_ing_per_capita!$D79</f>
        <v>0</v>
      </c>
      <c r="W79" s="122"/>
      <c r="X79" s="104"/>
    </row>
    <row r="80" spans="1:24" s="102" customFormat="1" ht="13.15">
      <c r="A80" s="355" t="str">
        <f>IF(B80="","",(IF(ISERROR(MATCH(B80,Tot_res!C:C,0)),"Eliminar!!!","")))</f>
        <v/>
      </c>
      <c r="B80" s="115" t="s">
        <v>183</v>
      </c>
      <c r="C80" s="333" t="str">
        <f>VLOOKUP(B80,Tot_res!C:D,2,FALSE)</f>
        <v>Investigación científica</v>
      </c>
      <c r="D80" s="336">
        <f>Gasto_o_ing_per_capita!D80-Gasto_o_ing_per_capita!$D80</f>
        <v>0</v>
      </c>
      <c r="E80" s="336">
        <f>Gasto_o_ing_per_capita!E80-Gasto_o_ing_per_capita!$D80</f>
        <v>0</v>
      </c>
      <c r="F80" s="336">
        <f>Gasto_o_ing_per_capita!F80-Gasto_o_ing_per_capita!$D80</f>
        <v>0</v>
      </c>
      <c r="G80" s="336">
        <f>Gasto_o_ing_per_capita!G80-Gasto_o_ing_per_capita!$D80</f>
        <v>0</v>
      </c>
      <c r="H80" s="336">
        <f>Gasto_o_ing_per_capita!H80-Gasto_o_ing_per_capita!$D80</f>
        <v>0</v>
      </c>
      <c r="I80" s="336">
        <f>Gasto_o_ing_per_capita!I80-Gasto_o_ing_per_capita!$D80</f>
        <v>0</v>
      </c>
      <c r="J80" s="336">
        <f>Gasto_o_ing_per_capita!J80-Gasto_o_ing_per_capita!$D80</f>
        <v>0</v>
      </c>
      <c r="K80" s="336">
        <f>Gasto_o_ing_per_capita!K80-Gasto_o_ing_per_capita!$D80</f>
        <v>0</v>
      </c>
      <c r="L80" s="336">
        <f>Gasto_o_ing_per_capita!L80-Gasto_o_ing_per_capita!$D80</f>
        <v>0</v>
      </c>
      <c r="M80" s="336">
        <f>Gasto_o_ing_per_capita!M80-Gasto_o_ing_per_capita!$D80</f>
        <v>0</v>
      </c>
      <c r="N80" s="336">
        <f>Gasto_o_ing_per_capita!N80-Gasto_o_ing_per_capita!$D80</f>
        <v>0</v>
      </c>
      <c r="O80" s="336">
        <f>Gasto_o_ing_per_capita!O80-Gasto_o_ing_per_capita!$D80</f>
        <v>0</v>
      </c>
      <c r="P80" s="336">
        <f>Gasto_o_ing_per_capita!P80-Gasto_o_ing_per_capita!$D80</f>
        <v>0</v>
      </c>
      <c r="Q80" s="336">
        <f>Gasto_o_ing_per_capita!Q80-Gasto_o_ing_per_capita!$D80</f>
        <v>0</v>
      </c>
      <c r="R80" s="336">
        <f>Gasto_o_ing_per_capita!R80-Gasto_o_ing_per_capita!$D80</f>
        <v>0</v>
      </c>
      <c r="S80" s="336">
        <f>Gasto_o_ing_per_capita!S80-Gasto_o_ing_per_capita!$D80</f>
        <v>0</v>
      </c>
      <c r="T80" s="336">
        <f>Gasto_o_ing_per_capita!T80-Gasto_o_ing_per_capita!$D80</f>
        <v>0</v>
      </c>
      <c r="U80" s="336">
        <f>Gasto_o_ing_per_capita!U80-Gasto_o_ing_per_capita!$D80</f>
        <v>0</v>
      </c>
      <c r="V80" s="336">
        <f>Gasto_o_ing_per_capita!V80-Gasto_o_ing_per_capita!$D80</f>
        <v>0</v>
      </c>
      <c r="W80" s="122"/>
      <c r="X80" s="104"/>
    </row>
    <row r="81" spans="1:24" s="102" customFormat="1" ht="13.15">
      <c r="A81" s="355" t="str">
        <f>IF(B81="","",(IF(ISERROR(MATCH(B81,Tot_res!C:C,0)),"Eliminar!!!","")))</f>
        <v/>
      </c>
      <c r="B81" s="115" t="s">
        <v>185</v>
      </c>
      <c r="C81" s="333" t="str">
        <f>VLOOKUP(B81,Tot_res!C:D,2,FALSE)</f>
        <v>Fomento y coordinación de la investigación científica y técnica</v>
      </c>
      <c r="D81" s="336">
        <f>Gasto_o_ing_per_capita!D81-Gasto_o_ing_per_capita!$D81</f>
        <v>0</v>
      </c>
      <c r="E81" s="336">
        <f>Gasto_o_ing_per_capita!E81-Gasto_o_ing_per_capita!$D81</f>
        <v>0</v>
      </c>
      <c r="F81" s="336">
        <f>Gasto_o_ing_per_capita!F81-Gasto_o_ing_per_capita!$D81</f>
        <v>0</v>
      </c>
      <c r="G81" s="336">
        <f>Gasto_o_ing_per_capita!G81-Gasto_o_ing_per_capita!$D81</f>
        <v>0</v>
      </c>
      <c r="H81" s="336">
        <f>Gasto_o_ing_per_capita!H81-Gasto_o_ing_per_capita!$D81</f>
        <v>0</v>
      </c>
      <c r="I81" s="336">
        <f>Gasto_o_ing_per_capita!I81-Gasto_o_ing_per_capita!$D81</f>
        <v>0</v>
      </c>
      <c r="J81" s="336">
        <f>Gasto_o_ing_per_capita!J81-Gasto_o_ing_per_capita!$D81</f>
        <v>0</v>
      </c>
      <c r="K81" s="336">
        <f>Gasto_o_ing_per_capita!K81-Gasto_o_ing_per_capita!$D81</f>
        <v>0</v>
      </c>
      <c r="L81" s="336">
        <f>Gasto_o_ing_per_capita!L81-Gasto_o_ing_per_capita!$D81</f>
        <v>0</v>
      </c>
      <c r="M81" s="336">
        <f>Gasto_o_ing_per_capita!M81-Gasto_o_ing_per_capita!$D81</f>
        <v>0</v>
      </c>
      <c r="N81" s="336">
        <f>Gasto_o_ing_per_capita!N81-Gasto_o_ing_per_capita!$D81</f>
        <v>0</v>
      </c>
      <c r="O81" s="336">
        <f>Gasto_o_ing_per_capita!O81-Gasto_o_ing_per_capita!$D81</f>
        <v>0</v>
      </c>
      <c r="P81" s="336">
        <f>Gasto_o_ing_per_capita!P81-Gasto_o_ing_per_capita!$D81</f>
        <v>0</v>
      </c>
      <c r="Q81" s="336">
        <f>Gasto_o_ing_per_capita!Q81-Gasto_o_ing_per_capita!$D81</f>
        <v>0</v>
      </c>
      <c r="R81" s="336">
        <f>Gasto_o_ing_per_capita!R81-Gasto_o_ing_per_capita!$D81</f>
        <v>0</v>
      </c>
      <c r="S81" s="336">
        <f>Gasto_o_ing_per_capita!S81-Gasto_o_ing_per_capita!$D81</f>
        <v>0</v>
      </c>
      <c r="T81" s="336">
        <f>Gasto_o_ing_per_capita!T81-Gasto_o_ing_per_capita!$D81</f>
        <v>0</v>
      </c>
      <c r="U81" s="336">
        <f>Gasto_o_ing_per_capita!U81-Gasto_o_ing_per_capita!$D81</f>
        <v>0</v>
      </c>
      <c r="V81" s="336">
        <f>Gasto_o_ing_per_capita!V81-Gasto_o_ing_per_capita!$D81</f>
        <v>0</v>
      </c>
      <c r="W81" s="122"/>
      <c r="X81" s="104"/>
    </row>
    <row r="82" spans="1:24" s="102" customFormat="1" ht="13.15">
      <c r="A82" s="355" t="str">
        <f>IF(B82="","",(IF(ISERROR(MATCH(B82,Tot_res!C:C,0)),"Eliminar!!!","")))</f>
        <v/>
      </c>
      <c r="B82" s="115" t="s">
        <v>186</v>
      </c>
      <c r="C82" s="333" t="str">
        <f>VLOOKUP(B82,Tot_res!C:D,2,FALSE)</f>
        <v>Investigación sanitaria</v>
      </c>
      <c r="D82" s="336">
        <f>Gasto_o_ing_per_capita!D82-Gasto_o_ing_per_capita!$D82</f>
        <v>0</v>
      </c>
      <c r="E82" s="336">
        <f>Gasto_o_ing_per_capita!E82-Gasto_o_ing_per_capita!$D82</f>
        <v>0</v>
      </c>
      <c r="F82" s="336">
        <f>Gasto_o_ing_per_capita!F82-Gasto_o_ing_per_capita!$D82</f>
        <v>0</v>
      </c>
      <c r="G82" s="336">
        <f>Gasto_o_ing_per_capita!G82-Gasto_o_ing_per_capita!$D82</f>
        <v>0</v>
      </c>
      <c r="H82" s="336">
        <f>Gasto_o_ing_per_capita!H82-Gasto_o_ing_per_capita!$D82</f>
        <v>0</v>
      </c>
      <c r="I82" s="336">
        <f>Gasto_o_ing_per_capita!I82-Gasto_o_ing_per_capita!$D82</f>
        <v>0</v>
      </c>
      <c r="J82" s="336">
        <f>Gasto_o_ing_per_capita!J82-Gasto_o_ing_per_capita!$D82</f>
        <v>0</v>
      </c>
      <c r="K82" s="336">
        <f>Gasto_o_ing_per_capita!K82-Gasto_o_ing_per_capita!$D82</f>
        <v>0</v>
      </c>
      <c r="L82" s="336">
        <f>Gasto_o_ing_per_capita!L82-Gasto_o_ing_per_capita!$D82</f>
        <v>0</v>
      </c>
      <c r="M82" s="336">
        <f>Gasto_o_ing_per_capita!M82-Gasto_o_ing_per_capita!$D82</f>
        <v>0</v>
      </c>
      <c r="N82" s="336">
        <f>Gasto_o_ing_per_capita!N82-Gasto_o_ing_per_capita!$D82</f>
        <v>0</v>
      </c>
      <c r="O82" s="336">
        <f>Gasto_o_ing_per_capita!O82-Gasto_o_ing_per_capita!$D82</f>
        <v>0</v>
      </c>
      <c r="P82" s="336">
        <f>Gasto_o_ing_per_capita!P82-Gasto_o_ing_per_capita!$D82</f>
        <v>0</v>
      </c>
      <c r="Q82" s="336">
        <f>Gasto_o_ing_per_capita!Q82-Gasto_o_ing_per_capita!$D82</f>
        <v>0</v>
      </c>
      <c r="R82" s="336">
        <f>Gasto_o_ing_per_capita!R82-Gasto_o_ing_per_capita!$D82</f>
        <v>0</v>
      </c>
      <c r="S82" s="336">
        <f>Gasto_o_ing_per_capita!S82-Gasto_o_ing_per_capita!$D82</f>
        <v>0</v>
      </c>
      <c r="T82" s="336">
        <f>Gasto_o_ing_per_capita!T82-Gasto_o_ing_per_capita!$D82</f>
        <v>0</v>
      </c>
      <c r="U82" s="336">
        <f>Gasto_o_ing_per_capita!U82-Gasto_o_ing_per_capita!$D82</f>
        <v>0</v>
      </c>
      <c r="V82" s="336">
        <f>Gasto_o_ing_per_capita!V82-Gasto_o_ing_per_capita!$D82</f>
        <v>0</v>
      </c>
      <c r="W82" s="122"/>
      <c r="X82" s="104"/>
    </row>
    <row r="83" spans="1:24" s="102" customFormat="1" ht="13.15">
      <c r="A83" s="355" t="str">
        <f>IF(B83="","",(IF(ISERROR(MATCH(B83,Tot_res!C:C,0)),"Eliminar!!!","")))</f>
        <v/>
      </c>
      <c r="B83" s="115" t="s">
        <v>187</v>
      </c>
      <c r="C83" s="333" t="str">
        <f>VLOOKUP(B83,Tot_res!C:D,2,FALSE)</f>
        <v>Astronomía y astrofísica</v>
      </c>
      <c r="D83" s="336">
        <f>Gasto_o_ing_per_capita!D83-Gasto_o_ing_per_capita!$D83</f>
        <v>0</v>
      </c>
      <c r="E83" s="336">
        <f>Gasto_o_ing_per_capita!E83-Gasto_o_ing_per_capita!$D83</f>
        <v>0</v>
      </c>
      <c r="F83" s="336">
        <f>Gasto_o_ing_per_capita!F83-Gasto_o_ing_per_capita!$D83</f>
        <v>0</v>
      </c>
      <c r="G83" s="336">
        <f>Gasto_o_ing_per_capita!G83-Gasto_o_ing_per_capita!$D83</f>
        <v>0</v>
      </c>
      <c r="H83" s="336">
        <f>Gasto_o_ing_per_capita!H83-Gasto_o_ing_per_capita!$D83</f>
        <v>0</v>
      </c>
      <c r="I83" s="336">
        <f>Gasto_o_ing_per_capita!I83-Gasto_o_ing_per_capita!$D83</f>
        <v>0</v>
      </c>
      <c r="J83" s="336">
        <f>Gasto_o_ing_per_capita!J83-Gasto_o_ing_per_capita!$D83</f>
        <v>0</v>
      </c>
      <c r="K83" s="336">
        <f>Gasto_o_ing_per_capita!K83-Gasto_o_ing_per_capita!$D83</f>
        <v>0</v>
      </c>
      <c r="L83" s="336">
        <f>Gasto_o_ing_per_capita!L83-Gasto_o_ing_per_capita!$D83</f>
        <v>0</v>
      </c>
      <c r="M83" s="336">
        <f>Gasto_o_ing_per_capita!M83-Gasto_o_ing_per_capita!$D83</f>
        <v>0</v>
      </c>
      <c r="N83" s="336">
        <f>Gasto_o_ing_per_capita!N83-Gasto_o_ing_per_capita!$D83</f>
        <v>0</v>
      </c>
      <c r="O83" s="336">
        <f>Gasto_o_ing_per_capita!O83-Gasto_o_ing_per_capita!$D83</f>
        <v>0</v>
      </c>
      <c r="P83" s="336">
        <f>Gasto_o_ing_per_capita!P83-Gasto_o_ing_per_capita!$D83</f>
        <v>0</v>
      </c>
      <c r="Q83" s="336">
        <f>Gasto_o_ing_per_capita!Q83-Gasto_o_ing_per_capita!$D83</f>
        <v>0</v>
      </c>
      <c r="R83" s="336">
        <f>Gasto_o_ing_per_capita!R83-Gasto_o_ing_per_capita!$D83</f>
        <v>0</v>
      </c>
      <c r="S83" s="336">
        <f>Gasto_o_ing_per_capita!S83-Gasto_o_ing_per_capita!$D83</f>
        <v>0</v>
      </c>
      <c r="T83" s="336">
        <f>Gasto_o_ing_per_capita!T83-Gasto_o_ing_per_capita!$D83</f>
        <v>0</v>
      </c>
      <c r="U83" s="336">
        <f>Gasto_o_ing_per_capita!U83-Gasto_o_ing_per_capita!$D83</f>
        <v>0</v>
      </c>
      <c r="V83" s="336">
        <f>Gasto_o_ing_per_capita!V83-Gasto_o_ing_per_capita!$D83</f>
        <v>0</v>
      </c>
      <c r="W83" s="122"/>
      <c r="X83" s="104"/>
    </row>
    <row r="84" spans="1:24" s="102" customFormat="1" ht="13.15">
      <c r="A84" s="355" t="str">
        <f>IF(B84="","",(IF(ISERROR(MATCH(B84,Tot_res!C:C,0)),"Eliminar!!!","")))</f>
        <v/>
      </c>
      <c r="B84" s="115" t="s">
        <v>723</v>
      </c>
      <c r="C84" s="333" t="str">
        <f>VLOOKUP(B84,Tot_res!C:D,2,FALSE)</f>
        <v>Investigación y desarrollo tecnológico-industrial</v>
      </c>
      <c r="D84" s="336">
        <f>Gasto_o_ing_per_capita!D84-Gasto_o_ing_per_capita!$D84</f>
        <v>0</v>
      </c>
      <c r="E84" s="336">
        <f>Gasto_o_ing_per_capita!E84-Gasto_o_ing_per_capita!$D84</f>
        <v>0</v>
      </c>
      <c r="F84" s="336">
        <f>Gasto_o_ing_per_capita!F84-Gasto_o_ing_per_capita!$D84</f>
        <v>0</v>
      </c>
      <c r="G84" s="336">
        <f>Gasto_o_ing_per_capita!G84-Gasto_o_ing_per_capita!$D84</f>
        <v>0</v>
      </c>
      <c r="H84" s="336">
        <f>Gasto_o_ing_per_capita!H84-Gasto_o_ing_per_capita!$D84</f>
        <v>0</v>
      </c>
      <c r="I84" s="336">
        <f>Gasto_o_ing_per_capita!I84-Gasto_o_ing_per_capita!$D84</f>
        <v>0</v>
      </c>
      <c r="J84" s="336">
        <f>Gasto_o_ing_per_capita!J84-Gasto_o_ing_per_capita!$D84</f>
        <v>0</v>
      </c>
      <c r="K84" s="336">
        <f>Gasto_o_ing_per_capita!K84-Gasto_o_ing_per_capita!$D84</f>
        <v>0</v>
      </c>
      <c r="L84" s="336">
        <f>Gasto_o_ing_per_capita!L84-Gasto_o_ing_per_capita!$D84</f>
        <v>0</v>
      </c>
      <c r="M84" s="336">
        <f>Gasto_o_ing_per_capita!M84-Gasto_o_ing_per_capita!$D84</f>
        <v>0</v>
      </c>
      <c r="N84" s="336">
        <f>Gasto_o_ing_per_capita!N84-Gasto_o_ing_per_capita!$D84</f>
        <v>0</v>
      </c>
      <c r="O84" s="336">
        <f>Gasto_o_ing_per_capita!O84-Gasto_o_ing_per_capita!$D84</f>
        <v>0</v>
      </c>
      <c r="P84" s="336">
        <f>Gasto_o_ing_per_capita!P84-Gasto_o_ing_per_capita!$D84</f>
        <v>0</v>
      </c>
      <c r="Q84" s="336">
        <f>Gasto_o_ing_per_capita!Q84-Gasto_o_ing_per_capita!$D84</f>
        <v>0</v>
      </c>
      <c r="R84" s="336">
        <f>Gasto_o_ing_per_capita!R84-Gasto_o_ing_per_capita!$D84</f>
        <v>0</v>
      </c>
      <c r="S84" s="336">
        <f>Gasto_o_ing_per_capita!S84-Gasto_o_ing_per_capita!$D84</f>
        <v>0</v>
      </c>
      <c r="T84" s="336">
        <f>Gasto_o_ing_per_capita!T84-Gasto_o_ing_per_capita!$D84</f>
        <v>0</v>
      </c>
      <c r="U84" s="336">
        <f>Gasto_o_ing_per_capita!U84-Gasto_o_ing_per_capita!$D84</f>
        <v>0</v>
      </c>
      <c r="V84" s="336">
        <f>Gasto_o_ing_per_capita!V84-Gasto_o_ing_per_capita!$D84</f>
        <v>0</v>
      </c>
      <c r="W84" s="122"/>
      <c r="X84" s="104"/>
    </row>
    <row r="85" spans="1:24" s="102" customFormat="1" ht="13.15">
      <c r="A85" s="355" t="str">
        <f>IF(B85="","",(IF(ISERROR(MATCH(B85,Tot_res!C:C,0)),"Eliminar!!!","")))</f>
        <v/>
      </c>
      <c r="B85" s="115" t="s">
        <v>188</v>
      </c>
      <c r="C85" s="333" t="str">
        <f>VLOOKUP(B85,Tot_res!C:D,2,FALSE)</f>
        <v>Investigación y experimentación agraria</v>
      </c>
      <c r="D85" s="336">
        <f>Gasto_o_ing_per_capita!D85-Gasto_o_ing_per_capita!$D85</f>
        <v>0</v>
      </c>
      <c r="E85" s="336">
        <f>Gasto_o_ing_per_capita!E85-Gasto_o_ing_per_capita!$D85</f>
        <v>0</v>
      </c>
      <c r="F85" s="336">
        <f>Gasto_o_ing_per_capita!F85-Gasto_o_ing_per_capita!$D85</f>
        <v>0</v>
      </c>
      <c r="G85" s="336">
        <f>Gasto_o_ing_per_capita!G85-Gasto_o_ing_per_capita!$D85</f>
        <v>0</v>
      </c>
      <c r="H85" s="336">
        <f>Gasto_o_ing_per_capita!H85-Gasto_o_ing_per_capita!$D85</f>
        <v>0</v>
      </c>
      <c r="I85" s="336">
        <f>Gasto_o_ing_per_capita!I85-Gasto_o_ing_per_capita!$D85</f>
        <v>0</v>
      </c>
      <c r="J85" s="336">
        <f>Gasto_o_ing_per_capita!J85-Gasto_o_ing_per_capita!$D85</f>
        <v>0</v>
      </c>
      <c r="K85" s="336">
        <f>Gasto_o_ing_per_capita!K85-Gasto_o_ing_per_capita!$D85</f>
        <v>0</v>
      </c>
      <c r="L85" s="336">
        <f>Gasto_o_ing_per_capita!L85-Gasto_o_ing_per_capita!$D85</f>
        <v>0</v>
      </c>
      <c r="M85" s="336">
        <f>Gasto_o_ing_per_capita!M85-Gasto_o_ing_per_capita!$D85</f>
        <v>0</v>
      </c>
      <c r="N85" s="336">
        <f>Gasto_o_ing_per_capita!N85-Gasto_o_ing_per_capita!$D85</f>
        <v>0</v>
      </c>
      <c r="O85" s="336">
        <f>Gasto_o_ing_per_capita!O85-Gasto_o_ing_per_capita!$D85</f>
        <v>0</v>
      </c>
      <c r="P85" s="336">
        <f>Gasto_o_ing_per_capita!P85-Gasto_o_ing_per_capita!$D85</f>
        <v>0</v>
      </c>
      <c r="Q85" s="336">
        <f>Gasto_o_ing_per_capita!Q85-Gasto_o_ing_per_capita!$D85</f>
        <v>0</v>
      </c>
      <c r="R85" s="336">
        <f>Gasto_o_ing_per_capita!R85-Gasto_o_ing_per_capita!$D85</f>
        <v>0</v>
      </c>
      <c r="S85" s="336">
        <f>Gasto_o_ing_per_capita!S85-Gasto_o_ing_per_capita!$D85</f>
        <v>0</v>
      </c>
      <c r="T85" s="336">
        <f>Gasto_o_ing_per_capita!T85-Gasto_o_ing_per_capita!$D85</f>
        <v>0</v>
      </c>
      <c r="U85" s="336">
        <f>Gasto_o_ing_per_capita!U85-Gasto_o_ing_per_capita!$D85</f>
        <v>0</v>
      </c>
      <c r="V85" s="336">
        <f>Gasto_o_ing_per_capita!V85-Gasto_o_ing_per_capita!$D85</f>
        <v>0</v>
      </c>
      <c r="W85" s="122"/>
      <c r="X85" s="104"/>
    </row>
    <row r="86" spans="1:24" s="102" customFormat="1" ht="13.15">
      <c r="A86" s="355" t="str">
        <f>IF(B86="","",(IF(ISERROR(MATCH(B86,Tot_res!C:C,0)),"Eliminar!!!","")))</f>
        <v/>
      </c>
      <c r="B86" s="115" t="s">
        <v>189</v>
      </c>
      <c r="C86" s="333" t="str">
        <f>VLOOKUP(B86,Tot_res!C:D,2,FALSE)</f>
        <v>Investigación oceanográfica y pesquera</v>
      </c>
      <c r="D86" s="336">
        <f>Gasto_o_ing_per_capita!D86-Gasto_o_ing_per_capita!$D86</f>
        <v>0</v>
      </c>
      <c r="E86" s="336">
        <f>Gasto_o_ing_per_capita!E86-Gasto_o_ing_per_capita!$D86</f>
        <v>0</v>
      </c>
      <c r="F86" s="336">
        <f>Gasto_o_ing_per_capita!F86-Gasto_o_ing_per_capita!$D86</f>
        <v>0</v>
      </c>
      <c r="G86" s="336">
        <f>Gasto_o_ing_per_capita!G86-Gasto_o_ing_per_capita!$D86</f>
        <v>0</v>
      </c>
      <c r="H86" s="336">
        <f>Gasto_o_ing_per_capita!H86-Gasto_o_ing_per_capita!$D86</f>
        <v>0</v>
      </c>
      <c r="I86" s="336">
        <f>Gasto_o_ing_per_capita!I86-Gasto_o_ing_per_capita!$D86</f>
        <v>0</v>
      </c>
      <c r="J86" s="336">
        <f>Gasto_o_ing_per_capita!J86-Gasto_o_ing_per_capita!$D86</f>
        <v>0</v>
      </c>
      <c r="K86" s="336">
        <f>Gasto_o_ing_per_capita!K86-Gasto_o_ing_per_capita!$D86</f>
        <v>0</v>
      </c>
      <c r="L86" s="336">
        <f>Gasto_o_ing_per_capita!L86-Gasto_o_ing_per_capita!$D86</f>
        <v>0</v>
      </c>
      <c r="M86" s="336">
        <f>Gasto_o_ing_per_capita!M86-Gasto_o_ing_per_capita!$D86</f>
        <v>0</v>
      </c>
      <c r="N86" s="336">
        <f>Gasto_o_ing_per_capita!N86-Gasto_o_ing_per_capita!$D86</f>
        <v>0</v>
      </c>
      <c r="O86" s="336">
        <f>Gasto_o_ing_per_capita!O86-Gasto_o_ing_per_capita!$D86</f>
        <v>0</v>
      </c>
      <c r="P86" s="336">
        <f>Gasto_o_ing_per_capita!P86-Gasto_o_ing_per_capita!$D86</f>
        <v>0</v>
      </c>
      <c r="Q86" s="336">
        <f>Gasto_o_ing_per_capita!Q86-Gasto_o_ing_per_capita!$D86</f>
        <v>0</v>
      </c>
      <c r="R86" s="336">
        <f>Gasto_o_ing_per_capita!R86-Gasto_o_ing_per_capita!$D86</f>
        <v>0</v>
      </c>
      <c r="S86" s="336">
        <f>Gasto_o_ing_per_capita!S86-Gasto_o_ing_per_capita!$D86</f>
        <v>0</v>
      </c>
      <c r="T86" s="336">
        <f>Gasto_o_ing_per_capita!T86-Gasto_o_ing_per_capita!$D86</f>
        <v>0</v>
      </c>
      <c r="U86" s="336">
        <f>Gasto_o_ing_per_capita!U86-Gasto_o_ing_per_capita!$D86</f>
        <v>0</v>
      </c>
      <c r="V86" s="336">
        <f>Gasto_o_ing_per_capita!V86-Gasto_o_ing_per_capita!$D86</f>
        <v>0</v>
      </c>
      <c r="W86" s="122"/>
      <c r="X86" s="104"/>
    </row>
    <row r="87" spans="1:24" s="102" customFormat="1" ht="13.15">
      <c r="A87" s="355" t="str">
        <f>IF(B87="","",(IF(ISERROR(MATCH(B87,Tot_res!C:C,0)),"Eliminar!!!","")))</f>
        <v/>
      </c>
      <c r="B87" s="115" t="s">
        <v>190</v>
      </c>
      <c r="C87" s="333" t="str">
        <f>VLOOKUP(B87,Tot_res!C:D,2,FALSE)</f>
        <v>Investigación geológico-minera y medioambiental</v>
      </c>
      <c r="D87" s="336">
        <f>Gasto_o_ing_per_capita!D87-Gasto_o_ing_per_capita!$D87</f>
        <v>0</v>
      </c>
      <c r="E87" s="336">
        <f>Gasto_o_ing_per_capita!E87-Gasto_o_ing_per_capita!$D87</f>
        <v>0</v>
      </c>
      <c r="F87" s="336">
        <f>Gasto_o_ing_per_capita!F87-Gasto_o_ing_per_capita!$D87</f>
        <v>0</v>
      </c>
      <c r="G87" s="336">
        <f>Gasto_o_ing_per_capita!G87-Gasto_o_ing_per_capita!$D87</f>
        <v>0</v>
      </c>
      <c r="H87" s="336">
        <f>Gasto_o_ing_per_capita!H87-Gasto_o_ing_per_capita!$D87</f>
        <v>0</v>
      </c>
      <c r="I87" s="336">
        <f>Gasto_o_ing_per_capita!I87-Gasto_o_ing_per_capita!$D87</f>
        <v>0</v>
      </c>
      <c r="J87" s="336">
        <f>Gasto_o_ing_per_capita!J87-Gasto_o_ing_per_capita!$D87</f>
        <v>0</v>
      </c>
      <c r="K87" s="336">
        <f>Gasto_o_ing_per_capita!K87-Gasto_o_ing_per_capita!$D87</f>
        <v>0</v>
      </c>
      <c r="L87" s="336">
        <f>Gasto_o_ing_per_capita!L87-Gasto_o_ing_per_capita!$D87</f>
        <v>0</v>
      </c>
      <c r="M87" s="336">
        <f>Gasto_o_ing_per_capita!M87-Gasto_o_ing_per_capita!$D87</f>
        <v>0</v>
      </c>
      <c r="N87" s="336">
        <f>Gasto_o_ing_per_capita!N87-Gasto_o_ing_per_capita!$D87</f>
        <v>0</v>
      </c>
      <c r="O87" s="336">
        <f>Gasto_o_ing_per_capita!O87-Gasto_o_ing_per_capita!$D87</f>
        <v>0</v>
      </c>
      <c r="P87" s="336">
        <f>Gasto_o_ing_per_capita!P87-Gasto_o_ing_per_capita!$D87</f>
        <v>0</v>
      </c>
      <c r="Q87" s="336">
        <f>Gasto_o_ing_per_capita!Q87-Gasto_o_ing_per_capita!$D87</f>
        <v>0</v>
      </c>
      <c r="R87" s="336">
        <f>Gasto_o_ing_per_capita!R87-Gasto_o_ing_per_capita!$D87</f>
        <v>0</v>
      </c>
      <c r="S87" s="336">
        <f>Gasto_o_ing_per_capita!S87-Gasto_o_ing_per_capita!$D87</f>
        <v>0</v>
      </c>
      <c r="T87" s="336">
        <f>Gasto_o_ing_per_capita!T87-Gasto_o_ing_per_capita!$D87</f>
        <v>0</v>
      </c>
      <c r="U87" s="336">
        <f>Gasto_o_ing_per_capita!U87-Gasto_o_ing_per_capita!$D87</f>
        <v>0</v>
      </c>
      <c r="V87" s="336">
        <f>Gasto_o_ing_per_capita!V87-Gasto_o_ing_per_capita!$D87</f>
        <v>0</v>
      </c>
      <c r="W87" s="122"/>
      <c r="X87" s="104"/>
    </row>
    <row r="88" spans="1:24" s="102" customFormat="1" ht="13.15">
      <c r="A88" s="355" t="str">
        <f>IF(B88="","",(IF(ISERROR(MATCH(B88,Tot_res!C:C,0)),"Eliminar!!!","")))</f>
        <v/>
      </c>
      <c r="B88" s="115" t="s">
        <v>192</v>
      </c>
      <c r="C88" s="333" t="str">
        <f>VLOOKUP(B88,Tot_res!C:D,2,FALSE)</f>
        <v>Investigación energética, medioambiental y tecnológica</v>
      </c>
      <c r="D88" s="336">
        <f>Gasto_o_ing_per_capita!D88-Gasto_o_ing_per_capita!$D88</f>
        <v>0</v>
      </c>
      <c r="E88" s="336">
        <f>Gasto_o_ing_per_capita!E88-Gasto_o_ing_per_capita!$D88</f>
        <v>0</v>
      </c>
      <c r="F88" s="336">
        <f>Gasto_o_ing_per_capita!F88-Gasto_o_ing_per_capita!$D88</f>
        <v>0</v>
      </c>
      <c r="G88" s="336">
        <f>Gasto_o_ing_per_capita!G88-Gasto_o_ing_per_capita!$D88</f>
        <v>0</v>
      </c>
      <c r="H88" s="336">
        <f>Gasto_o_ing_per_capita!H88-Gasto_o_ing_per_capita!$D88</f>
        <v>0</v>
      </c>
      <c r="I88" s="336">
        <f>Gasto_o_ing_per_capita!I88-Gasto_o_ing_per_capita!$D88</f>
        <v>0</v>
      </c>
      <c r="J88" s="336">
        <f>Gasto_o_ing_per_capita!J88-Gasto_o_ing_per_capita!$D88</f>
        <v>0</v>
      </c>
      <c r="K88" s="336">
        <f>Gasto_o_ing_per_capita!K88-Gasto_o_ing_per_capita!$D88</f>
        <v>0</v>
      </c>
      <c r="L88" s="336">
        <f>Gasto_o_ing_per_capita!L88-Gasto_o_ing_per_capita!$D88</f>
        <v>0</v>
      </c>
      <c r="M88" s="336">
        <f>Gasto_o_ing_per_capita!M88-Gasto_o_ing_per_capita!$D88</f>
        <v>0</v>
      </c>
      <c r="N88" s="336">
        <f>Gasto_o_ing_per_capita!N88-Gasto_o_ing_per_capita!$D88</f>
        <v>0</v>
      </c>
      <c r="O88" s="336">
        <f>Gasto_o_ing_per_capita!O88-Gasto_o_ing_per_capita!$D88</f>
        <v>0</v>
      </c>
      <c r="P88" s="336">
        <f>Gasto_o_ing_per_capita!P88-Gasto_o_ing_per_capita!$D88</f>
        <v>0</v>
      </c>
      <c r="Q88" s="336">
        <f>Gasto_o_ing_per_capita!Q88-Gasto_o_ing_per_capita!$D88</f>
        <v>0</v>
      </c>
      <c r="R88" s="336">
        <f>Gasto_o_ing_per_capita!R88-Gasto_o_ing_per_capita!$D88</f>
        <v>0</v>
      </c>
      <c r="S88" s="336">
        <f>Gasto_o_ing_per_capita!S88-Gasto_o_ing_per_capita!$D88</f>
        <v>0</v>
      </c>
      <c r="T88" s="336">
        <f>Gasto_o_ing_per_capita!T88-Gasto_o_ing_per_capita!$D88</f>
        <v>0</v>
      </c>
      <c r="U88" s="336">
        <f>Gasto_o_ing_per_capita!U88-Gasto_o_ing_per_capita!$D88</f>
        <v>0</v>
      </c>
      <c r="V88" s="336">
        <f>Gasto_o_ing_per_capita!V88-Gasto_o_ing_per_capita!$D88</f>
        <v>0</v>
      </c>
      <c r="W88" s="122"/>
      <c r="X88" s="104"/>
    </row>
    <row r="89" spans="1:24" s="102" customFormat="1" ht="13.15">
      <c r="A89" s="355" t="str">
        <f>IF(B89="","",(IF(ISERROR(MATCH(B89,Tot_res!C:C,0)),"Eliminar!!!","")))</f>
        <v/>
      </c>
      <c r="B89" s="115" t="s">
        <v>193</v>
      </c>
      <c r="C89" s="333" t="str">
        <f>VLOOKUP(B89,Tot_res!C:D,2,FALSE)</f>
        <v>Desarrollo y aplicación de la información geográfica española</v>
      </c>
      <c r="D89" s="336">
        <f>Gasto_o_ing_per_capita!D89-Gasto_o_ing_per_capita!$D89</f>
        <v>0</v>
      </c>
      <c r="E89" s="336">
        <f>Gasto_o_ing_per_capita!E89-Gasto_o_ing_per_capita!$D89</f>
        <v>0</v>
      </c>
      <c r="F89" s="336">
        <f>Gasto_o_ing_per_capita!F89-Gasto_o_ing_per_capita!$D89</f>
        <v>0</v>
      </c>
      <c r="G89" s="336">
        <f>Gasto_o_ing_per_capita!G89-Gasto_o_ing_per_capita!$D89</f>
        <v>0</v>
      </c>
      <c r="H89" s="336">
        <f>Gasto_o_ing_per_capita!H89-Gasto_o_ing_per_capita!$D89</f>
        <v>0</v>
      </c>
      <c r="I89" s="336">
        <f>Gasto_o_ing_per_capita!I89-Gasto_o_ing_per_capita!$D89</f>
        <v>0</v>
      </c>
      <c r="J89" s="336">
        <f>Gasto_o_ing_per_capita!J89-Gasto_o_ing_per_capita!$D89</f>
        <v>0</v>
      </c>
      <c r="K89" s="336">
        <f>Gasto_o_ing_per_capita!K89-Gasto_o_ing_per_capita!$D89</f>
        <v>0</v>
      </c>
      <c r="L89" s="336">
        <f>Gasto_o_ing_per_capita!L89-Gasto_o_ing_per_capita!$D89</f>
        <v>0</v>
      </c>
      <c r="M89" s="336">
        <f>Gasto_o_ing_per_capita!M89-Gasto_o_ing_per_capita!$D89</f>
        <v>0</v>
      </c>
      <c r="N89" s="336">
        <f>Gasto_o_ing_per_capita!N89-Gasto_o_ing_per_capita!$D89</f>
        <v>0</v>
      </c>
      <c r="O89" s="336">
        <f>Gasto_o_ing_per_capita!O89-Gasto_o_ing_per_capita!$D89</f>
        <v>0</v>
      </c>
      <c r="P89" s="336">
        <f>Gasto_o_ing_per_capita!P89-Gasto_o_ing_per_capita!$D89</f>
        <v>0</v>
      </c>
      <c r="Q89" s="336">
        <f>Gasto_o_ing_per_capita!Q89-Gasto_o_ing_per_capita!$D89</f>
        <v>0</v>
      </c>
      <c r="R89" s="336">
        <f>Gasto_o_ing_per_capita!R89-Gasto_o_ing_per_capita!$D89</f>
        <v>0</v>
      </c>
      <c r="S89" s="336">
        <f>Gasto_o_ing_per_capita!S89-Gasto_o_ing_per_capita!$D89</f>
        <v>0</v>
      </c>
      <c r="T89" s="336">
        <f>Gasto_o_ing_per_capita!T89-Gasto_o_ing_per_capita!$D89</f>
        <v>0</v>
      </c>
      <c r="U89" s="336">
        <f>Gasto_o_ing_per_capita!U89-Gasto_o_ing_per_capita!$D89</f>
        <v>0</v>
      </c>
      <c r="V89" s="336">
        <f>Gasto_o_ing_per_capita!V89-Gasto_o_ing_per_capita!$D89</f>
        <v>0</v>
      </c>
      <c r="W89" s="122"/>
      <c r="X89" s="104"/>
    </row>
    <row r="90" spans="1:24" s="102" customFormat="1" ht="13.15">
      <c r="A90" s="355" t="str">
        <f>IF(B90="","",(IF(ISERROR(MATCH(B90,Tot_res!C:C,0)),"Eliminar!!!","")))</f>
        <v/>
      </c>
      <c r="B90" s="115" t="s">
        <v>194</v>
      </c>
      <c r="C90" s="333" t="str">
        <f>VLOOKUP(B90,Tot_res!C:D,2,FALSE)</f>
        <v>Elaboración y difusión estadística</v>
      </c>
      <c r="D90" s="336">
        <f>Gasto_o_ing_per_capita!D90-Gasto_o_ing_per_capita!$D90</f>
        <v>0</v>
      </c>
      <c r="E90" s="336">
        <f>Gasto_o_ing_per_capita!E90-Gasto_o_ing_per_capita!$D90</f>
        <v>0</v>
      </c>
      <c r="F90" s="336">
        <f>Gasto_o_ing_per_capita!F90-Gasto_o_ing_per_capita!$D90</f>
        <v>0</v>
      </c>
      <c r="G90" s="336">
        <f>Gasto_o_ing_per_capita!G90-Gasto_o_ing_per_capita!$D90</f>
        <v>0</v>
      </c>
      <c r="H90" s="336">
        <f>Gasto_o_ing_per_capita!H90-Gasto_o_ing_per_capita!$D90</f>
        <v>0</v>
      </c>
      <c r="I90" s="336">
        <f>Gasto_o_ing_per_capita!I90-Gasto_o_ing_per_capita!$D90</f>
        <v>0</v>
      </c>
      <c r="J90" s="336">
        <f>Gasto_o_ing_per_capita!J90-Gasto_o_ing_per_capita!$D90</f>
        <v>0</v>
      </c>
      <c r="K90" s="336">
        <f>Gasto_o_ing_per_capita!K90-Gasto_o_ing_per_capita!$D90</f>
        <v>0</v>
      </c>
      <c r="L90" s="336">
        <f>Gasto_o_ing_per_capita!L90-Gasto_o_ing_per_capita!$D90</f>
        <v>0</v>
      </c>
      <c r="M90" s="336">
        <f>Gasto_o_ing_per_capita!M90-Gasto_o_ing_per_capita!$D90</f>
        <v>0</v>
      </c>
      <c r="N90" s="336">
        <f>Gasto_o_ing_per_capita!N90-Gasto_o_ing_per_capita!$D90</f>
        <v>0</v>
      </c>
      <c r="O90" s="336">
        <f>Gasto_o_ing_per_capita!O90-Gasto_o_ing_per_capita!$D90</f>
        <v>0</v>
      </c>
      <c r="P90" s="336">
        <f>Gasto_o_ing_per_capita!P90-Gasto_o_ing_per_capita!$D90</f>
        <v>0</v>
      </c>
      <c r="Q90" s="336">
        <f>Gasto_o_ing_per_capita!Q90-Gasto_o_ing_per_capita!$D90</f>
        <v>0</v>
      </c>
      <c r="R90" s="336">
        <f>Gasto_o_ing_per_capita!R90-Gasto_o_ing_per_capita!$D90</f>
        <v>0</v>
      </c>
      <c r="S90" s="336">
        <f>Gasto_o_ing_per_capita!S90-Gasto_o_ing_per_capita!$D90</f>
        <v>0</v>
      </c>
      <c r="T90" s="336">
        <f>Gasto_o_ing_per_capita!T90-Gasto_o_ing_per_capita!$D90</f>
        <v>0</v>
      </c>
      <c r="U90" s="336">
        <f>Gasto_o_ing_per_capita!U90-Gasto_o_ing_per_capita!$D90</f>
        <v>0</v>
      </c>
      <c r="V90" s="336">
        <f>Gasto_o_ing_per_capita!V90-Gasto_o_ing_per_capita!$D90</f>
        <v>0</v>
      </c>
      <c r="W90" s="122"/>
      <c r="X90" s="104"/>
    </row>
    <row r="91" spans="1:24" s="102" customFormat="1" ht="13.15">
      <c r="A91" s="356"/>
      <c r="B91" s="115"/>
      <c r="C91" s="129"/>
      <c r="D91" s="110"/>
      <c r="E91" s="110"/>
      <c r="F91" s="110"/>
      <c r="G91" s="110"/>
      <c r="H91" s="110"/>
      <c r="I91" s="110"/>
      <c r="J91" s="110"/>
      <c r="K91" s="110"/>
      <c r="L91" s="110"/>
      <c r="M91" s="110"/>
      <c r="N91" s="110"/>
      <c r="O91" s="110"/>
      <c r="P91" s="110"/>
      <c r="Q91" s="110"/>
      <c r="R91" s="110"/>
      <c r="S91" s="110"/>
      <c r="T91" s="110"/>
      <c r="U91" s="110"/>
      <c r="V91" s="110"/>
      <c r="W91" s="122"/>
      <c r="X91" s="104"/>
    </row>
    <row r="92" spans="1:24" s="102" customFormat="1" ht="13.15">
      <c r="A92" s="356"/>
      <c r="B92" s="115"/>
      <c r="C92" s="128" t="s">
        <v>21</v>
      </c>
      <c r="D92" s="113">
        <f>Gasto_o_ing_per_capita!D92-Gasto_o_ing_per_capita!$D92</f>
        <v>0</v>
      </c>
      <c r="E92" s="113">
        <f>Gasto_o_ing_per_capita!E92-Gasto_o_ing_per_capita!$D92</f>
        <v>0</v>
      </c>
      <c r="F92" s="113">
        <f>Gasto_o_ing_per_capita!F92-Gasto_o_ing_per_capita!$D92</f>
        <v>0</v>
      </c>
      <c r="G92" s="113">
        <f>Gasto_o_ing_per_capita!G92-Gasto_o_ing_per_capita!$D92</f>
        <v>0</v>
      </c>
      <c r="H92" s="113">
        <f>Gasto_o_ing_per_capita!H92-Gasto_o_ing_per_capita!$D92</f>
        <v>0</v>
      </c>
      <c r="I92" s="113">
        <f>Gasto_o_ing_per_capita!I92-Gasto_o_ing_per_capita!$D92</f>
        <v>0</v>
      </c>
      <c r="J92" s="113">
        <f>Gasto_o_ing_per_capita!J92-Gasto_o_ing_per_capita!$D92</f>
        <v>0</v>
      </c>
      <c r="K92" s="113">
        <f>Gasto_o_ing_per_capita!K92-Gasto_o_ing_per_capita!$D92</f>
        <v>0</v>
      </c>
      <c r="L92" s="113">
        <f>Gasto_o_ing_per_capita!L92-Gasto_o_ing_per_capita!$D92</f>
        <v>0</v>
      </c>
      <c r="M92" s="113">
        <f>Gasto_o_ing_per_capita!M92-Gasto_o_ing_per_capita!$D92</f>
        <v>0</v>
      </c>
      <c r="N92" s="113">
        <f>Gasto_o_ing_per_capita!N92-Gasto_o_ing_per_capita!$D92</f>
        <v>0</v>
      </c>
      <c r="O92" s="113">
        <f>Gasto_o_ing_per_capita!O92-Gasto_o_ing_per_capita!$D92</f>
        <v>0</v>
      </c>
      <c r="P92" s="113">
        <f>Gasto_o_ing_per_capita!P92-Gasto_o_ing_per_capita!$D92</f>
        <v>0</v>
      </c>
      <c r="Q92" s="113">
        <f>Gasto_o_ing_per_capita!Q92-Gasto_o_ing_per_capita!$D92</f>
        <v>0</v>
      </c>
      <c r="R92" s="113">
        <f>Gasto_o_ing_per_capita!R92-Gasto_o_ing_per_capita!$D92</f>
        <v>0</v>
      </c>
      <c r="S92" s="113">
        <f>Gasto_o_ing_per_capita!S92-Gasto_o_ing_per_capita!$D92</f>
        <v>0</v>
      </c>
      <c r="T92" s="113">
        <f>Gasto_o_ing_per_capita!T92-Gasto_o_ing_per_capita!$D92</f>
        <v>0</v>
      </c>
      <c r="U92" s="113">
        <f>Gasto_o_ing_per_capita!U92-Gasto_o_ing_per_capita!$D92</f>
        <v>0</v>
      </c>
      <c r="V92" s="113">
        <f>Gasto_o_ing_per_capita!V92-Gasto_o_ing_per_capita!$D92</f>
        <v>0</v>
      </c>
      <c r="W92" s="126"/>
      <c r="X92" s="104"/>
    </row>
    <row r="93" spans="1:24" s="102" customFormat="1" ht="13.15">
      <c r="A93" s="355" t="str">
        <f>IF(B93="","",(IF(ISERROR(MATCH(B93,Tot_res!C:C,0)),"Eliminar!!!","")))</f>
        <v/>
      </c>
      <c r="B93" s="115" t="s">
        <v>196</v>
      </c>
      <c r="C93" s="333" t="str">
        <f>VLOOKUP(B93,Tot_res!C:D,2,FALSE)</f>
        <v>Dirección, control y gestión de seguros</v>
      </c>
      <c r="D93" s="336">
        <f>Gasto_o_ing_per_capita!D93-Gasto_o_ing_per_capita!$D93</f>
        <v>0</v>
      </c>
      <c r="E93" s="336">
        <f>Gasto_o_ing_per_capita!E93-Gasto_o_ing_per_capita!$D93</f>
        <v>0</v>
      </c>
      <c r="F93" s="336">
        <f>Gasto_o_ing_per_capita!F93-Gasto_o_ing_per_capita!$D93</f>
        <v>0</v>
      </c>
      <c r="G93" s="336">
        <f>Gasto_o_ing_per_capita!G93-Gasto_o_ing_per_capita!$D93</f>
        <v>0</v>
      </c>
      <c r="H93" s="336">
        <f>Gasto_o_ing_per_capita!H93-Gasto_o_ing_per_capita!$D93</f>
        <v>0</v>
      </c>
      <c r="I93" s="336">
        <f>Gasto_o_ing_per_capita!I93-Gasto_o_ing_per_capita!$D93</f>
        <v>0</v>
      </c>
      <c r="J93" s="336">
        <f>Gasto_o_ing_per_capita!J93-Gasto_o_ing_per_capita!$D93</f>
        <v>0</v>
      </c>
      <c r="K93" s="336">
        <f>Gasto_o_ing_per_capita!K93-Gasto_o_ing_per_capita!$D93</f>
        <v>0</v>
      </c>
      <c r="L93" s="336">
        <f>Gasto_o_ing_per_capita!L93-Gasto_o_ing_per_capita!$D93</f>
        <v>0</v>
      </c>
      <c r="M93" s="336">
        <f>Gasto_o_ing_per_capita!M93-Gasto_o_ing_per_capita!$D93</f>
        <v>0</v>
      </c>
      <c r="N93" s="336">
        <f>Gasto_o_ing_per_capita!N93-Gasto_o_ing_per_capita!$D93</f>
        <v>0</v>
      </c>
      <c r="O93" s="336">
        <f>Gasto_o_ing_per_capita!O93-Gasto_o_ing_per_capita!$D93</f>
        <v>0</v>
      </c>
      <c r="P93" s="336">
        <f>Gasto_o_ing_per_capita!P93-Gasto_o_ing_per_capita!$D93</f>
        <v>0</v>
      </c>
      <c r="Q93" s="336">
        <f>Gasto_o_ing_per_capita!Q93-Gasto_o_ing_per_capita!$D93</f>
        <v>0</v>
      </c>
      <c r="R93" s="336">
        <f>Gasto_o_ing_per_capita!R93-Gasto_o_ing_per_capita!$D93</f>
        <v>0</v>
      </c>
      <c r="S93" s="336">
        <f>Gasto_o_ing_per_capita!S93-Gasto_o_ing_per_capita!$D93</f>
        <v>0</v>
      </c>
      <c r="T93" s="336">
        <f>Gasto_o_ing_per_capita!T93-Gasto_o_ing_per_capita!$D93</f>
        <v>0</v>
      </c>
      <c r="U93" s="336">
        <f>Gasto_o_ing_per_capita!U93-Gasto_o_ing_per_capita!$D93</f>
        <v>0</v>
      </c>
      <c r="V93" s="336">
        <f>Gasto_o_ing_per_capita!V93-Gasto_o_ing_per_capita!$D93</f>
        <v>0</v>
      </c>
      <c r="W93" s="122"/>
      <c r="X93" s="104"/>
    </row>
    <row r="94" spans="1:24" s="102" customFormat="1" ht="13.15">
      <c r="A94" s="355" t="str">
        <f>IF(B94="","",(IF(ISERROR(MATCH(B94,Tot_res!C:C,0)),"Eliminar!!!","")))</f>
        <v/>
      </c>
      <c r="B94" s="115" t="s">
        <v>198</v>
      </c>
      <c r="C94" s="333" t="str">
        <f>VLOOKUP(B94,Tot_res!C:D,2,FALSE)</f>
        <v>Regulación contable y de auditorias</v>
      </c>
      <c r="D94" s="336">
        <f>Gasto_o_ing_per_capita!D94-Gasto_o_ing_per_capita!$D94</f>
        <v>0</v>
      </c>
      <c r="E94" s="336">
        <f>Gasto_o_ing_per_capita!E94-Gasto_o_ing_per_capita!$D94</f>
        <v>0</v>
      </c>
      <c r="F94" s="336">
        <f>Gasto_o_ing_per_capita!F94-Gasto_o_ing_per_capita!$D94</f>
        <v>0</v>
      </c>
      <c r="G94" s="336">
        <f>Gasto_o_ing_per_capita!G94-Gasto_o_ing_per_capita!$D94</f>
        <v>0</v>
      </c>
      <c r="H94" s="336">
        <f>Gasto_o_ing_per_capita!H94-Gasto_o_ing_per_capita!$D94</f>
        <v>0</v>
      </c>
      <c r="I94" s="336">
        <f>Gasto_o_ing_per_capita!I94-Gasto_o_ing_per_capita!$D94</f>
        <v>0</v>
      </c>
      <c r="J94" s="336">
        <f>Gasto_o_ing_per_capita!J94-Gasto_o_ing_per_capita!$D94</f>
        <v>0</v>
      </c>
      <c r="K94" s="336">
        <f>Gasto_o_ing_per_capita!K94-Gasto_o_ing_per_capita!$D94</f>
        <v>0</v>
      </c>
      <c r="L94" s="336">
        <f>Gasto_o_ing_per_capita!L94-Gasto_o_ing_per_capita!$D94</f>
        <v>0</v>
      </c>
      <c r="M94" s="336">
        <f>Gasto_o_ing_per_capita!M94-Gasto_o_ing_per_capita!$D94</f>
        <v>0</v>
      </c>
      <c r="N94" s="336">
        <f>Gasto_o_ing_per_capita!N94-Gasto_o_ing_per_capita!$D94</f>
        <v>0</v>
      </c>
      <c r="O94" s="336">
        <f>Gasto_o_ing_per_capita!O94-Gasto_o_ing_per_capita!$D94</f>
        <v>0</v>
      </c>
      <c r="P94" s="336">
        <f>Gasto_o_ing_per_capita!P94-Gasto_o_ing_per_capita!$D94</f>
        <v>0</v>
      </c>
      <c r="Q94" s="336">
        <f>Gasto_o_ing_per_capita!Q94-Gasto_o_ing_per_capita!$D94</f>
        <v>0</v>
      </c>
      <c r="R94" s="336">
        <f>Gasto_o_ing_per_capita!R94-Gasto_o_ing_per_capita!$D94</f>
        <v>0</v>
      </c>
      <c r="S94" s="336">
        <f>Gasto_o_ing_per_capita!S94-Gasto_o_ing_per_capita!$D94</f>
        <v>0</v>
      </c>
      <c r="T94" s="336">
        <f>Gasto_o_ing_per_capita!T94-Gasto_o_ing_per_capita!$D94</f>
        <v>0</v>
      </c>
      <c r="U94" s="336">
        <f>Gasto_o_ing_per_capita!U94-Gasto_o_ing_per_capita!$D94</f>
        <v>0</v>
      </c>
      <c r="V94" s="336">
        <f>Gasto_o_ing_per_capita!V94-Gasto_o_ing_per_capita!$D94</f>
        <v>0</v>
      </c>
      <c r="W94" s="122"/>
      <c r="X94" s="104"/>
    </row>
    <row r="95" spans="1:24" s="102" customFormat="1" ht="13.15">
      <c r="A95" s="355" t="str">
        <f>IF(B95="","",(IF(ISERROR(MATCH(B95,Tot_res!C:C,0)),"Eliminar!!!","")))</f>
        <v/>
      </c>
      <c r="B95" s="115" t="s">
        <v>481</v>
      </c>
      <c r="C95" s="333" t="str">
        <f>VLOOKUP(B95,Tot_res!C:D,2,FALSE)</f>
        <v>Regulación del juego</v>
      </c>
      <c r="D95" s="336">
        <f>Gasto_o_ing_per_capita!D95-Gasto_o_ing_per_capita!$D95</f>
        <v>0</v>
      </c>
      <c r="E95" s="336">
        <f>Gasto_o_ing_per_capita!E95-Gasto_o_ing_per_capita!$D95</f>
        <v>0</v>
      </c>
      <c r="F95" s="336">
        <f>Gasto_o_ing_per_capita!F95-Gasto_o_ing_per_capita!$D95</f>
        <v>0</v>
      </c>
      <c r="G95" s="336">
        <f>Gasto_o_ing_per_capita!G95-Gasto_o_ing_per_capita!$D95</f>
        <v>0</v>
      </c>
      <c r="H95" s="336">
        <f>Gasto_o_ing_per_capita!H95-Gasto_o_ing_per_capita!$D95</f>
        <v>0</v>
      </c>
      <c r="I95" s="336">
        <f>Gasto_o_ing_per_capita!I95-Gasto_o_ing_per_capita!$D95</f>
        <v>0</v>
      </c>
      <c r="J95" s="336">
        <f>Gasto_o_ing_per_capita!J95-Gasto_o_ing_per_capita!$D95</f>
        <v>0</v>
      </c>
      <c r="K95" s="336">
        <f>Gasto_o_ing_per_capita!K95-Gasto_o_ing_per_capita!$D95</f>
        <v>0</v>
      </c>
      <c r="L95" s="336">
        <f>Gasto_o_ing_per_capita!L95-Gasto_o_ing_per_capita!$D95</f>
        <v>0</v>
      </c>
      <c r="M95" s="336">
        <f>Gasto_o_ing_per_capita!M95-Gasto_o_ing_per_capita!$D95</f>
        <v>0</v>
      </c>
      <c r="N95" s="336">
        <f>Gasto_o_ing_per_capita!N95-Gasto_o_ing_per_capita!$D95</f>
        <v>0</v>
      </c>
      <c r="O95" s="336">
        <f>Gasto_o_ing_per_capita!O95-Gasto_o_ing_per_capita!$D95</f>
        <v>0</v>
      </c>
      <c r="P95" s="336">
        <f>Gasto_o_ing_per_capita!P95-Gasto_o_ing_per_capita!$D95</f>
        <v>0</v>
      </c>
      <c r="Q95" s="336">
        <f>Gasto_o_ing_per_capita!Q95-Gasto_o_ing_per_capita!$D95</f>
        <v>0</v>
      </c>
      <c r="R95" s="336">
        <f>Gasto_o_ing_per_capita!R95-Gasto_o_ing_per_capita!$D95</f>
        <v>0</v>
      </c>
      <c r="S95" s="336">
        <f>Gasto_o_ing_per_capita!S95-Gasto_o_ing_per_capita!$D95</f>
        <v>0</v>
      </c>
      <c r="T95" s="336">
        <f>Gasto_o_ing_per_capita!T95-Gasto_o_ing_per_capita!$D95</f>
        <v>0</v>
      </c>
      <c r="U95" s="336">
        <f>Gasto_o_ing_per_capita!U95-Gasto_o_ing_per_capita!$D95</f>
        <v>0</v>
      </c>
      <c r="V95" s="336">
        <f>Gasto_o_ing_per_capita!V95-Gasto_o_ing_per_capita!$D95</f>
        <v>0</v>
      </c>
      <c r="W95" s="122"/>
      <c r="X95" s="104"/>
    </row>
    <row r="96" spans="1:24" s="102" customFormat="1" ht="13.15">
      <c r="A96" s="355" t="str">
        <f>IF(B96="","",(IF(ISERROR(MATCH(B96,Tot_res!C:C,0)),"Eliminar!!!","")))</f>
        <v/>
      </c>
      <c r="B96" s="115" t="s">
        <v>632</v>
      </c>
      <c r="C96" s="333" t="str">
        <f>VLOOKUP(B96,Tot_res!C:D,2,FALSE)</f>
        <v>Comisión Nacional de la Competencia</v>
      </c>
      <c r="D96" s="336">
        <f>Gasto_o_ing_per_capita!D96-Gasto_o_ing_per_capita!$D96</f>
        <v>0</v>
      </c>
      <c r="E96" s="336">
        <f>Gasto_o_ing_per_capita!E96-Gasto_o_ing_per_capita!$D96</f>
        <v>0</v>
      </c>
      <c r="F96" s="336">
        <f>Gasto_o_ing_per_capita!F96-Gasto_o_ing_per_capita!$D96</f>
        <v>0</v>
      </c>
      <c r="G96" s="336">
        <f>Gasto_o_ing_per_capita!G96-Gasto_o_ing_per_capita!$D96</f>
        <v>0</v>
      </c>
      <c r="H96" s="336">
        <f>Gasto_o_ing_per_capita!H96-Gasto_o_ing_per_capita!$D96</f>
        <v>0</v>
      </c>
      <c r="I96" s="336">
        <f>Gasto_o_ing_per_capita!I96-Gasto_o_ing_per_capita!$D96</f>
        <v>0</v>
      </c>
      <c r="J96" s="336">
        <f>Gasto_o_ing_per_capita!J96-Gasto_o_ing_per_capita!$D96</f>
        <v>0</v>
      </c>
      <c r="K96" s="336">
        <f>Gasto_o_ing_per_capita!K96-Gasto_o_ing_per_capita!$D96</f>
        <v>0</v>
      </c>
      <c r="L96" s="336">
        <f>Gasto_o_ing_per_capita!L96-Gasto_o_ing_per_capita!$D96</f>
        <v>0</v>
      </c>
      <c r="M96" s="336">
        <f>Gasto_o_ing_per_capita!M96-Gasto_o_ing_per_capita!$D96</f>
        <v>0</v>
      </c>
      <c r="N96" s="336">
        <f>Gasto_o_ing_per_capita!N96-Gasto_o_ing_per_capita!$D96</f>
        <v>0</v>
      </c>
      <c r="O96" s="336">
        <f>Gasto_o_ing_per_capita!O96-Gasto_o_ing_per_capita!$D96</f>
        <v>0</v>
      </c>
      <c r="P96" s="336">
        <f>Gasto_o_ing_per_capita!P96-Gasto_o_ing_per_capita!$D96</f>
        <v>0</v>
      </c>
      <c r="Q96" s="336">
        <f>Gasto_o_ing_per_capita!Q96-Gasto_o_ing_per_capita!$D96</f>
        <v>0</v>
      </c>
      <c r="R96" s="336">
        <f>Gasto_o_ing_per_capita!R96-Gasto_o_ing_per_capita!$D96</f>
        <v>0</v>
      </c>
      <c r="S96" s="336">
        <f>Gasto_o_ing_per_capita!S96-Gasto_o_ing_per_capita!$D96</f>
        <v>0</v>
      </c>
      <c r="T96" s="336">
        <f>Gasto_o_ing_per_capita!T96-Gasto_o_ing_per_capita!$D96</f>
        <v>0</v>
      </c>
      <c r="U96" s="336">
        <f>Gasto_o_ing_per_capita!U96-Gasto_o_ing_per_capita!$D96</f>
        <v>0</v>
      </c>
      <c r="V96" s="336">
        <f>Gasto_o_ing_per_capita!V96-Gasto_o_ing_per_capita!$D96</f>
        <v>0</v>
      </c>
      <c r="W96" s="122"/>
      <c r="X96" s="104"/>
    </row>
    <row r="97" spans="1:24" s="102" customFormat="1" ht="13.15">
      <c r="A97" s="355" t="str">
        <f>IF(B97="","",(IF(ISERROR(MATCH(B97,Tot_res!C:C,0)),"Eliminar!!!","")))</f>
        <v/>
      </c>
      <c r="B97" s="115" t="s">
        <v>199</v>
      </c>
      <c r="C97" s="333" t="str">
        <f>VLOOKUP(B97,Tot_res!C:D,2,FALSE)</f>
        <v>Comisión Nacional del Mercado de las Telecomunicaciones</v>
      </c>
      <c r="D97" s="336">
        <f>Gasto_o_ing_per_capita!D97-Gasto_o_ing_per_capita!$D97</f>
        <v>0</v>
      </c>
      <c r="E97" s="336">
        <f>Gasto_o_ing_per_capita!E97-Gasto_o_ing_per_capita!$D97</f>
        <v>0</v>
      </c>
      <c r="F97" s="336">
        <f>Gasto_o_ing_per_capita!F97-Gasto_o_ing_per_capita!$D97</f>
        <v>0</v>
      </c>
      <c r="G97" s="336">
        <f>Gasto_o_ing_per_capita!G97-Gasto_o_ing_per_capita!$D97</f>
        <v>0</v>
      </c>
      <c r="H97" s="336">
        <f>Gasto_o_ing_per_capita!H97-Gasto_o_ing_per_capita!$D97</f>
        <v>0</v>
      </c>
      <c r="I97" s="336">
        <f>Gasto_o_ing_per_capita!I97-Gasto_o_ing_per_capita!$D97</f>
        <v>0</v>
      </c>
      <c r="J97" s="336">
        <f>Gasto_o_ing_per_capita!J97-Gasto_o_ing_per_capita!$D97</f>
        <v>0</v>
      </c>
      <c r="K97" s="336">
        <f>Gasto_o_ing_per_capita!K97-Gasto_o_ing_per_capita!$D97</f>
        <v>0</v>
      </c>
      <c r="L97" s="336">
        <f>Gasto_o_ing_per_capita!L97-Gasto_o_ing_per_capita!$D97</f>
        <v>0</v>
      </c>
      <c r="M97" s="336">
        <f>Gasto_o_ing_per_capita!M97-Gasto_o_ing_per_capita!$D97</f>
        <v>0</v>
      </c>
      <c r="N97" s="336">
        <f>Gasto_o_ing_per_capita!N97-Gasto_o_ing_per_capita!$D97</f>
        <v>0</v>
      </c>
      <c r="O97" s="336">
        <f>Gasto_o_ing_per_capita!O97-Gasto_o_ing_per_capita!$D97</f>
        <v>0</v>
      </c>
      <c r="P97" s="336">
        <f>Gasto_o_ing_per_capita!P97-Gasto_o_ing_per_capita!$D97</f>
        <v>0</v>
      </c>
      <c r="Q97" s="336">
        <f>Gasto_o_ing_per_capita!Q97-Gasto_o_ing_per_capita!$D97</f>
        <v>0</v>
      </c>
      <c r="R97" s="336">
        <f>Gasto_o_ing_per_capita!R97-Gasto_o_ing_per_capita!$D97</f>
        <v>0</v>
      </c>
      <c r="S97" s="336">
        <f>Gasto_o_ing_per_capita!S97-Gasto_o_ing_per_capita!$D97</f>
        <v>0</v>
      </c>
      <c r="T97" s="336">
        <f>Gasto_o_ing_per_capita!T97-Gasto_o_ing_per_capita!$D97</f>
        <v>0</v>
      </c>
      <c r="U97" s="336">
        <f>Gasto_o_ing_per_capita!U97-Gasto_o_ing_per_capita!$D97</f>
        <v>0</v>
      </c>
      <c r="V97" s="336">
        <f>Gasto_o_ing_per_capita!V97-Gasto_o_ing_per_capita!$D97</f>
        <v>0</v>
      </c>
      <c r="W97" s="122"/>
      <c r="X97" s="104"/>
    </row>
    <row r="98" spans="1:24" s="102" customFormat="1" ht="13.15">
      <c r="A98" s="355" t="str">
        <f>IF(B98="","",(IF(ISERROR(MATCH(B98,Tot_res!C:C,0)),"Eliminar!!!","")))</f>
        <v/>
      </c>
      <c r="B98" s="115" t="s">
        <v>201</v>
      </c>
      <c r="C98" s="333" t="str">
        <f>VLOOKUP(B98,Tot_res!C:D,2,FALSE)</f>
        <v>Comisión Nacional de Energía</v>
      </c>
      <c r="D98" s="336">
        <f>Gasto_o_ing_per_capita!D98-Gasto_o_ing_per_capita!$D98</f>
        <v>0</v>
      </c>
      <c r="E98" s="336">
        <f>Gasto_o_ing_per_capita!E98-Gasto_o_ing_per_capita!$D98</f>
        <v>0</v>
      </c>
      <c r="F98" s="336">
        <f>Gasto_o_ing_per_capita!F98-Gasto_o_ing_per_capita!$D98</f>
        <v>0</v>
      </c>
      <c r="G98" s="336">
        <f>Gasto_o_ing_per_capita!G98-Gasto_o_ing_per_capita!$D98</f>
        <v>0</v>
      </c>
      <c r="H98" s="336">
        <f>Gasto_o_ing_per_capita!H98-Gasto_o_ing_per_capita!$D98</f>
        <v>0</v>
      </c>
      <c r="I98" s="336">
        <f>Gasto_o_ing_per_capita!I98-Gasto_o_ing_per_capita!$D98</f>
        <v>0</v>
      </c>
      <c r="J98" s="336">
        <f>Gasto_o_ing_per_capita!J98-Gasto_o_ing_per_capita!$D98</f>
        <v>0</v>
      </c>
      <c r="K98" s="336">
        <f>Gasto_o_ing_per_capita!K98-Gasto_o_ing_per_capita!$D98</f>
        <v>0</v>
      </c>
      <c r="L98" s="336">
        <f>Gasto_o_ing_per_capita!L98-Gasto_o_ing_per_capita!$D98</f>
        <v>0</v>
      </c>
      <c r="M98" s="336">
        <f>Gasto_o_ing_per_capita!M98-Gasto_o_ing_per_capita!$D98</f>
        <v>0</v>
      </c>
      <c r="N98" s="336">
        <f>Gasto_o_ing_per_capita!N98-Gasto_o_ing_per_capita!$D98</f>
        <v>0</v>
      </c>
      <c r="O98" s="336">
        <f>Gasto_o_ing_per_capita!O98-Gasto_o_ing_per_capita!$D98</f>
        <v>0</v>
      </c>
      <c r="P98" s="336">
        <f>Gasto_o_ing_per_capita!P98-Gasto_o_ing_per_capita!$D98</f>
        <v>0</v>
      </c>
      <c r="Q98" s="336">
        <f>Gasto_o_ing_per_capita!Q98-Gasto_o_ing_per_capita!$D98</f>
        <v>0</v>
      </c>
      <c r="R98" s="336">
        <f>Gasto_o_ing_per_capita!R98-Gasto_o_ing_per_capita!$D98</f>
        <v>0</v>
      </c>
      <c r="S98" s="336">
        <f>Gasto_o_ing_per_capita!S98-Gasto_o_ing_per_capita!$D98</f>
        <v>0</v>
      </c>
      <c r="T98" s="336">
        <f>Gasto_o_ing_per_capita!T98-Gasto_o_ing_per_capita!$D98</f>
        <v>0</v>
      </c>
      <c r="U98" s="336">
        <f>Gasto_o_ing_per_capita!U98-Gasto_o_ing_per_capita!$D98</f>
        <v>0</v>
      </c>
      <c r="V98" s="336">
        <f>Gasto_o_ing_per_capita!V98-Gasto_o_ing_per_capita!$D98</f>
        <v>0</v>
      </c>
      <c r="W98" s="122"/>
      <c r="X98" s="104"/>
    </row>
    <row r="99" spans="1:24" s="102" customFormat="1" ht="13.15">
      <c r="A99" s="355" t="str">
        <f>IF(B99="","",(IF(ISERROR(MATCH(B99,Tot_res!C:C,0)),"Eliminar!!!","")))</f>
        <v/>
      </c>
      <c r="B99" s="115" t="s">
        <v>203</v>
      </c>
      <c r="C99" s="333" t="str">
        <f>VLOOKUP(B99,Tot_res!C:D,2,FALSE)</f>
        <v>Comisión Nacional del Mercado de Valores</v>
      </c>
      <c r="D99" s="336">
        <f>Gasto_o_ing_per_capita!D99-Gasto_o_ing_per_capita!$D99</f>
        <v>0</v>
      </c>
      <c r="E99" s="336">
        <f>Gasto_o_ing_per_capita!E99-Gasto_o_ing_per_capita!$D99</f>
        <v>0</v>
      </c>
      <c r="F99" s="336">
        <f>Gasto_o_ing_per_capita!F99-Gasto_o_ing_per_capita!$D99</f>
        <v>0</v>
      </c>
      <c r="G99" s="336">
        <f>Gasto_o_ing_per_capita!G99-Gasto_o_ing_per_capita!$D99</f>
        <v>0</v>
      </c>
      <c r="H99" s="336">
        <f>Gasto_o_ing_per_capita!H99-Gasto_o_ing_per_capita!$D99</f>
        <v>0</v>
      </c>
      <c r="I99" s="336">
        <f>Gasto_o_ing_per_capita!I99-Gasto_o_ing_per_capita!$D99</f>
        <v>0</v>
      </c>
      <c r="J99" s="336">
        <f>Gasto_o_ing_per_capita!J99-Gasto_o_ing_per_capita!$D99</f>
        <v>0</v>
      </c>
      <c r="K99" s="336">
        <f>Gasto_o_ing_per_capita!K99-Gasto_o_ing_per_capita!$D99</f>
        <v>0</v>
      </c>
      <c r="L99" s="336">
        <f>Gasto_o_ing_per_capita!L99-Gasto_o_ing_per_capita!$D99</f>
        <v>0</v>
      </c>
      <c r="M99" s="336">
        <f>Gasto_o_ing_per_capita!M99-Gasto_o_ing_per_capita!$D99</f>
        <v>0</v>
      </c>
      <c r="N99" s="336">
        <f>Gasto_o_ing_per_capita!N99-Gasto_o_ing_per_capita!$D99</f>
        <v>0</v>
      </c>
      <c r="O99" s="336">
        <f>Gasto_o_ing_per_capita!O99-Gasto_o_ing_per_capita!$D99</f>
        <v>0</v>
      </c>
      <c r="P99" s="336">
        <f>Gasto_o_ing_per_capita!P99-Gasto_o_ing_per_capita!$D99</f>
        <v>0</v>
      </c>
      <c r="Q99" s="336">
        <f>Gasto_o_ing_per_capita!Q99-Gasto_o_ing_per_capita!$D99</f>
        <v>0</v>
      </c>
      <c r="R99" s="336">
        <f>Gasto_o_ing_per_capita!R99-Gasto_o_ing_per_capita!$D99</f>
        <v>0</v>
      </c>
      <c r="S99" s="336">
        <f>Gasto_o_ing_per_capita!S99-Gasto_o_ing_per_capita!$D99</f>
        <v>0</v>
      </c>
      <c r="T99" s="336">
        <f>Gasto_o_ing_per_capita!T99-Gasto_o_ing_per_capita!$D99</f>
        <v>0</v>
      </c>
      <c r="U99" s="336">
        <f>Gasto_o_ing_per_capita!U99-Gasto_o_ing_per_capita!$D99</f>
        <v>0</v>
      </c>
      <c r="V99" s="336">
        <f>Gasto_o_ing_per_capita!V99-Gasto_o_ing_per_capita!$D99</f>
        <v>0</v>
      </c>
      <c r="W99" s="122"/>
      <c r="X99" s="104"/>
    </row>
    <row r="100" spans="1:24" s="102" customFormat="1" ht="13.15">
      <c r="A100" s="355" t="str">
        <f>IF(B100="","",(IF(ISERROR(MATCH(B100,Tot_res!C:C,0)),"Eliminar!!!","")))</f>
        <v/>
      </c>
      <c r="B100" s="115" t="s">
        <v>205</v>
      </c>
      <c r="C100" s="333" t="str">
        <f>VLOOKUP(B100,Tot_res!C:D,2,FALSE)</f>
        <v>Banco de España</v>
      </c>
      <c r="D100" s="336">
        <f>Gasto_o_ing_per_capita!D100-Gasto_o_ing_per_capita!$D100</f>
        <v>0</v>
      </c>
      <c r="E100" s="336">
        <f>Gasto_o_ing_per_capita!E100-Gasto_o_ing_per_capita!$D100</f>
        <v>0</v>
      </c>
      <c r="F100" s="336">
        <f>Gasto_o_ing_per_capita!F100-Gasto_o_ing_per_capita!$D100</f>
        <v>0</v>
      </c>
      <c r="G100" s="336">
        <f>Gasto_o_ing_per_capita!G100-Gasto_o_ing_per_capita!$D100</f>
        <v>0</v>
      </c>
      <c r="H100" s="336">
        <f>Gasto_o_ing_per_capita!H100-Gasto_o_ing_per_capita!$D100</f>
        <v>0</v>
      </c>
      <c r="I100" s="336">
        <f>Gasto_o_ing_per_capita!I100-Gasto_o_ing_per_capita!$D100</f>
        <v>0</v>
      </c>
      <c r="J100" s="336">
        <f>Gasto_o_ing_per_capita!J100-Gasto_o_ing_per_capita!$D100</f>
        <v>0</v>
      </c>
      <c r="K100" s="336">
        <f>Gasto_o_ing_per_capita!K100-Gasto_o_ing_per_capita!$D100</f>
        <v>0</v>
      </c>
      <c r="L100" s="336">
        <f>Gasto_o_ing_per_capita!L100-Gasto_o_ing_per_capita!$D100</f>
        <v>0</v>
      </c>
      <c r="M100" s="336">
        <f>Gasto_o_ing_per_capita!M100-Gasto_o_ing_per_capita!$D100</f>
        <v>0</v>
      </c>
      <c r="N100" s="336">
        <f>Gasto_o_ing_per_capita!N100-Gasto_o_ing_per_capita!$D100</f>
        <v>0</v>
      </c>
      <c r="O100" s="336">
        <f>Gasto_o_ing_per_capita!O100-Gasto_o_ing_per_capita!$D100</f>
        <v>0</v>
      </c>
      <c r="P100" s="336">
        <f>Gasto_o_ing_per_capita!P100-Gasto_o_ing_per_capita!$D100</f>
        <v>0</v>
      </c>
      <c r="Q100" s="336">
        <f>Gasto_o_ing_per_capita!Q100-Gasto_o_ing_per_capita!$D100</f>
        <v>0</v>
      </c>
      <c r="R100" s="336">
        <f>Gasto_o_ing_per_capita!R100-Gasto_o_ing_per_capita!$D100</f>
        <v>0</v>
      </c>
      <c r="S100" s="336">
        <f>Gasto_o_ing_per_capita!S100-Gasto_o_ing_per_capita!$D100</f>
        <v>0</v>
      </c>
      <c r="T100" s="336">
        <f>Gasto_o_ing_per_capita!T100-Gasto_o_ing_per_capita!$D100</f>
        <v>0</v>
      </c>
      <c r="U100" s="336">
        <f>Gasto_o_ing_per_capita!U100-Gasto_o_ing_per_capita!$D100</f>
        <v>0</v>
      </c>
      <c r="V100" s="336">
        <f>Gasto_o_ing_per_capita!V100-Gasto_o_ing_per_capita!$D100</f>
        <v>0</v>
      </c>
      <c r="W100" s="122"/>
      <c r="X100" s="104"/>
    </row>
    <row r="101" spans="1:24" ht="13.15">
      <c r="A101" s="356"/>
      <c r="B101" s="9"/>
      <c r="D101" s="19"/>
      <c r="E101" s="19"/>
      <c r="F101" s="19"/>
      <c r="G101" s="19"/>
      <c r="H101" s="19"/>
      <c r="I101" s="19"/>
      <c r="J101" s="19"/>
      <c r="K101" s="19"/>
      <c r="L101" s="19"/>
      <c r="M101" s="19"/>
      <c r="N101" s="19"/>
      <c r="O101" s="19"/>
      <c r="P101" s="19"/>
      <c r="Q101" s="19"/>
      <c r="R101" s="19"/>
      <c r="S101" s="19"/>
      <c r="T101" s="19"/>
      <c r="U101" s="19"/>
      <c r="V101" s="19"/>
      <c r="W101" s="10"/>
      <c r="X101" s="15"/>
    </row>
    <row r="102" spans="1:24" ht="13.15">
      <c r="A102" s="356"/>
      <c r="B102" s="9"/>
      <c r="D102" s="19"/>
      <c r="E102" s="19"/>
      <c r="F102" s="19"/>
      <c r="G102" s="19"/>
      <c r="H102" s="19"/>
      <c r="I102" s="19"/>
      <c r="J102" s="19"/>
      <c r="K102" s="19"/>
      <c r="L102" s="19"/>
      <c r="M102" s="19"/>
      <c r="N102" s="19"/>
      <c r="O102" s="19"/>
      <c r="P102" s="19"/>
      <c r="Q102" s="19"/>
      <c r="R102" s="19"/>
      <c r="S102" s="19"/>
      <c r="T102" s="19"/>
      <c r="U102" s="19"/>
      <c r="V102" s="19"/>
      <c r="W102" s="10"/>
      <c r="X102" s="15"/>
    </row>
    <row r="103" spans="1:24" s="102" customFormat="1" ht="13.15">
      <c r="A103" s="356"/>
      <c r="B103" s="115"/>
      <c r="C103" s="134" t="s">
        <v>77</v>
      </c>
      <c r="D103" s="110">
        <f>Gasto_o_ing_per_capita!D103-Gasto_o_ing_per_capita!$D103</f>
        <v>0</v>
      </c>
      <c r="E103" s="110">
        <f>Gasto_o_ing_per_capita!E103-Gasto_o_ing_per_capita!$D103</f>
        <v>-287.01273460935954</v>
      </c>
      <c r="F103" s="110">
        <f>Gasto_o_ing_per_capita!F103-Gasto_o_ing_per_capita!$D103</f>
        <v>369.04255169867474</v>
      </c>
      <c r="G103" s="110">
        <f>Gasto_o_ing_per_capita!G103-Gasto_o_ing_per_capita!$D103</f>
        <v>319.49506476742363</v>
      </c>
      <c r="H103" s="110">
        <f>Gasto_o_ing_per_capita!H103-Gasto_o_ing_per_capita!$D103</f>
        <v>62.497012962175177</v>
      </c>
      <c r="I103" s="110">
        <f>Gasto_o_ing_per_capita!I103-Gasto_o_ing_per_capita!$D103</f>
        <v>398.74605570573067</v>
      </c>
      <c r="J103" s="110">
        <f>Gasto_o_ing_per_capita!J103-Gasto_o_ing_per_capita!$D103</f>
        <v>494.2680601391944</v>
      </c>
      <c r="K103" s="110">
        <f>Gasto_o_ing_per_capita!K103-Gasto_o_ing_per_capita!$D103</f>
        <v>499.98365937841982</v>
      </c>
      <c r="L103" s="110">
        <f>Gasto_o_ing_per_capita!L103-Gasto_o_ing_per_capita!$D103</f>
        <v>-146.47063408776967</v>
      </c>
      <c r="M103" s="110">
        <f>Gasto_o_ing_per_capita!M103-Gasto_o_ing_per_capita!$D103</f>
        <v>-22.838781925449894</v>
      </c>
      <c r="N103" s="110">
        <f>Gasto_o_ing_per_capita!N103-Gasto_o_ing_per_capita!$D103</f>
        <v>-564.53712275532871</v>
      </c>
      <c r="O103" s="110">
        <f>Gasto_o_ing_per_capita!O103-Gasto_o_ing_per_capita!$D103</f>
        <v>537.89815414261875</v>
      </c>
      <c r="P103" s="110">
        <f>Gasto_o_ing_per_capita!P103-Gasto_o_ing_per_capita!$D103</f>
        <v>74.940307174324971</v>
      </c>
      <c r="Q103" s="110">
        <f>Gasto_o_ing_per_capita!Q103-Gasto_o_ing_per_capita!$D103</f>
        <v>-302.8269419619387</v>
      </c>
      <c r="R103" s="110">
        <f>Gasto_o_ing_per_capita!R103-Gasto_o_ing_per_capita!$D103</f>
        <v>-532.33867713494737</v>
      </c>
      <c r="S103" s="110">
        <f>Gasto_o_ing_per_capita!S103-Gasto_o_ing_per_capita!$D103</f>
        <v>386.9297137244198</v>
      </c>
      <c r="T103" s="110">
        <f>Gasto_o_ing_per_capita!T103-Gasto_o_ing_per_capita!$D103</f>
        <v>1680.4079363404649</v>
      </c>
      <c r="U103" s="110">
        <f>Gasto_o_ing_per_capita!U103-Gasto_o_ing_per_capita!$D103</f>
        <v>331.18094550309661</v>
      </c>
      <c r="V103" s="110">
        <f>Gasto_o_ing_per_capita!V103-Gasto_o_ing_per_capita!$D103</f>
        <v>2191.6812802616782</v>
      </c>
      <c r="W103" s="125"/>
      <c r="X103" s="104"/>
    </row>
    <row r="104" spans="1:24" s="102" customFormat="1" ht="13.15">
      <c r="A104" s="356"/>
      <c r="B104" s="115"/>
      <c r="C104" s="134" t="s">
        <v>44</v>
      </c>
      <c r="D104" s="110">
        <f>Gasto_o_ing_per_capita!D104-Gasto_o_ing_per_capita!$D104</f>
        <v>0</v>
      </c>
      <c r="E104" s="110">
        <f>Gasto_o_ing_per_capita!E104-Gasto_o_ing_per_capita!$D104</f>
        <v>-326.65702495373262</v>
      </c>
      <c r="F104" s="110">
        <f>Gasto_o_ing_per_capita!F104-Gasto_o_ing_per_capita!$D104</f>
        <v>336.89293958747521</v>
      </c>
      <c r="G104" s="110">
        <f>Gasto_o_ing_per_capita!G104-Gasto_o_ing_per_capita!$D104</f>
        <v>194.826609680817</v>
      </c>
      <c r="H104" s="110">
        <f>Gasto_o_ing_per_capita!H104-Gasto_o_ing_per_capita!$D104</f>
        <v>-46.872604658260116</v>
      </c>
      <c r="I104" s="110">
        <f>Gasto_o_ing_per_capita!I104-Gasto_o_ing_per_capita!$D104</f>
        <v>422.24657836619326</v>
      </c>
      <c r="J104" s="110">
        <f>Gasto_o_ing_per_capita!J104-Gasto_o_ing_per_capita!$D104</f>
        <v>409.46325590219431</v>
      </c>
      <c r="K104" s="110">
        <f>Gasto_o_ing_per_capita!K104-Gasto_o_ing_per_capita!$D104</f>
        <v>487.22193469216427</v>
      </c>
      <c r="L104" s="110">
        <f>Gasto_o_ing_per_capita!L104-Gasto_o_ing_per_capita!$D104</f>
        <v>-51.085964103500828</v>
      </c>
      <c r="M104" s="110">
        <f>Gasto_o_ing_per_capita!M104-Gasto_o_ing_per_capita!$D104</f>
        <v>-153.89566423714678</v>
      </c>
      <c r="N104" s="110">
        <f>Gasto_o_ing_per_capita!N104-Gasto_o_ing_per_capita!$D104</f>
        <v>-598.90516211779732</v>
      </c>
      <c r="O104" s="110">
        <f>Gasto_o_ing_per_capita!O104-Gasto_o_ing_per_capita!$D104</f>
        <v>376.08957850334946</v>
      </c>
      <c r="P104" s="110">
        <f>Gasto_o_ing_per_capita!P104-Gasto_o_ing_per_capita!$D104</f>
        <v>73.888243770853478</v>
      </c>
      <c r="Q104" s="110">
        <f>Gasto_o_ing_per_capita!Q104-Gasto_o_ing_per_capita!$D104</f>
        <v>-219.63933374124781</v>
      </c>
      <c r="R104" s="110">
        <f>Gasto_o_ing_per_capita!R104-Gasto_o_ing_per_capita!$D104</f>
        <v>-573.04145671115748</v>
      </c>
      <c r="S104" s="110">
        <f>Gasto_o_ing_per_capita!S104-Gasto_o_ing_per_capita!$D104</f>
        <v>981.06180958087907</v>
      </c>
      <c r="T104" s="110">
        <f>Gasto_o_ing_per_capita!T104-Gasto_o_ing_per_capita!$D104</f>
        <v>2109.3192029655606</v>
      </c>
      <c r="U104" s="110">
        <f>Gasto_o_ing_per_capita!U104-Gasto_o_ing_per_capita!$D104</f>
        <v>323.78997581230215</v>
      </c>
      <c r="V104" s="110">
        <f>Gasto_o_ing_per_capita!V104-Gasto_o_ing_per_capita!$D104</f>
        <v>2244.0144232369453</v>
      </c>
      <c r="W104" s="126"/>
      <c r="X104" s="104"/>
    </row>
    <row r="105" spans="1:24" s="102" customFormat="1" ht="13.15">
      <c r="A105" s="356"/>
      <c r="B105" s="115"/>
      <c r="C105" s="129"/>
      <c r="D105" s="110"/>
      <c r="E105" s="110"/>
      <c r="F105" s="110"/>
      <c r="G105" s="110"/>
      <c r="H105" s="110"/>
      <c r="I105" s="110"/>
      <c r="J105" s="110"/>
      <c r="K105" s="110"/>
      <c r="L105" s="110"/>
      <c r="M105" s="110"/>
      <c r="N105" s="110"/>
      <c r="O105" s="110"/>
      <c r="P105" s="110"/>
      <c r="Q105" s="110"/>
      <c r="R105" s="110"/>
      <c r="S105" s="110"/>
      <c r="T105" s="110"/>
      <c r="U105" s="110"/>
      <c r="V105" s="110"/>
      <c r="W105" s="122"/>
      <c r="X105" s="104"/>
    </row>
    <row r="106" spans="1:24" s="102" customFormat="1" ht="13.15">
      <c r="A106" s="356"/>
      <c r="B106" s="115"/>
      <c r="C106" s="128" t="s">
        <v>43</v>
      </c>
      <c r="D106" s="113">
        <f>Gasto_o_ing_per_capita!D106-Gasto_o_ing_per_capita!$D106</f>
        <v>0</v>
      </c>
      <c r="E106" s="113">
        <f>Gasto_o_ing_per_capita!E106-Gasto_o_ing_per_capita!$D106</f>
        <v>-216.87068370859561</v>
      </c>
      <c r="F106" s="113">
        <f>Gasto_o_ing_per_capita!F106-Gasto_o_ing_per_capita!$D106</f>
        <v>182.64517929644944</v>
      </c>
      <c r="G106" s="113">
        <f>Gasto_o_ing_per_capita!G106-Gasto_o_ing_per_capita!$D106</f>
        <v>252.54200271276795</v>
      </c>
      <c r="H106" s="113">
        <f>Gasto_o_ing_per_capita!H106-Gasto_o_ing_per_capita!$D106</f>
        <v>7.7820148983846593</v>
      </c>
      <c r="I106" s="113">
        <f>Gasto_o_ing_per_capita!I106-Gasto_o_ing_per_capita!$D106</f>
        <v>-48.842971156495423</v>
      </c>
      <c r="J106" s="113">
        <f>Gasto_o_ing_per_capita!J106-Gasto_o_ing_per_capita!$D106</f>
        <v>476.92667302231848</v>
      </c>
      <c r="K106" s="113">
        <f>Gasto_o_ing_per_capita!K106-Gasto_o_ing_per_capita!$D106</f>
        <v>278.78588001402795</v>
      </c>
      <c r="L106" s="113">
        <f>Gasto_o_ing_per_capita!L106-Gasto_o_ing_per_capita!$D106</f>
        <v>-81.170297617549295</v>
      </c>
      <c r="M106" s="113">
        <f>Gasto_o_ing_per_capita!M106-Gasto_o_ing_per_capita!$D106</f>
        <v>-50.172669071993823</v>
      </c>
      <c r="N106" s="113">
        <f>Gasto_o_ing_per_capita!N106-Gasto_o_ing_per_capita!$D106</f>
        <v>-296.20899526280732</v>
      </c>
      <c r="O106" s="113">
        <f>Gasto_o_ing_per_capita!O106-Gasto_o_ing_per_capita!$D106</f>
        <v>400.59753397430995</v>
      </c>
      <c r="P106" s="113">
        <f>Gasto_o_ing_per_capita!P106-Gasto_o_ing_per_capita!$D106</f>
        <v>177.66990997174071</v>
      </c>
      <c r="Q106" s="113">
        <f>Gasto_o_ing_per_capita!Q106-Gasto_o_ing_per_capita!$D106</f>
        <v>-362.96864948108555</v>
      </c>
      <c r="R106" s="113">
        <f>Gasto_o_ing_per_capita!R106-Gasto_o_ing_per_capita!$D106</f>
        <v>-233.91791280264169</v>
      </c>
      <c r="S106" s="113">
        <f>Gasto_o_ing_per_capita!S106-Gasto_o_ing_per_capita!$D106</f>
        <v>516.89934930015306</v>
      </c>
      <c r="T106" s="113">
        <f>Gasto_o_ing_per_capita!T106-Gasto_o_ing_per_capita!$D106</f>
        <v>1586.1411459589094</v>
      </c>
      <c r="U106" s="113">
        <f>Gasto_o_ing_per_capita!U106-Gasto_o_ing_per_capita!$D106</f>
        <v>333.99826481854598</v>
      </c>
      <c r="V106" s="113">
        <f>Gasto_o_ing_per_capita!V106-Gasto_o_ing_per_capita!$D106</f>
        <v>1914.738234635638</v>
      </c>
      <c r="W106" s="126"/>
      <c r="X106" s="104"/>
    </row>
    <row r="107" spans="1:24" s="102" customFormat="1" ht="13.15">
      <c r="A107" s="356"/>
      <c r="B107" s="115"/>
      <c r="C107" s="129"/>
      <c r="D107" s="110"/>
      <c r="E107" s="110"/>
      <c r="F107" s="110"/>
      <c r="G107" s="110"/>
      <c r="H107" s="110"/>
      <c r="I107" s="110"/>
      <c r="J107" s="110"/>
      <c r="K107" s="110"/>
      <c r="L107" s="110"/>
      <c r="M107" s="110"/>
      <c r="N107" s="110"/>
      <c r="O107" s="110"/>
      <c r="P107" s="110"/>
      <c r="Q107" s="110"/>
      <c r="R107" s="110"/>
      <c r="S107" s="110"/>
      <c r="T107" s="110"/>
      <c r="U107" s="110"/>
      <c r="V107" s="110"/>
      <c r="W107" s="122"/>
      <c r="X107" s="104"/>
    </row>
    <row r="108" spans="1:24" s="103" customFormat="1" ht="13.15">
      <c r="A108" s="356"/>
      <c r="B108" s="137"/>
      <c r="C108" s="128" t="s">
        <v>207</v>
      </c>
      <c r="D108" s="113">
        <f>Gasto_o_ing_per_capita!D108-Gasto_o_ing_per_capita!$D108</f>
        <v>0</v>
      </c>
      <c r="E108" s="113">
        <f>Gasto_o_ing_per_capita!E108-Gasto_o_ing_per_capita!$D108</f>
        <v>-16.797058828757827</v>
      </c>
      <c r="F108" s="113">
        <f>Gasto_o_ing_per_capita!F108-Gasto_o_ing_per_capita!$D108</f>
        <v>356.84606737707372</v>
      </c>
      <c r="G108" s="113">
        <f>Gasto_o_ing_per_capita!G108-Gasto_o_ing_per_capita!$D108</f>
        <v>340.3507134129236</v>
      </c>
      <c r="H108" s="113">
        <f>Gasto_o_ing_per_capita!H108-Gasto_o_ing_per_capita!$D108</f>
        <v>91.600175356768432</v>
      </c>
      <c r="I108" s="113">
        <f>Gasto_o_ing_per_capita!I108-Gasto_o_ing_per_capita!$D108</f>
        <v>241.88340107139356</v>
      </c>
      <c r="J108" s="113">
        <f>Gasto_o_ing_per_capita!J108-Gasto_o_ing_per_capita!$D108</f>
        <v>750.5014343355856</v>
      </c>
      <c r="K108" s="113">
        <f>Gasto_o_ing_per_capita!K108-Gasto_o_ing_per_capita!$D108</f>
        <v>414.22263635745594</v>
      </c>
      <c r="L108" s="113">
        <f>Gasto_o_ing_per_capita!L108-Gasto_o_ing_per_capita!$D108</f>
        <v>161.61177287754344</v>
      </c>
      <c r="M108" s="113">
        <f>Gasto_o_ing_per_capita!M108-Gasto_o_ing_per_capita!$D108</f>
        <v>251.16795411144039</v>
      </c>
      <c r="N108" s="113">
        <f>Gasto_o_ing_per_capita!N108-Gasto_o_ing_per_capita!$D108</f>
        <v>-146.22405827038801</v>
      </c>
      <c r="O108" s="113">
        <f>Gasto_o_ing_per_capita!O108-Gasto_o_ing_per_capita!$D108</f>
        <v>387.70290861036437</v>
      </c>
      <c r="P108" s="113">
        <f>Gasto_o_ing_per_capita!P108-Gasto_o_ing_per_capita!$D108</f>
        <v>400.25294117513977</v>
      </c>
      <c r="Q108" s="113">
        <f>Gasto_o_ing_per_capita!Q108-Gasto_o_ing_per_capita!$D108</f>
        <v>17.269105374955188</v>
      </c>
      <c r="R108" s="113">
        <f>Gasto_o_ing_per_capita!R108-Gasto_o_ing_per_capita!$D108</f>
        <v>-120.11436527652177</v>
      </c>
      <c r="S108" s="113">
        <f>Gasto_o_ing_per_capita!S108-Gasto_o_ing_per_capita!$D108</f>
        <v>-2012.6959968709111</v>
      </c>
      <c r="T108" s="113">
        <f>Gasto_o_ing_per_capita!T108-Gasto_o_ing_per_capita!$D108</f>
        <v>-2012.6959968709111</v>
      </c>
      <c r="U108" s="113">
        <f>Gasto_o_ing_per_capita!U108-Gasto_o_ing_per_capita!$D108</f>
        <v>685.17096365940415</v>
      </c>
      <c r="V108" s="113">
        <f>Gasto_o_ing_per_capita!V108-Gasto_o_ing_per_capita!$D108</f>
        <v>-1579.0414557821882</v>
      </c>
      <c r="W108" s="126"/>
      <c r="X108" s="181"/>
    </row>
    <row r="109" spans="1:24" s="102" customFormat="1" ht="13.15">
      <c r="A109" s="355" t="str">
        <f>IF(B109="","",(IF(ISERROR(MATCH(B109,Tot_res!C:C,0)),"Eliminar!!!","")))</f>
        <v/>
      </c>
      <c r="B109" s="102" t="s">
        <v>1006</v>
      </c>
      <c r="C109" s="333" t="str">
        <f>VLOOKUP(B109,Tot_res!C:D,2,FALSE)</f>
        <v>Transferencias a Comunidades Autónomas por participación en ingresos del Estado</v>
      </c>
      <c r="D109" s="336">
        <f>Gasto_o_ing_per_capita!D109-Gasto_o_ing_per_capita!$D109</f>
        <v>0</v>
      </c>
      <c r="E109" s="336">
        <f>Gasto_o_ing_per_capita!E109-Gasto_o_ing_per_capita!$D109</f>
        <v>207.39081497071493</v>
      </c>
      <c r="F109" s="336">
        <f>Gasto_o_ing_per_capita!F109-Gasto_o_ing_per_capita!$D109</f>
        <v>-0.37165585484763142</v>
      </c>
      <c r="G109" s="336">
        <f>Gasto_o_ing_per_capita!G109-Gasto_o_ing_per_capita!$D109</f>
        <v>62.822394056481073</v>
      </c>
      <c r="H109" s="336">
        <f>Gasto_o_ing_per_capita!H109-Gasto_o_ing_per_capita!$D109</f>
        <v>47.092062372241287</v>
      </c>
      <c r="I109" s="336">
        <f>Gasto_o_ing_per_capita!I109-Gasto_o_ing_per_capita!$D109</f>
        <v>864.90568243124733</v>
      </c>
      <c r="J109" s="336">
        <f>Gasto_o_ing_per_capita!J109-Gasto_o_ing_per_capita!$D109</f>
        <v>434.93256741929747</v>
      </c>
      <c r="K109" s="336">
        <f>Gasto_o_ing_per_capita!K109-Gasto_o_ing_per_capita!$D109</f>
        <v>165.65978444355676</v>
      </c>
      <c r="L109" s="336">
        <f>Gasto_o_ing_per_capita!L109-Gasto_o_ing_per_capita!$D109</f>
        <v>190.49838699796851</v>
      </c>
      <c r="M109" s="336">
        <f>Gasto_o_ing_per_capita!M109-Gasto_o_ing_per_capita!$D109</f>
        <v>-240.06306368160219</v>
      </c>
      <c r="N109" s="336">
        <f>Gasto_o_ing_per_capita!N109-Gasto_o_ing_per_capita!$D109</f>
        <v>104.89924790193504</v>
      </c>
      <c r="O109" s="336">
        <f>Gasto_o_ing_per_capita!O109-Gasto_o_ing_per_capita!$D109</f>
        <v>641.85329999394696</v>
      </c>
      <c r="P109" s="336">
        <f>Gasto_o_ing_per_capita!P109-Gasto_o_ing_per_capita!$D109</f>
        <v>341.93727553648819</v>
      </c>
      <c r="Q109" s="336">
        <f>Gasto_o_ing_per_capita!Q109-Gasto_o_ing_per_capita!$D109</f>
        <v>-662.94219274647958</v>
      </c>
      <c r="R109" s="336">
        <f>Gasto_o_ing_per_capita!R109-Gasto_o_ing_per_capita!$D109</f>
        <v>102.34766509768303</v>
      </c>
      <c r="S109" s="336">
        <f>Gasto_o_ing_per_capita!S109-Gasto_o_ing_per_capita!$D109</f>
        <v>-421.40159161247095</v>
      </c>
      <c r="T109" s="336">
        <f>Gasto_o_ing_per_capita!T109-Gasto_o_ing_per_capita!$D109</f>
        <v>-421.40159161247095</v>
      </c>
      <c r="U109" s="336">
        <f>Gasto_o_ing_per_capita!U109-Gasto_o_ing_per_capita!$D109</f>
        <v>617.64127003653391</v>
      </c>
      <c r="V109" s="336">
        <f>Gasto_o_ing_per_capita!V109-Gasto_o_ing_per_capita!$D109</f>
        <v>27.932801016727012</v>
      </c>
      <c r="W109" s="122"/>
      <c r="X109" s="104"/>
    </row>
    <row r="110" spans="1:24" s="102" customFormat="1" ht="13.15">
      <c r="A110" s="355" t="str">
        <f>IF(B110="","",(IF(ISERROR(MATCH(B110,Tot_res!C:C,0)),"Eliminar!!!","")))</f>
        <v/>
      </c>
      <c r="B110" s="115" t="s">
        <v>208</v>
      </c>
      <c r="C110" s="333" t="str">
        <f>VLOOKUP(B110,Tot_res!C:D,2,FALSE)</f>
        <v>Transferencias al Estado por Fondos de Suficiencia negativos</v>
      </c>
      <c r="D110" s="336">
        <f>Gasto_o_ing_per_capita!D110-Gasto_o_ing_per_capita!$D110</f>
        <v>0</v>
      </c>
      <c r="E110" s="336">
        <f>Gasto_o_ing_per_capita!E110-Gasto_o_ing_per_capita!$D110</f>
        <v>62.125964882375634</v>
      </c>
      <c r="F110" s="336">
        <f>Gasto_o_ing_per_capita!F110-Gasto_o_ing_per_capita!$D110</f>
        <v>48.390841807199223</v>
      </c>
      <c r="G110" s="336">
        <f>Gasto_o_ing_per_capita!G110-Gasto_o_ing_per_capita!$D110</f>
        <v>55.740123568598605</v>
      </c>
      <c r="H110" s="336">
        <f>Gasto_o_ing_per_capita!H110-Gasto_o_ing_per_capita!$D110</f>
        <v>-513.41677391029145</v>
      </c>
      <c r="I110" s="336">
        <f>Gasto_o_ing_per_capita!I110-Gasto_o_ing_per_capita!$D110</f>
        <v>51.228174359534158</v>
      </c>
      <c r="J110" s="336">
        <f>Gasto_o_ing_per_capita!J110-Gasto_o_ing_per_capita!$D110</f>
        <v>71.742650056670229</v>
      </c>
      <c r="K110" s="336">
        <f>Gasto_o_ing_per_capita!K110-Gasto_o_ing_per_capita!$D110</f>
        <v>59.203527782300952</v>
      </c>
      <c r="L110" s="336">
        <f>Gasto_o_ing_per_capita!L110-Gasto_o_ing_per_capita!$D110</f>
        <v>71.742650056670229</v>
      </c>
      <c r="M110" s="336">
        <f>Gasto_o_ing_per_capita!M110-Gasto_o_ing_per_capita!$D110</f>
        <v>50.746019379703959</v>
      </c>
      <c r="N110" s="336">
        <f>Gasto_o_ing_per_capita!N110-Gasto_o_ing_per_capita!$D110</f>
        <v>-198.82080933058648</v>
      </c>
      <c r="O110" s="336">
        <f>Gasto_o_ing_per_capita!O110-Gasto_o_ing_per_capita!$D110</f>
        <v>60.550307419319957</v>
      </c>
      <c r="P110" s="336">
        <f>Gasto_o_ing_per_capita!P110-Gasto_o_ing_per_capita!$D110</f>
        <v>54.230564556904611</v>
      </c>
      <c r="Q110" s="336">
        <f>Gasto_o_ing_per_capita!Q110-Gasto_o_ing_per_capita!$D110</f>
        <v>-44.396923830292309</v>
      </c>
      <c r="R110" s="336">
        <f>Gasto_o_ing_per_capita!R110-Gasto_o_ing_per_capita!$D110</f>
        <v>-34.602828666933107</v>
      </c>
      <c r="S110" s="336">
        <f>Gasto_o_ing_per_capita!S110-Gasto_o_ing_per_capita!$D110</f>
        <v>71.742650056670229</v>
      </c>
      <c r="T110" s="336">
        <f>Gasto_o_ing_per_capita!T110-Gasto_o_ing_per_capita!$D110</f>
        <v>71.742650056670229</v>
      </c>
      <c r="U110" s="336">
        <f>Gasto_o_ing_per_capita!U110-Gasto_o_ing_per_capita!$D110</f>
        <v>13.085293681217635</v>
      </c>
      <c r="V110" s="336">
        <f>Gasto_o_ing_per_capita!V110-Gasto_o_ing_per_capita!$D110</f>
        <v>63.018281409851525</v>
      </c>
      <c r="W110" s="122"/>
      <c r="X110" s="104"/>
    </row>
    <row r="111" spans="1:24" s="102" customFormat="1" ht="13.15">
      <c r="A111" s="355" t="str">
        <f>IF(B111="","",(IF(ISERROR(MATCH(B111,Tot_res!C:C,0)),"Eliminar!!!","")))</f>
        <v/>
      </c>
      <c r="B111" s="115" t="s">
        <v>209</v>
      </c>
      <c r="C111" s="333" t="str">
        <f>VLOOKUP(B111,Tot_res!C:D,2,FALSE)</f>
        <v>Otros Flujos de financiación regional, en parte extrapresupuestarios</v>
      </c>
      <c r="D111" s="336">
        <f>Gasto_o_ing_per_capita!D111-Gasto_o_ing_per_capita!$D111</f>
        <v>0</v>
      </c>
      <c r="E111" s="336">
        <f>Gasto_o_ing_per_capita!E111-Gasto_o_ing_per_capita!$D111</f>
        <v>-19.288237779805591</v>
      </c>
      <c r="F111" s="336">
        <f>Gasto_o_ing_per_capita!F111-Gasto_o_ing_per_capita!$D111</f>
        <v>-14.852990762174052</v>
      </c>
      <c r="G111" s="336">
        <f>Gasto_o_ing_per_capita!G111-Gasto_o_ing_per_capita!$D111</f>
        <v>-18.388218178353661</v>
      </c>
      <c r="H111" s="336">
        <f>Gasto_o_ing_per_capita!H111-Gasto_o_ing_per_capita!$D111</f>
        <v>21.069793281141845</v>
      </c>
      <c r="I111" s="336">
        <f>Gasto_o_ing_per_capita!I111-Gasto_o_ing_per_capita!$D111</f>
        <v>-15.340538593972461</v>
      </c>
      <c r="J111" s="336">
        <f>Gasto_o_ing_per_capita!J111-Gasto_o_ing_per_capita!$D111</f>
        <v>-27.175222333984969</v>
      </c>
      <c r="K111" s="336">
        <f>Gasto_o_ing_per_capita!K111-Gasto_o_ing_per_capita!$D111</f>
        <v>-21.730122631790628</v>
      </c>
      <c r="L111" s="336">
        <f>Gasto_o_ing_per_capita!L111-Gasto_o_ing_per_capita!$D111</f>
        <v>-9.8645350724139504</v>
      </c>
      <c r="M111" s="336">
        <f>Gasto_o_ing_per_capita!M111-Gasto_o_ing_per_capita!$D111</f>
        <v>8.7541117338027234</v>
      </c>
      <c r="N111" s="336">
        <f>Gasto_o_ing_per_capita!N111-Gasto_o_ing_per_capita!$D111</f>
        <v>6.0037227127573587</v>
      </c>
      <c r="O111" s="336">
        <f>Gasto_o_ing_per_capita!O111-Gasto_o_ing_per_capita!$D111</f>
        <v>-37.861637369034035</v>
      </c>
      <c r="P111" s="336">
        <f>Gasto_o_ing_per_capita!P111-Gasto_o_ing_per_capita!$D111</f>
        <v>-24.92104511041358</v>
      </c>
      <c r="Q111" s="336">
        <f>Gasto_o_ing_per_capita!Q111-Gasto_o_ing_per_capita!$D111</f>
        <v>27.031788455870426</v>
      </c>
      <c r="R111" s="336">
        <f>Gasto_o_ing_per_capita!R111-Gasto_o_ing_per_capita!$D111</f>
        <v>0.49644849051044559</v>
      </c>
      <c r="S111" s="336">
        <f>Gasto_o_ing_per_capita!S111-Gasto_o_ing_per_capita!$D111</f>
        <v>49.835634067809458</v>
      </c>
      <c r="T111" s="336">
        <f>Gasto_o_ing_per_capita!T111-Gasto_o_ing_per_capita!$D111</f>
        <v>49.835634067809458</v>
      </c>
      <c r="U111" s="336">
        <f>Gasto_o_ing_per_capita!U111-Gasto_o_ing_per_capita!$D111</f>
        <v>-25.052229039787882</v>
      </c>
      <c r="V111" s="336">
        <f>Gasto_o_ing_per_capita!V111-Gasto_o_ing_per_capita!$D111</f>
        <v>42.880151174153077</v>
      </c>
      <c r="W111" s="122"/>
      <c r="X111" s="104"/>
    </row>
    <row r="112" spans="1:24" s="102" customFormat="1" ht="13.15">
      <c r="A112" s="355" t="str">
        <f>IF(B112="","",(IF(ISERROR(MATCH(B112,Tot_res!C:C,0)),"Eliminar!!!","")))</f>
        <v/>
      </c>
      <c r="B112" s="115" t="s">
        <v>959</v>
      </c>
      <c r="C112" s="333" t="str">
        <f>VLOOKUP(B112,Tot_res!C:D,2,FALSE)</f>
        <v>Participación CCAARC en IRPF, sin ejercicio de la capacidad normativa</v>
      </c>
      <c r="D112" s="336">
        <f>Gasto_o_ing_per_capita!D112-Gasto_o_ing_per_capita!$D112</f>
        <v>0</v>
      </c>
      <c r="E112" s="336">
        <f>Gasto_o_ing_per_capita!E112-Gasto_o_ing_per_capita!$D112</f>
        <v>-217.16807081845769</v>
      </c>
      <c r="F112" s="336">
        <f>Gasto_o_ing_per_capita!F112-Gasto_o_ing_per_capita!$D112</f>
        <v>102.15476964800416</v>
      </c>
      <c r="G112" s="336">
        <f>Gasto_o_ing_per_capita!G112-Gasto_o_ing_per_capita!$D112</f>
        <v>123.34818330341261</v>
      </c>
      <c r="H112" s="336">
        <f>Gasto_o_ing_per_capita!H112-Gasto_o_ing_per_capita!$D112</f>
        <v>-27.723365722738208</v>
      </c>
      <c r="I112" s="336">
        <f>Gasto_o_ing_per_capita!I112-Gasto_o_ing_per_capita!$D112</f>
        <v>-188.18202137803183</v>
      </c>
      <c r="J112" s="336">
        <f>Gasto_o_ing_per_capita!J112-Gasto_o_ing_per_capita!$D112</f>
        <v>68.759505277009225</v>
      </c>
      <c r="K112" s="336">
        <f>Gasto_o_ing_per_capita!K112-Gasto_o_ing_per_capita!$D112</f>
        <v>17.096043812329413</v>
      </c>
      <c r="L112" s="336">
        <f>Gasto_o_ing_per_capita!L112-Gasto_o_ing_per_capita!$D112</f>
        <v>-161.49427903136313</v>
      </c>
      <c r="M112" s="336">
        <f>Gasto_o_ing_per_capita!M112-Gasto_o_ing_per_capita!$D112</f>
        <v>247.52503373030231</v>
      </c>
      <c r="N112" s="336">
        <f>Gasto_o_ing_per_capita!N112-Gasto_o_ing_per_capita!$D112</f>
        <v>-125.7791889174265</v>
      </c>
      <c r="O112" s="336">
        <f>Gasto_o_ing_per_capita!O112-Gasto_o_ing_per_capita!$D112</f>
        <v>-237.26122368970653</v>
      </c>
      <c r="P112" s="336">
        <f>Gasto_o_ing_per_capita!P112-Gasto_o_ing_per_capita!$D112</f>
        <v>-41.024328066416842</v>
      </c>
      <c r="Q112" s="336">
        <f>Gasto_o_ing_per_capita!Q112-Gasto_o_ing_per_capita!$D112</f>
        <v>577.66810675977229</v>
      </c>
      <c r="R112" s="336">
        <f>Gasto_o_ing_per_capita!R112-Gasto_o_ing_per_capita!$D112</f>
        <v>-193.48935432967482</v>
      </c>
      <c r="S112" s="336">
        <f>Gasto_o_ing_per_capita!S112-Gasto_o_ing_per_capita!$D112</f>
        <v>-686.78045187325631</v>
      </c>
      <c r="T112" s="336">
        <f>Gasto_o_ing_per_capita!T112-Gasto_o_ing_per_capita!$D112</f>
        <v>-686.78045187325631</v>
      </c>
      <c r="U112" s="336">
        <f>Gasto_o_ing_per_capita!U112-Gasto_o_ing_per_capita!$D112</f>
        <v>-18.816160821492531</v>
      </c>
      <c r="V112" s="336">
        <f>Gasto_o_ing_per_capita!V112-Gasto_o_ing_per_capita!$D112</f>
        <v>-686.78045187325631</v>
      </c>
      <c r="W112" s="122"/>
      <c r="X112" s="104"/>
    </row>
    <row r="113" spans="1:24" s="102" customFormat="1" ht="13.15">
      <c r="A113" s="355" t="str">
        <f>IF(B113="","",(IF(ISERROR(MATCH(B113,Tot_res!C:C,0)),"Eliminar!!!","")))</f>
        <v/>
      </c>
      <c r="B113" s="115" t="s">
        <v>210</v>
      </c>
      <c r="C113" s="333" t="str">
        <f>VLOOKUP(B113,Tot_res!C:D,2,FALSE)</f>
        <v>Participación CCAARC en el IVA</v>
      </c>
      <c r="D113" s="336">
        <f>Gasto_o_ing_per_capita!D113-Gasto_o_ing_per_capita!$D113</f>
        <v>0</v>
      </c>
      <c r="E113" s="336">
        <f>Gasto_o_ing_per_capita!E113-Gasto_o_ing_per_capita!$D113</f>
        <v>-3.7261927505693393</v>
      </c>
      <c r="F113" s="336">
        <f>Gasto_o_ing_per_capita!F113-Gasto_o_ing_per_capita!$D113</f>
        <v>126.11787166308829</v>
      </c>
      <c r="G113" s="336">
        <f>Gasto_o_ing_per_capita!G113-Gasto_o_ing_per_capita!$D113</f>
        <v>102.62547628310426</v>
      </c>
      <c r="H113" s="336">
        <f>Gasto_o_ing_per_capita!H113-Gasto_o_ing_per_capita!$D113</f>
        <v>366.27583918197286</v>
      </c>
      <c r="I113" s="336">
        <f>Gasto_o_ing_per_capita!I113-Gasto_o_ing_per_capita!$D113</f>
        <v>-584.58272533564138</v>
      </c>
      <c r="J113" s="336">
        <f>Gasto_o_ing_per_capita!J113-Gasto_o_ing_per_capita!$D113</f>
        <v>106.21156949792692</v>
      </c>
      <c r="K113" s="336">
        <f>Gasto_o_ing_per_capita!K113-Gasto_o_ing_per_capita!$D113</f>
        <v>97.899713670752817</v>
      </c>
      <c r="L113" s="336">
        <f>Gasto_o_ing_per_capita!L113-Gasto_o_ing_per_capita!$D113</f>
        <v>19.738688461677839</v>
      </c>
      <c r="M113" s="336">
        <f>Gasto_o_ing_per_capita!M113-Gasto_o_ing_per_capita!$D113</f>
        <v>129.07746348572164</v>
      </c>
      <c r="N113" s="336">
        <f>Gasto_o_ing_per_capita!N113-Gasto_o_ing_per_capita!$D113</f>
        <v>42.169993577012974</v>
      </c>
      <c r="O113" s="336">
        <f>Gasto_o_ing_per_capita!O113-Gasto_o_ing_per_capita!$D113</f>
        <v>-17.240614388098379</v>
      </c>
      <c r="P113" s="336">
        <f>Gasto_o_ing_per_capita!P113-Gasto_o_ing_per_capita!$D113</f>
        <v>70.319707916967445</v>
      </c>
      <c r="Q113" s="336">
        <f>Gasto_o_ing_per_capita!Q113-Gasto_o_ing_per_capita!$D113</f>
        <v>95.585806055616104</v>
      </c>
      <c r="R113" s="336">
        <f>Gasto_o_ing_per_capita!R113-Gasto_o_ing_per_capita!$D113</f>
        <v>-11.087157145587071</v>
      </c>
      <c r="S113" s="336">
        <f>Gasto_o_ing_per_capita!S113-Gasto_o_ing_per_capita!$D113</f>
        <v>-584.58272533564138</v>
      </c>
      <c r="T113" s="336">
        <f>Gasto_o_ing_per_capita!T113-Gasto_o_ing_per_capita!$D113</f>
        <v>-584.58272533564138</v>
      </c>
      <c r="U113" s="336">
        <f>Gasto_o_ing_per_capita!U113-Gasto_o_ing_per_capita!$D113</f>
        <v>74.979228959718057</v>
      </c>
      <c r="V113" s="336">
        <f>Gasto_o_ing_per_capita!V113-Gasto_o_ing_per_capita!$D113</f>
        <v>-584.58272533564138</v>
      </c>
      <c r="W113" s="122"/>
      <c r="X113" s="104"/>
    </row>
    <row r="114" spans="1:24" s="102" customFormat="1" ht="13.15">
      <c r="A114" s="355" t="str">
        <f>IF(B114="","",(IF(ISERROR(MATCH(B114,Tot_res!C:C,0)),"Eliminar!!!","")))</f>
        <v/>
      </c>
      <c r="B114" s="115" t="s">
        <v>1117</v>
      </c>
      <c r="C114" s="333" t="str">
        <f>VLOOKUP(B114,Tot_res!C:D,2,FALSE)</f>
        <v>Participación de las CCAARC en los impuestos especiales (excluyendo electricidad), sin ejercicio de la capacidad normativa en el IH</v>
      </c>
      <c r="D114" s="336">
        <f>Gasto_o_ing_per_capita!D114-Gasto_o_ing_per_capita!$D114</f>
        <v>0</v>
      </c>
      <c r="E114" s="336">
        <f>Gasto_o_ing_per_capita!E114-Gasto_o_ing_per_capita!$D114</f>
        <v>-11.899481039010084</v>
      </c>
      <c r="F114" s="336">
        <f>Gasto_o_ing_per_capita!F114-Gasto_o_ing_per_capita!$D114</f>
        <v>80.566024616533184</v>
      </c>
      <c r="G114" s="336">
        <f>Gasto_o_ing_per_capita!G114-Gasto_o_ing_per_capita!$D114</f>
        <v>18.387604680809403</v>
      </c>
      <c r="H114" s="336">
        <f>Gasto_o_ing_per_capita!H114-Gasto_o_ing_per_capita!$D114</f>
        <v>66.971598815521872</v>
      </c>
      <c r="I114" s="336">
        <f>Gasto_o_ing_per_capita!I114-Gasto_o_ing_per_capita!$D114</f>
        <v>-199.632860196704</v>
      </c>
      <c r="J114" s="336">
        <f>Gasto_o_ing_per_capita!J114-Gasto_o_ing_per_capita!$D114</f>
        <v>62.576185830285681</v>
      </c>
      <c r="K114" s="336">
        <f>Gasto_o_ing_per_capita!K114-Gasto_o_ing_per_capita!$D114</f>
        <v>113.7256225076174</v>
      </c>
      <c r="L114" s="336">
        <f>Gasto_o_ing_per_capita!L114-Gasto_o_ing_per_capita!$D114</f>
        <v>70.513603548595086</v>
      </c>
      <c r="M114" s="336">
        <f>Gasto_o_ing_per_capita!M114-Gasto_o_ing_per_capita!$D114</f>
        <v>38.829515996043938</v>
      </c>
      <c r="N114" s="336">
        <f>Gasto_o_ing_per_capita!N114-Gasto_o_ing_per_capita!$D114</f>
        <v>16.071655512506027</v>
      </c>
      <c r="O114" s="336">
        <f>Gasto_o_ing_per_capita!O114-Gasto_o_ing_per_capita!$D114</f>
        <v>58.183396594978262</v>
      </c>
      <c r="P114" s="336">
        <f>Gasto_o_ing_per_capita!P114-Gasto_o_ing_per_capita!$D114</f>
        <v>31.71464040222773</v>
      </c>
      <c r="Q114" s="336">
        <f>Gasto_o_ing_per_capita!Q114-Gasto_o_ing_per_capita!$D114</f>
        <v>-19.607294624517323</v>
      </c>
      <c r="R114" s="336">
        <f>Gasto_o_ing_per_capita!R114-Gasto_o_ing_per_capita!$D114</f>
        <v>55.568103941280754</v>
      </c>
      <c r="S114" s="336">
        <f>Gasto_o_ing_per_capita!S114-Gasto_o_ing_per_capita!$D114</f>
        <v>-212.67310602160632</v>
      </c>
      <c r="T114" s="336">
        <f>Gasto_o_ing_per_capita!T114-Gasto_o_ing_per_capita!$D114</f>
        <v>-212.67310602160632</v>
      </c>
      <c r="U114" s="336">
        <f>Gasto_o_ing_per_capita!U114-Gasto_o_ing_per_capita!$D114</f>
        <v>28.383414042228537</v>
      </c>
      <c r="V114" s="336">
        <f>Gasto_o_ing_per_capita!V114-Gasto_o_ing_per_capita!$D114</f>
        <v>-212.67310602160632</v>
      </c>
      <c r="W114" s="122"/>
      <c r="X114" s="104"/>
    </row>
    <row r="115" spans="1:24" s="102" customFormat="1" ht="13.15">
      <c r="A115" s="355" t="str">
        <f>IF(B115="","",(IF(ISERROR(MATCH(B115,Tot_res!C:C,0)),"Eliminar!!!","")))</f>
        <v/>
      </c>
      <c r="B115" s="115" t="s">
        <v>211</v>
      </c>
      <c r="C115" s="333" t="str">
        <f>VLOOKUP(B115,Tot_res!C:D,2,FALSE)</f>
        <v>Participación de las CCAARC en el impuesto sobre la electricidad</v>
      </c>
      <c r="D115" s="336">
        <f>Gasto_o_ing_per_capita!D115-Gasto_o_ing_per_capita!$D115</f>
        <v>0</v>
      </c>
      <c r="E115" s="336">
        <f>Gasto_o_ing_per_capita!E115-Gasto_o_ing_per_capita!$D115</f>
        <v>-3.8883567946078657</v>
      </c>
      <c r="F115" s="336">
        <f>Gasto_o_ing_per_capita!F115-Gasto_o_ing_per_capita!$D115</f>
        <v>20.051458745989684</v>
      </c>
      <c r="G115" s="336">
        <f>Gasto_o_ing_per_capita!G115-Gasto_o_ing_per_capita!$D115</f>
        <v>28.485510589198121</v>
      </c>
      <c r="H115" s="336">
        <f>Gasto_o_ing_per_capita!H115-Gasto_o_ing_per_capita!$D115</f>
        <v>-0.23137464584262801</v>
      </c>
      <c r="I115" s="336">
        <f>Gasto_o_ing_per_capita!I115-Gasto_o_ing_per_capita!$D115</f>
        <v>-7.9894856369299916</v>
      </c>
      <c r="J115" s="336">
        <f>Gasto_o_ing_per_capita!J115-Gasto_o_ing_per_capita!$D115</f>
        <v>15.318225425366187</v>
      </c>
      <c r="K115" s="336">
        <f>Gasto_o_ing_per_capita!K115-Gasto_o_ing_per_capita!$D115</f>
        <v>1.7736096488904494</v>
      </c>
      <c r="L115" s="336">
        <f>Gasto_o_ing_per_capita!L115-Gasto_o_ing_per_capita!$D115</f>
        <v>4.4211928250391566</v>
      </c>
      <c r="M115" s="336">
        <f>Gasto_o_ing_per_capita!M115-Gasto_o_ing_per_capita!$D115</f>
        <v>6.1668109053558169</v>
      </c>
      <c r="N115" s="336">
        <f>Gasto_o_ing_per_capita!N115-Gasto_o_ing_per_capita!$D115</f>
        <v>-0.35432993792493761</v>
      </c>
      <c r="O115" s="336">
        <f>Gasto_o_ing_per_capita!O115-Gasto_o_ing_per_capita!$D115</f>
        <v>-2.5394049389894136</v>
      </c>
      <c r="P115" s="336">
        <f>Gasto_o_ing_per_capita!P115-Gasto_o_ing_per_capita!$D115</f>
        <v>11.167255257379217</v>
      </c>
      <c r="Q115" s="336">
        <f>Gasto_o_ing_per_capita!Q115-Gasto_o_ing_per_capita!$D115</f>
        <v>-2.1222641918952974</v>
      </c>
      <c r="R115" s="336">
        <f>Gasto_o_ing_per_capita!R115-Gasto_o_ing_per_capita!$D115</f>
        <v>1.1295520896806046</v>
      </c>
      <c r="S115" s="336">
        <f>Gasto_o_ing_per_capita!S115-Gasto_o_ing_per_capita!$D115</f>
        <v>-30.234977165981533</v>
      </c>
      <c r="T115" s="336">
        <f>Gasto_o_ing_per_capita!T115-Gasto_o_ing_per_capita!$D115</f>
        <v>-30.234977165981533</v>
      </c>
      <c r="U115" s="336">
        <f>Gasto_o_ing_per_capita!U115-Gasto_o_ing_per_capita!$D115</f>
        <v>0.54581434267095474</v>
      </c>
      <c r="V115" s="336">
        <f>Gasto_o_ing_per_capita!V115-Gasto_o_ing_per_capita!$D115</f>
        <v>-30.234977165981533</v>
      </c>
      <c r="W115" s="122"/>
      <c r="X115" s="104"/>
    </row>
    <row r="116" spans="1:24" s="102" customFormat="1" ht="13.15">
      <c r="A116" s="355" t="str">
        <f>IF(B116="","",(IF(ISERROR(MATCH(B116,Tot_res!C:C,0)),"Eliminar!!!","")))</f>
        <v/>
      </c>
      <c r="B116" s="115" t="s">
        <v>960</v>
      </c>
      <c r="C116" s="333" t="str">
        <f>VLOOKUP(B116,Tot_res!C:D,2,FALSE)</f>
        <v>Sucesiones y donaciones, ingresos homogeneizados de las CCAARC</v>
      </c>
      <c r="D116" s="336">
        <f>Gasto_o_ing_per_capita!D116-Gasto_o_ing_per_capita!$D116</f>
        <v>0</v>
      </c>
      <c r="E116" s="336">
        <f>Gasto_o_ing_per_capita!E116-Gasto_o_ing_per_capita!$D116</f>
        <v>-16.410893209945264</v>
      </c>
      <c r="F116" s="336">
        <f>Gasto_o_ing_per_capita!F116-Gasto_o_ing_per_capita!$D116</f>
        <v>25.30640308954726</v>
      </c>
      <c r="G116" s="336">
        <f>Gasto_o_ing_per_capita!G116-Gasto_o_ing_per_capita!$D116</f>
        <v>24.438791838511577</v>
      </c>
      <c r="H116" s="336">
        <f>Gasto_o_ing_per_capita!H116-Gasto_o_ing_per_capita!$D116</f>
        <v>-5.9756326675139277</v>
      </c>
      <c r="I116" s="336">
        <f>Gasto_o_ing_per_capita!I116-Gasto_o_ing_per_capita!$D116</f>
        <v>-19.137519201754145</v>
      </c>
      <c r="J116" s="336">
        <f>Gasto_o_ing_per_capita!J116-Gasto_o_ing_per_capita!$D116</f>
        <v>28.444177530293743</v>
      </c>
      <c r="K116" s="336">
        <f>Gasto_o_ing_per_capita!K116-Gasto_o_ing_per_capita!$D116</f>
        <v>18.026486750099942</v>
      </c>
      <c r="L116" s="336">
        <f>Gasto_o_ing_per_capita!L116-Gasto_o_ing_per_capita!$D116</f>
        <v>-11.647932765475453</v>
      </c>
      <c r="M116" s="336">
        <f>Gasto_o_ing_per_capita!M116-Gasto_o_ing_per_capita!$D116</f>
        <v>11.825465516072811</v>
      </c>
      <c r="N116" s="336">
        <f>Gasto_o_ing_per_capita!N116-Gasto_o_ing_per_capita!$D116</f>
        <v>-0.86507487096478997</v>
      </c>
      <c r="O116" s="336">
        <f>Gasto_o_ing_per_capita!O116-Gasto_o_ing_per_capita!$D116</f>
        <v>-11.204157094494292</v>
      </c>
      <c r="P116" s="336">
        <f>Gasto_o_ing_per_capita!P116-Gasto_o_ing_per_capita!$D116</f>
        <v>18.912657323410414</v>
      </c>
      <c r="Q116" s="336">
        <f>Gasto_o_ing_per_capita!Q116-Gasto_o_ing_per_capita!$D116</f>
        <v>18.126545578843078</v>
      </c>
      <c r="R116" s="336">
        <f>Gasto_o_ing_per_capita!R116-Gasto_o_ing_per_capita!$D116</f>
        <v>-16.723072359879975</v>
      </c>
      <c r="S116" s="336">
        <f>Gasto_o_ing_per_capita!S116-Gasto_o_ing_per_capita!$D116</f>
        <v>-45.214368253994479</v>
      </c>
      <c r="T116" s="336">
        <f>Gasto_o_ing_per_capita!T116-Gasto_o_ing_per_capita!$D116</f>
        <v>-45.214368253994479</v>
      </c>
      <c r="U116" s="336">
        <f>Gasto_o_ing_per_capita!U116-Gasto_o_ing_per_capita!$D116</f>
        <v>19.090581073609087</v>
      </c>
      <c r="V116" s="336">
        <f>Gasto_o_ing_per_capita!V116-Gasto_o_ing_per_capita!$D116</f>
        <v>-45.214368253994479</v>
      </c>
      <c r="W116" s="122"/>
      <c r="X116" s="104"/>
    </row>
    <row r="117" spans="1:24" s="102" customFormat="1" ht="13.15">
      <c r="A117" s="355" t="str">
        <f>IF(B117="","",(IF(ISERROR(MATCH(B117,Tot_res!C:C,0)),"Eliminar!!!","")))</f>
        <v/>
      </c>
      <c r="B117" s="115" t="s">
        <v>961</v>
      </c>
      <c r="C117" s="333" t="str">
        <f>VLOOKUP(B117,Tot_res!C:D,2,FALSE)</f>
        <v>ITP y AJD, ingresos homogeneizados de las CCAARC</v>
      </c>
      <c r="D117" s="336">
        <f>Gasto_o_ing_per_capita!D117-Gasto_o_ing_per_capita!$D117</f>
        <v>0</v>
      </c>
      <c r="E117" s="336">
        <f>Gasto_o_ing_per_capita!E117-Gasto_o_ing_per_capita!$D117</f>
        <v>9.2790240519674825</v>
      </c>
      <c r="F117" s="336">
        <f>Gasto_o_ing_per_capita!F117-Gasto_o_ing_per_capita!$D117</f>
        <v>-14.110878137220425</v>
      </c>
      <c r="G117" s="336">
        <f>Gasto_o_ing_per_capita!G117-Gasto_o_ing_per_capita!$D117</f>
        <v>-36.729827176919272</v>
      </c>
      <c r="H117" s="336">
        <f>Gasto_o_ing_per_capita!H117-Gasto_o_ing_per_capita!$D117</f>
        <v>136.40204689765531</v>
      </c>
      <c r="I117" s="336">
        <f>Gasto_o_ing_per_capita!I117-Gasto_o_ing_per_capita!$D117</f>
        <v>-2.7931568899672641</v>
      </c>
      <c r="J117" s="336">
        <f>Gasto_o_ing_per_capita!J117-Gasto_o_ing_per_capita!$D117</f>
        <v>4.0526190435941629</v>
      </c>
      <c r="K117" s="336">
        <f>Gasto_o_ing_per_capita!K117-Gasto_o_ing_per_capita!$D117</f>
        <v>-23.41995142874616</v>
      </c>
      <c r="L117" s="336">
        <f>Gasto_o_ing_per_capita!L117-Gasto_o_ing_per_capita!$D117</f>
        <v>6.8822117145607109</v>
      </c>
      <c r="M117" s="336">
        <f>Gasto_o_ing_per_capita!M117-Gasto_o_ing_per_capita!$D117</f>
        <v>17.072019603575512</v>
      </c>
      <c r="N117" s="336">
        <f>Gasto_o_ing_per_capita!N117-Gasto_o_ing_per_capita!$D117</f>
        <v>20.943719185164113</v>
      </c>
      <c r="O117" s="336">
        <f>Gasto_o_ing_per_capita!O117-Gasto_o_ing_per_capita!$D117</f>
        <v>-42.316293931083301</v>
      </c>
      <c r="P117" s="336">
        <f>Gasto_o_ing_per_capita!P117-Gasto_o_ing_per_capita!$D117</f>
        <v>-40.538543052851828</v>
      </c>
      <c r="Q117" s="336">
        <f>Gasto_o_ing_per_capita!Q117-Gasto_o_ing_per_capita!$D117</f>
        <v>17.623104510524669</v>
      </c>
      <c r="R117" s="336">
        <f>Gasto_o_ing_per_capita!R117-Gasto_o_ing_per_capita!$D117</f>
        <v>7.9470529232111176E-2</v>
      </c>
      <c r="S117" s="336">
        <f>Gasto_o_ing_per_capita!S117-Gasto_o_ing_per_capita!$D117</f>
        <v>-104.32709607262632</v>
      </c>
      <c r="T117" s="336">
        <f>Gasto_o_ing_per_capita!T117-Gasto_o_ing_per_capita!$D117</f>
        <v>-104.32709607262632</v>
      </c>
      <c r="U117" s="336">
        <f>Gasto_o_ing_per_capita!U117-Gasto_o_ing_per_capita!$D117</f>
        <v>-2.1538714603232734</v>
      </c>
      <c r="V117" s="336">
        <f>Gasto_o_ing_per_capita!V117-Gasto_o_ing_per_capita!$D117</f>
        <v>-104.32709607262632</v>
      </c>
      <c r="W117" s="122"/>
      <c r="X117" s="104"/>
    </row>
    <row r="118" spans="1:24" s="102" customFormat="1" ht="13.15">
      <c r="A118" s="355" t="str">
        <f>IF(B118="","",(IF(ISERROR(MATCH(B118,Tot_res!C:C,0)),"Eliminar!!!","")))</f>
        <v/>
      </c>
      <c r="B118" s="115" t="s">
        <v>962</v>
      </c>
      <c r="C118" s="333" t="str">
        <f>VLOOKUP(B118,Tot_res!C:D,2,FALSE)</f>
        <v>Tasas sobre el juego, ingresos homogeneizados de las CCAARC</v>
      </c>
      <c r="D118" s="336">
        <f>Gasto_o_ing_per_capita!D118-Gasto_o_ing_per_capita!$D118</f>
        <v>0</v>
      </c>
      <c r="E118" s="336">
        <f>Gasto_o_ing_per_capita!E118-Gasto_o_ing_per_capita!$D118</f>
        <v>-3.7233457080252776</v>
      </c>
      <c r="F118" s="336">
        <f>Gasto_o_ing_per_capita!F118-Gasto_o_ing_per_capita!$D118</f>
        <v>-0.14405403160175467</v>
      </c>
      <c r="G118" s="336">
        <f>Gasto_o_ing_per_capita!G118-Gasto_o_ing_per_capita!$D118</f>
        <v>-2.100718461593285</v>
      </c>
      <c r="H118" s="336">
        <f>Gasto_o_ing_per_capita!H118-Gasto_o_ing_per_capita!$D118</f>
        <v>12.499710204170363</v>
      </c>
      <c r="I118" s="336">
        <f>Gasto_o_ing_per_capita!I118-Gasto_o_ing_per_capita!$D118</f>
        <v>-3.5970626219446764</v>
      </c>
      <c r="J118" s="336">
        <f>Gasto_o_ing_per_capita!J118-Gasto_o_ing_per_capita!$D118</f>
        <v>1.8144110743937709</v>
      </c>
      <c r="K118" s="336">
        <f>Gasto_o_ing_per_capita!K118-Gasto_o_ing_per_capita!$D118</f>
        <v>2.7493085547988763</v>
      </c>
      <c r="L118" s="336">
        <f>Gasto_o_ing_per_capita!L118-Gasto_o_ing_per_capita!$D118</f>
        <v>-1.3064922983234304</v>
      </c>
      <c r="M118" s="336">
        <f>Gasto_o_ing_per_capita!M118-Gasto_o_ing_per_capita!$D118</f>
        <v>-2.5764521885065932</v>
      </c>
      <c r="N118" s="336">
        <f>Gasto_o_ing_per_capita!N118-Gasto_o_ing_per_capita!$D118</f>
        <v>6.3184398799431847</v>
      </c>
      <c r="O118" s="336">
        <f>Gasto_o_ing_per_capita!O118-Gasto_o_ing_per_capita!$D118</f>
        <v>-5.4074534470362892</v>
      </c>
      <c r="P118" s="336">
        <f>Gasto_o_ing_per_capita!P118-Gasto_o_ing_per_capita!$D118</f>
        <v>-3.9020361226450753</v>
      </c>
      <c r="Q118" s="336">
        <f>Gasto_o_ing_per_capita!Q118-Gasto_o_ing_per_capita!$D118</f>
        <v>16.186069743702987</v>
      </c>
      <c r="R118" s="336">
        <f>Gasto_o_ing_per_capita!R118-Gasto_o_ing_per_capita!$D118</f>
        <v>-6.716962371662289</v>
      </c>
      <c r="S118" s="336">
        <f>Gasto_o_ing_per_capita!S118-Gasto_o_ing_per_capita!$D118</f>
        <v>-22.131769157523607</v>
      </c>
      <c r="T118" s="336">
        <f>Gasto_o_ing_per_capita!T118-Gasto_o_ing_per_capita!$D118</f>
        <v>-22.131769157523607</v>
      </c>
      <c r="U118" s="336">
        <f>Gasto_o_ing_per_capita!U118-Gasto_o_ing_per_capita!$D118</f>
        <v>-6.3437893771358684</v>
      </c>
      <c r="V118" s="336">
        <f>Gasto_o_ing_per_capita!V118-Gasto_o_ing_per_capita!$D118</f>
        <v>-22.131769157523607</v>
      </c>
      <c r="W118" s="122"/>
      <c r="X118" s="104"/>
    </row>
    <row r="119" spans="1:24" s="102" customFormat="1" ht="13.15">
      <c r="A119" s="355" t="str">
        <f>IF(B119="","",(IF(ISERROR(MATCH(B119,Tot_res!C:C,0)),"Eliminar!!!","")))</f>
        <v/>
      </c>
      <c r="B119" s="115" t="s">
        <v>963</v>
      </c>
      <c r="C119" s="333" t="str">
        <f>VLOOKUP(B119,Tot_res!C:D,2,FALSE)</f>
        <v>Impuesto sobre la venta minorista de hidrocarburos (IVMH),  sin ejercicio capacidad normativa</v>
      </c>
      <c r="D119" s="336">
        <f>Gasto_o_ing_per_capita!D119-Gasto_o_ing_per_capita!$D119</f>
        <v>0</v>
      </c>
      <c r="E119" s="336">
        <f>Gasto_o_ing_per_capita!E119-Gasto_o_ing_per_capita!$D119</f>
        <v>-0.19105622616134843</v>
      </c>
      <c r="F119" s="336">
        <f>Gasto_o_ing_per_capita!F119-Gasto_o_ing_per_capita!$D119</f>
        <v>2.5871683378867512</v>
      </c>
      <c r="G119" s="336">
        <f>Gasto_o_ing_per_capita!G119-Gasto_o_ing_per_capita!$D119</f>
        <v>0.38453009202926181</v>
      </c>
      <c r="H119" s="336">
        <f>Gasto_o_ing_per_capita!H119-Gasto_o_ing_per_capita!$D119</f>
        <v>-0.35111583520361211</v>
      </c>
      <c r="I119" s="336">
        <f>Gasto_o_ing_per_capita!I119-Gasto_o_ing_per_capita!$D119</f>
        <v>-3.8199544874457518</v>
      </c>
      <c r="J119" s="336">
        <f>Gasto_o_ing_per_capita!J119-Gasto_o_ing_per_capita!$D119</f>
        <v>0.98469489453408121</v>
      </c>
      <c r="K119" s="336">
        <f>Gasto_o_ing_per_capita!K119-Gasto_o_ing_per_capita!$D119</f>
        <v>2.1575734231923467</v>
      </c>
      <c r="L119" s="336">
        <f>Gasto_o_ing_per_capita!L119-Gasto_o_ing_per_capita!$D119</f>
        <v>1.7787079711717886</v>
      </c>
      <c r="M119" s="336">
        <f>Gasto_o_ing_per_capita!M119-Gasto_o_ing_per_capita!$D119</f>
        <v>0.31932702644243927</v>
      </c>
      <c r="N119" s="336">
        <f>Gasto_o_ing_per_capita!N119-Gasto_o_ing_per_capita!$D119</f>
        <v>4.3936962992492834E-2</v>
      </c>
      <c r="O119" s="336">
        <f>Gasto_o_ing_per_capita!O119-Gasto_o_ing_per_capita!$D119</f>
        <v>1.2024630080026797</v>
      </c>
      <c r="P119" s="336">
        <f>Gasto_o_ing_per_capita!P119-Gasto_o_ing_per_capita!$D119</f>
        <v>1.209564238634941</v>
      </c>
      <c r="Q119" s="336">
        <f>Gasto_o_ing_per_capita!Q119-Gasto_o_ing_per_capita!$D119</f>
        <v>-0.23906087910270335</v>
      </c>
      <c r="R119" s="336">
        <f>Gasto_o_ing_per_capita!R119-Gasto_o_ing_per_capita!$D119</f>
        <v>1.2169798141065127</v>
      </c>
      <c r="S119" s="336">
        <f>Gasto_o_ing_per_capita!S119-Gasto_o_ing_per_capita!$D119</f>
        <v>-3.8199544874457518</v>
      </c>
      <c r="T119" s="336">
        <f>Gasto_o_ing_per_capita!T119-Gasto_o_ing_per_capita!$D119</f>
        <v>-3.8199544874457518</v>
      </c>
      <c r="U119" s="336">
        <f>Gasto_o_ing_per_capita!U119-Gasto_o_ing_per_capita!$D119</f>
        <v>1.3312009204999105</v>
      </c>
      <c r="V119" s="336">
        <f>Gasto_o_ing_per_capita!V119-Gasto_o_ing_per_capita!$D119</f>
        <v>-3.8199544874457518</v>
      </c>
      <c r="W119" s="122"/>
      <c r="X119" s="104"/>
    </row>
    <row r="120" spans="1:24" s="102" customFormat="1" ht="13.15">
      <c r="A120" s="355" t="str">
        <f>IF(B120="","",(IF(ISERROR(MATCH(B120,Tot_res!C:C,0)),"Eliminar!!!","")))</f>
        <v/>
      </c>
      <c r="B120" s="115" t="s">
        <v>964</v>
      </c>
      <c r="C120" s="333" t="str">
        <f>VLOOKUP(B120,Tot_res!C:D,2,FALSE)</f>
        <v>Impuesto de matriculación, ingresos de las CCAARC sin ej cap normativa</v>
      </c>
      <c r="D120" s="336">
        <f>Gasto_o_ing_per_capita!D120-Gasto_o_ing_per_capita!$D120</f>
        <v>0</v>
      </c>
      <c r="E120" s="336">
        <f>Gasto_o_ing_per_capita!E120-Gasto_o_ing_per_capita!$D120</f>
        <v>-2.4784281875819012</v>
      </c>
      <c r="F120" s="336">
        <f>Gasto_o_ing_per_capita!F120-Gasto_o_ing_per_capita!$D120</f>
        <v>-2.0300915256784089</v>
      </c>
      <c r="G120" s="336">
        <f>Gasto_o_ing_per_capita!G120-Gasto_o_ing_per_capita!$D120</f>
        <v>-1.8443369627026227</v>
      </c>
      <c r="H120" s="336">
        <f>Gasto_o_ing_per_capita!H120-Gasto_o_ing_per_capita!$D120</f>
        <v>5.8061876053069312</v>
      </c>
      <c r="I120" s="336">
        <f>Gasto_o_ing_per_capita!I120-Gasto_o_ing_per_capita!$D120</f>
        <v>-6.2894407951921849</v>
      </c>
      <c r="J120" s="336">
        <f>Gasto_o_ing_per_capita!J120-Gasto_o_ing_per_capita!$D120</f>
        <v>-0.34114916014935748</v>
      </c>
      <c r="K120" s="336">
        <f>Gasto_o_ing_per_capita!K120-Gasto_o_ing_per_capita!$D120</f>
        <v>-2.1001599558938473</v>
      </c>
      <c r="L120" s="336">
        <f>Gasto_o_ing_per_capita!L120-Gasto_o_ing_per_capita!$D120</f>
        <v>-2.8316293109121959</v>
      </c>
      <c r="M120" s="336">
        <f>Gasto_o_ing_per_capita!M120-Gasto_o_ing_per_capita!$D120</f>
        <v>0.3105028241800607</v>
      </c>
      <c r="N120" s="336">
        <f>Gasto_o_ing_per_capita!N120-Gasto_o_ing_per_capita!$D120</f>
        <v>-3.6570726144497634E-2</v>
      </c>
      <c r="O120" s="336">
        <f>Gasto_o_ing_per_capita!O120-Gasto_o_ing_per_capita!$D120</f>
        <v>-3.4369733277883125</v>
      </c>
      <c r="P120" s="336">
        <f>Gasto_o_ing_per_capita!P120-Gasto_o_ing_per_capita!$D120</f>
        <v>-2.0339714848933168</v>
      </c>
      <c r="Q120" s="336">
        <f>Gasto_o_ing_per_capita!Q120-Gasto_o_ing_per_capita!$D120</f>
        <v>11.174220762564882</v>
      </c>
      <c r="R120" s="336">
        <f>Gasto_o_ing_per_capita!R120-Gasto_o_ing_per_capita!$D120</f>
        <v>-1.5144101456255319</v>
      </c>
      <c r="S120" s="336">
        <f>Gasto_o_ing_per_capita!S120-Gasto_o_ing_per_capita!$D120</f>
        <v>-6.2894407951921849</v>
      </c>
      <c r="T120" s="336">
        <f>Gasto_o_ing_per_capita!T120-Gasto_o_ing_per_capita!$D120</f>
        <v>-6.2894407951921849</v>
      </c>
      <c r="U120" s="336">
        <f>Gasto_o_ing_per_capita!U120-Gasto_o_ing_per_capita!$D120</f>
        <v>-0.70098847868232372</v>
      </c>
      <c r="V120" s="336">
        <f>Gasto_o_ing_per_capita!V120-Gasto_o_ing_per_capita!$D120</f>
        <v>-6.2894407951921849</v>
      </c>
      <c r="W120" s="122"/>
      <c r="X120" s="104"/>
    </row>
    <row r="121" spans="1:24" s="102" customFormat="1" ht="13.15">
      <c r="A121" s="355" t="str">
        <f>IF(B121="","",(IF(ISERROR(MATCH(B121,Tot_res!C:C,0)),"Eliminar!!!","")))</f>
        <v/>
      </c>
      <c r="B121" s="115" t="s">
        <v>965</v>
      </c>
      <c r="C121" s="333" t="str">
        <f>VLOOKUP(B121,Tot_res!C:D,2,FALSE)</f>
        <v>Recursos REF de la comunidad autónoma de Canarias, neto de compensación por supresión del IGTE</v>
      </c>
      <c r="D121" s="336">
        <f>Gasto_o_ing_per_capita!D121-Gasto_o_ing_per_capita!$D121</f>
        <v>0</v>
      </c>
      <c r="E121" s="336">
        <f>Gasto_o_ing_per_capita!E121-Gasto_o_ing_per_capita!$D121</f>
        <v>-16.818800219652239</v>
      </c>
      <c r="F121" s="336">
        <f>Gasto_o_ing_per_capita!F121-Gasto_o_ing_per_capita!$D121</f>
        <v>-16.818800219652239</v>
      </c>
      <c r="G121" s="336">
        <f>Gasto_o_ing_per_capita!G121-Gasto_o_ing_per_capita!$D121</f>
        <v>-16.818800219652239</v>
      </c>
      <c r="H121" s="336">
        <f>Gasto_o_ing_per_capita!H121-Gasto_o_ing_per_capita!$D121</f>
        <v>-16.818800219652239</v>
      </c>
      <c r="I121" s="336">
        <f>Gasto_o_ing_per_capita!I121-Gasto_o_ing_per_capita!$D121</f>
        <v>357.11430941819549</v>
      </c>
      <c r="J121" s="336">
        <f>Gasto_o_ing_per_capita!J121-Gasto_o_ing_per_capita!$D121</f>
        <v>-16.818800219652239</v>
      </c>
      <c r="K121" s="336">
        <f>Gasto_o_ing_per_capita!K121-Gasto_o_ing_per_capita!$D121</f>
        <v>-16.818800219652239</v>
      </c>
      <c r="L121" s="336">
        <f>Gasto_o_ing_per_capita!L121-Gasto_o_ing_per_capita!$D121</f>
        <v>-16.818800219652239</v>
      </c>
      <c r="M121" s="336">
        <f>Gasto_o_ing_per_capita!M121-Gasto_o_ing_per_capita!$D121</f>
        <v>-16.818800219652239</v>
      </c>
      <c r="N121" s="336">
        <f>Gasto_o_ing_per_capita!N121-Gasto_o_ing_per_capita!$D121</f>
        <v>-16.818800219652239</v>
      </c>
      <c r="O121" s="336">
        <f>Gasto_o_ing_per_capita!O121-Gasto_o_ing_per_capita!$D121</f>
        <v>-16.818800219652239</v>
      </c>
      <c r="P121" s="336">
        <f>Gasto_o_ing_per_capita!P121-Gasto_o_ing_per_capita!$D121</f>
        <v>-16.818800219652239</v>
      </c>
      <c r="Q121" s="336">
        <f>Gasto_o_ing_per_capita!Q121-Gasto_o_ing_per_capita!$D121</f>
        <v>-16.818800219652239</v>
      </c>
      <c r="R121" s="336">
        <f>Gasto_o_ing_per_capita!R121-Gasto_o_ing_per_capita!$D121</f>
        <v>-16.818800219652239</v>
      </c>
      <c r="S121" s="336">
        <f>Gasto_o_ing_per_capita!S121-Gasto_o_ing_per_capita!$D121</f>
        <v>-16.818800219652239</v>
      </c>
      <c r="T121" s="336">
        <f>Gasto_o_ing_per_capita!T121-Gasto_o_ing_per_capita!$D121</f>
        <v>-16.818800219652239</v>
      </c>
      <c r="U121" s="336">
        <f>Gasto_o_ing_per_capita!U121-Gasto_o_ing_per_capita!$D121</f>
        <v>-16.818800219652239</v>
      </c>
      <c r="V121" s="336">
        <f>Gasto_o_ing_per_capita!V121-Gasto_o_ing_per_capita!$D121</f>
        <v>-16.818800219652239</v>
      </c>
      <c r="W121" s="122"/>
      <c r="X121" s="104"/>
    </row>
    <row r="122" spans="1:24" s="102" customFormat="1" ht="13.15">
      <c r="A122" s="356"/>
      <c r="B122" s="115"/>
      <c r="C122" s="138"/>
      <c r="D122" s="110"/>
      <c r="E122" s="110"/>
      <c r="F122" s="110"/>
      <c r="G122" s="110"/>
      <c r="H122" s="110"/>
      <c r="I122" s="110"/>
      <c r="J122" s="110"/>
      <c r="K122" s="110"/>
      <c r="L122" s="110"/>
      <c r="M122" s="110"/>
      <c r="N122" s="110"/>
      <c r="O122" s="110"/>
      <c r="P122" s="110"/>
      <c r="Q122" s="110"/>
      <c r="R122" s="110"/>
      <c r="S122" s="110"/>
      <c r="T122" s="110"/>
      <c r="U122" s="110"/>
      <c r="V122" s="110"/>
      <c r="W122" s="126"/>
      <c r="X122" s="104"/>
    </row>
    <row r="123" spans="1:24" s="102" customFormat="1" ht="13.15">
      <c r="A123" s="356"/>
      <c r="B123" s="137"/>
      <c r="C123" s="128" t="s">
        <v>36</v>
      </c>
      <c r="D123" s="113">
        <f>Gasto_o_ing_per_capita!D123-Gasto_o_ing_per_capita!$D123</f>
        <v>0</v>
      </c>
      <c r="E123" s="113">
        <f>Gasto_o_ing_per_capita!E123-Gasto_o_ing_per_capita!$D123</f>
        <v>12.755369797014083</v>
      </c>
      <c r="F123" s="113">
        <f>Gasto_o_ing_per_capita!F123-Gasto_o_ing_per_capita!$D123</f>
        <v>46.122784829400729</v>
      </c>
      <c r="G123" s="113">
        <f>Gasto_o_ing_per_capita!G123-Gasto_o_ing_per_capita!$D123</f>
        <v>39.996119234462668</v>
      </c>
      <c r="H123" s="113">
        <f>Gasto_o_ing_per_capita!H123-Gasto_o_ing_per_capita!$D123</f>
        <v>59.285506942406421</v>
      </c>
      <c r="I123" s="113">
        <f>Gasto_o_ing_per_capita!I123-Gasto_o_ing_per_capita!$D123</f>
        <v>-14.752564546201555</v>
      </c>
      <c r="J123" s="113">
        <f>Gasto_o_ing_per_capita!J123-Gasto_o_ing_per_capita!$D123</f>
        <v>-105.90628052904107</v>
      </c>
      <c r="K123" s="113">
        <f>Gasto_o_ing_per_capita!K123-Gasto_o_ing_per_capita!$D123</f>
        <v>104.2748039915416</v>
      </c>
      <c r="L123" s="113">
        <f>Gasto_o_ing_per_capita!L123-Gasto_o_ing_per_capita!$D123</f>
        <v>105.07588451040156</v>
      </c>
      <c r="M123" s="113">
        <f>Gasto_o_ing_per_capita!M123-Gasto_o_ing_per_capita!$D123</f>
        <v>-179.92422047390625</v>
      </c>
      <c r="N123" s="113">
        <f>Gasto_o_ing_per_capita!N123-Gasto_o_ing_per_capita!$D123</f>
        <v>68.120308666336967</v>
      </c>
      <c r="O123" s="113">
        <f>Gasto_o_ing_per_capita!O123-Gasto_o_ing_per_capita!$D123</f>
        <v>103.5593347459014</v>
      </c>
      <c r="P123" s="113">
        <f>Gasto_o_ing_per_capita!P123-Gasto_o_ing_per_capita!$D123</f>
        <v>28.838190414354628</v>
      </c>
      <c r="Q123" s="113">
        <f>Gasto_o_ing_per_capita!Q123-Gasto_o_ing_per_capita!$D123</f>
        <v>-44.576861614125065</v>
      </c>
      <c r="R123" s="113">
        <f>Gasto_o_ing_per_capita!R123-Gasto_o_ing_per_capita!$D123</f>
        <v>97.966957918895247</v>
      </c>
      <c r="S123" s="113">
        <f>Gasto_o_ing_per_capita!S123-Gasto_o_ing_per_capita!$D123</f>
        <v>110.50668594054675</v>
      </c>
      <c r="T123" s="113">
        <f>Gasto_o_ing_per_capita!T123-Gasto_o_ing_per_capita!$D123</f>
        <v>110.50668594054675</v>
      </c>
      <c r="U123" s="113">
        <f>Gasto_o_ing_per_capita!U123-Gasto_o_ing_per_capita!$D123</f>
        <v>-106.09038351042695</v>
      </c>
      <c r="V123" s="113">
        <f>Gasto_o_ing_per_capita!V123-Gasto_o_ing_per_capita!$D123</f>
        <v>110.50668594054675</v>
      </c>
      <c r="W123" s="122"/>
      <c r="X123" s="104"/>
    </row>
    <row r="124" spans="1:24" s="102" customFormat="1" ht="13.15">
      <c r="A124" s="355" t="str">
        <f>IF(B124="","",(IF(ISERROR(MATCH(B124,Tot_res!C:C,0)),"Eliminar!!!","")))</f>
        <v/>
      </c>
      <c r="B124" s="115" t="s">
        <v>966</v>
      </c>
      <c r="C124" s="333" t="str">
        <f>VLOOKUP(B124,Tot_res!C:D,2,FALSE)</f>
        <v>Financiación para competencias no homogéneas de las comunidades de régimen común (caja)</v>
      </c>
      <c r="D124" s="337">
        <f>Gasto_o_ing_per_capita!D124-Gasto_o_ing_per_capita!$D124</f>
        <v>0</v>
      </c>
      <c r="E124" s="337">
        <f>Gasto_o_ing_per_capita!E124-Gasto_o_ing_per_capita!$D124</f>
        <v>12.755369797014083</v>
      </c>
      <c r="F124" s="337">
        <f>Gasto_o_ing_per_capita!F124-Gasto_o_ing_per_capita!$D124</f>
        <v>46.122784829400729</v>
      </c>
      <c r="G124" s="337">
        <f>Gasto_o_ing_per_capita!G124-Gasto_o_ing_per_capita!$D124</f>
        <v>39.996119234462668</v>
      </c>
      <c r="H124" s="337">
        <f>Gasto_o_ing_per_capita!H124-Gasto_o_ing_per_capita!$D124</f>
        <v>59.285506942406421</v>
      </c>
      <c r="I124" s="337">
        <f>Gasto_o_ing_per_capita!I124-Gasto_o_ing_per_capita!$D124</f>
        <v>-14.752564546201555</v>
      </c>
      <c r="J124" s="337">
        <f>Gasto_o_ing_per_capita!J124-Gasto_o_ing_per_capita!$D124</f>
        <v>-105.90628052904107</v>
      </c>
      <c r="K124" s="337">
        <f>Gasto_o_ing_per_capita!K124-Gasto_o_ing_per_capita!$D124</f>
        <v>104.2748039915416</v>
      </c>
      <c r="L124" s="337">
        <f>Gasto_o_ing_per_capita!L124-Gasto_o_ing_per_capita!$D124</f>
        <v>105.07588451040156</v>
      </c>
      <c r="M124" s="337">
        <f>Gasto_o_ing_per_capita!M124-Gasto_o_ing_per_capita!$D124</f>
        <v>-179.92422047390625</v>
      </c>
      <c r="N124" s="337">
        <f>Gasto_o_ing_per_capita!N124-Gasto_o_ing_per_capita!$D124</f>
        <v>68.120308666336967</v>
      </c>
      <c r="O124" s="337">
        <f>Gasto_o_ing_per_capita!O124-Gasto_o_ing_per_capita!$D124</f>
        <v>103.5593347459014</v>
      </c>
      <c r="P124" s="337">
        <f>Gasto_o_ing_per_capita!P124-Gasto_o_ing_per_capita!$D124</f>
        <v>28.838190414354628</v>
      </c>
      <c r="Q124" s="337">
        <f>Gasto_o_ing_per_capita!Q124-Gasto_o_ing_per_capita!$D124</f>
        <v>-44.576861614125065</v>
      </c>
      <c r="R124" s="337">
        <f>Gasto_o_ing_per_capita!R124-Gasto_o_ing_per_capita!$D124</f>
        <v>97.966957918895247</v>
      </c>
      <c r="S124" s="337">
        <f>Gasto_o_ing_per_capita!S124-Gasto_o_ing_per_capita!$D124</f>
        <v>110.50668594054675</v>
      </c>
      <c r="T124" s="337">
        <f>Gasto_o_ing_per_capita!T124-Gasto_o_ing_per_capita!$D124</f>
        <v>110.50668594054675</v>
      </c>
      <c r="U124" s="337">
        <f>Gasto_o_ing_per_capita!U124-Gasto_o_ing_per_capita!$D124</f>
        <v>-106.09038351042695</v>
      </c>
      <c r="V124" s="337">
        <f>Gasto_o_ing_per_capita!V124-Gasto_o_ing_per_capita!$D124</f>
        <v>110.50668594054675</v>
      </c>
      <c r="W124" s="122"/>
      <c r="X124" s="104"/>
    </row>
    <row r="125" spans="1:24" s="102" customFormat="1" ht="13.15">
      <c r="A125" s="356"/>
      <c r="B125" s="115"/>
      <c r="C125" s="129"/>
      <c r="D125" s="110"/>
      <c r="E125" s="110"/>
      <c r="F125" s="110"/>
      <c r="G125" s="110"/>
      <c r="H125" s="110"/>
      <c r="I125" s="110"/>
      <c r="J125" s="110"/>
      <c r="K125" s="110"/>
      <c r="L125" s="110"/>
      <c r="M125" s="110"/>
      <c r="N125" s="110"/>
      <c r="O125" s="110"/>
      <c r="P125" s="110"/>
      <c r="Q125" s="110"/>
      <c r="R125" s="110"/>
      <c r="S125" s="110"/>
      <c r="T125" s="110"/>
      <c r="U125" s="110"/>
      <c r="V125" s="110"/>
      <c r="W125" s="126"/>
      <c r="X125" s="104"/>
    </row>
    <row r="126" spans="1:24" s="102" customFormat="1" ht="13.15">
      <c r="A126" s="356"/>
      <c r="B126" s="137"/>
      <c r="C126" s="128" t="s">
        <v>70</v>
      </c>
      <c r="D126" s="113">
        <f>Gasto_o_ing_per_capita!D126-Gasto_o_ing_per_capita!$D126</f>
        <v>0</v>
      </c>
      <c r="E126" s="113">
        <f>Gasto_o_ing_per_capita!E126-Gasto_o_ing_per_capita!$D126</f>
        <v>-13.249080203084787</v>
      </c>
      <c r="F126" s="113">
        <f>Gasto_o_ing_per_capita!F126-Gasto_o_ing_per_capita!$D126</f>
        <v>-13.249080203084787</v>
      </c>
      <c r="G126" s="113">
        <f>Gasto_o_ing_per_capita!G126-Gasto_o_ing_per_capita!$D126</f>
        <v>-13.249080203084787</v>
      </c>
      <c r="H126" s="113">
        <f>Gasto_o_ing_per_capita!H126-Gasto_o_ing_per_capita!$D126</f>
        <v>-13.249080203084787</v>
      </c>
      <c r="I126" s="113">
        <f>Gasto_o_ing_per_capita!I126-Gasto_o_ing_per_capita!$D126</f>
        <v>-13.249080203084787</v>
      </c>
      <c r="J126" s="113">
        <f>Gasto_o_ing_per_capita!J126-Gasto_o_ing_per_capita!$D126</f>
        <v>-13.249080203084787</v>
      </c>
      <c r="K126" s="113">
        <f>Gasto_o_ing_per_capita!K126-Gasto_o_ing_per_capita!$D126</f>
        <v>-13.249080203084787</v>
      </c>
      <c r="L126" s="113">
        <f>Gasto_o_ing_per_capita!L126-Gasto_o_ing_per_capita!$D126</f>
        <v>-13.249080203084787</v>
      </c>
      <c r="M126" s="113">
        <f>Gasto_o_ing_per_capita!M126-Gasto_o_ing_per_capita!$D126</f>
        <v>-13.249080203084787</v>
      </c>
      <c r="N126" s="113">
        <f>Gasto_o_ing_per_capita!N126-Gasto_o_ing_per_capita!$D126</f>
        <v>-13.249080203084787</v>
      </c>
      <c r="O126" s="113">
        <f>Gasto_o_ing_per_capita!O126-Gasto_o_ing_per_capita!$D126</f>
        <v>-13.249080203084787</v>
      </c>
      <c r="P126" s="113">
        <f>Gasto_o_ing_per_capita!P126-Gasto_o_ing_per_capita!$D126</f>
        <v>-13.249080203084787</v>
      </c>
      <c r="Q126" s="113">
        <f>Gasto_o_ing_per_capita!Q126-Gasto_o_ing_per_capita!$D126</f>
        <v>-13.249080203084787</v>
      </c>
      <c r="R126" s="113">
        <f>Gasto_o_ing_per_capita!R126-Gasto_o_ing_per_capita!$D126</f>
        <v>-13.249080203084787</v>
      </c>
      <c r="S126" s="113">
        <f>Gasto_o_ing_per_capita!S126-Gasto_o_ing_per_capita!$D126</f>
        <v>-13.249080203084787</v>
      </c>
      <c r="T126" s="113">
        <f>Gasto_o_ing_per_capita!T126-Gasto_o_ing_per_capita!$D126</f>
        <v>-13.249080203084787</v>
      </c>
      <c r="U126" s="113">
        <f>Gasto_o_ing_per_capita!U126-Gasto_o_ing_per_capita!$D126</f>
        <v>-13.249080203084787</v>
      </c>
      <c r="V126" s="113">
        <f>Gasto_o_ing_per_capita!V126-Gasto_o_ing_per_capita!$D126</f>
        <v>3674.8303522706865</v>
      </c>
      <c r="W126" s="122"/>
      <c r="X126" s="104"/>
    </row>
    <row r="127" spans="1:24" s="102" customFormat="1" ht="13.15">
      <c r="A127" s="355" t="str">
        <f>IF(B127="","",(IF(ISERROR(MATCH(B127,Tot_res!C:C,0)),"Eliminar!!!","")))</f>
        <v/>
      </c>
      <c r="B127" s="115" t="s">
        <v>967</v>
      </c>
      <c r="C127" s="333" t="str">
        <f>VLOOKUP(B127,Tot_res!C:D,2,FALSE)</f>
        <v>Dirección y Servicios Generales de la Educación, gasto directo en Ceuta y Melilla</v>
      </c>
      <c r="D127" s="336">
        <f>Gasto_o_ing_per_capita!D127-Gasto_o_ing_per_capita!$D127</f>
        <v>0</v>
      </c>
      <c r="E127" s="336">
        <f>Gasto_o_ing_per_capita!E127-Gasto_o_ing_per_capita!$D127</f>
        <v>-0.11303890024073752</v>
      </c>
      <c r="F127" s="336">
        <f>Gasto_o_ing_per_capita!F127-Gasto_o_ing_per_capita!$D127</f>
        <v>-0.11303890024073752</v>
      </c>
      <c r="G127" s="336">
        <f>Gasto_o_ing_per_capita!G127-Gasto_o_ing_per_capita!$D127</f>
        <v>-0.11303890024073752</v>
      </c>
      <c r="H127" s="336">
        <f>Gasto_o_ing_per_capita!H127-Gasto_o_ing_per_capita!$D127</f>
        <v>-0.11303890024073752</v>
      </c>
      <c r="I127" s="336">
        <f>Gasto_o_ing_per_capita!I127-Gasto_o_ing_per_capita!$D127</f>
        <v>-0.11303890024073752</v>
      </c>
      <c r="J127" s="336">
        <f>Gasto_o_ing_per_capita!J127-Gasto_o_ing_per_capita!$D127</f>
        <v>-0.11303890024073752</v>
      </c>
      <c r="K127" s="336">
        <f>Gasto_o_ing_per_capita!K127-Gasto_o_ing_per_capita!$D127</f>
        <v>-0.11303890024073752</v>
      </c>
      <c r="L127" s="336">
        <f>Gasto_o_ing_per_capita!L127-Gasto_o_ing_per_capita!$D127</f>
        <v>-0.11303890024073752</v>
      </c>
      <c r="M127" s="336">
        <f>Gasto_o_ing_per_capita!M127-Gasto_o_ing_per_capita!$D127</f>
        <v>-0.11303890024073752</v>
      </c>
      <c r="N127" s="336">
        <f>Gasto_o_ing_per_capita!N127-Gasto_o_ing_per_capita!$D127</f>
        <v>-0.11303890024073752</v>
      </c>
      <c r="O127" s="336">
        <f>Gasto_o_ing_per_capita!O127-Gasto_o_ing_per_capita!$D127</f>
        <v>-0.11303890024073752</v>
      </c>
      <c r="P127" s="336">
        <f>Gasto_o_ing_per_capita!P127-Gasto_o_ing_per_capita!$D127</f>
        <v>-0.11303890024073752</v>
      </c>
      <c r="Q127" s="336">
        <f>Gasto_o_ing_per_capita!Q127-Gasto_o_ing_per_capita!$D127</f>
        <v>-0.11303890024073752</v>
      </c>
      <c r="R127" s="336">
        <f>Gasto_o_ing_per_capita!R127-Gasto_o_ing_per_capita!$D127</f>
        <v>-0.11303890024073752</v>
      </c>
      <c r="S127" s="336">
        <f>Gasto_o_ing_per_capita!S127-Gasto_o_ing_per_capita!$D127</f>
        <v>-0.11303890024073752</v>
      </c>
      <c r="T127" s="336">
        <f>Gasto_o_ing_per_capita!T127-Gasto_o_ing_per_capita!$D127</f>
        <v>-0.11303890024073752</v>
      </c>
      <c r="U127" s="336">
        <f>Gasto_o_ing_per_capita!U127-Gasto_o_ing_per_capita!$D127</f>
        <v>-0.11303890024073752</v>
      </c>
      <c r="V127" s="336">
        <f>Gasto_o_ing_per_capita!V127-Gasto_o_ing_per_capita!$D127</f>
        <v>31.353027925307831</v>
      </c>
      <c r="W127" s="122"/>
      <c r="X127" s="104"/>
    </row>
    <row r="128" spans="1:24" s="102" customFormat="1" ht="13.15">
      <c r="A128" s="355" t="str">
        <f>IF(B128="","",(IF(ISERROR(MATCH(B128,Tot_res!C:C,0)),"Eliminar!!!","")))</f>
        <v/>
      </c>
      <c r="B128" s="115" t="s">
        <v>968</v>
      </c>
      <c r="C128" s="333" t="str">
        <f>VLOOKUP(B128,Tot_res!C:D,2,FALSE)</f>
        <v>Formación permanente del profesorado de Educación, gasto directo del Estado en Ceuta y Melilla</v>
      </c>
      <c r="D128" s="336">
        <f>Gasto_o_ing_per_capita!D128-Gasto_o_ing_per_capita!$D128</f>
        <v>0</v>
      </c>
      <c r="E128" s="336">
        <f>Gasto_o_ing_per_capita!E128-Gasto_o_ing_per_capita!$D128</f>
        <v>-9.0786210397225918E-3</v>
      </c>
      <c r="F128" s="336">
        <f>Gasto_o_ing_per_capita!F128-Gasto_o_ing_per_capita!$D128</f>
        <v>-9.0786210397225918E-3</v>
      </c>
      <c r="G128" s="336">
        <f>Gasto_o_ing_per_capita!G128-Gasto_o_ing_per_capita!$D128</f>
        <v>-9.0786210397225918E-3</v>
      </c>
      <c r="H128" s="336">
        <f>Gasto_o_ing_per_capita!H128-Gasto_o_ing_per_capita!$D128</f>
        <v>-9.0786210397225918E-3</v>
      </c>
      <c r="I128" s="336">
        <f>Gasto_o_ing_per_capita!I128-Gasto_o_ing_per_capita!$D128</f>
        <v>-9.0786210397225918E-3</v>
      </c>
      <c r="J128" s="336">
        <f>Gasto_o_ing_per_capita!J128-Gasto_o_ing_per_capita!$D128</f>
        <v>-9.0786210397225918E-3</v>
      </c>
      <c r="K128" s="336">
        <f>Gasto_o_ing_per_capita!K128-Gasto_o_ing_per_capita!$D128</f>
        <v>-9.0786210397225918E-3</v>
      </c>
      <c r="L128" s="336">
        <f>Gasto_o_ing_per_capita!L128-Gasto_o_ing_per_capita!$D128</f>
        <v>-9.0786210397225918E-3</v>
      </c>
      <c r="M128" s="336">
        <f>Gasto_o_ing_per_capita!M128-Gasto_o_ing_per_capita!$D128</f>
        <v>-9.0786210397225918E-3</v>
      </c>
      <c r="N128" s="336">
        <f>Gasto_o_ing_per_capita!N128-Gasto_o_ing_per_capita!$D128</f>
        <v>-9.0786210397225918E-3</v>
      </c>
      <c r="O128" s="336">
        <f>Gasto_o_ing_per_capita!O128-Gasto_o_ing_per_capita!$D128</f>
        <v>-9.0786210397225918E-3</v>
      </c>
      <c r="P128" s="336">
        <f>Gasto_o_ing_per_capita!P128-Gasto_o_ing_per_capita!$D128</f>
        <v>-9.0786210397225918E-3</v>
      </c>
      <c r="Q128" s="336">
        <f>Gasto_o_ing_per_capita!Q128-Gasto_o_ing_per_capita!$D128</f>
        <v>-9.0786210397225918E-3</v>
      </c>
      <c r="R128" s="336">
        <f>Gasto_o_ing_per_capita!R128-Gasto_o_ing_per_capita!$D128</f>
        <v>-9.0786210397225918E-3</v>
      </c>
      <c r="S128" s="336">
        <f>Gasto_o_ing_per_capita!S128-Gasto_o_ing_per_capita!$D128</f>
        <v>-9.0786210397225918E-3</v>
      </c>
      <c r="T128" s="336">
        <f>Gasto_o_ing_per_capita!T128-Gasto_o_ing_per_capita!$D128</f>
        <v>-9.0786210397225918E-3</v>
      </c>
      <c r="U128" s="336">
        <f>Gasto_o_ing_per_capita!U128-Gasto_o_ing_per_capita!$D128</f>
        <v>-9.0786210397225918E-3</v>
      </c>
      <c r="V128" s="336">
        <f>Gasto_o_ing_per_capita!V128-Gasto_o_ing_per_capita!$D128</f>
        <v>2.5180911913996917</v>
      </c>
      <c r="W128" s="122"/>
      <c r="X128" s="104"/>
    </row>
    <row r="129" spans="1:24" s="102" customFormat="1" ht="13.15">
      <c r="A129" s="355" t="str">
        <f>IF(B129="","",(IF(ISERROR(MATCH(B129,Tot_res!C:C,0)),"Eliminar!!!","")))</f>
        <v/>
      </c>
      <c r="B129" s="115" t="s">
        <v>969</v>
      </c>
      <c r="C129" s="333" t="str">
        <f>VLOOKUP(B129,Tot_res!C:D,2,FALSE)</f>
        <v xml:space="preserve">Educación infantil y primaria, gasto directo del Estado en Ceuta y Melilla  </v>
      </c>
      <c r="D129" s="336">
        <f>Gasto_o_ing_per_capita!D129-Gasto_o_ing_per_capita!$D129</f>
        <v>0</v>
      </c>
      <c r="E129" s="336">
        <f>Gasto_o_ing_per_capita!E129-Gasto_o_ing_per_capita!$D129</f>
        <v>-1.2062294800645836</v>
      </c>
      <c r="F129" s="336">
        <f>Gasto_o_ing_per_capita!F129-Gasto_o_ing_per_capita!$D129</f>
        <v>-1.2062294800645836</v>
      </c>
      <c r="G129" s="336">
        <f>Gasto_o_ing_per_capita!G129-Gasto_o_ing_per_capita!$D129</f>
        <v>-1.2062294800645836</v>
      </c>
      <c r="H129" s="336">
        <f>Gasto_o_ing_per_capita!H129-Gasto_o_ing_per_capita!$D129</f>
        <v>-1.2062294800645836</v>
      </c>
      <c r="I129" s="336">
        <f>Gasto_o_ing_per_capita!I129-Gasto_o_ing_per_capita!$D129</f>
        <v>-1.2062294800645836</v>
      </c>
      <c r="J129" s="336">
        <f>Gasto_o_ing_per_capita!J129-Gasto_o_ing_per_capita!$D129</f>
        <v>-1.2062294800645836</v>
      </c>
      <c r="K129" s="336">
        <f>Gasto_o_ing_per_capita!K129-Gasto_o_ing_per_capita!$D129</f>
        <v>-1.2062294800645836</v>
      </c>
      <c r="L129" s="336">
        <f>Gasto_o_ing_per_capita!L129-Gasto_o_ing_per_capita!$D129</f>
        <v>-1.2062294800645836</v>
      </c>
      <c r="M129" s="336">
        <f>Gasto_o_ing_per_capita!M129-Gasto_o_ing_per_capita!$D129</f>
        <v>-1.2062294800645836</v>
      </c>
      <c r="N129" s="336">
        <f>Gasto_o_ing_per_capita!N129-Gasto_o_ing_per_capita!$D129</f>
        <v>-1.2062294800645836</v>
      </c>
      <c r="O129" s="336">
        <f>Gasto_o_ing_per_capita!O129-Gasto_o_ing_per_capita!$D129</f>
        <v>-1.2062294800645836</v>
      </c>
      <c r="P129" s="336">
        <f>Gasto_o_ing_per_capita!P129-Gasto_o_ing_per_capita!$D129</f>
        <v>-1.2062294800645836</v>
      </c>
      <c r="Q129" s="336">
        <f>Gasto_o_ing_per_capita!Q129-Gasto_o_ing_per_capita!$D129</f>
        <v>-1.2062294800645836</v>
      </c>
      <c r="R129" s="336">
        <f>Gasto_o_ing_per_capita!R129-Gasto_o_ing_per_capita!$D129</f>
        <v>-1.2062294800645836</v>
      </c>
      <c r="S129" s="336">
        <f>Gasto_o_ing_per_capita!S129-Gasto_o_ing_per_capita!$D129</f>
        <v>-1.2062294800645836</v>
      </c>
      <c r="T129" s="336">
        <f>Gasto_o_ing_per_capita!T129-Gasto_o_ing_per_capita!$D129</f>
        <v>-1.2062294800645836</v>
      </c>
      <c r="U129" s="336">
        <f>Gasto_o_ing_per_capita!U129-Gasto_o_ing_per_capita!$D129</f>
        <v>-1.2062294800645836</v>
      </c>
      <c r="V129" s="336">
        <f>Gasto_o_ing_per_capita!V129-Gasto_o_ing_per_capita!$D129</f>
        <v>334.56576888356051</v>
      </c>
      <c r="W129" s="122"/>
      <c r="X129" s="104"/>
    </row>
    <row r="130" spans="1:24" s="102" customFormat="1" ht="13.15">
      <c r="A130" s="355" t="str">
        <f>IF(B130="","",(IF(ISERROR(MATCH(B130,Tot_res!C:C,0)),"Eliminar!!!","")))</f>
        <v/>
      </c>
      <c r="B130" s="115" t="s">
        <v>970</v>
      </c>
      <c r="C130" s="333" t="str">
        <f>VLOOKUP(B130,Tot_res!C:D,2,FALSE)</f>
        <v>Educ. secundaria, formación profesional y EE.OO de Idiomas, gasto directo del Estado en Ceuta y Melilla</v>
      </c>
      <c r="D130" s="336">
        <f>Gasto_o_ing_per_capita!D130-Gasto_o_ing_per_capita!$D130</f>
        <v>0</v>
      </c>
      <c r="E130" s="336">
        <f>Gasto_o_ing_per_capita!E130-Gasto_o_ing_per_capita!$D130</f>
        <v>-1.4289203684079437</v>
      </c>
      <c r="F130" s="336">
        <f>Gasto_o_ing_per_capita!F130-Gasto_o_ing_per_capita!$D130</f>
        <v>-1.4289203684079437</v>
      </c>
      <c r="G130" s="336">
        <f>Gasto_o_ing_per_capita!G130-Gasto_o_ing_per_capita!$D130</f>
        <v>-1.4289203684079437</v>
      </c>
      <c r="H130" s="336">
        <f>Gasto_o_ing_per_capita!H130-Gasto_o_ing_per_capita!$D130</f>
        <v>-1.4289203684079437</v>
      </c>
      <c r="I130" s="336">
        <f>Gasto_o_ing_per_capita!I130-Gasto_o_ing_per_capita!$D130</f>
        <v>-1.4289203684079437</v>
      </c>
      <c r="J130" s="336">
        <f>Gasto_o_ing_per_capita!J130-Gasto_o_ing_per_capita!$D130</f>
        <v>-1.4289203684079437</v>
      </c>
      <c r="K130" s="336">
        <f>Gasto_o_ing_per_capita!K130-Gasto_o_ing_per_capita!$D130</f>
        <v>-1.4289203684079437</v>
      </c>
      <c r="L130" s="336">
        <f>Gasto_o_ing_per_capita!L130-Gasto_o_ing_per_capita!$D130</f>
        <v>-1.4289203684079437</v>
      </c>
      <c r="M130" s="336">
        <f>Gasto_o_ing_per_capita!M130-Gasto_o_ing_per_capita!$D130</f>
        <v>-1.4289203684079437</v>
      </c>
      <c r="N130" s="336">
        <f>Gasto_o_ing_per_capita!N130-Gasto_o_ing_per_capita!$D130</f>
        <v>-1.4289203684079437</v>
      </c>
      <c r="O130" s="336">
        <f>Gasto_o_ing_per_capita!O130-Gasto_o_ing_per_capita!$D130</f>
        <v>-1.4289203684079437</v>
      </c>
      <c r="P130" s="336">
        <f>Gasto_o_ing_per_capita!P130-Gasto_o_ing_per_capita!$D130</f>
        <v>-1.4289203684079437</v>
      </c>
      <c r="Q130" s="336">
        <f>Gasto_o_ing_per_capita!Q130-Gasto_o_ing_per_capita!$D130</f>
        <v>-1.4289203684079437</v>
      </c>
      <c r="R130" s="336">
        <f>Gasto_o_ing_per_capita!R130-Gasto_o_ing_per_capita!$D130</f>
        <v>-1.4289203684079437</v>
      </c>
      <c r="S130" s="336">
        <f>Gasto_o_ing_per_capita!S130-Gasto_o_ing_per_capita!$D130</f>
        <v>-1.4289203684079437</v>
      </c>
      <c r="T130" s="336">
        <f>Gasto_o_ing_per_capita!T130-Gasto_o_ing_per_capita!$D130</f>
        <v>-1.4289203684079437</v>
      </c>
      <c r="U130" s="336">
        <f>Gasto_o_ing_per_capita!U130-Gasto_o_ing_per_capita!$D130</f>
        <v>-1.4289203684079437</v>
      </c>
      <c r="V130" s="336">
        <f>Gasto_o_ing_per_capita!V130-Gasto_o_ing_per_capita!$D130</f>
        <v>396.33241404793682</v>
      </c>
      <c r="W130" s="122"/>
      <c r="X130" s="104"/>
    </row>
    <row r="131" spans="1:24" s="102" customFormat="1" ht="13.15">
      <c r="A131" s="355" t="str">
        <f>IF(B131="","",(IF(ISERROR(MATCH(B131,Tot_res!C:C,0)),"Eliminar!!!","")))</f>
        <v/>
      </c>
      <c r="B131" s="115" t="s">
        <v>971</v>
      </c>
      <c r="C131" s="333" t="str">
        <f>VLOOKUP(B131,Tot_res!C:D,2,FALSE)</f>
        <v>Enseñanzas universitarias, gasto directo del Estado en Ceuta y Melilla</v>
      </c>
      <c r="D131" s="336">
        <f>Gasto_o_ing_per_capita!D131-Gasto_o_ing_per_capita!$D131</f>
        <v>0</v>
      </c>
      <c r="E131" s="336">
        <f>Gasto_o_ing_per_capita!E131-Gasto_o_ing_per_capita!$D131</f>
        <v>-0.17678169645764838</v>
      </c>
      <c r="F131" s="336">
        <f>Gasto_o_ing_per_capita!F131-Gasto_o_ing_per_capita!$D131</f>
        <v>-0.17678169645764838</v>
      </c>
      <c r="G131" s="336">
        <f>Gasto_o_ing_per_capita!G131-Gasto_o_ing_per_capita!$D131</f>
        <v>-0.17678169645764838</v>
      </c>
      <c r="H131" s="336">
        <f>Gasto_o_ing_per_capita!H131-Gasto_o_ing_per_capita!$D131</f>
        <v>-0.17678169645764838</v>
      </c>
      <c r="I131" s="336">
        <f>Gasto_o_ing_per_capita!I131-Gasto_o_ing_per_capita!$D131</f>
        <v>-0.17678169645764838</v>
      </c>
      <c r="J131" s="336">
        <f>Gasto_o_ing_per_capita!J131-Gasto_o_ing_per_capita!$D131</f>
        <v>-0.17678169645764838</v>
      </c>
      <c r="K131" s="336">
        <f>Gasto_o_ing_per_capita!K131-Gasto_o_ing_per_capita!$D131</f>
        <v>-0.17678169645764838</v>
      </c>
      <c r="L131" s="336">
        <f>Gasto_o_ing_per_capita!L131-Gasto_o_ing_per_capita!$D131</f>
        <v>-0.17678169645764838</v>
      </c>
      <c r="M131" s="336">
        <f>Gasto_o_ing_per_capita!M131-Gasto_o_ing_per_capita!$D131</f>
        <v>-0.17678169645764838</v>
      </c>
      <c r="N131" s="336">
        <f>Gasto_o_ing_per_capita!N131-Gasto_o_ing_per_capita!$D131</f>
        <v>-0.17678169645764838</v>
      </c>
      <c r="O131" s="336">
        <f>Gasto_o_ing_per_capita!O131-Gasto_o_ing_per_capita!$D131</f>
        <v>-0.17678169645764838</v>
      </c>
      <c r="P131" s="336">
        <f>Gasto_o_ing_per_capita!P131-Gasto_o_ing_per_capita!$D131</f>
        <v>-0.17678169645764838</v>
      </c>
      <c r="Q131" s="336">
        <f>Gasto_o_ing_per_capita!Q131-Gasto_o_ing_per_capita!$D131</f>
        <v>-0.17678169645764838</v>
      </c>
      <c r="R131" s="336">
        <f>Gasto_o_ing_per_capita!R131-Gasto_o_ing_per_capita!$D131</f>
        <v>-0.17678169645764838</v>
      </c>
      <c r="S131" s="336">
        <f>Gasto_o_ing_per_capita!S131-Gasto_o_ing_per_capita!$D131</f>
        <v>-0.17678169645764838</v>
      </c>
      <c r="T131" s="336">
        <f>Gasto_o_ing_per_capita!T131-Gasto_o_ing_per_capita!$D131</f>
        <v>-0.17678169645764838</v>
      </c>
      <c r="U131" s="336">
        <f>Gasto_o_ing_per_capita!U131-Gasto_o_ing_per_capita!$D131</f>
        <v>-0.17678169645764838</v>
      </c>
      <c r="V131" s="336">
        <f>Gasto_o_ing_per_capita!V131-Gasto_o_ing_per_capita!$D131</f>
        <v>49.033044853726004</v>
      </c>
      <c r="W131" s="122"/>
      <c r="X131" s="104"/>
    </row>
    <row r="132" spans="1:24" s="102" customFormat="1" ht="13.15">
      <c r="A132" s="355" t="str">
        <f>IF(B132="","",(IF(ISERROR(MATCH(B132,Tot_res!C:C,0)),"Eliminar!!!","")))</f>
        <v/>
      </c>
      <c r="B132" s="115" t="s">
        <v>972</v>
      </c>
      <c r="C132" s="333" t="str">
        <f>VLOOKUP(B132,Tot_res!C:D,2,FALSE)</f>
        <v>Enseñanzas artísticas, gasto directo del Estado en Ceuta y Melilla</v>
      </c>
      <c r="D132" s="336">
        <f>Gasto_o_ing_per_capita!D132-Gasto_o_ing_per_capita!$D132</f>
        <v>0</v>
      </c>
      <c r="E132" s="336">
        <f>Gasto_o_ing_per_capita!E132-Gasto_o_ing_per_capita!$D132</f>
        <v>-7.7806583018111691E-2</v>
      </c>
      <c r="F132" s="336">
        <f>Gasto_o_ing_per_capita!F132-Gasto_o_ing_per_capita!$D132</f>
        <v>-7.7806583018111691E-2</v>
      </c>
      <c r="G132" s="336">
        <f>Gasto_o_ing_per_capita!G132-Gasto_o_ing_per_capita!$D132</f>
        <v>-7.7806583018111691E-2</v>
      </c>
      <c r="H132" s="336">
        <f>Gasto_o_ing_per_capita!H132-Gasto_o_ing_per_capita!$D132</f>
        <v>-7.7806583018111691E-2</v>
      </c>
      <c r="I132" s="336">
        <f>Gasto_o_ing_per_capita!I132-Gasto_o_ing_per_capita!$D132</f>
        <v>-7.7806583018111691E-2</v>
      </c>
      <c r="J132" s="336">
        <f>Gasto_o_ing_per_capita!J132-Gasto_o_ing_per_capita!$D132</f>
        <v>-7.7806583018111691E-2</v>
      </c>
      <c r="K132" s="336">
        <f>Gasto_o_ing_per_capita!K132-Gasto_o_ing_per_capita!$D132</f>
        <v>-7.7806583018111691E-2</v>
      </c>
      <c r="L132" s="336">
        <f>Gasto_o_ing_per_capita!L132-Gasto_o_ing_per_capita!$D132</f>
        <v>-7.7806583018111691E-2</v>
      </c>
      <c r="M132" s="336">
        <f>Gasto_o_ing_per_capita!M132-Gasto_o_ing_per_capita!$D132</f>
        <v>-7.7806583018111691E-2</v>
      </c>
      <c r="N132" s="336">
        <f>Gasto_o_ing_per_capita!N132-Gasto_o_ing_per_capita!$D132</f>
        <v>-7.7806583018111691E-2</v>
      </c>
      <c r="O132" s="336">
        <f>Gasto_o_ing_per_capita!O132-Gasto_o_ing_per_capita!$D132</f>
        <v>-7.7806583018111691E-2</v>
      </c>
      <c r="P132" s="336">
        <f>Gasto_o_ing_per_capita!P132-Gasto_o_ing_per_capita!$D132</f>
        <v>-7.7806583018111691E-2</v>
      </c>
      <c r="Q132" s="336">
        <f>Gasto_o_ing_per_capita!Q132-Gasto_o_ing_per_capita!$D132</f>
        <v>-7.7806583018111691E-2</v>
      </c>
      <c r="R132" s="336">
        <f>Gasto_o_ing_per_capita!R132-Gasto_o_ing_per_capita!$D132</f>
        <v>-7.7806583018111691E-2</v>
      </c>
      <c r="S132" s="336">
        <f>Gasto_o_ing_per_capita!S132-Gasto_o_ing_per_capita!$D132</f>
        <v>-7.7806583018111691E-2</v>
      </c>
      <c r="T132" s="336">
        <f>Gasto_o_ing_per_capita!T132-Gasto_o_ing_per_capita!$D132</f>
        <v>-7.7806583018111691E-2</v>
      </c>
      <c r="U132" s="336">
        <f>Gasto_o_ing_per_capita!U132-Gasto_o_ing_per_capita!$D132</f>
        <v>-7.7806583018111691E-2</v>
      </c>
      <c r="V132" s="336">
        <f>Gasto_o_ing_per_capita!V132-Gasto_o_ing_per_capita!$D132</f>
        <v>21.580818328419021</v>
      </c>
      <c r="W132" s="122"/>
      <c r="X132" s="104"/>
    </row>
    <row r="133" spans="1:24" s="102" customFormat="1" ht="13.15">
      <c r="A133" s="355" t="str">
        <f>IF(B133="","",(IF(ISERROR(MATCH(B133,Tot_res!C:C,0)),"Eliminar!!!","")))</f>
        <v/>
      </c>
      <c r="B133" s="115" t="s">
        <v>973</v>
      </c>
      <c r="C133" s="333" t="str">
        <f>VLOOKUP(B133,Tot_res!C:D,2,FALSE)</f>
        <v>Educación compensatoria, gasto directo del Estado en Ceuta y Melilla</v>
      </c>
      <c r="D133" s="336">
        <f>Gasto_o_ing_per_capita!D133-Gasto_o_ing_per_capita!$D133</f>
        <v>0</v>
      </c>
      <c r="E133" s="336">
        <f>Gasto_o_ing_per_capita!E133-Gasto_o_ing_per_capita!$D133</f>
        <v>-7.8504879451709211E-2</v>
      </c>
      <c r="F133" s="336">
        <f>Gasto_o_ing_per_capita!F133-Gasto_o_ing_per_capita!$D133</f>
        <v>-7.8504879451709211E-2</v>
      </c>
      <c r="G133" s="336">
        <f>Gasto_o_ing_per_capita!G133-Gasto_o_ing_per_capita!$D133</f>
        <v>-7.8504879451709211E-2</v>
      </c>
      <c r="H133" s="336">
        <f>Gasto_o_ing_per_capita!H133-Gasto_o_ing_per_capita!$D133</f>
        <v>-7.8504879451709211E-2</v>
      </c>
      <c r="I133" s="336">
        <f>Gasto_o_ing_per_capita!I133-Gasto_o_ing_per_capita!$D133</f>
        <v>-7.8504879451709211E-2</v>
      </c>
      <c r="J133" s="336">
        <f>Gasto_o_ing_per_capita!J133-Gasto_o_ing_per_capita!$D133</f>
        <v>-7.8504879451709211E-2</v>
      </c>
      <c r="K133" s="336">
        <f>Gasto_o_ing_per_capita!K133-Gasto_o_ing_per_capita!$D133</f>
        <v>-7.8504879451709211E-2</v>
      </c>
      <c r="L133" s="336">
        <f>Gasto_o_ing_per_capita!L133-Gasto_o_ing_per_capita!$D133</f>
        <v>-7.8504879451709211E-2</v>
      </c>
      <c r="M133" s="336">
        <f>Gasto_o_ing_per_capita!M133-Gasto_o_ing_per_capita!$D133</f>
        <v>-7.8504879451709211E-2</v>
      </c>
      <c r="N133" s="336">
        <f>Gasto_o_ing_per_capita!N133-Gasto_o_ing_per_capita!$D133</f>
        <v>-7.8504879451709211E-2</v>
      </c>
      <c r="O133" s="336">
        <f>Gasto_o_ing_per_capita!O133-Gasto_o_ing_per_capita!$D133</f>
        <v>-7.8504879451709211E-2</v>
      </c>
      <c r="P133" s="336">
        <f>Gasto_o_ing_per_capita!P133-Gasto_o_ing_per_capita!$D133</f>
        <v>-7.8504879451709211E-2</v>
      </c>
      <c r="Q133" s="336">
        <f>Gasto_o_ing_per_capita!Q133-Gasto_o_ing_per_capita!$D133</f>
        <v>-7.8504879451709211E-2</v>
      </c>
      <c r="R133" s="336">
        <f>Gasto_o_ing_per_capita!R133-Gasto_o_ing_per_capita!$D133</f>
        <v>-7.8504879451709211E-2</v>
      </c>
      <c r="S133" s="336">
        <f>Gasto_o_ing_per_capita!S133-Gasto_o_ing_per_capita!$D133</f>
        <v>-7.8504879451709211E-2</v>
      </c>
      <c r="T133" s="336">
        <f>Gasto_o_ing_per_capita!T133-Gasto_o_ing_per_capita!$D133</f>
        <v>-7.8504879451709211E-2</v>
      </c>
      <c r="U133" s="336">
        <f>Gasto_o_ing_per_capita!U133-Gasto_o_ing_per_capita!$D133</f>
        <v>-7.8504879451709211E-2</v>
      </c>
      <c r="V133" s="336">
        <f>Gasto_o_ing_per_capita!V133-Gasto_o_ing_per_capita!$D133</f>
        <v>21.7745012777055</v>
      </c>
      <c r="W133" s="122"/>
      <c r="X133" s="104"/>
    </row>
    <row r="134" spans="1:24" s="102" customFormat="1" ht="13.15">
      <c r="A134" s="355" t="str">
        <f>IF(B134="","",(IF(ISERROR(MATCH(B134,Tot_res!C:C,0)),"Eliminar!!!","")))</f>
        <v/>
      </c>
      <c r="B134" s="102" t="s">
        <v>974</v>
      </c>
      <c r="C134" s="333" t="str">
        <f>VLOOKUP(B134,Tot_res!C:D,2,FALSE)</f>
        <v xml:space="preserve">Deporte en edad escolar y en la universidad, gasto directo del Estado en Ceuta y Melilla  </v>
      </c>
      <c r="D134" s="336">
        <f>Gasto_o_ing_per_capita!D134-Gasto_o_ing_per_capita!$D134</f>
        <v>0</v>
      </c>
      <c r="E134" s="336">
        <f>Gasto_o_ing_per_capita!E134-Gasto_o_ing_per_capita!$D134</f>
        <v>-1.7156980996308416E-3</v>
      </c>
      <c r="F134" s="336">
        <f>Gasto_o_ing_per_capita!F134-Gasto_o_ing_per_capita!$D134</f>
        <v>-1.7156980996308416E-3</v>
      </c>
      <c r="G134" s="336">
        <f>Gasto_o_ing_per_capita!G134-Gasto_o_ing_per_capita!$D134</f>
        <v>-1.7156980996308416E-3</v>
      </c>
      <c r="H134" s="336">
        <f>Gasto_o_ing_per_capita!H134-Gasto_o_ing_per_capita!$D134</f>
        <v>-1.7156980996308416E-3</v>
      </c>
      <c r="I134" s="336">
        <f>Gasto_o_ing_per_capita!I134-Gasto_o_ing_per_capita!$D134</f>
        <v>-1.7156980996308416E-3</v>
      </c>
      <c r="J134" s="336">
        <f>Gasto_o_ing_per_capita!J134-Gasto_o_ing_per_capita!$D134</f>
        <v>-1.7156980996308416E-3</v>
      </c>
      <c r="K134" s="336">
        <f>Gasto_o_ing_per_capita!K134-Gasto_o_ing_per_capita!$D134</f>
        <v>-1.7156980996308416E-3</v>
      </c>
      <c r="L134" s="336">
        <f>Gasto_o_ing_per_capita!L134-Gasto_o_ing_per_capita!$D134</f>
        <v>-1.7156980996308416E-3</v>
      </c>
      <c r="M134" s="336">
        <f>Gasto_o_ing_per_capita!M134-Gasto_o_ing_per_capita!$D134</f>
        <v>-1.7156980996308416E-3</v>
      </c>
      <c r="N134" s="336">
        <f>Gasto_o_ing_per_capita!N134-Gasto_o_ing_per_capita!$D134</f>
        <v>-1.7156980996308416E-3</v>
      </c>
      <c r="O134" s="336">
        <f>Gasto_o_ing_per_capita!O134-Gasto_o_ing_per_capita!$D134</f>
        <v>-1.7156980996308416E-3</v>
      </c>
      <c r="P134" s="336">
        <f>Gasto_o_ing_per_capita!P134-Gasto_o_ing_per_capita!$D134</f>
        <v>-1.7156980996308416E-3</v>
      </c>
      <c r="Q134" s="336">
        <f>Gasto_o_ing_per_capita!Q134-Gasto_o_ing_per_capita!$D134</f>
        <v>-1.7156980996308416E-3</v>
      </c>
      <c r="R134" s="336">
        <f>Gasto_o_ing_per_capita!R134-Gasto_o_ing_per_capita!$D134</f>
        <v>-1.7156980996308416E-3</v>
      </c>
      <c r="S134" s="336">
        <f>Gasto_o_ing_per_capita!S134-Gasto_o_ing_per_capita!$D134</f>
        <v>-1.7156980996308416E-3</v>
      </c>
      <c r="T134" s="336">
        <f>Gasto_o_ing_per_capita!T134-Gasto_o_ing_per_capita!$D134</f>
        <v>-1.7156980996308416E-3</v>
      </c>
      <c r="U134" s="336">
        <f>Gasto_o_ing_per_capita!U134-Gasto_o_ing_per_capita!$D134</f>
        <v>-1.7156980996308416E-3</v>
      </c>
      <c r="V134" s="336">
        <f>Gasto_o_ing_per_capita!V134-Gasto_o_ing_per_capita!$D134</f>
        <v>0.47587450262310144</v>
      </c>
      <c r="W134" s="122"/>
      <c r="X134" s="104"/>
    </row>
    <row r="135" spans="1:24" s="102" customFormat="1" ht="13.15">
      <c r="A135" s="355" t="str">
        <f>IF(B135="","",(IF(ISERROR(MATCH(B135,Tot_res!C:C,0)),"Eliminar!!!","")))</f>
        <v/>
      </c>
      <c r="B135" s="102" t="s">
        <v>975</v>
      </c>
      <c r="C135" s="333" t="str">
        <f>VLOOKUP(B135,Tot_res!C:D,2,FALSE)</f>
        <v>Otras enseñanzas y actividades educativas, gasto directo en Ceuta y Melilla</v>
      </c>
      <c r="D135" s="336">
        <f>Gasto_o_ing_per_capita!D135-Gasto_o_ing_per_capita!$D135</f>
        <v>0</v>
      </c>
      <c r="E135" s="336">
        <f>Gasto_o_ing_per_capita!E135-Gasto_o_ing_per_capita!$D135</f>
        <v>-0.33822238570860985</v>
      </c>
      <c r="F135" s="336">
        <f>Gasto_o_ing_per_capita!F135-Gasto_o_ing_per_capita!$D135</f>
        <v>-0.33822238570860985</v>
      </c>
      <c r="G135" s="336">
        <f>Gasto_o_ing_per_capita!G135-Gasto_o_ing_per_capita!$D135</f>
        <v>-0.33822238570860985</v>
      </c>
      <c r="H135" s="336">
        <f>Gasto_o_ing_per_capita!H135-Gasto_o_ing_per_capita!$D135</f>
        <v>-0.33822238570860985</v>
      </c>
      <c r="I135" s="336">
        <f>Gasto_o_ing_per_capita!I135-Gasto_o_ing_per_capita!$D135</f>
        <v>-0.33822238570860985</v>
      </c>
      <c r="J135" s="336">
        <f>Gasto_o_ing_per_capita!J135-Gasto_o_ing_per_capita!$D135</f>
        <v>-0.33822238570860985</v>
      </c>
      <c r="K135" s="336">
        <f>Gasto_o_ing_per_capita!K135-Gasto_o_ing_per_capita!$D135</f>
        <v>-0.33822238570860985</v>
      </c>
      <c r="L135" s="336">
        <f>Gasto_o_ing_per_capita!L135-Gasto_o_ing_per_capita!$D135</f>
        <v>-0.33822238570860985</v>
      </c>
      <c r="M135" s="336">
        <f>Gasto_o_ing_per_capita!M135-Gasto_o_ing_per_capita!$D135</f>
        <v>-0.33822238570860985</v>
      </c>
      <c r="N135" s="336">
        <f>Gasto_o_ing_per_capita!N135-Gasto_o_ing_per_capita!$D135</f>
        <v>-0.33822238570860985</v>
      </c>
      <c r="O135" s="336">
        <f>Gasto_o_ing_per_capita!O135-Gasto_o_ing_per_capita!$D135</f>
        <v>-0.33822238570860985</v>
      </c>
      <c r="P135" s="336">
        <f>Gasto_o_ing_per_capita!P135-Gasto_o_ing_per_capita!$D135</f>
        <v>-0.33822238570860985</v>
      </c>
      <c r="Q135" s="336">
        <f>Gasto_o_ing_per_capita!Q135-Gasto_o_ing_per_capita!$D135</f>
        <v>-0.33822238570860985</v>
      </c>
      <c r="R135" s="336">
        <f>Gasto_o_ing_per_capita!R135-Gasto_o_ing_per_capita!$D135</f>
        <v>-0.33822238570860985</v>
      </c>
      <c r="S135" s="336">
        <f>Gasto_o_ing_per_capita!S135-Gasto_o_ing_per_capita!$D135</f>
        <v>-0.33822238570860985</v>
      </c>
      <c r="T135" s="336">
        <f>Gasto_o_ing_per_capita!T135-Gasto_o_ing_per_capita!$D135</f>
        <v>-0.33822238570860985</v>
      </c>
      <c r="U135" s="336">
        <f>Gasto_o_ing_per_capita!U135-Gasto_o_ing_per_capita!$D135</f>
        <v>-0.33822238570860985</v>
      </c>
      <c r="V135" s="336">
        <f>Gasto_o_ing_per_capita!V135-Gasto_o_ing_per_capita!$D135</f>
        <v>93.811032144708108</v>
      </c>
      <c r="W135" s="122"/>
      <c r="X135" s="104"/>
    </row>
    <row r="136" spans="1:24" s="102" customFormat="1" ht="13.15">
      <c r="A136" s="355" t="str">
        <f>IF(B136="","",(IF(ISERROR(MATCH(B136,Tot_res!C:C,0)),"Eliminar!!!","")))</f>
        <v/>
      </c>
      <c r="B136" s="115" t="s">
        <v>976</v>
      </c>
      <c r="C136" s="333" t="str">
        <f>VLOOKUP(B136,Tot_res!C:D,2,FALSE)</f>
        <v>Servicios complementarios de la enseñanza, gasto directo del Estado en Ceuta y Melilla</v>
      </c>
      <c r="D136" s="336">
        <f>Gasto_o_ing_per_capita!D136-Gasto_o_ing_per_capita!$D136</f>
        <v>0</v>
      </c>
      <c r="E136" s="336">
        <f>Gasto_o_ing_per_capita!E136-Gasto_o_ing_per_capita!$D136</f>
        <v>-3.4673362802345162E-2</v>
      </c>
      <c r="F136" s="336">
        <f>Gasto_o_ing_per_capita!F136-Gasto_o_ing_per_capita!$D136</f>
        <v>-3.4673362802345162E-2</v>
      </c>
      <c r="G136" s="336">
        <f>Gasto_o_ing_per_capita!G136-Gasto_o_ing_per_capita!$D136</f>
        <v>-3.4673362802345162E-2</v>
      </c>
      <c r="H136" s="336">
        <f>Gasto_o_ing_per_capita!H136-Gasto_o_ing_per_capita!$D136</f>
        <v>-3.4673362802345162E-2</v>
      </c>
      <c r="I136" s="336">
        <f>Gasto_o_ing_per_capita!I136-Gasto_o_ing_per_capita!$D136</f>
        <v>-3.4673362802345162E-2</v>
      </c>
      <c r="J136" s="336">
        <f>Gasto_o_ing_per_capita!J136-Gasto_o_ing_per_capita!$D136</f>
        <v>-3.4673362802345162E-2</v>
      </c>
      <c r="K136" s="336">
        <f>Gasto_o_ing_per_capita!K136-Gasto_o_ing_per_capita!$D136</f>
        <v>-3.4673362802345162E-2</v>
      </c>
      <c r="L136" s="336">
        <f>Gasto_o_ing_per_capita!L136-Gasto_o_ing_per_capita!$D136</f>
        <v>-3.4673362802345162E-2</v>
      </c>
      <c r="M136" s="336">
        <f>Gasto_o_ing_per_capita!M136-Gasto_o_ing_per_capita!$D136</f>
        <v>-3.4673362802345162E-2</v>
      </c>
      <c r="N136" s="336">
        <f>Gasto_o_ing_per_capita!N136-Gasto_o_ing_per_capita!$D136</f>
        <v>-3.4673362802345162E-2</v>
      </c>
      <c r="O136" s="336">
        <f>Gasto_o_ing_per_capita!O136-Gasto_o_ing_per_capita!$D136</f>
        <v>-3.4673362802345162E-2</v>
      </c>
      <c r="P136" s="336">
        <f>Gasto_o_ing_per_capita!P136-Gasto_o_ing_per_capita!$D136</f>
        <v>-3.4673362802345162E-2</v>
      </c>
      <c r="Q136" s="336">
        <f>Gasto_o_ing_per_capita!Q136-Gasto_o_ing_per_capita!$D136</f>
        <v>-3.4673362802345162E-2</v>
      </c>
      <c r="R136" s="336">
        <f>Gasto_o_ing_per_capita!R136-Gasto_o_ing_per_capita!$D136</f>
        <v>-3.4673362802345162E-2</v>
      </c>
      <c r="S136" s="336">
        <f>Gasto_o_ing_per_capita!S136-Gasto_o_ing_per_capita!$D136</f>
        <v>-3.4673362802345162E-2</v>
      </c>
      <c r="T136" s="336">
        <f>Gasto_o_ing_per_capita!T136-Gasto_o_ing_per_capita!$D136</f>
        <v>-3.4673362802345162E-2</v>
      </c>
      <c r="U136" s="336">
        <f>Gasto_o_ing_per_capita!U136-Gasto_o_ing_per_capita!$D136</f>
        <v>-3.4673362802345162E-2</v>
      </c>
      <c r="V136" s="336">
        <f>Gasto_o_ing_per_capita!V136-Gasto_o_ing_per_capita!$D136</f>
        <v>9.6171752369409358</v>
      </c>
      <c r="W136" s="122"/>
      <c r="X136" s="104"/>
    </row>
    <row r="137" spans="1:24" s="102" customFormat="1" ht="13.15">
      <c r="A137" s="355" t="str">
        <f>IF(B137="","",(IF(ISERROR(MATCH(B137,Tot_res!C:C,0)),"Eliminar!!!","")))</f>
        <v/>
      </c>
      <c r="B137" s="115" t="s">
        <v>1007</v>
      </c>
      <c r="C137" s="333" t="str">
        <f>VLOOKUP(B137,Tot_res!C:D,2,FALSE)</f>
        <v xml:space="preserve">Atención Primaria de Salud, INGESA, Ceuta y Melilla </v>
      </c>
      <c r="D137" s="336">
        <f>Gasto_o_ing_per_capita!D137-Gasto_o_ing_per_capita!$D137</f>
        <v>0</v>
      </c>
      <c r="E137" s="336">
        <f>Gasto_o_ing_per_capita!E137-Gasto_o_ing_per_capita!$D137</f>
        <v>-1.1837816763513929</v>
      </c>
      <c r="F137" s="336">
        <f>Gasto_o_ing_per_capita!F137-Gasto_o_ing_per_capita!$D137</f>
        <v>-1.1837816763513929</v>
      </c>
      <c r="G137" s="336">
        <f>Gasto_o_ing_per_capita!G137-Gasto_o_ing_per_capita!$D137</f>
        <v>-1.1837816763513929</v>
      </c>
      <c r="H137" s="336">
        <f>Gasto_o_ing_per_capita!H137-Gasto_o_ing_per_capita!$D137</f>
        <v>-1.1837816763513929</v>
      </c>
      <c r="I137" s="336">
        <f>Gasto_o_ing_per_capita!I137-Gasto_o_ing_per_capita!$D137</f>
        <v>-1.1837816763513929</v>
      </c>
      <c r="J137" s="336">
        <f>Gasto_o_ing_per_capita!J137-Gasto_o_ing_per_capita!$D137</f>
        <v>-1.1837816763513929</v>
      </c>
      <c r="K137" s="336">
        <f>Gasto_o_ing_per_capita!K137-Gasto_o_ing_per_capita!$D137</f>
        <v>-1.1837816763513929</v>
      </c>
      <c r="L137" s="336">
        <f>Gasto_o_ing_per_capita!L137-Gasto_o_ing_per_capita!$D137</f>
        <v>-1.1837816763513929</v>
      </c>
      <c r="M137" s="336">
        <f>Gasto_o_ing_per_capita!M137-Gasto_o_ing_per_capita!$D137</f>
        <v>-1.1837816763513929</v>
      </c>
      <c r="N137" s="336">
        <f>Gasto_o_ing_per_capita!N137-Gasto_o_ing_per_capita!$D137</f>
        <v>-1.1837816763513929</v>
      </c>
      <c r="O137" s="336">
        <f>Gasto_o_ing_per_capita!O137-Gasto_o_ing_per_capita!$D137</f>
        <v>-1.1837816763513929</v>
      </c>
      <c r="P137" s="336">
        <f>Gasto_o_ing_per_capita!P137-Gasto_o_ing_per_capita!$D137</f>
        <v>-1.1837816763513929</v>
      </c>
      <c r="Q137" s="336">
        <f>Gasto_o_ing_per_capita!Q137-Gasto_o_ing_per_capita!$D137</f>
        <v>-1.1837816763513929</v>
      </c>
      <c r="R137" s="336">
        <f>Gasto_o_ing_per_capita!R137-Gasto_o_ing_per_capita!$D137</f>
        <v>-1.1837816763513929</v>
      </c>
      <c r="S137" s="336">
        <f>Gasto_o_ing_per_capita!S137-Gasto_o_ing_per_capita!$D137</f>
        <v>-1.1837816763513929</v>
      </c>
      <c r="T137" s="336">
        <f>Gasto_o_ing_per_capita!T137-Gasto_o_ing_per_capita!$D137</f>
        <v>-1.1837816763513929</v>
      </c>
      <c r="U137" s="336">
        <f>Gasto_o_ing_per_capita!U137-Gasto_o_ing_per_capita!$D137</f>
        <v>-1.1837816763513929</v>
      </c>
      <c r="V137" s="336">
        <f>Gasto_o_ing_per_capita!V137-Gasto_o_ing_per_capita!$D137</f>
        <v>328.3395351252471</v>
      </c>
      <c r="W137" s="122"/>
      <c r="X137" s="104"/>
    </row>
    <row r="138" spans="1:24" s="102" customFormat="1" ht="13.15">
      <c r="A138" s="355" t="str">
        <f>IF(B138="","",(IF(ISERROR(MATCH(B138,Tot_res!C:C,0)),"Eliminar!!!","")))</f>
        <v/>
      </c>
      <c r="B138" s="115" t="s">
        <v>1008</v>
      </c>
      <c r="C138" s="333" t="str">
        <f>VLOOKUP(B138,Tot_res!C:D,2,FALSE)</f>
        <v>Atención Especializada, gasto directo del INGESA en Ceuta y Melilla</v>
      </c>
      <c r="D138" s="336">
        <f>Gasto_o_ing_per_capita!D138-Gasto_o_ing_per_capita!$D138</f>
        <v>0</v>
      </c>
      <c r="E138" s="336">
        <f>Gasto_o_ing_per_capita!E138-Gasto_o_ing_per_capita!$D138</f>
        <v>-2.9268866190484522</v>
      </c>
      <c r="F138" s="336">
        <f>Gasto_o_ing_per_capita!F138-Gasto_o_ing_per_capita!$D138</f>
        <v>-2.9268866190484522</v>
      </c>
      <c r="G138" s="336">
        <f>Gasto_o_ing_per_capita!G138-Gasto_o_ing_per_capita!$D138</f>
        <v>-2.9268866190484522</v>
      </c>
      <c r="H138" s="336">
        <f>Gasto_o_ing_per_capita!H138-Gasto_o_ing_per_capita!$D138</f>
        <v>-2.9268866190484522</v>
      </c>
      <c r="I138" s="336">
        <f>Gasto_o_ing_per_capita!I138-Gasto_o_ing_per_capita!$D138</f>
        <v>-2.9268866190484522</v>
      </c>
      <c r="J138" s="336">
        <f>Gasto_o_ing_per_capita!J138-Gasto_o_ing_per_capita!$D138</f>
        <v>-2.9268866190484522</v>
      </c>
      <c r="K138" s="336">
        <f>Gasto_o_ing_per_capita!K138-Gasto_o_ing_per_capita!$D138</f>
        <v>-2.9268866190484522</v>
      </c>
      <c r="L138" s="336">
        <f>Gasto_o_ing_per_capita!L138-Gasto_o_ing_per_capita!$D138</f>
        <v>-2.9268866190484522</v>
      </c>
      <c r="M138" s="336">
        <f>Gasto_o_ing_per_capita!M138-Gasto_o_ing_per_capita!$D138</f>
        <v>-2.9268866190484522</v>
      </c>
      <c r="N138" s="336">
        <f>Gasto_o_ing_per_capita!N138-Gasto_o_ing_per_capita!$D138</f>
        <v>-2.9268866190484522</v>
      </c>
      <c r="O138" s="336">
        <f>Gasto_o_ing_per_capita!O138-Gasto_o_ing_per_capita!$D138</f>
        <v>-2.9268866190484522</v>
      </c>
      <c r="P138" s="336">
        <f>Gasto_o_ing_per_capita!P138-Gasto_o_ing_per_capita!$D138</f>
        <v>-2.9268866190484522</v>
      </c>
      <c r="Q138" s="336">
        <f>Gasto_o_ing_per_capita!Q138-Gasto_o_ing_per_capita!$D138</f>
        <v>-2.9268866190484522</v>
      </c>
      <c r="R138" s="336">
        <f>Gasto_o_ing_per_capita!R138-Gasto_o_ing_per_capita!$D138</f>
        <v>-2.9268866190484522</v>
      </c>
      <c r="S138" s="336">
        <f>Gasto_o_ing_per_capita!S138-Gasto_o_ing_per_capita!$D138</f>
        <v>-2.9268866190484522</v>
      </c>
      <c r="T138" s="336">
        <f>Gasto_o_ing_per_capita!T138-Gasto_o_ing_per_capita!$D138</f>
        <v>-2.9268866190484522</v>
      </c>
      <c r="U138" s="336">
        <f>Gasto_o_ing_per_capita!U138-Gasto_o_ing_per_capita!$D138</f>
        <v>-2.9268866190484522</v>
      </c>
      <c r="V138" s="336">
        <f>Gasto_o_ing_per_capita!V138-Gasto_o_ing_per_capita!$D138</f>
        <v>811.81573516551771</v>
      </c>
      <c r="W138" s="122"/>
      <c r="X138" s="104"/>
    </row>
    <row r="139" spans="1:24" s="102" customFormat="1" ht="13.15">
      <c r="A139" s="355" t="str">
        <f>IF(B139="","",(IF(ISERROR(MATCH(B139,Tot_res!C:C,0)),"Eliminar!!!","")))</f>
        <v/>
      </c>
      <c r="B139" s="115" t="s">
        <v>977</v>
      </c>
      <c r="C139" s="333" t="str">
        <f>VLOOKUP(B139,Tot_res!C:D,2,FALSE)</f>
        <v>Admón.,Ser.Grales.y Cont.Int.Asist.San, gasto directo del INGESA en Ceuta y Melila</v>
      </c>
      <c r="D139" s="336">
        <f>Gasto_o_ing_per_capita!D139-Gasto_o_ing_per_capita!$D139</f>
        <v>0</v>
      </c>
      <c r="E139" s="336">
        <f>Gasto_o_ing_per_capita!E139-Gasto_o_ing_per_capita!$D139</f>
        <v>-0.25522250620948062</v>
      </c>
      <c r="F139" s="336">
        <f>Gasto_o_ing_per_capita!F139-Gasto_o_ing_per_capita!$D139</f>
        <v>-0.25522250620948062</v>
      </c>
      <c r="G139" s="336">
        <f>Gasto_o_ing_per_capita!G139-Gasto_o_ing_per_capita!$D139</f>
        <v>-0.25522250620948062</v>
      </c>
      <c r="H139" s="336">
        <f>Gasto_o_ing_per_capita!H139-Gasto_o_ing_per_capita!$D139</f>
        <v>-0.25522250620948062</v>
      </c>
      <c r="I139" s="336">
        <f>Gasto_o_ing_per_capita!I139-Gasto_o_ing_per_capita!$D139</f>
        <v>-0.25522250620948062</v>
      </c>
      <c r="J139" s="336">
        <f>Gasto_o_ing_per_capita!J139-Gasto_o_ing_per_capita!$D139</f>
        <v>-0.25522250620948062</v>
      </c>
      <c r="K139" s="336">
        <f>Gasto_o_ing_per_capita!K139-Gasto_o_ing_per_capita!$D139</f>
        <v>-0.25522250620948062</v>
      </c>
      <c r="L139" s="336">
        <f>Gasto_o_ing_per_capita!L139-Gasto_o_ing_per_capita!$D139</f>
        <v>-0.25522250620948062</v>
      </c>
      <c r="M139" s="336">
        <f>Gasto_o_ing_per_capita!M139-Gasto_o_ing_per_capita!$D139</f>
        <v>-0.25522250620948062</v>
      </c>
      <c r="N139" s="336">
        <f>Gasto_o_ing_per_capita!N139-Gasto_o_ing_per_capita!$D139</f>
        <v>-0.25522250620948062</v>
      </c>
      <c r="O139" s="336">
        <f>Gasto_o_ing_per_capita!O139-Gasto_o_ing_per_capita!$D139</f>
        <v>-0.25522250620948062</v>
      </c>
      <c r="P139" s="336">
        <f>Gasto_o_ing_per_capita!P139-Gasto_o_ing_per_capita!$D139</f>
        <v>-0.25522250620948062</v>
      </c>
      <c r="Q139" s="336">
        <f>Gasto_o_ing_per_capita!Q139-Gasto_o_ing_per_capita!$D139</f>
        <v>-0.25522250620948062</v>
      </c>
      <c r="R139" s="336">
        <f>Gasto_o_ing_per_capita!R139-Gasto_o_ing_per_capita!$D139</f>
        <v>-0.25522250620948062</v>
      </c>
      <c r="S139" s="336">
        <f>Gasto_o_ing_per_capita!S139-Gasto_o_ing_per_capita!$D139</f>
        <v>-0.25522250620948062</v>
      </c>
      <c r="T139" s="336">
        <f>Gasto_o_ing_per_capita!T139-Gasto_o_ing_per_capita!$D139</f>
        <v>-0.25522250620948062</v>
      </c>
      <c r="U139" s="336">
        <f>Gasto_o_ing_per_capita!U139-Gasto_o_ing_per_capita!$D139</f>
        <v>-0.25522250620948062</v>
      </c>
      <c r="V139" s="336">
        <f>Gasto_o_ing_per_capita!V139-Gasto_o_ing_per_capita!$D139</f>
        <v>70.789775442888626</v>
      </c>
      <c r="W139" s="122"/>
      <c r="X139" s="104"/>
    </row>
    <row r="140" spans="1:24" s="102" customFormat="1" ht="13.15">
      <c r="A140" s="355" t="str">
        <f>IF(B140="","",(IF(ISERROR(MATCH(B140,Tot_res!C:C,0)),"Eliminar!!!","")))</f>
        <v/>
      </c>
      <c r="B140" s="115" t="s">
        <v>978</v>
      </c>
      <c r="C140" s="333" t="str">
        <f>VLOOKUP(B140,Tot_res!C:D,2,FALSE)</f>
        <v>Formación del Personal Sanitario, gasto directo del INGESA en Ceuta y Melilla</v>
      </c>
      <c r="D140" s="336">
        <f>Gasto_o_ing_per_capita!D140-Gasto_o_ing_per_capita!$D140</f>
        <v>0</v>
      </c>
      <c r="E140" s="336">
        <f>Gasto_o_ing_per_capita!E140-Gasto_o_ing_per_capita!$D140</f>
        <v>-4.0271019972029309E-2</v>
      </c>
      <c r="F140" s="336">
        <f>Gasto_o_ing_per_capita!F140-Gasto_o_ing_per_capita!$D140</f>
        <v>-4.0271019972029309E-2</v>
      </c>
      <c r="G140" s="336">
        <f>Gasto_o_ing_per_capita!G140-Gasto_o_ing_per_capita!$D140</f>
        <v>-4.0271019972029309E-2</v>
      </c>
      <c r="H140" s="336">
        <f>Gasto_o_ing_per_capita!H140-Gasto_o_ing_per_capita!$D140</f>
        <v>-4.0271019972029309E-2</v>
      </c>
      <c r="I140" s="336">
        <f>Gasto_o_ing_per_capita!I140-Gasto_o_ing_per_capita!$D140</f>
        <v>-4.0271019972029309E-2</v>
      </c>
      <c r="J140" s="336">
        <f>Gasto_o_ing_per_capita!J140-Gasto_o_ing_per_capita!$D140</f>
        <v>-4.0271019972029309E-2</v>
      </c>
      <c r="K140" s="336">
        <f>Gasto_o_ing_per_capita!K140-Gasto_o_ing_per_capita!$D140</f>
        <v>-4.0271019972029309E-2</v>
      </c>
      <c r="L140" s="336">
        <f>Gasto_o_ing_per_capita!L140-Gasto_o_ing_per_capita!$D140</f>
        <v>-4.0271019972029309E-2</v>
      </c>
      <c r="M140" s="336">
        <f>Gasto_o_ing_per_capita!M140-Gasto_o_ing_per_capita!$D140</f>
        <v>-4.0271019972029309E-2</v>
      </c>
      <c r="N140" s="336">
        <f>Gasto_o_ing_per_capita!N140-Gasto_o_ing_per_capita!$D140</f>
        <v>-4.0271019972029309E-2</v>
      </c>
      <c r="O140" s="336">
        <f>Gasto_o_ing_per_capita!O140-Gasto_o_ing_per_capita!$D140</f>
        <v>-4.0271019972029309E-2</v>
      </c>
      <c r="P140" s="336">
        <f>Gasto_o_ing_per_capita!P140-Gasto_o_ing_per_capita!$D140</f>
        <v>-4.0271019972029309E-2</v>
      </c>
      <c r="Q140" s="336">
        <f>Gasto_o_ing_per_capita!Q140-Gasto_o_ing_per_capita!$D140</f>
        <v>-4.0271019972029309E-2</v>
      </c>
      <c r="R140" s="336">
        <f>Gasto_o_ing_per_capita!R140-Gasto_o_ing_per_capita!$D140</f>
        <v>-4.0271019972029309E-2</v>
      </c>
      <c r="S140" s="336">
        <f>Gasto_o_ing_per_capita!S140-Gasto_o_ing_per_capita!$D140</f>
        <v>-4.0271019972029309E-2</v>
      </c>
      <c r="T140" s="336">
        <f>Gasto_o_ing_per_capita!T140-Gasto_o_ing_per_capita!$D140</f>
        <v>-4.0271019972029309E-2</v>
      </c>
      <c r="U140" s="336">
        <f>Gasto_o_ing_per_capita!U140-Gasto_o_ing_per_capita!$D140</f>
        <v>-4.0271019972029309E-2</v>
      </c>
      <c r="V140" s="336">
        <f>Gasto_o_ing_per_capita!V140-Gasto_o_ing_per_capita!$D140</f>
        <v>11.169769089001058</v>
      </c>
      <c r="W140" s="122"/>
      <c r="X140" s="104"/>
    </row>
    <row r="141" spans="1:24" s="102" customFormat="1" ht="13.15">
      <c r="A141" s="355" t="str">
        <f>IF(B141="","",(IF(ISERROR(MATCH(B141,Tot_res!C:C,0)),"Eliminar!!!","")))</f>
        <v/>
      </c>
      <c r="B141" s="115" t="s">
        <v>979</v>
      </c>
      <c r="C141" s="333" t="str">
        <f>VLOOKUP(B141,Tot_res!C:D,2,FALSE)</f>
        <v>Servicios Sociales Generales, gasto directo del IMSERSO en Ceuta y Melilla</v>
      </c>
      <c r="D141" s="336">
        <f>Gasto_o_ing_per_capita!D141-Gasto_o_ing_per_capita!$D141</f>
        <v>0</v>
      </c>
      <c r="E141" s="336">
        <f>Gasto_o_ing_per_capita!E141-Gasto_o_ing_per_capita!$D141</f>
        <v>-0.47595343688435304</v>
      </c>
      <c r="F141" s="336">
        <f>Gasto_o_ing_per_capita!F141-Gasto_o_ing_per_capita!$D141</f>
        <v>-0.47595343688435304</v>
      </c>
      <c r="G141" s="336">
        <f>Gasto_o_ing_per_capita!G141-Gasto_o_ing_per_capita!$D141</f>
        <v>-0.47595343688435304</v>
      </c>
      <c r="H141" s="336">
        <f>Gasto_o_ing_per_capita!H141-Gasto_o_ing_per_capita!$D141</f>
        <v>-0.47595343688435304</v>
      </c>
      <c r="I141" s="336">
        <f>Gasto_o_ing_per_capita!I141-Gasto_o_ing_per_capita!$D141</f>
        <v>-0.47595343688435304</v>
      </c>
      <c r="J141" s="336">
        <f>Gasto_o_ing_per_capita!J141-Gasto_o_ing_per_capita!$D141</f>
        <v>-0.47595343688435304</v>
      </c>
      <c r="K141" s="336">
        <f>Gasto_o_ing_per_capita!K141-Gasto_o_ing_per_capita!$D141</f>
        <v>-0.47595343688435304</v>
      </c>
      <c r="L141" s="336">
        <f>Gasto_o_ing_per_capita!L141-Gasto_o_ing_per_capita!$D141</f>
        <v>-0.47595343688435304</v>
      </c>
      <c r="M141" s="336">
        <f>Gasto_o_ing_per_capita!M141-Gasto_o_ing_per_capita!$D141</f>
        <v>-0.47595343688435304</v>
      </c>
      <c r="N141" s="336">
        <f>Gasto_o_ing_per_capita!N141-Gasto_o_ing_per_capita!$D141</f>
        <v>-0.47595343688435304</v>
      </c>
      <c r="O141" s="336">
        <f>Gasto_o_ing_per_capita!O141-Gasto_o_ing_per_capita!$D141</f>
        <v>-0.47595343688435304</v>
      </c>
      <c r="P141" s="336">
        <f>Gasto_o_ing_per_capita!P141-Gasto_o_ing_per_capita!$D141</f>
        <v>-0.47595343688435304</v>
      </c>
      <c r="Q141" s="336">
        <f>Gasto_o_ing_per_capita!Q141-Gasto_o_ing_per_capita!$D141</f>
        <v>-0.47595343688435304</v>
      </c>
      <c r="R141" s="336">
        <f>Gasto_o_ing_per_capita!R141-Gasto_o_ing_per_capita!$D141</f>
        <v>-0.47595343688435304</v>
      </c>
      <c r="S141" s="336">
        <f>Gasto_o_ing_per_capita!S141-Gasto_o_ing_per_capita!$D141</f>
        <v>-0.47595343688435304</v>
      </c>
      <c r="T141" s="336">
        <f>Gasto_o_ing_per_capita!T141-Gasto_o_ing_per_capita!$D141</f>
        <v>-0.47595343688435304</v>
      </c>
      <c r="U141" s="336">
        <f>Gasto_o_ing_per_capita!U141-Gasto_o_ing_per_capita!$D141</f>
        <v>-0.47595343688435304</v>
      </c>
      <c r="V141" s="336">
        <f>Gasto_o_ing_per_capita!V141-Gasto_o_ing_per_capita!$D141</f>
        <v>132.0127970636739</v>
      </c>
      <c r="W141" s="122"/>
      <c r="X141" s="104"/>
    </row>
    <row r="142" spans="1:24" s="102" customFormat="1" ht="13.15">
      <c r="A142" s="355" t="str">
        <f>IF(B142="","",(IF(ISERROR(MATCH(B142,Tot_res!C:C,0)),"Eliminar!!!","")))</f>
        <v/>
      </c>
      <c r="B142" s="115" t="s">
        <v>980</v>
      </c>
      <c r="C142" s="333" t="str">
        <f>VLOOKUP(B142,Tot_res!C:D,2,FALSE)</f>
        <v>Administración y Servicios Generales de Servicios Sociales, gasto directo del IMSERSO en Ceuta y Melilla</v>
      </c>
      <c r="D142" s="336">
        <f>Gasto_o_ing_per_capita!D142-Gasto_o_ing_per_capita!$D142</f>
        <v>0</v>
      </c>
      <c r="E142" s="336">
        <f>Gasto_o_ing_per_capita!E142-Gasto_o_ing_per_capita!$D142</f>
        <v>-4.0939063732613044E-2</v>
      </c>
      <c r="F142" s="336">
        <f>Gasto_o_ing_per_capita!F142-Gasto_o_ing_per_capita!$D142</f>
        <v>-4.0939063732613044E-2</v>
      </c>
      <c r="G142" s="336">
        <f>Gasto_o_ing_per_capita!G142-Gasto_o_ing_per_capita!$D142</f>
        <v>-4.0939063732613044E-2</v>
      </c>
      <c r="H142" s="336">
        <f>Gasto_o_ing_per_capita!H142-Gasto_o_ing_per_capita!$D142</f>
        <v>-4.0939063732613044E-2</v>
      </c>
      <c r="I142" s="336">
        <f>Gasto_o_ing_per_capita!I142-Gasto_o_ing_per_capita!$D142</f>
        <v>-4.0939063732613044E-2</v>
      </c>
      <c r="J142" s="336">
        <f>Gasto_o_ing_per_capita!J142-Gasto_o_ing_per_capita!$D142</f>
        <v>-4.0939063732613044E-2</v>
      </c>
      <c r="K142" s="336">
        <f>Gasto_o_ing_per_capita!K142-Gasto_o_ing_per_capita!$D142</f>
        <v>-4.0939063732613044E-2</v>
      </c>
      <c r="L142" s="336">
        <f>Gasto_o_ing_per_capita!L142-Gasto_o_ing_per_capita!$D142</f>
        <v>-4.0939063732613044E-2</v>
      </c>
      <c r="M142" s="336">
        <f>Gasto_o_ing_per_capita!M142-Gasto_o_ing_per_capita!$D142</f>
        <v>-4.0939063732613044E-2</v>
      </c>
      <c r="N142" s="336">
        <f>Gasto_o_ing_per_capita!N142-Gasto_o_ing_per_capita!$D142</f>
        <v>-4.0939063732613044E-2</v>
      </c>
      <c r="O142" s="336">
        <f>Gasto_o_ing_per_capita!O142-Gasto_o_ing_per_capita!$D142</f>
        <v>-4.0939063732613044E-2</v>
      </c>
      <c r="P142" s="336">
        <f>Gasto_o_ing_per_capita!P142-Gasto_o_ing_per_capita!$D142</f>
        <v>-4.0939063732613044E-2</v>
      </c>
      <c r="Q142" s="336">
        <f>Gasto_o_ing_per_capita!Q142-Gasto_o_ing_per_capita!$D142</f>
        <v>-4.0939063732613044E-2</v>
      </c>
      <c r="R142" s="336">
        <f>Gasto_o_ing_per_capita!R142-Gasto_o_ing_per_capita!$D142</f>
        <v>-4.0939063732613044E-2</v>
      </c>
      <c r="S142" s="336">
        <f>Gasto_o_ing_per_capita!S142-Gasto_o_ing_per_capita!$D142</f>
        <v>-4.0939063732613044E-2</v>
      </c>
      <c r="T142" s="336">
        <f>Gasto_o_ing_per_capita!T142-Gasto_o_ing_per_capita!$D142</f>
        <v>-4.0939063732613044E-2</v>
      </c>
      <c r="U142" s="336">
        <f>Gasto_o_ing_per_capita!U142-Gasto_o_ing_per_capita!$D142</f>
        <v>-4.0939063732613044E-2</v>
      </c>
      <c r="V142" s="336">
        <f>Gasto_o_ing_per_capita!V142-Gasto_o_ing_per_capita!$D142</f>
        <v>11.355061007414124</v>
      </c>
      <c r="W142" s="122"/>
      <c r="X142" s="104"/>
    </row>
    <row r="143" spans="1:24" s="102" customFormat="1" ht="13.15">
      <c r="A143" s="355" t="str">
        <f>IF(B143="","",(IF(ISERROR(MATCH(B143,Tot_res!C:C,0)),"Eliminar!!!","")))</f>
        <v/>
      </c>
      <c r="B143" s="115" t="s">
        <v>219</v>
      </c>
      <c r="C143" s="333" t="str">
        <f>VLOOKUP(B143,Tot_res!C:D,2,FALSE)</f>
        <v>Recaudación IPSI</v>
      </c>
      <c r="D143" s="336">
        <f>Gasto_o_ing_per_capita!D143-Gasto_o_ing_per_capita!$D143</f>
        <v>0</v>
      </c>
      <c r="E143" s="336">
        <f>Gasto_o_ing_per_capita!E143-Gasto_o_ing_per_capita!$D143</f>
        <v>-3.1352979331749</v>
      </c>
      <c r="F143" s="336">
        <f>Gasto_o_ing_per_capita!F143-Gasto_o_ing_per_capita!$D143</f>
        <v>-3.1352979331749</v>
      </c>
      <c r="G143" s="336">
        <f>Gasto_o_ing_per_capita!G143-Gasto_o_ing_per_capita!$D143</f>
        <v>-3.1352979331749</v>
      </c>
      <c r="H143" s="336">
        <f>Gasto_o_ing_per_capita!H143-Gasto_o_ing_per_capita!$D143</f>
        <v>-3.1352979331749</v>
      </c>
      <c r="I143" s="336">
        <f>Gasto_o_ing_per_capita!I143-Gasto_o_ing_per_capita!$D143</f>
        <v>-3.1352979331749</v>
      </c>
      <c r="J143" s="336">
        <f>Gasto_o_ing_per_capita!J143-Gasto_o_ing_per_capita!$D143</f>
        <v>-3.1352979331749</v>
      </c>
      <c r="K143" s="336">
        <f>Gasto_o_ing_per_capita!K143-Gasto_o_ing_per_capita!$D143</f>
        <v>-3.1352979331749</v>
      </c>
      <c r="L143" s="336">
        <f>Gasto_o_ing_per_capita!L143-Gasto_o_ing_per_capita!$D143</f>
        <v>-3.1352979331749</v>
      </c>
      <c r="M143" s="336">
        <f>Gasto_o_ing_per_capita!M143-Gasto_o_ing_per_capita!$D143</f>
        <v>-3.1352979331749</v>
      </c>
      <c r="N143" s="336">
        <f>Gasto_o_ing_per_capita!N143-Gasto_o_ing_per_capita!$D143</f>
        <v>-3.1352979331749</v>
      </c>
      <c r="O143" s="336">
        <f>Gasto_o_ing_per_capita!O143-Gasto_o_ing_per_capita!$D143</f>
        <v>-3.1352979331749</v>
      </c>
      <c r="P143" s="336">
        <f>Gasto_o_ing_per_capita!P143-Gasto_o_ing_per_capita!$D143</f>
        <v>-3.1352979331749</v>
      </c>
      <c r="Q143" s="336">
        <f>Gasto_o_ing_per_capita!Q143-Gasto_o_ing_per_capita!$D143</f>
        <v>-3.1352979331749</v>
      </c>
      <c r="R143" s="336">
        <f>Gasto_o_ing_per_capita!R143-Gasto_o_ing_per_capita!$D143</f>
        <v>-3.1352979331749</v>
      </c>
      <c r="S143" s="336">
        <f>Gasto_o_ing_per_capita!S143-Gasto_o_ing_per_capita!$D143</f>
        <v>-3.1352979331749</v>
      </c>
      <c r="T143" s="336">
        <f>Gasto_o_ing_per_capita!T143-Gasto_o_ing_per_capita!$D143</f>
        <v>-3.1352979331749</v>
      </c>
      <c r="U143" s="336">
        <f>Gasto_o_ing_per_capita!U143-Gasto_o_ing_per_capita!$D143</f>
        <v>-3.1352979331749</v>
      </c>
      <c r="V143" s="336">
        <f>Gasto_o_ing_per_capita!V143-Gasto_o_ing_per_capita!$D143</f>
        <v>869.62172706600984</v>
      </c>
      <c r="W143" s="122"/>
      <c r="X143" s="104"/>
    </row>
    <row r="144" spans="1:24" s="102" customFormat="1" ht="13.15">
      <c r="A144" s="355" t="str">
        <f>IF(B144="","",(IF(ISERROR(MATCH(B144,Tot_res!C:C,0)),"Eliminar!!!","")))</f>
        <v/>
      </c>
      <c r="B144" s="115" t="s">
        <v>981</v>
      </c>
      <c r="C144" s="333" t="str">
        <f>VLOOKUP(B144,Tot_res!C:D,2,FALSE)</f>
        <v xml:space="preserve">Otras aportaciones a Corporaciones Locales, compensaciones IPSI Ceuta y Melilla </v>
      </c>
      <c r="D144" s="336">
        <f>Gasto_o_ing_per_capita!D144-Gasto_o_ing_per_capita!$D144</f>
        <v>0</v>
      </c>
      <c r="E144" s="336">
        <f>Gasto_o_ing_per_capita!E144-Gasto_o_ing_per_capita!$D144</f>
        <v>-1.7257559724205218</v>
      </c>
      <c r="F144" s="336">
        <f>Gasto_o_ing_per_capita!F144-Gasto_o_ing_per_capita!$D144</f>
        <v>-1.7257559724205218</v>
      </c>
      <c r="G144" s="336">
        <f>Gasto_o_ing_per_capita!G144-Gasto_o_ing_per_capita!$D144</f>
        <v>-1.7257559724205218</v>
      </c>
      <c r="H144" s="336">
        <f>Gasto_o_ing_per_capita!H144-Gasto_o_ing_per_capita!$D144</f>
        <v>-1.7257559724205218</v>
      </c>
      <c r="I144" s="336">
        <f>Gasto_o_ing_per_capita!I144-Gasto_o_ing_per_capita!$D144</f>
        <v>-1.7257559724205218</v>
      </c>
      <c r="J144" s="336">
        <f>Gasto_o_ing_per_capita!J144-Gasto_o_ing_per_capita!$D144</f>
        <v>-1.7257559724205218</v>
      </c>
      <c r="K144" s="336">
        <f>Gasto_o_ing_per_capita!K144-Gasto_o_ing_per_capita!$D144</f>
        <v>-1.7257559724205218</v>
      </c>
      <c r="L144" s="336">
        <f>Gasto_o_ing_per_capita!L144-Gasto_o_ing_per_capita!$D144</f>
        <v>-1.7257559724205218</v>
      </c>
      <c r="M144" s="336">
        <f>Gasto_o_ing_per_capita!M144-Gasto_o_ing_per_capita!$D144</f>
        <v>-1.7257559724205218</v>
      </c>
      <c r="N144" s="336">
        <f>Gasto_o_ing_per_capita!N144-Gasto_o_ing_per_capita!$D144</f>
        <v>-1.7257559724205218</v>
      </c>
      <c r="O144" s="336">
        <f>Gasto_o_ing_per_capita!O144-Gasto_o_ing_per_capita!$D144</f>
        <v>-1.7257559724205218</v>
      </c>
      <c r="P144" s="336">
        <f>Gasto_o_ing_per_capita!P144-Gasto_o_ing_per_capita!$D144</f>
        <v>-1.7257559724205218</v>
      </c>
      <c r="Q144" s="336">
        <f>Gasto_o_ing_per_capita!Q144-Gasto_o_ing_per_capita!$D144</f>
        <v>-1.7257559724205218</v>
      </c>
      <c r="R144" s="336">
        <f>Gasto_o_ing_per_capita!R144-Gasto_o_ing_per_capita!$D144</f>
        <v>-1.7257559724205218</v>
      </c>
      <c r="S144" s="336">
        <f>Gasto_o_ing_per_capita!S144-Gasto_o_ing_per_capita!$D144</f>
        <v>-1.7257559724205218</v>
      </c>
      <c r="T144" s="336">
        <f>Gasto_o_ing_per_capita!T144-Gasto_o_ing_per_capita!$D144</f>
        <v>-1.7257559724205218</v>
      </c>
      <c r="U144" s="336">
        <f>Gasto_o_ing_per_capita!U144-Gasto_o_ing_per_capita!$D144</f>
        <v>-1.7257559724205218</v>
      </c>
      <c r="V144" s="336">
        <f>Gasto_o_ing_per_capita!V144-Gasto_o_ing_per_capita!$D144</f>
        <v>478.6642039186064</v>
      </c>
      <c r="W144" s="122"/>
      <c r="X144" s="104"/>
    </row>
    <row r="145" spans="1:24" ht="13.15">
      <c r="A145" s="356"/>
      <c r="B145" s="9"/>
      <c r="C145" s="5"/>
      <c r="D145" s="19"/>
      <c r="E145" s="19"/>
      <c r="F145" s="19"/>
      <c r="G145" s="19"/>
      <c r="H145" s="19"/>
      <c r="I145" s="19"/>
      <c r="J145" s="19"/>
      <c r="K145" s="19"/>
      <c r="L145" s="19"/>
      <c r="M145" s="19"/>
      <c r="N145" s="19"/>
      <c r="O145" s="19"/>
      <c r="P145" s="19"/>
      <c r="Q145" s="19"/>
      <c r="R145" s="19"/>
      <c r="S145" s="19"/>
      <c r="T145" s="19"/>
      <c r="U145" s="19"/>
      <c r="V145" s="19"/>
      <c r="W145" s="24"/>
      <c r="X145" s="15"/>
    </row>
    <row r="146" spans="1:24" s="102" customFormat="1" ht="26.3">
      <c r="A146" s="356"/>
      <c r="B146" s="137"/>
      <c r="C146" s="117" t="s">
        <v>220</v>
      </c>
      <c r="D146" s="113">
        <f>Gasto_o_ing_per_capita!D146-Gasto_o_ing_per_capita!$D146</f>
        <v>0</v>
      </c>
      <c r="E146" s="113">
        <f>Gasto_o_ing_per_capita!E146-Gasto_o_ing_per_capita!$D146</f>
        <v>-334.49438681870811</v>
      </c>
      <c r="F146" s="113">
        <f>Gasto_o_ing_per_capita!F146-Gasto_o_ing_per_capita!$D146</f>
        <v>-334.49438681870811</v>
      </c>
      <c r="G146" s="113">
        <f>Gasto_o_ing_per_capita!G146-Gasto_o_ing_per_capita!$D146</f>
        <v>-334.49438681870811</v>
      </c>
      <c r="H146" s="113">
        <f>Gasto_o_ing_per_capita!H146-Gasto_o_ing_per_capita!$D146</f>
        <v>-334.49438681870811</v>
      </c>
      <c r="I146" s="113">
        <f>Gasto_o_ing_per_capita!I146-Gasto_o_ing_per_capita!$D146</f>
        <v>-334.49438681870811</v>
      </c>
      <c r="J146" s="113">
        <f>Gasto_o_ing_per_capita!J146-Gasto_o_ing_per_capita!$D146</f>
        <v>-334.49438681870811</v>
      </c>
      <c r="K146" s="113">
        <f>Gasto_o_ing_per_capita!K146-Gasto_o_ing_per_capita!$D146</f>
        <v>-334.49438681870811</v>
      </c>
      <c r="L146" s="113">
        <f>Gasto_o_ing_per_capita!L146-Gasto_o_ing_per_capita!$D146</f>
        <v>-334.49438681870811</v>
      </c>
      <c r="M146" s="113">
        <f>Gasto_o_ing_per_capita!M146-Gasto_o_ing_per_capita!$D146</f>
        <v>-334.49438681870811</v>
      </c>
      <c r="N146" s="113">
        <f>Gasto_o_ing_per_capita!N146-Gasto_o_ing_per_capita!$D146</f>
        <v>-334.49438681870811</v>
      </c>
      <c r="O146" s="113">
        <f>Gasto_o_ing_per_capita!O146-Gasto_o_ing_per_capita!$D146</f>
        <v>-334.49438681870811</v>
      </c>
      <c r="P146" s="113">
        <f>Gasto_o_ing_per_capita!P146-Gasto_o_ing_per_capita!$D146</f>
        <v>-334.49438681870811</v>
      </c>
      <c r="Q146" s="113">
        <f>Gasto_o_ing_per_capita!Q146-Gasto_o_ing_per_capita!$D146</f>
        <v>-334.49438681870811</v>
      </c>
      <c r="R146" s="113">
        <f>Gasto_o_ing_per_capita!R146-Gasto_o_ing_per_capita!$D146</f>
        <v>-334.49438681870811</v>
      </c>
      <c r="S146" s="113">
        <f>Gasto_o_ing_per_capita!S146-Gasto_o_ing_per_capita!$D146</f>
        <v>4657.8366344965134</v>
      </c>
      <c r="T146" s="113">
        <f>Gasto_o_ing_per_capita!T146-Gasto_o_ing_per_capita!$D146</f>
        <v>5370.7830467763861</v>
      </c>
      <c r="U146" s="113">
        <f>Gasto_o_ing_per_capita!U146-Gasto_o_ing_per_capita!$D146</f>
        <v>-334.49438681870811</v>
      </c>
      <c r="V146" s="113">
        <f>Gasto_o_ing_per_capita!V146-Gasto_o_ing_per_capita!$D146</f>
        <v>-334.49438681870811</v>
      </c>
      <c r="W146" s="122"/>
      <c r="X146" s="104"/>
    </row>
    <row r="147" spans="1:24" s="102" customFormat="1" ht="13.15">
      <c r="A147" s="355" t="str">
        <f>IF(B147="","",(IF(ISERROR(MATCH(B147,Tot_res!C:C,0)),"Eliminar!!!","")))</f>
        <v/>
      </c>
      <c r="B147" s="115" t="s">
        <v>982</v>
      </c>
      <c r="C147" s="333" t="str">
        <f>VLOOKUP(B147,Tot_res!C:D,2,FALSE)</f>
        <v>IRPF, ingresos homogeneizados de las comunidades forales</v>
      </c>
      <c r="D147" s="336">
        <f>Gasto_o_ing_per_capita!D147-Gasto_o_ing_per_capita!$D147</f>
        <v>0</v>
      </c>
      <c r="E147" s="336">
        <f>Gasto_o_ing_per_capita!E147-Gasto_o_ing_per_capita!$D147</f>
        <v>-136.96793135338214</v>
      </c>
      <c r="F147" s="336">
        <f>Gasto_o_ing_per_capita!F147-Gasto_o_ing_per_capita!$D147</f>
        <v>-136.96793135338214</v>
      </c>
      <c r="G147" s="336">
        <f>Gasto_o_ing_per_capita!G147-Gasto_o_ing_per_capita!$D147</f>
        <v>-136.96793135338214</v>
      </c>
      <c r="H147" s="336">
        <f>Gasto_o_ing_per_capita!H147-Gasto_o_ing_per_capita!$D147</f>
        <v>-136.96793135338214</v>
      </c>
      <c r="I147" s="336">
        <f>Gasto_o_ing_per_capita!I147-Gasto_o_ing_per_capita!$D147</f>
        <v>-136.96793135338214</v>
      </c>
      <c r="J147" s="336">
        <f>Gasto_o_ing_per_capita!J147-Gasto_o_ing_per_capita!$D147</f>
        <v>-136.96793135338214</v>
      </c>
      <c r="K147" s="336">
        <f>Gasto_o_ing_per_capita!K147-Gasto_o_ing_per_capita!$D147</f>
        <v>-136.96793135338214</v>
      </c>
      <c r="L147" s="336">
        <f>Gasto_o_ing_per_capita!L147-Gasto_o_ing_per_capita!$D147</f>
        <v>-136.96793135338214</v>
      </c>
      <c r="M147" s="336">
        <f>Gasto_o_ing_per_capita!M147-Gasto_o_ing_per_capita!$D147</f>
        <v>-136.96793135338214</v>
      </c>
      <c r="N147" s="336">
        <f>Gasto_o_ing_per_capita!N147-Gasto_o_ing_per_capita!$D147</f>
        <v>-136.96793135338214</v>
      </c>
      <c r="O147" s="336">
        <f>Gasto_o_ing_per_capita!O147-Gasto_o_ing_per_capita!$D147</f>
        <v>-136.96793135338214</v>
      </c>
      <c r="P147" s="336">
        <f>Gasto_o_ing_per_capita!P147-Gasto_o_ing_per_capita!$D147</f>
        <v>-136.96793135338214</v>
      </c>
      <c r="Q147" s="336">
        <f>Gasto_o_ing_per_capita!Q147-Gasto_o_ing_per_capita!$D147</f>
        <v>-136.96793135338214</v>
      </c>
      <c r="R147" s="336">
        <f>Gasto_o_ing_per_capita!R147-Gasto_o_ing_per_capita!$D147</f>
        <v>-136.96793135338214</v>
      </c>
      <c r="S147" s="336">
        <f>Gasto_o_ing_per_capita!S147-Gasto_o_ing_per_capita!$D147</f>
        <v>1957.8619973009581</v>
      </c>
      <c r="T147" s="336">
        <f>Gasto_o_ing_per_capita!T147-Gasto_o_ing_per_capita!$D147</f>
        <v>2184.3742131478198</v>
      </c>
      <c r="U147" s="336">
        <f>Gasto_o_ing_per_capita!U147-Gasto_o_ing_per_capita!$D147</f>
        <v>-136.96793135338214</v>
      </c>
      <c r="V147" s="336">
        <f>Gasto_o_ing_per_capita!V147-Gasto_o_ing_per_capita!$D147</f>
        <v>-136.96793135338214</v>
      </c>
      <c r="W147" s="122"/>
      <c r="X147" s="104"/>
    </row>
    <row r="148" spans="1:24" s="102" customFormat="1" ht="13.15">
      <c r="A148" s="355" t="str">
        <f>IF(B148="","",(IF(ISERROR(MATCH(B148,Tot_res!C:C,0)),"Eliminar!!!","")))</f>
        <v/>
      </c>
      <c r="B148" s="115" t="s">
        <v>983</v>
      </c>
      <c r="C148" s="333" t="str">
        <f>VLOOKUP(B148,Tot_res!C:D,2,FALSE)</f>
        <v>Sociedades, ingresos homogeneizados de las comunidades forales</v>
      </c>
      <c r="D148" s="336">
        <f>Gasto_o_ing_per_capita!D148-Gasto_o_ing_per_capita!$D148</f>
        <v>0</v>
      </c>
      <c r="E148" s="336">
        <f>Gasto_o_ing_per_capita!E148-Gasto_o_ing_per_capita!$D148</f>
        <v>-33.900743847415072</v>
      </c>
      <c r="F148" s="336">
        <f>Gasto_o_ing_per_capita!F148-Gasto_o_ing_per_capita!$D148</f>
        <v>-33.900743847415072</v>
      </c>
      <c r="G148" s="336">
        <f>Gasto_o_ing_per_capita!G148-Gasto_o_ing_per_capita!$D148</f>
        <v>-33.900743847415072</v>
      </c>
      <c r="H148" s="336">
        <f>Gasto_o_ing_per_capita!H148-Gasto_o_ing_per_capita!$D148</f>
        <v>-33.900743847415072</v>
      </c>
      <c r="I148" s="336">
        <f>Gasto_o_ing_per_capita!I148-Gasto_o_ing_per_capita!$D148</f>
        <v>-33.900743847415072</v>
      </c>
      <c r="J148" s="336">
        <f>Gasto_o_ing_per_capita!J148-Gasto_o_ing_per_capita!$D148</f>
        <v>-33.900743847415072</v>
      </c>
      <c r="K148" s="336">
        <f>Gasto_o_ing_per_capita!K148-Gasto_o_ing_per_capita!$D148</f>
        <v>-33.900743847415072</v>
      </c>
      <c r="L148" s="336">
        <f>Gasto_o_ing_per_capita!L148-Gasto_o_ing_per_capita!$D148</f>
        <v>-33.900743847415072</v>
      </c>
      <c r="M148" s="336">
        <f>Gasto_o_ing_per_capita!M148-Gasto_o_ing_per_capita!$D148</f>
        <v>-33.900743847415072</v>
      </c>
      <c r="N148" s="336">
        <f>Gasto_o_ing_per_capita!N148-Gasto_o_ing_per_capita!$D148</f>
        <v>-33.900743847415072</v>
      </c>
      <c r="O148" s="336">
        <f>Gasto_o_ing_per_capita!O148-Gasto_o_ing_per_capita!$D148</f>
        <v>-33.900743847415072</v>
      </c>
      <c r="P148" s="336">
        <f>Gasto_o_ing_per_capita!P148-Gasto_o_ing_per_capita!$D148</f>
        <v>-33.900743847415072</v>
      </c>
      <c r="Q148" s="336">
        <f>Gasto_o_ing_per_capita!Q148-Gasto_o_ing_per_capita!$D148</f>
        <v>-33.900743847415072</v>
      </c>
      <c r="R148" s="336">
        <f>Gasto_o_ing_per_capita!R148-Gasto_o_ing_per_capita!$D148</f>
        <v>-33.900743847415072</v>
      </c>
      <c r="S148" s="336">
        <f>Gasto_o_ing_per_capita!S148-Gasto_o_ing_per_capita!$D148</f>
        <v>515.93215169924019</v>
      </c>
      <c r="T148" s="336">
        <f>Gasto_o_ing_per_capita!T148-Gasto_o_ing_per_capita!$D148</f>
        <v>531.45514272141031</v>
      </c>
      <c r="U148" s="336">
        <f>Gasto_o_ing_per_capita!U148-Gasto_o_ing_per_capita!$D148</f>
        <v>-33.900743847415072</v>
      </c>
      <c r="V148" s="336">
        <f>Gasto_o_ing_per_capita!V148-Gasto_o_ing_per_capita!$D148</f>
        <v>-33.900743847415072</v>
      </c>
      <c r="W148" s="122"/>
      <c r="X148" s="104"/>
    </row>
    <row r="149" spans="1:24" s="102" customFormat="1" ht="13.15">
      <c r="A149" s="355" t="str">
        <f>IF(B149="","",(IF(ISERROR(MATCH(B149,Tot_res!C:C,0)),"Eliminar!!!","")))</f>
        <v/>
      </c>
      <c r="B149" s="115" t="s">
        <v>221</v>
      </c>
      <c r="C149" s="333" t="str">
        <f>VLOOKUP(B149,Tot_res!C:D,2,FALSE)</f>
        <v>No residentes, ingresos comunidades forales</v>
      </c>
      <c r="D149" s="336">
        <f>Gasto_o_ing_per_capita!D149-Gasto_o_ing_per_capita!$D149</f>
        <v>0</v>
      </c>
      <c r="E149" s="336">
        <f>Gasto_o_ing_per_capita!E149-Gasto_o_ing_per_capita!$D149</f>
        <v>-1.0615421387288186</v>
      </c>
      <c r="F149" s="336">
        <f>Gasto_o_ing_per_capita!F149-Gasto_o_ing_per_capita!$D149</f>
        <v>-1.0615421387288186</v>
      </c>
      <c r="G149" s="336">
        <f>Gasto_o_ing_per_capita!G149-Gasto_o_ing_per_capita!$D149</f>
        <v>-1.0615421387288186</v>
      </c>
      <c r="H149" s="336">
        <f>Gasto_o_ing_per_capita!H149-Gasto_o_ing_per_capita!$D149</f>
        <v>-1.0615421387288186</v>
      </c>
      <c r="I149" s="336">
        <f>Gasto_o_ing_per_capita!I149-Gasto_o_ing_per_capita!$D149</f>
        <v>-1.0615421387288186</v>
      </c>
      <c r="J149" s="336">
        <f>Gasto_o_ing_per_capita!J149-Gasto_o_ing_per_capita!$D149</f>
        <v>-1.0615421387288186</v>
      </c>
      <c r="K149" s="336">
        <f>Gasto_o_ing_per_capita!K149-Gasto_o_ing_per_capita!$D149</f>
        <v>-1.0615421387288186</v>
      </c>
      <c r="L149" s="336">
        <f>Gasto_o_ing_per_capita!L149-Gasto_o_ing_per_capita!$D149</f>
        <v>-1.0615421387288186</v>
      </c>
      <c r="M149" s="336">
        <f>Gasto_o_ing_per_capita!M149-Gasto_o_ing_per_capita!$D149</f>
        <v>-1.0615421387288186</v>
      </c>
      <c r="N149" s="336">
        <f>Gasto_o_ing_per_capita!N149-Gasto_o_ing_per_capita!$D149</f>
        <v>-1.0615421387288186</v>
      </c>
      <c r="O149" s="336">
        <f>Gasto_o_ing_per_capita!O149-Gasto_o_ing_per_capita!$D149</f>
        <v>-1.0615421387288186</v>
      </c>
      <c r="P149" s="336">
        <f>Gasto_o_ing_per_capita!P149-Gasto_o_ing_per_capita!$D149</f>
        <v>-1.0615421387288186</v>
      </c>
      <c r="Q149" s="336">
        <f>Gasto_o_ing_per_capita!Q149-Gasto_o_ing_per_capita!$D149</f>
        <v>-1.0615421387288186</v>
      </c>
      <c r="R149" s="336">
        <f>Gasto_o_ing_per_capita!R149-Gasto_o_ing_per_capita!$D149</f>
        <v>-1.0615421387288186</v>
      </c>
      <c r="S149" s="336">
        <f>Gasto_o_ing_per_capita!S149-Gasto_o_ing_per_capita!$D149</f>
        <v>9.3720876051298507</v>
      </c>
      <c r="T149" s="336">
        <f>Gasto_o_ing_per_capita!T149-Gasto_o_ing_per_capita!$D149</f>
        <v>18.631805929042596</v>
      </c>
      <c r="U149" s="336">
        <f>Gasto_o_ing_per_capita!U149-Gasto_o_ing_per_capita!$D149</f>
        <v>-1.0615421387288186</v>
      </c>
      <c r="V149" s="336">
        <f>Gasto_o_ing_per_capita!V149-Gasto_o_ing_per_capita!$D149</f>
        <v>-1.0615421387288186</v>
      </c>
      <c r="W149" s="122"/>
      <c r="X149" s="104"/>
    </row>
    <row r="150" spans="1:24" s="102" customFormat="1" ht="13.15">
      <c r="A150" s="355" t="str">
        <f>IF(B150="","",(IF(ISERROR(MATCH(B150,Tot_res!C:C,0)),"Eliminar!!!","")))</f>
        <v/>
      </c>
      <c r="B150" s="115" t="s">
        <v>222</v>
      </c>
      <c r="C150" s="333" t="str">
        <f>VLOOKUP(B150,Tot_res!C:D,2,FALSE)</f>
        <v xml:space="preserve"> IVA, ingresos comunidades forales</v>
      </c>
      <c r="D150" s="336">
        <f>Gasto_o_ing_per_capita!D150-Gasto_o_ing_per_capita!$D150</f>
        <v>0</v>
      </c>
      <c r="E150" s="336">
        <f>Gasto_o_ing_per_capita!E150-Gasto_o_ing_per_capita!$D150</f>
        <v>-110.7155650234815</v>
      </c>
      <c r="F150" s="336">
        <f>Gasto_o_ing_per_capita!F150-Gasto_o_ing_per_capita!$D150</f>
        <v>-110.7155650234815</v>
      </c>
      <c r="G150" s="336">
        <f>Gasto_o_ing_per_capita!G150-Gasto_o_ing_per_capita!$D150</f>
        <v>-110.7155650234815</v>
      </c>
      <c r="H150" s="336">
        <f>Gasto_o_ing_per_capita!H150-Gasto_o_ing_per_capita!$D150</f>
        <v>-110.7155650234815</v>
      </c>
      <c r="I150" s="336">
        <f>Gasto_o_ing_per_capita!I150-Gasto_o_ing_per_capita!$D150</f>
        <v>-110.7155650234815</v>
      </c>
      <c r="J150" s="336">
        <f>Gasto_o_ing_per_capita!J150-Gasto_o_ing_per_capita!$D150</f>
        <v>-110.7155650234815</v>
      </c>
      <c r="K150" s="336">
        <f>Gasto_o_ing_per_capita!K150-Gasto_o_ing_per_capita!$D150</f>
        <v>-110.7155650234815</v>
      </c>
      <c r="L150" s="336">
        <f>Gasto_o_ing_per_capita!L150-Gasto_o_ing_per_capita!$D150</f>
        <v>-110.7155650234815</v>
      </c>
      <c r="M150" s="336">
        <f>Gasto_o_ing_per_capita!M150-Gasto_o_ing_per_capita!$D150</f>
        <v>-110.7155650234815</v>
      </c>
      <c r="N150" s="336">
        <f>Gasto_o_ing_per_capita!N150-Gasto_o_ing_per_capita!$D150</f>
        <v>-110.7155650234815</v>
      </c>
      <c r="O150" s="336">
        <f>Gasto_o_ing_per_capita!O150-Gasto_o_ing_per_capita!$D150</f>
        <v>-110.7155650234815</v>
      </c>
      <c r="P150" s="336">
        <f>Gasto_o_ing_per_capita!P150-Gasto_o_ing_per_capita!$D150</f>
        <v>-110.7155650234815</v>
      </c>
      <c r="Q150" s="336">
        <f>Gasto_o_ing_per_capita!Q150-Gasto_o_ing_per_capita!$D150</f>
        <v>-110.7155650234815</v>
      </c>
      <c r="R150" s="336">
        <f>Gasto_o_ing_per_capita!R150-Gasto_o_ing_per_capita!$D150</f>
        <v>-110.7155650234815</v>
      </c>
      <c r="S150" s="336">
        <f>Gasto_o_ing_per_capita!S150-Gasto_o_ing_per_capita!$D150</f>
        <v>1320.0704117424357</v>
      </c>
      <c r="T150" s="336">
        <f>Gasto_o_ing_per_capita!T150-Gasto_o_ing_per_capita!$D150</f>
        <v>1842.7253150981985</v>
      </c>
      <c r="U150" s="336">
        <f>Gasto_o_ing_per_capita!U150-Gasto_o_ing_per_capita!$D150</f>
        <v>-110.7155650234815</v>
      </c>
      <c r="V150" s="336">
        <f>Gasto_o_ing_per_capita!V150-Gasto_o_ing_per_capita!$D150</f>
        <v>-110.7155650234815</v>
      </c>
      <c r="W150" s="122"/>
      <c r="X150" s="104"/>
    </row>
    <row r="151" spans="1:24" s="102" customFormat="1" ht="13.15">
      <c r="A151" s="355" t="str">
        <f>IF(B151="","",(IF(ISERROR(MATCH(B151,Tot_res!C:C,0)),"Eliminar!!!","")))</f>
        <v/>
      </c>
      <c r="B151" s="115" t="s">
        <v>1119</v>
      </c>
      <c r="C151" s="333" t="str">
        <f>VLOOKUP(B151,Tot_res!C:D,2,FALSE)</f>
        <v>Imp. Especiales (incl. Matriculación y electricidad),  sin ejercicio de la capacidad normativa en el IH</v>
      </c>
      <c r="D151" s="336">
        <f>Gasto_o_ing_per_capita!D151-Gasto_o_ing_per_capita!$D151</f>
        <v>0</v>
      </c>
      <c r="E151" s="336">
        <f>Gasto_o_ing_per_capita!E151-Gasto_o_ing_per_capita!$D151</f>
        <v>-38.800816397895304</v>
      </c>
      <c r="F151" s="336">
        <f>Gasto_o_ing_per_capita!F151-Gasto_o_ing_per_capita!$D151</f>
        <v>-38.800816397895304</v>
      </c>
      <c r="G151" s="336">
        <f>Gasto_o_ing_per_capita!G151-Gasto_o_ing_per_capita!$D151</f>
        <v>-38.800816397895304</v>
      </c>
      <c r="H151" s="336">
        <f>Gasto_o_ing_per_capita!H151-Gasto_o_ing_per_capita!$D151</f>
        <v>-38.800816397895304</v>
      </c>
      <c r="I151" s="336">
        <f>Gasto_o_ing_per_capita!I151-Gasto_o_ing_per_capita!$D151</f>
        <v>-38.800816397895304</v>
      </c>
      <c r="J151" s="336">
        <f>Gasto_o_ing_per_capita!J151-Gasto_o_ing_per_capita!$D151</f>
        <v>-38.800816397895304</v>
      </c>
      <c r="K151" s="336">
        <f>Gasto_o_ing_per_capita!K151-Gasto_o_ing_per_capita!$D151</f>
        <v>-38.800816397895304</v>
      </c>
      <c r="L151" s="336">
        <f>Gasto_o_ing_per_capita!L151-Gasto_o_ing_per_capita!$D151</f>
        <v>-38.800816397895304</v>
      </c>
      <c r="M151" s="336">
        <f>Gasto_o_ing_per_capita!M151-Gasto_o_ing_per_capita!$D151</f>
        <v>-38.800816397895304</v>
      </c>
      <c r="N151" s="336">
        <f>Gasto_o_ing_per_capita!N151-Gasto_o_ing_per_capita!$D151</f>
        <v>-38.800816397895304</v>
      </c>
      <c r="O151" s="336">
        <f>Gasto_o_ing_per_capita!O151-Gasto_o_ing_per_capita!$D151</f>
        <v>-38.800816397895304</v>
      </c>
      <c r="P151" s="336">
        <f>Gasto_o_ing_per_capita!P151-Gasto_o_ing_per_capita!$D151</f>
        <v>-38.800816397895304</v>
      </c>
      <c r="Q151" s="336">
        <f>Gasto_o_ing_per_capita!Q151-Gasto_o_ing_per_capita!$D151</f>
        <v>-38.800816397895304</v>
      </c>
      <c r="R151" s="336">
        <f>Gasto_o_ing_per_capita!R151-Gasto_o_ing_per_capita!$D151</f>
        <v>-38.800816397895304</v>
      </c>
      <c r="S151" s="336">
        <f>Gasto_o_ing_per_capita!S151-Gasto_o_ing_per_capita!$D151</f>
        <v>659.26291034526389</v>
      </c>
      <c r="T151" s="336">
        <f>Gasto_o_ing_per_capita!T151-Gasto_o_ing_per_capita!$D151</f>
        <v>588.09960766994641</v>
      </c>
      <c r="U151" s="336">
        <f>Gasto_o_ing_per_capita!U151-Gasto_o_ing_per_capita!$D151</f>
        <v>-38.800816397895304</v>
      </c>
      <c r="V151" s="336">
        <f>Gasto_o_ing_per_capita!V151-Gasto_o_ing_per_capita!$D151</f>
        <v>-38.800816397895304</v>
      </c>
      <c r="W151" s="122"/>
      <c r="X151" s="104"/>
    </row>
    <row r="152" spans="1:24" s="102" customFormat="1" ht="13.15">
      <c r="A152" s="355" t="str">
        <f>IF(B152="","",(IF(ISERROR(MATCH(B152,Tot_res!C:C,0)),"Eliminar!!!","")))</f>
        <v/>
      </c>
      <c r="B152" s="115" t="s">
        <v>223</v>
      </c>
      <c r="C152" s="333" t="str">
        <f>VLOOKUP(B152,Tot_res!C:D,2,FALSE)</f>
        <v>Primas de seguross, ingresos comunidades forales</v>
      </c>
      <c r="D152" s="336">
        <f>Gasto_o_ing_per_capita!D152-Gasto_o_ing_per_capita!$D152</f>
        <v>0</v>
      </c>
      <c r="E152" s="336">
        <f>Gasto_o_ing_per_capita!E152-Gasto_o_ing_per_capita!$D152</f>
        <v>-1.9675589825740532</v>
      </c>
      <c r="F152" s="336">
        <f>Gasto_o_ing_per_capita!F152-Gasto_o_ing_per_capita!$D152</f>
        <v>-1.9675589825740532</v>
      </c>
      <c r="G152" s="336">
        <f>Gasto_o_ing_per_capita!G152-Gasto_o_ing_per_capita!$D152</f>
        <v>-1.9675589825740532</v>
      </c>
      <c r="H152" s="336">
        <f>Gasto_o_ing_per_capita!H152-Gasto_o_ing_per_capita!$D152</f>
        <v>-1.9675589825740532</v>
      </c>
      <c r="I152" s="336">
        <f>Gasto_o_ing_per_capita!I152-Gasto_o_ing_per_capita!$D152</f>
        <v>-1.9675589825740532</v>
      </c>
      <c r="J152" s="336">
        <f>Gasto_o_ing_per_capita!J152-Gasto_o_ing_per_capita!$D152</f>
        <v>-1.9675589825740532</v>
      </c>
      <c r="K152" s="336">
        <f>Gasto_o_ing_per_capita!K152-Gasto_o_ing_per_capita!$D152</f>
        <v>-1.9675589825740532</v>
      </c>
      <c r="L152" s="336">
        <f>Gasto_o_ing_per_capita!L152-Gasto_o_ing_per_capita!$D152</f>
        <v>-1.9675589825740532</v>
      </c>
      <c r="M152" s="336">
        <f>Gasto_o_ing_per_capita!M152-Gasto_o_ing_per_capita!$D152</f>
        <v>-1.9675589825740532</v>
      </c>
      <c r="N152" s="336">
        <f>Gasto_o_ing_per_capita!N152-Gasto_o_ing_per_capita!$D152</f>
        <v>-1.9675589825740532</v>
      </c>
      <c r="O152" s="336">
        <f>Gasto_o_ing_per_capita!O152-Gasto_o_ing_per_capita!$D152</f>
        <v>-1.9675589825740532</v>
      </c>
      <c r="P152" s="336">
        <f>Gasto_o_ing_per_capita!P152-Gasto_o_ing_per_capita!$D152</f>
        <v>-1.9675589825740532</v>
      </c>
      <c r="Q152" s="336">
        <f>Gasto_o_ing_per_capita!Q152-Gasto_o_ing_per_capita!$D152</f>
        <v>-1.9675589825740532</v>
      </c>
      <c r="R152" s="336">
        <f>Gasto_o_ing_per_capita!R152-Gasto_o_ing_per_capita!$D152</f>
        <v>-1.9675589825740532</v>
      </c>
      <c r="S152" s="336">
        <f>Gasto_o_ing_per_capita!S152-Gasto_o_ing_per_capita!$D152</f>
        <v>31.26911479804896</v>
      </c>
      <c r="T152" s="336">
        <f>Gasto_o_ing_per_capita!T152-Gasto_o_ing_per_capita!$D152</f>
        <v>30.456270539277298</v>
      </c>
      <c r="U152" s="336">
        <f>Gasto_o_ing_per_capita!U152-Gasto_o_ing_per_capita!$D152</f>
        <v>-1.9675589825740532</v>
      </c>
      <c r="V152" s="336">
        <f>Gasto_o_ing_per_capita!V152-Gasto_o_ing_per_capita!$D152</f>
        <v>-1.9675589825740532</v>
      </c>
      <c r="W152" s="122"/>
      <c r="X152" s="104"/>
    </row>
    <row r="153" spans="1:24" s="102" customFormat="1" ht="13.15">
      <c r="A153" s="355" t="str">
        <f>IF(B153="","",(IF(ISERROR(MATCH(B153,Tot_res!C:C,0)),"Eliminar!!!","")))</f>
        <v/>
      </c>
      <c r="B153" s="115" t="s">
        <v>984</v>
      </c>
      <c r="C153" s="333" t="str">
        <f>VLOOKUP(B153,Tot_res!C:D,2,FALSE)</f>
        <v>Sucesiones y donaciones, ingresos homogeneizados de las comunidades forales</v>
      </c>
      <c r="D153" s="336">
        <f>Gasto_o_ing_per_capita!D153-Gasto_o_ing_per_capita!$D153</f>
        <v>0</v>
      </c>
      <c r="E153" s="336">
        <f>Gasto_o_ing_per_capita!E153-Gasto_o_ing_per_capita!$D153</f>
        <v>-4.8493938623473012</v>
      </c>
      <c r="F153" s="336">
        <f>Gasto_o_ing_per_capita!F153-Gasto_o_ing_per_capita!$D153</f>
        <v>-4.8493938623473012</v>
      </c>
      <c r="G153" s="336">
        <f>Gasto_o_ing_per_capita!G153-Gasto_o_ing_per_capita!$D153</f>
        <v>-4.8493938623473012</v>
      </c>
      <c r="H153" s="336">
        <f>Gasto_o_ing_per_capita!H153-Gasto_o_ing_per_capita!$D153</f>
        <v>-4.8493938623473012</v>
      </c>
      <c r="I153" s="336">
        <f>Gasto_o_ing_per_capita!I153-Gasto_o_ing_per_capita!$D153</f>
        <v>-4.8493938623473012</v>
      </c>
      <c r="J153" s="336">
        <f>Gasto_o_ing_per_capita!J153-Gasto_o_ing_per_capita!$D153</f>
        <v>-4.8493938623473012</v>
      </c>
      <c r="K153" s="336">
        <f>Gasto_o_ing_per_capita!K153-Gasto_o_ing_per_capita!$D153</f>
        <v>-4.8493938623473012</v>
      </c>
      <c r="L153" s="336">
        <f>Gasto_o_ing_per_capita!L153-Gasto_o_ing_per_capita!$D153</f>
        <v>-4.8493938623473012</v>
      </c>
      <c r="M153" s="336">
        <f>Gasto_o_ing_per_capita!M153-Gasto_o_ing_per_capita!$D153</f>
        <v>-4.8493938623473012</v>
      </c>
      <c r="N153" s="336">
        <f>Gasto_o_ing_per_capita!N153-Gasto_o_ing_per_capita!$D153</f>
        <v>-4.8493938623473012</v>
      </c>
      <c r="O153" s="336">
        <f>Gasto_o_ing_per_capita!O153-Gasto_o_ing_per_capita!$D153</f>
        <v>-4.8493938623473012</v>
      </c>
      <c r="P153" s="336">
        <f>Gasto_o_ing_per_capita!P153-Gasto_o_ing_per_capita!$D153</f>
        <v>-4.8493938623473012</v>
      </c>
      <c r="Q153" s="336">
        <f>Gasto_o_ing_per_capita!Q153-Gasto_o_ing_per_capita!$D153</f>
        <v>-4.8493938623473012</v>
      </c>
      <c r="R153" s="336">
        <f>Gasto_o_ing_per_capita!R153-Gasto_o_ing_per_capita!$D153</f>
        <v>-4.8493938623473012</v>
      </c>
      <c r="S153" s="336">
        <f>Gasto_o_ing_per_capita!S153-Gasto_o_ing_per_capita!$D153</f>
        <v>64.217739700304335</v>
      </c>
      <c r="T153" s="336">
        <f>Gasto_o_ing_per_capita!T153-Gasto_o_ing_per_capita!$D153</f>
        <v>78.835083145479203</v>
      </c>
      <c r="U153" s="336">
        <f>Gasto_o_ing_per_capita!U153-Gasto_o_ing_per_capita!$D153</f>
        <v>-4.8493938623473012</v>
      </c>
      <c r="V153" s="336">
        <f>Gasto_o_ing_per_capita!V153-Gasto_o_ing_per_capita!$D153</f>
        <v>-4.8493938623473012</v>
      </c>
      <c r="W153" s="122"/>
      <c r="X153" s="104"/>
    </row>
    <row r="154" spans="1:24" s="102" customFormat="1" ht="13.15">
      <c r="A154" s="355" t="str">
        <f>IF(B154="","",(IF(ISERROR(MATCH(B154,Tot_res!C:C,0)),"Eliminar!!!","")))</f>
        <v/>
      </c>
      <c r="B154" s="115" t="s">
        <v>1109</v>
      </c>
      <c r="C154" s="333" t="str">
        <f>VLOOKUP(B154,Tot_res!C:D,2,FALSE)</f>
        <v>Venta minorista de hidrocarburos, ingresos de las comunidades forales</v>
      </c>
      <c r="D154" s="336">
        <f>Gasto_o_ing_per_capita!D154-Gasto_o_ing_per_capita!$D154</f>
        <v>0</v>
      </c>
      <c r="E154" s="336">
        <f>Gasto_o_ing_per_capita!E154-Gasto_o_ing_per_capita!$D154</f>
        <v>-0.38917677045058585</v>
      </c>
      <c r="F154" s="336">
        <f>Gasto_o_ing_per_capita!F154-Gasto_o_ing_per_capita!$D154</f>
        <v>-0.38917677045058585</v>
      </c>
      <c r="G154" s="336">
        <f>Gasto_o_ing_per_capita!G154-Gasto_o_ing_per_capita!$D154</f>
        <v>-0.38917677045058585</v>
      </c>
      <c r="H154" s="336">
        <f>Gasto_o_ing_per_capita!H154-Gasto_o_ing_per_capita!$D154</f>
        <v>-0.38917677045058585</v>
      </c>
      <c r="I154" s="336">
        <f>Gasto_o_ing_per_capita!I154-Gasto_o_ing_per_capita!$D154</f>
        <v>-0.38917677045058585</v>
      </c>
      <c r="J154" s="336">
        <f>Gasto_o_ing_per_capita!J154-Gasto_o_ing_per_capita!$D154</f>
        <v>-0.38917677045058585</v>
      </c>
      <c r="K154" s="336">
        <f>Gasto_o_ing_per_capita!K154-Gasto_o_ing_per_capita!$D154</f>
        <v>-0.38917677045058585</v>
      </c>
      <c r="L154" s="336">
        <f>Gasto_o_ing_per_capita!L154-Gasto_o_ing_per_capita!$D154</f>
        <v>-0.38917677045058585</v>
      </c>
      <c r="M154" s="336">
        <f>Gasto_o_ing_per_capita!M154-Gasto_o_ing_per_capita!$D154</f>
        <v>-0.38917677045058585</v>
      </c>
      <c r="N154" s="336">
        <f>Gasto_o_ing_per_capita!N154-Gasto_o_ing_per_capita!$D154</f>
        <v>-0.38917677045058585</v>
      </c>
      <c r="O154" s="336">
        <f>Gasto_o_ing_per_capita!O154-Gasto_o_ing_per_capita!$D154</f>
        <v>-0.38917677045058585</v>
      </c>
      <c r="P154" s="336">
        <f>Gasto_o_ing_per_capita!P154-Gasto_o_ing_per_capita!$D154</f>
        <v>-0.38917677045058585</v>
      </c>
      <c r="Q154" s="336">
        <f>Gasto_o_ing_per_capita!Q154-Gasto_o_ing_per_capita!$D154</f>
        <v>-0.38917677045058585</v>
      </c>
      <c r="R154" s="336">
        <f>Gasto_o_ing_per_capita!R154-Gasto_o_ing_per_capita!$D154</f>
        <v>-0.38917677045058585</v>
      </c>
      <c r="S154" s="336">
        <f>Gasto_o_ing_per_capita!S154-Gasto_o_ing_per_capita!$D154</f>
        <v>8.9537349980768877</v>
      </c>
      <c r="T154" s="336">
        <f>Gasto_o_ing_per_capita!T154-Gasto_o_ing_per_capita!$D154</f>
        <v>5.2117967799242768</v>
      </c>
      <c r="U154" s="336">
        <f>Gasto_o_ing_per_capita!U154-Gasto_o_ing_per_capita!$D154</f>
        <v>-0.38917677045058585</v>
      </c>
      <c r="V154" s="336">
        <f>Gasto_o_ing_per_capita!V154-Gasto_o_ing_per_capita!$D154</f>
        <v>-0.38917677045058585</v>
      </c>
      <c r="W154" s="122"/>
      <c r="X154" s="104"/>
    </row>
    <row r="155" spans="1:24" s="102" customFormat="1" ht="13.15">
      <c r="A155" s="355" t="str">
        <f>IF(B155="","",(IF(ISERROR(MATCH(B155,Tot_res!C:C,0)),"Eliminar!!!","")))</f>
        <v/>
      </c>
      <c r="B155" s="115" t="s">
        <v>985</v>
      </c>
      <c r="C155" s="333" t="str">
        <f>VLOOKUP(B155,Tot_res!C:D,2,FALSE)</f>
        <v>ITP y AJD, ingresos homogeneizados de las comunidades forales</v>
      </c>
      <c r="D155" s="336">
        <f>Gasto_o_ing_per_capita!D155-Gasto_o_ing_per_capita!$D155</f>
        <v>0</v>
      </c>
      <c r="E155" s="336">
        <f>Gasto_o_ing_per_capita!E155-Gasto_o_ing_per_capita!$D155</f>
        <v>-4.9711858861213978</v>
      </c>
      <c r="F155" s="336">
        <f>Gasto_o_ing_per_capita!F155-Gasto_o_ing_per_capita!$D155</f>
        <v>-4.9711858861213978</v>
      </c>
      <c r="G155" s="336">
        <f>Gasto_o_ing_per_capita!G155-Gasto_o_ing_per_capita!$D155</f>
        <v>-4.9711858861213978</v>
      </c>
      <c r="H155" s="336">
        <f>Gasto_o_ing_per_capita!H155-Gasto_o_ing_per_capita!$D155</f>
        <v>-4.9711858861213978</v>
      </c>
      <c r="I155" s="336">
        <f>Gasto_o_ing_per_capita!I155-Gasto_o_ing_per_capita!$D155</f>
        <v>-4.9711858861213978</v>
      </c>
      <c r="J155" s="336">
        <f>Gasto_o_ing_per_capita!J155-Gasto_o_ing_per_capita!$D155</f>
        <v>-4.9711858861213978</v>
      </c>
      <c r="K155" s="336">
        <f>Gasto_o_ing_per_capita!K155-Gasto_o_ing_per_capita!$D155</f>
        <v>-4.9711858861213978</v>
      </c>
      <c r="L155" s="336">
        <f>Gasto_o_ing_per_capita!L155-Gasto_o_ing_per_capita!$D155</f>
        <v>-4.9711858861213978</v>
      </c>
      <c r="M155" s="336">
        <f>Gasto_o_ing_per_capita!M155-Gasto_o_ing_per_capita!$D155</f>
        <v>-4.9711858861213978</v>
      </c>
      <c r="N155" s="336">
        <f>Gasto_o_ing_per_capita!N155-Gasto_o_ing_per_capita!$D155</f>
        <v>-4.9711858861213978</v>
      </c>
      <c r="O155" s="336">
        <f>Gasto_o_ing_per_capita!O155-Gasto_o_ing_per_capita!$D155</f>
        <v>-4.9711858861213978</v>
      </c>
      <c r="P155" s="336">
        <f>Gasto_o_ing_per_capita!P155-Gasto_o_ing_per_capita!$D155</f>
        <v>-4.9711858861213978</v>
      </c>
      <c r="Q155" s="336">
        <f>Gasto_o_ing_per_capita!Q155-Gasto_o_ing_per_capita!$D155</f>
        <v>-4.9711858861213978</v>
      </c>
      <c r="R155" s="336">
        <f>Gasto_o_ing_per_capita!R155-Gasto_o_ing_per_capita!$D155</f>
        <v>-4.9711858861213978</v>
      </c>
      <c r="S155" s="336">
        <f>Gasto_o_ing_per_capita!S155-Gasto_o_ing_per_capita!$D155</f>
        <v>75.107739726603469</v>
      </c>
      <c r="T155" s="336">
        <f>Gasto_o_ing_per_capita!T155-Gasto_o_ing_per_capita!$D155</f>
        <v>78.093137842261783</v>
      </c>
      <c r="U155" s="336">
        <f>Gasto_o_ing_per_capita!U155-Gasto_o_ing_per_capita!$D155</f>
        <v>-4.9711858861213978</v>
      </c>
      <c r="V155" s="336">
        <f>Gasto_o_ing_per_capita!V155-Gasto_o_ing_per_capita!$D155</f>
        <v>-4.9711858861213978</v>
      </c>
      <c r="W155" s="122"/>
      <c r="X155" s="104"/>
    </row>
    <row r="156" spans="1:24" s="102" customFormat="1" ht="13.15">
      <c r="A156" s="355" t="str">
        <f>IF(B156="","",(IF(ISERROR(MATCH(B156,Tot_res!C:C,0)),"Eliminar!!!","")))</f>
        <v/>
      </c>
      <c r="B156" s="115" t="s">
        <v>986</v>
      </c>
      <c r="C156" s="333" t="str">
        <f>VLOOKUP(B156,Tot_res!C:D,2,FALSE)</f>
        <v>Tasas juego, ingresos homogeneizados de las comunidades forales</v>
      </c>
      <c r="D156" s="336">
        <f>Gasto_o_ing_per_capita!D156-Gasto_o_ing_per_capita!$D156</f>
        <v>0</v>
      </c>
      <c r="E156" s="336">
        <f>Gasto_o_ing_per_capita!E156-Gasto_o_ing_per_capita!$D156</f>
        <v>-0.87047255631189557</v>
      </c>
      <c r="F156" s="336">
        <f>Gasto_o_ing_per_capita!F156-Gasto_o_ing_per_capita!$D156</f>
        <v>-0.87047255631189557</v>
      </c>
      <c r="G156" s="336">
        <f>Gasto_o_ing_per_capita!G156-Gasto_o_ing_per_capita!$D156</f>
        <v>-0.87047255631189557</v>
      </c>
      <c r="H156" s="336">
        <f>Gasto_o_ing_per_capita!H156-Gasto_o_ing_per_capita!$D156</f>
        <v>-0.87047255631189557</v>
      </c>
      <c r="I156" s="336">
        <f>Gasto_o_ing_per_capita!I156-Gasto_o_ing_per_capita!$D156</f>
        <v>-0.87047255631189557</v>
      </c>
      <c r="J156" s="336">
        <f>Gasto_o_ing_per_capita!J156-Gasto_o_ing_per_capita!$D156</f>
        <v>-0.87047255631189557</v>
      </c>
      <c r="K156" s="336">
        <f>Gasto_o_ing_per_capita!K156-Gasto_o_ing_per_capita!$D156</f>
        <v>-0.87047255631189557</v>
      </c>
      <c r="L156" s="336">
        <f>Gasto_o_ing_per_capita!L156-Gasto_o_ing_per_capita!$D156</f>
        <v>-0.87047255631189557</v>
      </c>
      <c r="M156" s="336">
        <f>Gasto_o_ing_per_capita!M156-Gasto_o_ing_per_capita!$D156</f>
        <v>-0.87047255631189557</v>
      </c>
      <c r="N156" s="336">
        <f>Gasto_o_ing_per_capita!N156-Gasto_o_ing_per_capita!$D156</f>
        <v>-0.87047255631189557</v>
      </c>
      <c r="O156" s="336">
        <f>Gasto_o_ing_per_capita!O156-Gasto_o_ing_per_capita!$D156</f>
        <v>-0.87047255631189557</v>
      </c>
      <c r="P156" s="336">
        <f>Gasto_o_ing_per_capita!P156-Gasto_o_ing_per_capita!$D156</f>
        <v>-0.87047255631189557</v>
      </c>
      <c r="Q156" s="336">
        <f>Gasto_o_ing_per_capita!Q156-Gasto_o_ing_per_capita!$D156</f>
        <v>-0.87047255631189557</v>
      </c>
      <c r="R156" s="336">
        <f>Gasto_o_ing_per_capita!R156-Gasto_o_ing_per_capita!$D156</f>
        <v>-0.87047255631189557</v>
      </c>
      <c r="S156" s="336">
        <f>Gasto_o_ing_per_capita!S156-Gasto_o_ing_per_capita!$D156</f>
        <v>15.788746580452617</v>
      </c>
      <c r="T156" s="336">
        <f>Gasto_o_ing_per_capita!T156-Gasto_o_ing_per_capita!$D156</f>
        <v>12.900673903026002</v>
      </c>
      <c r="U156" s="336">
        <f>Gasto_o_ing_per_capita!U156-Gasto_o_ing_per_capita!$D156</f>
        <v>-0.87047255631189557</v>
      </c>
      <c r="V156" s="336">
        <f>Gasto_o_ing_per_capita!V156-Gasto_o_ing_per_capita!$D156</f>
        <v>-0.87047255631189557</v>
      </c>
      <c r="W156" s="122"/>
      <c r="X156" s="104"/>
    </row>
    <row r="157" spans="1:24" s="102" customFormat="1" ht="13.15">
      <c r="A157" s="356"/>
      <c r="B157" s="115"/>
      <c r="C157" s="140"/>
      <c r="D157" s="116"/>
      <c r="E157" s="116"/>
      <c r="F157" s="116"/>
      <c r="G157" s="116"/>
      <c r="H157" s="116"/>
      <c r="I157" s="116"/>
      <c r="J157" s="116"/>
      <c r="K157" s="116"/>
      <c r="L157" s="116"/>
      <c r="M157" s="116"/>
      <c r="N157" s="116"/>
      <c r="O157" s="116"/>
      <c r="P157" s="116"/>
      <c r="Q157" s="116"/>
      <c r="R157" s="116"/>
      <c r="S157" s="116"/>
      <c r="T157" s="116"/>
      <c r="U157" s="116"/>
      <c r="V157" s="116"/>
      <c r="W157" s="126"/>
      <c r="X157" s="104"/>
    </row>
    <row r="158" spans="1:24" s="103" customFormat="1" ht="13.15">
      <c r="A158" s="356"/>
      <c r="B158" s="137"/>
      <c r="C158" s="117" t="s">
        <v>5</v>
      </c>
      <c r="D158" s="110">
        <f>Gasto_o_ing_per_capita!D158-Gasto_o_ing_per_capita!$D158</f>
        <v>0</v>
      </c>
      <c r="E158" s="110">
        <f>Gasto_o_ing_per_capita!E158-Gasto_o_ing_per_capita!$D158</f>
        <v>35.90652056518514</v>
      </c>
      <c r="F158" s="110">
        <f>Gasto_o_ing_per_capita!F158-Gasto_o_ing_per_capita!$D158</f>
        <v>35.90652056518514</v>
      </c>
      <c r="G158" s="110">
        <f>Gasto_o_ing_per_capita!G158-Gasto_o_ing_per_capita!$D158</f>
        <v>35.90652056518514</v>
      </c>
      <c r="H158" s="110">
        <f>Gasto_o_ing_per_capita!H158-Gasto_o_ing_per_capita!$D158</f>
        <v>35.90652056518514</v>
      </c>
      <c r="I158" s="110">
        <f>Gasto_o_ing_per_capita!I158-Gasto_o_ing_per_capita!$D158</f>
        <v>35.90652056518514</v>
      </c>
      <c r="J158" s="110">
        <f>Gasto_o_ing_per_capita!J158-Gasto_o_ing_per_capita!$D158</f>
        <v>35.90652056518514</v>
      </c>
      <c r="K158" s="110">
        <f>Gasto_o_ing_per_capita!K158-Gasto_o_ing_per_capita!$D158</f>
        <v>35.90652056518514</v>
      </c>
      <c r="L158" s="110">
        <f>Gasto_o_ing_per_capita!L158-Gasto_o_ing_per_capita!$D158</f>
        <v>35.90652056518514</v>
      </c>
      <c r="M158" s="110">
        <f>Gasto_o_ing_per_capita!M158-Gasto_o_ing_per_capita!$D158</f>
        <v>35.90652056518514</v>
      </c>
      <c r="N158" s="110">
        <f>Gasto_o_ing_per_capita!N158-Gasto_o_ing_per_capita!$D158</f>
        <v>35.90652056518514</v>
      </c>
      <c r="O158" s="110">
        <f>Gasto_o_ing_per_capita!O158-Gasto_o_ing_per_capita!$D158</f>
        <v>35.90652056518514</v>
      </c>
      <c r="P158" s="110">
        <f>Gasto_o_ing_per_capita!P158-Gasto_o_ing_per_capita!$D158</f>
        <v>35.90652056518514</v>
      </c>
      <c r="Q158" s="110">
        <f>Gasto_o_ing_per_capita!Q158-Gasto_o_ing_per_capita!$D158</f>
        <v>35.90652056518514</v>
      </c>
      <c r="R158" s="110">
        <f>Gasto_o_ing_per_capita!R158-Gasto_o_ing_per_capita!$D158</f>
        <v>35.90652056518514</v>
      </c>
      <c r="S158" s="110">
        <f>Gasto_o_ing_per_capita!S158-Gasto_o_ing_per_capita!$D158</f>
        <v>-857.48917075809629</v>
      </c>
      <c r="T158" s="110">
        <f>Gasto_o_ing_per_capita!T158-Gasto_o_ing_per_capita!$D158</f>
        <v>-471.64418803695241</v>
      </c>
      <c r="U158" s="110">
        <f>Gasto_o_ing_per_capita!U158-Gasto_o_ing_per_capita!$D158</f>
        <v>35.90652056518514</v>
      </c>
      <c r="V158" s="110">
        <f>Gasto_o_ing_per_capita!V158-Gasto_o_ing_per_capita!$D158</f>
        <v>35.90652056518514</v>
      </c>
      <c r="W158" s="125"/>
      <c r="X158" s="181"/>
    </row>
    <row r="159" spans="1:24" s="102" customFormat="1" ht="13.15">
      <c r="A159" s="355" t="str">
        <f>IF(B159="","",(IF(ISERROR(MATCH(B159,Tot_res!C:C,0)),"Eliminar!!!","")))</f>
        <v/>
      </c>
      <c r="B159" s="115" t="s">
        <v>1009</v>
      </c>
      <c r="C159" s="333" t="str">
        <f>VLOOKUP(B159,Tot_res!C:D,2,FALSE)</f>
        <v xml:space="preserve"> Cupo y aportación, antes descuento por Y vasca</v>
      </c>
      <c r="D159" s="336">
        <f>Gasto_o_ing_per_capita!D159-Gasto_o_ing_per_capita!$D159</f>
        <v>0</v>
      </c>
      <c r="E159" s="336">
        <f>Gasto_o_ing_per_capita!E159-Gasto_o_ing_per_capita!$D159</f>
        <v>37.984046282555681</v>
      </c>
      <c r="F159" s="336">
        <f>Gasto_o_ing_per_capita!F159-Gasto_o_ing_per_capita!$D159</f>
        <v>37.984046282555681</v>
      </c>
      <c r="G159" s="336">
        <f>Gasto_o_ing_per_capita!G159-Gasto_o_ing_per_capita!$D159</f>
        <v>37.984046282555681</v>
      </c>
      <c r="H159" s="336">
        <f>Gasto_o_ing_per_capita!H159-Gasto_o_ing_per_capita!$D159</f>
        <v>37.984046282555681</v>
      </c>
      <c r="I159" s="336">
        <f>Gasto_o_ing_per_capita!I159-Gasto_o_ing_per_capita!$D159</f>
        <v>37.984046282555681</v>
      </c>
      <c r="J159" s="336">
        <f>Gasto_o_ing_per_capita!J159-Gasto_o_ing_per_capita!$D159</f>
        <v>37.984046282555681</v>
      </c>
      <c r="K159" s="336">
        <f>Gasto_o_ing_per_capita!K159-Gasto_o_ing_per_capita!$D159</f>
        <v>37.984046282555681</v>
      </c>
      <c r="L159" s="336">
        <f>Gasto_o_ing_per_capita!L159-Gasto_o_ing_per_capita!$D159</f>
        <v>37.984046282555681</v>
      </c>
      <c r="M159" s="336">
        <f>Gasto_o_ing_per_capita!M159-Gasto_o_ing_per_capita!$D159</f>
        <v>37.984046282555681</v>
      </c>
      <c r="N159" s="336">
        <f>Gasto_o_ing_per_capita!N159-Gasto_o_ing_per_capita!$D159</f>
        <v>37.984046282555681</v>
      </c>
      <c r="O159" s="336">
        <f>Gasto_o_ing_per_capita!O159-Gasto_o_ing_per_capita!$D159</f>
        <v>37.984046282555681</v>
      </c>
      <c r="P159" s="336">
        <f>Gasto_o_ing_per_capita!P159-Gasto_o_ing_per_capita!$D159</f>
        <v>37.984046282555681</v>
      </c>
      <c r="Q159" s="336">
        <f>Gasto_o_ing_per_capita!Q159-Gasto_o_ing_per_capita!$D159</f>
        <v>37.984046282555681</v>
      </c>
      <c r="R159" s="336">
        <f>Gasto_o_ing_per_capita!R159-Gasto_o_ing_per_capita!$D159</f>
        <v>37.984046282555681</v>
      </c>
      <c r="S159" s="336">
        <f>Gasto_o_ing_per_capita!S159-Gasto_o_ing_per_capita!$D159</f>
        <v>-855.41164504072572</v>
      </c>
      <c r="T159" s="336">
        <f>Gasto_o_ing_per_capita!T159-Gasto_o_ing_per_capita!$D159</f>
        <v>-514.09915018044865</v>
      </c>
      <c r="U159" s="336">
        <f>Gasto_o_ing_per_capita!U159-Gasto_o_ing_per_capita!$D159</f>
        <v>37.984046282555681</v>
      </c>
      <c r="V159" s="336">
        <f>Gasto_o_ing_per_capita!V159-Gasto_o_ing_per_capita!$D159</f>
        <v>37.984046282555681</v>
      </c>
      <c r="W159" s="122"/>
      <c r="X159" s="104"/>
    </row>
    <row r="160" spans="1:24" s="102" customFormat="1" ht="13.15">
      <c r="A160" s="355" t="str">
        <f>IF(B160="","",(IF(ISERROR(MATCH(B160,Tot_res!C:C,0)),"Eliminar!!!","")))</f>
        <v/>
      </c>
      <c r="B160" s="115" t="s">
        <v>987</v>
      </c>
      <c r="C160" s="333" t="str">
        <f>VLOOKUP(B160,Tot_res!C:D,2,FALSE)</f>
        <v>Otras transferencias a CCAA: Compensaciones financieras al País Vasco por IE sobre las labores de tabaco</v>
      </c>
      <c r="D160" s="336">
        <f>Gasto_o_ing_per_capita!D160-Gasto_o_ing_per_capita!$D160</f>
        <v>0</v>
      </c>
      <c r="E160" s="336">
        <f>Gasto_o_ing_per_capita!E160-Gasto_o_ing_per_capita!$D160</f>
        <v>-3.0846702111893785</v>
      </c>
      <c r="F160" s="336">
        <f>Gasto_o_ing_per_capita!F160-Gasto_o_ing_per_capita!$D160</f>
        <v>-3.0846702111893785</v>
      </c>
      <c r="G160" s="336">
        <f>Gasto_o_ing_per_capita!G160-Gasto_o_ing_per_capita!$D160</f>
        <v>-3.0846702111893785</v>
      </c>
      <c r="H160" s="336">
        <f>Gasto_o_ing_per_capita!H160-Gasto_o_ing_per_capita!$D160</f>
        <v>-3.0846702111893785</v>
      </c>
      <c r="I160" s="336">
        <f>Gasto_o_ing_per_capita!I160-Gasto_o_ing_per_capita!$D160</f>
        <v>-3.0846702111893785</v>
      </c>
      <c r="J160" s="336">
        <f>Gasto_o_ing_per_capita!J160-Gasto_o_ing_per_capita!$D160</f>
        <v>-3.0846702111893785</v>
      </c>
      <c r="K160" s="336">
        <f>Gasto_o_ing_per_capita!K160-Gasto_o_ing_per_capita!$D160</f>
        <v>-3.0846702111893785</v>
      </c>
      <c r="L160" s="336">
        <f>Gasto_o_ing_per_capita!L160-Gasto_o_ing_per_capita!$D160</f>
        <v>-3.0846702111893785</v>
      </c>
      <c r="M160" s="336">
        <f>Gasto_o_ing_per_capita!M160-Gasto_o_ing_per_capita!$D160</f>
        <v>-3.0846702111893785</v>
      </c>
      <c r="N160" s="336">
        <f>Gasto_o_ing_per_capita!N160-Gasto_o_ing_per_capita!$D160</f>
        <v>-3.0846702111893785</v>
      </c>
      <c r="O160" s="336">
        <f>Gasto_o_ing_per_capita!O160-Gasto_o_ing_per_capita!$D160</f>
        <v>-3.0846702111893785</v>
      </c>
      <c r="P160" s="336">
        <f>Gasto_o_ing_per_capita!P160-Gasto_o_ing_per_capita!$D160</f>
        <v>-3.0846702111893785</v>
      </c>
      <c r="Q160" s="336">
        <f>Gasto_o_ing_per_capita!Q160-Gasto_o_ing_per_capita!$D160</f>
        <v>-3.0846702111893785</v>
      </c>
      <c r="R160" s="336">
        <f>Gasto_o_ing_per_capita!R160-Gasto_o_ing_per_capita!$D160</f>
        <v>-3.0846702111893785</v>
      </c>
      <c r="S160" s="336">
        <f>Gasto_o_ing_per_capita!S160-Gasto_o_ing_per_capita!$D160</f>
        <v>-3.0846702111893785</v>
      </c>
      <c r="T160" s="336">
        <f>Gasto_o_ing_per_capita!T160-Gasto_o_ing_per_capita!$D160</f>
        <v>63.036310908809014</v>
      </c>
      <c r="U160" s="336">
        <f>Gasto_o_ing_per_capita!U160-Gasto_o_ing_per_capita!$D160</f>
        <v>-3.0846702111893785</v>
      </c>
      <c r="V160" s="336">
        <f>Gasto_o_ing_per_capita!V160-Gasto_o_ing_per_capita!$D160</f>
        <v>-3.0846702111893785</v>
      </c>
      <c r="W160" s="122"/>
      <c r="X160" s="104"/>
    </row>
    <row r="161" spans="1:24" s="102" customFormat="1" ht="13.15">
      <c r="A161" s="355" t="str">
        <f>IF(B161="","",(IF(ISERROR(MATCH(B161,Tot_res!C:C,0)),"Eliminar!!!","")))</f>
        <v/>
      </c>
      <c r="B161" s="115" t="s">
        <v>225</v>
      </c>
      <c r="C161" s="333" t="str">
        <f>VLOOKUP(B161,Tot_res!C:D,2,FALSE)</f>
        <v>compensaciones financieras IE bebidas alcohólicas e hidrocarburos</v>
      </c>
      <c r="D161" s="336">
        <f>Gasto_o_ing_per_capita!D161-Gasto_o_ing_per_capita!$D161</f>
        <v>0</v>
      </c>
      <c r="E161" s="336">
        <f>Gasto_o_ing_per_capita!E161-Gasto_o_ing_per_capita!$D161</f>
        <v>1.0071444938188385</v>
      </c>
      <c r="F161" s="336">
        <f>Gasto_o_ing_per_capita!F161-Gasto_o_ing_per_capita!$D161</f>
        <v>1.0071444938188385</v>
      </c>
      <c r="G161" s="336">
        <f>Gasto_o_ing_per_capita!G161-Gasto_o_ing_per_capita!$D161</f>
        <v>1.0071444938188385</v>
      </c>
      <c r="H161" s="336">
        <f>Gasto_o_ing_per_capita!H161-Gasto_o_ing_per_capita!$D161</f>
        <v>1.0071444938188385</v>
      </c>
      <c r="I161" s="336">
        <f>Gasto_o_ing_per_capita!I161-Gasto_o_ing_per_capita!$D161</f>
        <v>1.0071444938188385</v>
      </c>
      <c r="J161" s="336">
        <f>Gasto_o_ing_per_capita!J161-Gasto_o_ing_per_capita!$D161</f>
        <v>1.0071444938188385</v>
      </c>
      <c r="K161" s="336">
        <f>Gasto_o_ing_per_capita!K161-Gasto_o_ing_per_capita!$D161</f>
        <v>1.0071444938188385</v>
      </c>
      <c r="L161" s="336">
        <f>Gasto_o_ing_per_capita!L161-Gasto_o_ing_per_capita!$D161</f>
        <v>1.0071444938188385</v>
      </c>
      <c r="M161" s="336">
        <f>Gasto_o_ing_per_capita!M161-Gasto_o_ing_per_capita!$D161</f>
        <v>1.0071444938188385</v>
      </c>
      <c r="N161" s="336">
        <f>Gasto_o_ing_per_capita!N161-Gasto_o_ing_per_capita!$D161</f>
        <v>1.0071444938188385</v>
      </c>
      <c r="O161" s="336">
        <f>Gasto_o_ing_per_capita!O161-Gasto_o_ing_per_capita!$D161</f>
        <v>1.0071444938188385</v>
      </c>
      <c r="P161" s="336">
        <f>Gasto_o_ing_per_capita!P161-Gasto_o_ing_per_capita!$D161</f>
        <v>1.0071444938188385</v>
      </c>
      <c r="Q161" s="336">
        <f>Gasto_o_ing_per_capita!Q161-Gasto_o_ing_per_capita!$D161</f>
        <v>1.0071444938188385</v>
      </c>
      <c r="R161" s="336">
        <f>Gasto_o_ing_per_capita!R161-Gasto_o_ing_per_capita!$D161</f>
        <v>1.0071444938188385</v>
      </c>
      <c r="S161" s="336">
        <f>Gasto_o_ing_per_capita!S161-Gasto_o_ing_per_capita!$D161</f>
        <v>1.0071444938188385</v>
      </c>
      <c r="T161" s="336">
        <f>Gasto_o_ing_per_capita!T161-Gasto_o_ing_per_capita!$D161</f>
        <v>-20.581348765312704</v>
      </c>
      <c r="U161" s="336">
        <f>Gasto_o_ing_per_capita!U161-Gasto_o_ing_per_capita!$D161</f>
        <v>1.0071444938188385</v>
      </c>
      <c r="V161" s="336">
        <f>Gasto_o_ing_per_capita!V161-Gasto_o_ing_per_capita!$D161</f>
        <v>1.0071444938188385</v>
      </c>
      <c r="W161" s="122"/>
      <c r="X161" s="104"/>
    </row>
    <row r="162" spans="1:24" ht="13.15">
      <c r="A162" s="356"/>
      <c r="B162" s="9"/>
      <c r="C162" s="5"/>
      <c r="D162" s="19"/>
      <c r="E162" s="19"/>
      <c r="F162" s="19"/>
      <c r="G162" s="19"/>
      <c r="H162" s="19"/>
      <c r="I162" s="19"/>
      <c r="J162" s="19"/>
      <c r="K162" s="19"/>
      <c r="L162" s="19"/>
      <c r="M162" s="19"/>
      <c r="N162" s="19"/>
      <c r="O162" s="19"/>
      <c r="P162" s="19"/>
      <c r="Q162" s="19"/>
      <c r="R162" s="19"/>
      <c r="S162" s="19"/>
      <c r="T162" s="19"/>
      <c r="U162" s="19"/>
      <c r="V162" s="19"/>
      <c r="W162" s="24"/>
      <c r="X162" s="15"/>
    </row>
    <row r="163" spans="1:24" s="102" customFormat="1" ht="13.15">
      <c r="A163" s="356"/>
      <c r="B163" s="137"/>
      <c r="C163" s="117" t="s">
        <v>52</v>
      </c>
      <c r="D163" s="113">
        <f>Gasto_o_ing_per_capita!D163-Gasto_o_ing_per_capita!$D163</f>
        <v>0</v>
      </c>
      <c r="E163" s="113">
        <f>Gasto_o_ing_per_capita!E163-Gasto_o_ing_per_capita!$D163</f>
        <v>59.363661435382383</v>
      </c>
      <c r="F163" s="113">
        <f>Gasto_o_ing_per_capita!F163-Gasto_o_ing_per_capita!$D163</f>
        <v>59.363661435382383</v>
      </c>
      <c r="G163" s="113">
        <f>Gasto_o_ing_per_capita!G163-Gasto_o_ing_per_capita!$D163</f>
        <v>59.363661435382383</v>
      </c>
      <c r="H163" s="113">
        <f>Gasto_o_ing_per_capita!H163-Gasto_o_ing_per_capita!$D163</f>
        <v>59.363661435382383</v>
      </c>
      <c r="I163" s="113">
        <f>Gasto_o_ing_per_capita!I163-Gasto_o_ing_per_capita!$D163</f>
        <v>59.363661435382383</v>
      </c>
      <c r="J163" s="113">
        <f>Gasto_o_ing_per_capita!J163-Gasto_o_ing_per_capita!$D163</f>
        <v>59.363661435382383</v>
      </c>
      <c r="K163" s="113">
        <f>Gasto_o_ing_per_capita!K163-Gasto_o_ing_per_capita!$D163</f>
        <v>59.363661435382383</v>
      </c>
      <c r="L163" s="113">
        <f>Gasto_o_ing_per_capita!L163-Gasto_o_ing_per_capita!$D163</f>
        <v>59.363661435382383</v>
      </c>
      <c r="M163" s="113">
        <f>Gasto_o_ing_per_capita!M163-Gasto_o_ing_per_capita!$D163</f>
        <v>59.363661435382383</v>
      </c>
      <c r="N163" s="113">
        <f>Gasto_o_ing_per_capita!N163-Gasto_o_ing_per_capita!$D163</f>
        <v>59.363661435382383</v>
      </c>
      <c r="O163" s="113">
        <f>Gasto_o_ing_per_capita!O163-Gasto_o_ing_per_capita!$D163</f>
        <v>59.363661435382383</v>
      </c>
      <c r="P163" s="113">
        <f>Gasto_o_ing_per_capita!P163-Gasto_o_ing_per_capita!$D163</f>
        <v>59.363661435382383</v>
      </c>
      <c r="Q163" s="113">
        <f>Gasto_o_ing_per_capita!Q163-Gasto_o_ing_per_capita!$D163</f>
        <v>59.363661435382383</v>
      </c>
      <c r="R163" s="113">
        <f>Gasto_o_ing_per_capita!R163-Gasto_o_ing_per_capita!$D163</f>
        <v>59.363661435382383</v>
      </c>
      <c r="S163" s="113">
        <f>Gasto_o_ing_per_capita!S163-Gasto_o_ing_per_capita!$D163</f>
        <v>-773.87762744835652</v>
      </c>
      <c r="T163" s="113">
        <f>Gasto_o_ing_per_capita!T163-Gasto_o_ing_per_capita!$D163</f>
        <v>-968.64805502197999</v>
      </c>
      <c r="U163" s="113">
        <f>Gasto_o_ing_per_capita!U163-Gasto_o_ing_per_capita!$D163</f>
        <v>59.363661435382383</v>
      </c>
      <c r="V163" s="113">
        <f>Gasto_o_ing_per_capita!V163-Gasto_o_ing_per_capita!$D163</f>
        <v>59.363661435382383</v>
      </c>
      <c r="W163" s="122"/>
      <c r="X163" s="104"/>
    </row>
    <row r="164" spans="1:24" s="102" customFormat="1" ht="13.15">
      <c r="A164" s="356"/>
      <c r="B164" s="115" t="s">
        <v>1127</v>
      </c>
      <c r="C164" s="335" t="str">
        <f>VLOOKUP(B164,Tot_res!C:D,2,FALSE)</f>
        <v>gestión tributaria (prog. 932A)</v>
      </c>
      <c r="D164" s="338">
        <f>Gasto_o_ing_per_capita!D164-Gasto_o_ing_per_capita!$D164</f>
        <v>0</v>
      </c>
      <c r="E164" s="338">
        <f>Gasto_o_ing_per_capita!E164-Gasto_o_ing_per_capita!$D164</f>
        <v>1.7078487436217011</v>
      </c>
      <c r="F164" s="338">
        <f>Gasto_o_ing_per_capita!F164-Gasto_o_ing_per_capita!$D164</f>
        <v>1.7078487436217011</v>
      </c>
      <c r="G164" s="338">
        <f>Gasto_o_ing_per_capita!G164-Gasto_o_ing_per_capita!$D164</f>
        <v>1.7078487436217011</v>
      </c>
      <c r="H164" s="338">
        <f>Gasto_o_ing_per_capita!H164-Gasto_o_ing_per_capita!$D164</f>
        <v>1.7078487436217011</v>
      </c>
      <c r="I164" s="338">
        <f>Gasto_o_ing_per_capita!I164-Gasto_o_ing_per_capita!$D164</f>
        <v>1.7078487436217011</v>
      </c>
      <c r="J164" s="338">
        <f>Gasto_o_ing_per_capita!J164-Gasto_o_ing_per_capita!$D164</f>
        <v>1.7078487436217011</v>
      </c>
      <c r="K164" s="338">
        <f>Gasto_o_ing_per_capita!K164-Gasto_o_ing_per_capita!$D164</f>
        <v>1.7078487436217011</v>
      </c>
      <c r="L164" s="338">
        <f>Gasto_o_ing_per_capita!L164-Gasto_o_ing_per_capita!$D164</f>
        <v>1.7078487436217011</v>
      </c>
      <c r="M164" s="338">
        <f>Gasto_o_ing_per_capita!M164-Gasto_o_ing_per_capita!$D164</f>
        <v>1.7078487436217011</v>
      </c>
      <c r="N164" s="338">
        <f>Gasto_o_ing_per_capita!N164-Gasto_o_ing_per_capita!$D164</f>
        <v>1.7078487436217011</v>
      </c>
      <c r="O164" s="338">
        <f>Gasto_o_ing_per_capita!O164-Gasto_o_ing_per_capita!$D164</f>
        <v>1.7078487436217011</v>
      </c>
      <c r="P164" s="338">
        <f>Gasto_o_ing_per_capita!P164-Gasto_o_ing_per_capita!$D164</f>
        <v>1.7078487436217011</v>
      </c>
      <c r="Q164" s="338">
        <f>Gasto_o_ing_per_capita!Q164-Gasto_o_ing_per_capita!$D164</f>
        <v>1.7078487436217011</v>
      </c>
      <c r="R164" s="338">
        <f>Gasto_o_ing_per_capita!R164-Gasto_o_ing_per_capita!$D164</f>
        <v>1.7078487436217011</v>
      </c>
      <c r="S164" s="338">
        <f>Gasto_o_ing_per_capita!S164-Gasto_o_ing_per_capita!$D164</f>
        <v>-26.596207859943672</v>
      </c>
      <c r="T164" s="338">
        <f>Gasto_o_ing_per_capita!T164-Gasto_o_ing_per_capita!$D164</f>
        <v>-26.596207859943672</v>
      </c>
      <c r="U164" s="338">
        <f>Gasto_o_ing_per_capita!U164-Gasto_o_ing_per_capita!$D164</f>
        <v>1.7078487436217011</v>
      </c>
      <c r="V164" s="338">
        <f>Gasto_o_ing_per_capita!V164-Gasto_o_ing_per_capita!$D164</f>
        <v>1.7078487436217011</v>
      </c>
      <c r="W164" s="122"/>
      <c r="X164" s="104"/>
    </row>
    <row r="165" spans="1:24" s="102" customFormat="1" ht="13.15">
      <c r="A165" s="356"/>
      <c r="B165" s="115" t="s">
        <v>1128</v>
      </c>
      <c r="C165" s="335" t="str">
        <f>VLOOKUP(B165,Tot_res!C:D,2,FALSE)</f>
        <v>Gestión del catastro inmobiliario (programa 932M)</v>
      </c>
      <c r="D165" s="338">
        <f>Gasto_o_ing_per_capita!D165-Gasto_o_ing_per_capita!$D165</f>
        <v>0</v>
      </c>
      <c r="E165" s="338">
        <f>Gasto_o_ing_per_capita!E165-Gasto_o_ing_per_capita!$D165</f>
        <v>0.13115616849756151</v>
      </c>
      <c r="F165" s="338">
        <f>Gasto_o_ing_per_capita!F165-Gasto_o_ing_per_capita!$D165</f>
        <v>0.13115616849756151</v>
      </c>
      <c r="G165" s="338">
        <f>Gasto_o_ing_per_capita!G165-Gasto_o_ing_per_capita!$D165</f>
        <v>0.13115616849756151</v>
      </c>
      <c r="H165" s="338">
        <f>Gasto_o_ing_per_capita!H165-Gasto_o_ing_per_capita!$D165</f>
        <v>0.13115616849756151</v>
      </c>
      <c r="I165" s="338">
        <f>Gasto_o_ing_per_capita!I165-Gasto_o_ing_per_capita!$D165</f>
        <v>0.13115616849756151</v>
      </c>
      <c r="J165" s="338">
        <f>Gasto_o_ing_per_capita!J165-Gasto_o_ing_per_capita!$D165</f>
        <v>0.13115616849756151</v>
      </c>
      <c r="K165" s="338">
        <f>Gasto_o_ing_per_capita!K165-Gasto_o_ing_per_capita!$D165</f>
        <v>0.13115616849756151</v>
      </c>
      <c r="L165" s="338">
        <f>Gasto_o_ing_per_capita!L165-Gasto_o_ing_per_capita!$D165</f>
        <v>0.13115616849756151</v>
      </c>
      <c r="M165" s="338">
        <f>Gasto_o_ing_per_capita!M165-Gasto_o_ing_per_capita!$D165</f>
        <v>0.13115616849756151</v>
      </c>
      <c r="N165" s="338">
        <f>Gasto_o_ing_per_capita!N165-Gasto_o_ing_per_capita!$D165</f>
        <v>0.13115616849756151</v>
      </c>
      <c r="O165" s="338">
        <f>Gasto_o_ing_per_capita!O165-Gasto_o_ing_per_capita!$D165</f>
        <v>0.13115616849756151</v>
      </c>
      <c r="P165" s="338">
        <f>Gasto_o_ing_per_capita!P165-Gasto_o_ing_per_capita!$D165</f>
        <v>0.13115616849756151</v>
      </c>
      <c r="Q165" s="338">
        <f>Gasto_o_ing_per_capita!Q165-Gasto_o_ing_per_capita!$D165</f>
        <v>0.13115616849756151</v>
      </c>
      <c r="R165" s="338">
        <f>Gasto_o_ing_per_capita!R165-Gasto_o_ing_per_capita!$D165</f>
        <v>0.13115616849756151</v>
      </c>
      <c r="S165" s="338">
        <f>Gasto_o_ing_per_capita!S165-Gasto_o_ing_per_capita!$D165</f>
        <v>-2.0424857485199004</v>
      </c>
      <c r="T165" s="338">
        <f>Gasto_o_ing_per_capita!T165-Gasto_o_ing_per_capita!$D165</f>
        <v>-2.0424857485199004</v>
      </c>
      <c r="U165" s="338">
        <f>Gasto_o_ing_per_capita!U165-Gasto_o_ing_per_capita!$D165</f>
        <v>0.13115616849756151</v>
      </c>
      <c r="V165" s="338">
        <f>Gasto_o_ing_per_capita!V165-Gasto_o_ing_per_capita!$D165</f>
        <v>0.13115616849756151</v>
      </c>
      <c r="W165" s="122"/>
      <c r="X165" s="104"/>
    </row>
    <row r="166" spans="1:24" s="102" customFormat="1" ht="13.15">
      <c r="A166" s="356"/>
      <c r="B166" s="115" t="s">
        <v>1129</v>
      </c>
      <c r="C166" s="335" t="str">
        <f>VLOOKUP(B166,Tot_res!C:D,2,FALSE)</f>
        <v>Pensiones no contributivas y otras prestaciones económicas (sección 3.1)</v>
      </c>
      <c r="D166" s="338">
        <f>Gasto_o_ing_per_capita!D166-Gasto_o_ing_per_capita!$D166</f>
        <v>0</v>
      </c>
      <c r="E166" s="338">
        <f>Gasto_o_ing_per_capita!E166-Gasto_o_ing_per_capita!$D166</f>
        <v>3.1191497659186669</v>
      </c>
      <c r="F166" s="338">
        <f>Gasto_o_ing_per_capita!F166-Gasto_o_ing_per_capita!$D166</f>
        <v>3.1191497659186669</v>
      </c>
      <c r="G166" s="338">
        <f>Gasto_o_ing_per_capita!G166-Gasto_o_ing_per_capita!$D166</f>
        <v>3.1191497659186669</v>
      </c>
      <c r="H166" s="338">
        <f>Gasto_o_ing_per_capita!H166-Gasto_o_ing_per_capita!$D166</f>
        <v>3.1191497659186669</v>
      </c>
      <c r="I166" s="338">
        <f>Gasto_o_ing_per_capita!I166-Gasto_o_ing_per_capita!$D166</f>
        <v>3.1191497659186669</v>
      </c>
      <c r="J166" s="338">
        <f>Gasto_o_ing_per_capita!J166-Gasto_o_ing_per_capita!$D166</f>
        <v>3.1191497659186669</v>
      </c>
      <c r="K166" s="338">
        <f>Gasto_o_ing_per_capita!K166-Gasto_o_ing_per_capita!$D166</f>
        <v>3.1191497659186669</v>
      </c>
      <c r="L166" s="338">
        <f>Gasto_o_ing_per_capita!L166-Gasto_o_ing_per_capita!$D166</f>
        <v>3.1191497659186669</v>
      </c>
      <c r="M166" s="338">
        <f>Gasto_o_ing_per_capita!M166-Gasto_o_ing_per_capita!$D166</f>
        <v>3.1191497659186669</v>
      </c>
      <c r="N166" s="338">
        <f>Gasto_o_ing_per_capita!N166-Gasto_o_ing_per_capita!$D166</f>
        <v>3.1191497659186669</v>
      </c>
      <c r="O166" s="338">
        <f>Gasto_o_ing_per_capita!O166-Gasto_o_ing_per_capita!$D166</f>
        <v>3.1191497659186669</v>
      </c>
      <c r="P166" s="338">
        <f>Gasto_o_ing_per_capita!P166-Gasto_o_ing_per_capita!$D166</f>
        <v>3.1191497659186669</v>
      </c>
      <c r="Q166" s="338">
        <f>Gasto_o_ing_per_capita!Q166-Gasto_o_ing_per_capita!$D166</f>
        <v>3.1191497659186669</v>
      </c>
      <c r="R166" s="338">
        <f>Gasto_o_ing_per_capita!R166-Gasto_o_ing_per_capita!$D166</f>
        <v>3.1191497659186669</v>
      </c>
      <c r="S166" s="338">
        <f>Gasto_o_ing_per_capita!S166-Gasto_o_ing_per_capita!$D166</f>
        <v>-35.503823300417132</v>
      </c>
      <c r="T166" s="338">
        <f>Gasto_o_ing_per_capita!T166-Gasto_o_ing_per_capita!$D166</f>
        <v>-52.409114815719143</v>
      </c>
      <c r="U166" s="338">
        <f>Gasto_o_ing_per_capita!U166-Gasto_o_ing_per_capita!$D166</f>
        <v>3.1191497659186669</v>
      </c>
      <c r="V166" s="338">
        <f>Gasto_o_ing_per_capita!V166-Gasto_o_ing_per_capita!$D166</f>
        <v>3.1191497659186669</v>
      </c>
      <c r="W166" s="122"/>
      <c r="X166" s="104"/>
    </row>
    <row r="167" spans="1:24" s="102" customFormat="1" ht="13.15">
      <c r="A167" s="356"/>
      <c r="B167" s="115" t="s">
        <v>1130</v>
      </c>
      <c r="C167" s="335" t="str">
        <f>VLOOKUP(B167,Tot_res!C:D,2,FALSE)</f>
        <v>Financiación provincias</v>
      </c>
      <c r="D167" s="338">
        <f>Gasto_o_ing_per_capita!D167-Gasto_o_ing_per_capita!$D167</f>
        <v>0</v>
      </c>
      <c r="E167" s="338">
        <f>Gasto_o_ing_per_capita!E167-Gasto_o_ing_per_capita!$D167</f>
        <v>9.353037726383393</v>
      </c>
      <c r="F167" s="338">
        <f>Gasto_o_ing_per_capita!F167-Gasto_o_ing_per_capita!$D167</f>
        <v>9.353037726383393</v>
      </c>
      <c r="G167" s="338">
        <f>Gasto_o_ing_per_capita!G167-Gasto_o_ing_per_capita!$D167</f>
        <v>9.353037726383393</v>
      </c>
      <c r="H167" s="338">
        <f>Gasto_o_ing_per_capita!H167-Gasto_o_ing_per_capita!$D167</f>
        <v>9.353037726383393</v>
      </c>
      <c r="I167" s="338">
        <f>Gasto_o_ing_per_capita!I167-Gasto_o_ing_per_capita!$D167</f>
        <v>9.353037726383393</v>
      </c>
      <c r="J167" s="338">
        <f>Gasto_o_ing_per_capita!J167-Gasto_o_ing_per_capita!$D167</f>
        <v>9.353037726383393</v>
      </c>
      <c r="K167" s="338">
        <f>Gasto_o_ing_per_capita!K167-Gasto_o_ing_per_capita!$D167</f>
        <v>9.353037726383393</v>
      </c>
      <c r="L167" s="338">
        <f>Gasto_o_ing_per_capita!L167-Gasto_o_ing_per_capita!$D167</f>
        <v>9.353037726383393</v>
      </c>
      <c r="M167" s="338">
        <f>Gasto_o_ing_per_capita!M167-Gasto_o_ing_per_capita!$D167</f>
        <v>9.353037726383393</v>
      </c>
      <c r="N167" s="338">
        <f>Gasto_o_ing_per_capita!N167-Gasto_o_ing_per_capita!$D167</f>
        <v>9.353037726383393</v>
      </c>
      <c r="O167" s="338">
        <f>Gasto_o_ing_per_capita!O167-Gasto_o_ing_per_capita!$D167</f>
        <v>9.353037726383393</v>
      </c>
      <c r="P167" s="338">
        <f>Gasto_o_ing_per_capita!P167-Gasto_o_ing_per_capita!$D167</f>
        <v>9.353037726383393</v>
      </c>
      <c r="Q167" s="338">
        <f>Gasto_o_ing_per_capita!Q167-Gasto_o_ing_per_capita!$D167</f>
        <v>9.353037726383393</v>
      </c>
      <c r="R167" s="338">
        <f>Gasto_o_ing_per_capita!R167-Gasto_o_ing_per_capita!$D167</f>
        <v>9.353037726383393</v>
      </c>
      <c r="S167" s="338">
        <f>Gasto_o_ing_per_capita!S167-Gasto_o_ing_per_capita!$D167</f>
        <v>-145.63915286834398</v>
      </c>
      <c r="T167" s="338">
        <f>Gasto_o_ing_per_capita!T167-Gasto_o_ing_per_capita!$D167</f>
        <v>-145.65860947087936</v>
      </c>
      <c r="U167" s="338">
        <f>Gasto_o_ing_per_capita!U167-Gasto_o_ing_per_capita!$D167</f>
        <v>9.353037726383393</v>
      </c>
      <c r="V167" s="338">
        <f>Gasto_o_ing_per_capita!V167-Gasto_o_ing_per_capita!$D167</f>
        <v>9.353037726383393</v>
      </c>
      <c r="W167" s="122"/>
      <c r="X167" s="104"/>
    </row>
    <row r="168" spans="1:24" s="102" customFormat="1" ht="13.15">
      <c r="A168" s="356"/>
      <c r="B168" s="115" t="s">
        <v>1131</v>
      </c>
      <c r="C168" s="335" t="str">
        <f>VLOOKUP(B168,Tot_res!C:D,2,FALSE)</f>
        <v>Financiación municipios</v>
      </c>
      <c r="D168" s="338">
        <f>Gasto_o_ing_per_capita!D168-Gasto_o_ing_per_capita!$D168</f>
        <v>0</v>
      </c>
      <c r="E168" s="338">
        <f>Gasto_o_ing_per_capita!E168-Gasto_o_ing_per_capita!$D168</f>
        <v>21.31435866401376</v>
      </c>
      <c r="F168" s="338">
        <f>Gasto_o_ing_per_capita!F168-Gasto_o_ing_per_capita!$D168</f>
        <v>21.31435866401376</v>
      </c>
      <c r="G168" s="338">
        <f>Gasto_o_ing_per_capita!G168-Gasto_o_ing_per_capita!$D168</f>
        <v>21.31435866401376</v>
      </c>
      <c r="H168" s="338">
        <f>Gasto_o_ing_per_capita!H168-Gasto_o_ing_per_capita!$D168</f>
        <v>21.31435866401376</v>
      </c>
      <c r="I168" s="338">
        <f>Gasto_o_ing_per_capita!I168-Gasto_o_ing_per_capita!$D168</f>
        <v>21.31435866401376</v>
      </c>
      <c r="J168" s="338">
        <f>Gasto_o_ing_per_capita!J168-Gasto_o_ing_per_capita!$D168</f>
        <v>21.31435866401376</v>
      </c>
      <c r="K168" s="338">
        <f>Gasto_o_ing_per_capita!K168-Gasto_o_ing_per_capita!$D168</f>
        <v>21.31435866401376</v>
      </c>
      <c r="L168" s="338">
        <f>Gasto_o_ing_per_capita!L168-Gasto_o_ing_per_capita!$D168</f>
        <v>21.31435866401376</v>
      </c>
      <c r="M168" s="338">
        <f>Gasto_o_ing_per_capita!M168-Gasto_o_ing_per_capita!$D168</f>
        <v>21.31435866401376</v>
      </c>
      <c r="N168" s="338">
        <f>Gasto_o_ing_per_capita!N168-Gasto_o_ing_per_capita!$D168</f>
        <v>21.31435866401376</v>
      </c>
      <c r="O168" s="338">
        <f>Gasto_o_ing_per_capita!O168-Gasto_o_ing_per_capita!$D168</f>
        <v>21.31435866401376</v>
      </c>
      <c r="P168" s="338">
        <f>Gasto_o_ing_per_capita!P168-Gasto_o_ing_per_capita!$D168</f>
        <v>21.31435866401376</v>
      </c>
      <c r="Q168" s="338">
        <f>Gasto_o_ing_per_capita!Q168-Gasto_o_ing_per_capita!$D168</f>
        <v>21.31435866401376</v>
      </c>
      <c r="R168" s="338">
        <f>Gasto_o_ing_per_capita!R168-Gasto_o_ing_per_capita!$D168</f>
        <v>21.31435866401376</v>
      </c>
      <c r="S168" s="338">
        <f>Gasto_o_ing_per_capita!S168-Gasto_o_ing_per_capita!$D168</f>
        <v>-332.02372305515814</v>
      </c>
      <c r="T168" s="338">
        <f>Gasto_o_ing_per_capita!T168-Gasto_o_ing_per_capita!$D168</f>
        <v>-331.89862456732419</v>
      </c>
      <c r="U168" s="338">
        <f>Gasto_o_ing_per_capita!U168-Gasto_o_ing_per_capita!$D168</f>
        <v>21.31435866401376</v>
      </c>
      <c r="V168" s="338">
        <f>Gasto_o_ing_per_capita!V168-Gasto_o_ing_per_capita!$D168</f>
        <v>21.31435866401376</v>
      </c>
      <c r="W168" s="122"/>
      <c r="X168" s="104"/>
    </row>
    <row r="169" spans="1:24" s="102" customFormat="1" ht="13.15">
      <c r="A169" s="356"/>
      <c r="B169" s="115" t="s">
        <v>1132</v>
      </c>
      <c r="C169" s="335" t="str">
        <f>VLOOKUP(B169,Tot_res!C:D,2,FALSE)</f>
        <v xml:space="preserve">construcción de carreteras </v>
      </c>
      <c r="D169" s="338">
        <f>Gasto_o_ing_per_capita!D169-Gasto_o_ing_per_capita!$D169</f>
        <v>0</v>
      </c>
      <c r="E169" s="338">
        <f>Gasto_o_ing_per_capita!E169-Gasto_o_ing_per_capita!$D169</f>
        <v>2.5679639071004812</v>
      </c>
      <c r="F169" s="338">
        <f>Gasto_o_ing_per_capita!F169-Gasto_o_ing_per_capita!$D169</f>
        <v>2.5679639071004812</v>
      </c>
      <c r="G169" s="338">
        <f>Gasto_o_ing_per_capita!G169-Gasto_o_ing_per_capita!$D169</f>
        <v>2.5679639071004812</v>
      </c>
      <c r="H169" s="338">
        <f>Gasto_o_ing_per_capita!H169-Gasto_o_ing_per_capita!$D169</f>
        <v>2.5679639071004812</v>
      </c>
      <c r="I169" s="338">
        <f>Gasto_o_ing_per_capita!I169-Gasto_o_ing_per_capita!$D169</f>
        <v>2.5679639071004812</v>
      </c>
      <c r="J169" s="338">
        <f>Gasto_o_ing_per_capita!J169-Gasto_o_ing_per_capita!$D169</f>
        <v>2.5679639071004812</v>
      </c>
      <c r="K169" s="338">
        <f>Gasto_o_ing_per_capita!K169-Gasto_o_ing_per_capita!$D169</f>
        <v>2.5679639071004812</v>
      </c>
      <c r="L169" s="338">
        <f>Gasto_o_ing_per_capita!L169-Gasto_o_ing_per_capita!$D169</f>
        <v>2.5679639071004812</v>
      </c>
      <c r="M169" s="338">
        <f>Gasto_o_ing_per_capita!M169-Gasto_o_ing_per_capita!$D169</f>
        <v>2.5679639071004812</v>
      </c>
      <c r="N169" s="338">
        <f>Gasto_o_ing_per_capita!N169-Gasto_o_ing_per_capita!$D169</f>
        <v>2.5679639071004812</v>
      </c>
      <c r="O169" s="338">
        <f>Gasto_o_ing_per_capita!O169-Gasto_o_ing_per_capita!$D169</f>
        <v>2.5679639071004812</v>
      </c>
      <c r="P169" s="338">
        <f>Gasto_o_ing_per_capita!P169-Gasto_o_ing_per_capita!$D169</f>
        <v>2.5679639071004812</v>
      </c>
      <c r="Q169" s="338">
        <f>Gasto_o_ing_per_capita!Q169-Gasto_o_ing_per_capita!$D169</f>
        <v>2.5679639071004812</v>
      </c>
      <c r="R169" s="338">
        <f>Gasto_o_ing_per_capita!R169-Gasto_o_ing_per_capita!$D169</f>
        <v>2.5679639071004812</v>
      </c>
      <c r="S169" s="338">
        <f>Gasto_o_ing_per_capita!S169-Gasto_o_ing_per_capita!$D169</f>
        <v>-39.990720551307746</v>
      </c>
      <c r="T169" s="338">
        <f>Gasto_o_ing_per_capita!T169-Gasto_o_ing_per_capita!$D169</f>
        <v>-39.990720551307746</v>
      </c>
      <c r="U169" s="338">
        <f>Gasto_o_ing_per_capita!U169-Gasto_o_ing_per_capita!$D169</f>
        <v>2.5679639071004812</v>
      </c>
      <c r="V169" s="338">
        <f>Gasto_o_ing_per_capita!V169-Gasto_o_ing_per_capita!$D169</f>
        <v>2.5679639071004812</v>
      </c>
      <c r="W169" s="122"/>
      <c r="X169" s="104"/>
    </row>
    <row r="170" spans="1:24" s="102" customFormat="1" ht="13.15">
      <c r="A170" s="356"/>
      <c r="B170" s="115" t="s">
        <v>1133</v>
      </c>
      <c r="C170" s="335" t="str">
        <f>VLOOKUP(B170,Tot_res!C:D,2,FALSE)</f>
        <v>conservación de carreteras (programa 453C)</v>
      </c>
      <c r="D170" s="338">
        <f>Gasto_o_ing_per_capita!D170-Gasto_o_ing_per_capita!$D170</f>
        <v>0</v>
      </c>
      <c r="E170" s="338">
        <f>Gasto_o_ing_per_capita!E170-Gasto_o_ing_per_capita!$D170</f>
        <v>1.458064284485719</v>
      </c>
      <c r="F170" s="338">
        <f>Gasto_o_ing_per_capita!F170-Gasto_o_ing_per_capita!$D170</f>
        <v>1.458064284485719</v>
      </c>
      <c r="G170" s="338">
        <f>Gasto_o_ing_per_capita!G170-Gasto_o_ing_per_capita!$D170</f>
        <v>1.458064284485719</v>
      </c>
      <c r="H170" s="338">
        <f>Gasto_o_ing_per_capita!H170-Gasto_o_ing_per_capita!$D170</f>
        <v>1.458064284485719</v>
      </c>
      <c r="I170" s="338">
        <f>Gasto_o_ing_per_capita!I170-Gasto_o_ing_per_capita!$D170</f>
        <v>1.458064284485719</v>
      </c>
      <c r="J170" s="338">
        <f>Gasto_o_ing_per_capita!J170-Gasto_o_ing_per_capita!$D170</f>
        <v>1.458064284485719</v>
      </c>
      <c r="K170" s="338">
        <f>Gasto_o_ing_per_capita!K170-Gasto_o_ing_per_capita!$D170</f>
        <v>1.458064284485719</v>
      </c>
      <c r="L170" s="338">
        <f>Gasto_o_ing_per_capita!L170-Gasto_o_ing_per_capita!$D170</f>
        <v>1.458064284485719</v>
      </c>
      <c r="M170" s="338">
        <f>Gasto_o_ing_per_capita!M170-Gasto_o_ing_per_capita!$D170</f>
        <v>1.458064284485719</v>
      </c>
      <c r="N170" s="338">
        <f>Gasto_o_ing_per_capita!N170-Gasto_o_ing_per_capita!$D170</f>
        <v>1.458064284485719</v>
      </c>
      <c r="O170" s="338">
        <f>Gasto_o_ing_per_capita!O170-Gasto_o_ing_per_capita!$D170</f>
        <v>1.458064284485719</v>
      </c>
      <c r="P170" s="338">
        <f>Gasto_o_ing_per_capita!P170-Gasto_o_ing_per_capita!$D170</f>
        <v>1.458064284485719</v>
      </c>
      <c r="Q170" s="338">
        <f>Gasto_o_ing_per_capita!Q170-Gasto_o_ing_per_capita!$D170</f>
        <v>1.458064284485719</v>
      </c>
      <c r="R170" s="338">
        <f>Gasto_o_ing_per_capita!R170-Gasto_o_ing_per_capita!$D170</f>
        <v>1.458064284485719</v>
      </c>
      <c r="S170" s="338">
        <f>Gasto_o_ing_per_capita!S170-Gasto_o_ing_per_capita!$D170</f>
        <v>-22.706332119966717</v>
      </c>
      <c r="T170" s="338">
        <f>Gasto_o_ing_per_capita!T170-Gasto_o_ing_per_capita!$D170</f>
        <v>-22.706332119966717</v>
      </c>
      <c r="U170" s="338">
        <f>Gasto_o_ing_per_capita!U170-Gasto_o_ing_per_capita!$D170</f>
        <v>1.458064284485719</v>
      </c>
      <c r="V170" s="338">
        <f>Gasto_o_ing_per_capita!V170-Gasto_o_ing_per_capita!$D170</f>
        <v>1.458064284485719</v>
      </c>
      <c r="W170" s="122"/>
      <c r="X170" s="104"/>
    </row>
    <row r="171" spans="1:24" s="102" customFormat="1" ht="13.15">
      <c r="A171" s="356"/>
      <c r="B171" s="115" t="s">
        <v>1134</v>
      </c>
      <c r="C171" s="335" t="str">
        <f>VLOOKUP(B171,Tot_res!C:D,2,FALSE)</f>
        <v>"Normalización" lingüística (programa CS06)</v>
      </c>
      <c r="D171" s="338">
        <f>Gasto_o_ing_per_capita!D171-Gasto_o_ing_per_capita!$D171</f>
        <v>0</v>
      </c>
      <c r="E171" s="338">
        <f>Gasto_o_ing_per_capita!E171-Gasto_o_ing_per_capita!$D171</f>
        <v>0.58122542182198877</v>
      </c>
      <c r="F171" s="338">
        <f>Gasto_o_ing_per_capita!F171-Gasto_o_ing_per_capita!$D171</f>
        <v>0.58122542182198877</v>
      </c>
      <c r="G171" s="338">
        <f>Gasto_o_ing_per_capita!G171-Gasto_o_ing_per_capita!$D171</f>
        <v>0.58122542182198877</v>
      </c>
      <c r="H171" s="338">
        <f>Gasto_o_ing_per_capita!H171-Gasto_o_ing_per_capita!$D171</f>
        <v>0.58122542182198877</v>
      </c>
      <c r="I171" s="338">
        <f>Gasto_o_ing_per_capita!I171-Gasto_o_ing_per_capita!$D171</f>
        <v>0.58122542182198877</v>
      </c>
      <c r="J171" s="338">
        <f>Gasto_o_ing_per_capita!J171-Gasto_o_ing_per_capita!$D171</f>
        <v>0.58122542182198877</v>
      </c>
      <c r="K171" s="338">
        <f>Gasto_o_ing_per_capita!K171-Gasto_o_ing_per_capita!$D171</f>
        <v>0.58122542182198877</v>
      </c>
      <c r="L171" s="338">
        <f>Gasto_o_ing_per_capita!L171-Gasto_o_ing_per_capita!$D171</f>
        <v>0.58122542182198877</v>
      </c>
      <c r="M171" s="338">
        <f>Gasto_o_ing_per_capita!M171-Gasto_o_ing_per_capita!$D171</f>
        <v>0.58122542182198877</v>
      </c>
      <c r="N171" s="338">
        <f>Gasto_o_ing_per_capita!N171-Gasto_o_ing_per_capita!$D171</f>
        <v>0.58122542182198877</v>
      </c>
      <c r="O171" s="338">
        <f>Gasto_o_ing_per_capita!O171-Gasto_o_ing_per_capita!$D171</f>
        <v>0.58122542182198877</v>
      </c>
      <c r="P171" s="338">
        <f>Gasto_o_ing_per_capita!P171-Gasto_o_ing_per_capita!$D171</f>
        <v>0.58122542182198877</v>
      </c>
      <c r="Q171" s="338">
        <f>Gasto_o_ing_per_capita!Q171-Gasto_o_ing_per_capita!$D171</f>
        <v>0.58122542182198877</v>
      </c>
      <c r="R171" s="338">
        <f>Gasto_o_ing_per_capita!R171-Gasto_o_ing_per_capita!$D171</f>
        <v>0.58122542182198877</v>
      </c>
      <c r="S171" s="338">
        <f>Gasto_o_ing_per_capita!S171-Gasto_o_ing_per_capita!$D171</f>
        <v>-9.0513824423816676</v>
      </c>
      <c r="T171" s="338">
        <f>Gasto_o_ing_per_capita!T171-Gasto_o_ing_per_capita!$D171</f>
        <v>-9.0513824423816676</v>
      </c>
      <c r="U171" s="338">
        <f>Gasto_o_ing_per_capita!U171-Gasto_o_ing_per_capita!$D171</f>
        <v>0.58122542182198877</v>
      </c>
      <c r="V171" s="338">
        <f>Gasto_o_ing_per_capita!V171-Gasto_o_ing_per_capita!$D171</f>
        <v>0.58122542182198877</v>
      </c>
      <c r="W171" s="122"/>
      <c r="X171" s="104"/>
    </row>
    <row r="172" spans="1:24" s="102" customFormat="1" ht="13.15">
      <c r="A172" s="356"/>
      <c r="B172" s="115" t="s">
        <v>1135</v>
      </c>
      <c r="C172" s="335" t="str">
        <f>VLOOKUP(B172,Tot_res!C:D,2,FALSE)</f>
        <v>medio ambiente</v>
      </c>
      <c r="D172" s="338">
        <f>Gasto_o_ing_per_capita!D172-Gasto_o_ing_per_capita!$D172</f>
        <v>0</v>
      </c>
      <c r="E172" s="338">
        <f>Gasto_o_ing_per_capita!E172-Gasto_o_ing_per_capita!$D172</f>
        <v>0.10378735403306617</v>
      </c>
      <c r="F172" s="338">
        <f>Gasto_o_ing_per_capita!F172-Gasto_o_ing_per_capita!$D172</f>
        <v>0.10378735403306617</v>
      </c>
      <c r="G172" s="338">
        <f>Gasto_o_ing_per_capita!G172-Gasto_o_ing_per_capita!$D172</f>
        <v>0.10378735403306617</v>
      </c>
      <c r="H172" s="338">
        <f>Gasto_o_ing_per_capita!H172-Gasto_o_ing_per_capita!$D172</f>
        <v>0.10378735403306617</v>
      </c>
      <c r="I172" s="338">
        <f>Gasto_o_ing_per_capita!I172-Gasto_o_ing_per_capita!$D172</f>
        <v>0.10378735403306617</v>
      </c>
      <c r="J172" s="338">
        <f>Gasto_o_ing_per_capita!J172-Gasto_o_ing_per_capita!$D172</f>
        <v>0.10378735403306617</v>
      </c>
      <c r="K172" s="338">
        <f>Gasto_o_ing_per_capita!K172-Gasto_o_ing_per_capita!$D172</f>
        <v>0.10378735403306617</v>
      </c>
      <c r="L172" s="338">
        <f>Gasto_o_ing_per_capita!L172-Gasto_o_ing_per_capita!$D172</f>
        <v>0.10378735403306617</v>
      </c>
      <c r="M172" s="338">
        <f>Gasto_o_ing_per_capita!M172-Gasto_o_ing_per_capita!$D172</f>
        <v>0.10378735403306617</v>
      </c>
      <c r="N172" s="338">
        <f>Gasto_o_ing_per_capita!N172-Gasto_o_ing_per_capita!$D172</f>
        <v>0.10378735403306617</v>
      </c>
      <c r="O172" s="338">
        <f>Gasto_o_ing_per_capita!O172-Gasto_o_ing_per_capita!$D172</f>
        <v>0.10378735403306617</v>
      </c>
      <c r="P172" s="338">
        <f>Gasto_o_ing_per_capita!P172-Gasto_o_ing_per_capita!$D172</f>
        <v>0.10378735403306617</v>
      </c>
      <c r="Q172" s="338">
        <f>Gasto_o_ing_per_capita!Q172-Gasto_o_ing_per_capita!$D172</f>
        <v>0.10378735403306617</v>
      </c>
      <c r="R172" s="338">
        <f>Gasto_o_ing_per_capita!R172-Gasto_o_ing_per_capita!$D172</f>
        <v>0.10378735403306617</v>
      </c>
      <c r="S172" s="338">
        <f>Gasto_o_ing_per_capita!S172-Gasto_o_ing_per_capita!$D172</f>
        <v>-0.86486814073498763</v>
      </c>
      <c r="T172" s="338">
        <f>Gasto_o_ing_per_capita!T172-Gasto_o_ing_per_capita!$D172</f>
        <v>-1.836731808664485</v>
      </c>
      <c r="U172" s="338">
        <f>Gasto_o_ing_per_capita!U172-Gasto_o_ing_per_capita!$D172</f>
        <v>0.10378735403306617</v>
      </c>
      <c r="V172" s="338">
        <f>Gasto_o_ing_per_capita!V172-Gasto_o_ing_per_capita!$D172</f>
        <v>0.10378735403306617</v>
      </c>
      <c r="W172" s="122"/>
      <c r="X172" s="104"/>
    </row>
    <row r="173" spans="1:24" s="102" customFormat="1" ht="13.15">
      <c r="A173" s="356"/>
      <c r="B173" s="115" t="s">
        <v>1147</v>
      </c>
      <c r="C173" s="335" t="e">
        <f>VLOOKUP(B173,Tot_res!C:D,2,FALSE)</f>
        <v>#N/A</v>
      </c>
      <c r="D173" s="338">
        <f>Gasto_o_ing_per_capita!D173-Gasto_o_ing_per_capita!$D173</f>
        <v>0</v>
      </c>
      <c r="E173" s="338" t="e">
        <f>Gasto_o_ing_per_capita!E173-Gasto_o_ing_per_capita!$D173</f>
        <v>#VALUE!</v>
      </c>
      <c r="F173" s="338" t="e">
        <f>Gasto_o_ing_per_capita!F173-Gasto_o_ing_per_capita!$D173</f>
        <v>#VALUE!</v>
      </c>
      <c r="G173" s="338" t="e">
        <f>Gasto_o_ing_per_capita!G173-Gasto_o_ing_per_capita!$D173</f>
        <v>#VALUE!</v>
      </c>
      <c r="H173" s="338" t="e">
        <f>Gasto_o_ing_per_capita!H173-Gasto_o_ing_per_capita!$D173</f>
        <v>#VALUE!</v>
      </c>
      <c r="I173" s="338" t="e">
        <f>Gasto_o_ing_per_capita!I173-Gasto_o_ing_per_capita!$D173</f>
        <v>#VALUE!</v>
      </c>
      <c r="J173" s="338" t="e">
        <f>Gasto_o_ing_per_capita!J173-Gasto_o_ing_per_capita!$D173</f>
        <v>#VALUE!</v>
      </c>
      <c r="K173" s="338" t="e">
        <f>Gasto_o_ing_per_capita!K173-Gasto_o_ing_per_capita!$D173</f>
        <v>#VALUE!</v>
      </c>
      <c r="L173" s="338" t="e">
        <f>Gasto_o_ing_per_capita!L173-Gasto_o_ing_per_capita!$D173</f>
        <v>#VALUE!</v>
      </c>
      <c r="M173" s="338" t="e">
        <f>Gasto_o_ing_per_capita!M173-Gasto_o_ing_per_capita!$D173</f>
        <v>#VALUE!</v>
      </c>
      <c r="N173" s="338" t="e">
        <f>Gasto_o_ing_per_capita!N173-Gasto_o_ing_per_capita!$D173</f>
        <v>#VALUE!</v>
      </c>
      <c r="O173" s="338" t="e">
        <f>Gasto_o_ing_per_capita!O173-Gasto_o_ing_per_capita!$D173</f>
        <v>#VALUE!</v>
      </c>
      <c r="P173" s="338" t="e">
        <f>Gasto_o_ing_per_capita!P173-Gasto_o_ing_per_capita!$D173</f>
        <v>#VALUE!</v>
      </c>
      <c r="Q173" s="338" t="e">
        <f>Gasto_o_ing_per_capita!Q173-Gasto_o_ing_per_capita!$D173</f>
        <v>#VALUE!</v>
      </c>
      <c r="R173" s="338" t="e">
        <f>Gasto_o_ing_per_capita!R173-Gasto_o_ing_per_capita!$D173</f>
        <v>#VALUE!</v>
      </c>
      <c r="S173" s="338" t="e">
        <f>Gasto_o_ing_per_capita!S173-Gasto_o_ing_per_capita!$D173</f>
        <v>#VALUE!</v>
      </c>
      <c r="T173" s="338" t="e">
        <f>Gasto_o_ing_per_capita!T173-Gasto_o_ing_per_capita!$D173</f>
        <v>#VALUE!</v>
      </c>
      <c r="U173" s="338" t="e">
        <f>Gasto_o_ing_per_capita!U173-Gasto_o_ing_per_capita!$D173</f>
        <v>#VALUE!</v>
      </c>
      <c r="V173" s="338" t="e">
        <f>Gasto_o_ing_per_capita!V173-Gasto_o_ing_per_capita!$D173</f>
        <v>#VALUE!</v>
      </c>
      <c r="W173" s="122"/>
      <c r="X173" s="104"/>
    </row>
    <row r="174" spans="1:24" s="102" customFormat="1" ht="13.15">
      <c r="A174" s="356"/>
      <c r="B174" s="115" t="s">
        <v>1136</v>
      </c>
      <c r="C174" s="335" t="str">
        <f>VLOOKUP(B174,Tot_res!C:D,2,FALSE)</f>
        <v>sanidad y consumo</v>
      </c>
      <c r="D174" s="338">
        <f>Gasto_o_ing_per_capita!D174-Gasto_o_ing_per_capita!$D174</f>
        <v>0</v>
      </c>
      <c r="E174" s="338">
        <f>Gasto_o_ing_per_capita!E174-Gasto_o_ing_per_capita!$D174</f>
        <v>4.8891919952387806E-2</v>
      </c>
      <c r="F174" s="338">
        <f>Gasto_o_ing_per_capita!F174-Gasto_o_ing_per_capita!$D174</f>
        <v>4.8891919952387806E-2</v>
      </c>
      <c r="G174" s="338">
        <f>Gasto_o_ing_per_capita!G174-Gasto_o_ing_per_capita!$D174</f>
        <v>4.8891919952387806E-2</v>
      </c>
      <c r="H174" s="338">
        <f>Gasto_o_ing_per_capita!H174-Gasto_o_ing_per_capita!$D174</f>
        <v>4.8891919952387806E-2</v>
      </c>
      <c r="I174" s="338">
        <f>Gasto_o_ing_per_capita!I174-Gasto_o_ing_per_capita!$D174</f>
        <v>4.8891919952387806E-2</v>
      </c>
      <c r="J174" s="338">
        <f>Gasto_o_ing_per_capita!J174-Gasto_o_ing_per_capita!$D174</f>
        <v>4.8891919952387806E-2</v>
      </c>
      <c r="K174" s="338">
        <f>Gasto_o_ing_per_capita!K174-Gasto_o_ing_per_capita!$D174</f>
        <v>4.8891919952387806E-2</v>
      </c>
      <c r="L174" s="338">
        <f>Gasto_o_ing_per_capita!L174-Gasto_o_ing_per_capita!$D174</f>
        <v>4.8891919952387806E-2</v>
      </c>
      <c r="M174" s="338">
        <f>Gasto_o_ing_per_capita!M174-Gasto_o_ing_per_capita!$D174</f>
        <v>4.8891919952387806E-2</v>
      </c>
      <c r="N174" s="338">
        <f>Gasto_o_ing_per_capita!N174-Gasto_o_ing_per_capita!$D174</f>
        <v>4.8891919952387806E-2</v>
      </c>
      <c r="O174" s="338">
        <f>Gasto_o_ing_per_capita!O174-Gasto_o_ing_per_capita!$D174</f>
        <v>4.8891919952387806E-2</v>
      </c>
      <c r="P174" s="338">
        <f>Gasto_o_ing_per_capita!P174-Gasto_o_ing_per_capita!$D174</f>
        <v>4.8891919952387806E-2</v>
      </c>
      <c r="Q174" s="338">
        <f>Gasto_o_ing_per_capita!Q174-Gasto_o_ing_per_capita!$D174</f>
        <v>4.8891919952387806E-2</v>
      </c>
      <c r="R174" s="338">
        <f>Gasto_o_ing_per_capita!R174-Gasto_o_ing_per_capita!$D174</f>
        <v>4.8891919952387806E-2</v>
      </c>
      <c r="S174" s="338">
        <f>Gasto_o_ing_per_capita!S174-Gasto_o_ing_per_capita!$D174</f>
        <v>-0.80091849076941191</v>
      </c>
      <c r="T174" s="338">
        <f>Gasto_o_ing_per_capita!T174-Gasto_o_ing_per_capita!$D174</f>
        <v>-0.7497930658933899</v>
      </c>
      <c r="U174" s="338">
        <f>Gasto_o_ing_per_capita!U174-Gasto_o_ing_per_capita!$D174</f>
        <v>4.8891919952387806E-2</v>
      </c>
      <c r="V174" s="338">
        <f>Gasto_o_ing_per_capita!V174-Gasto_o_ing_per_capita!$D174</f>
        <v>4.8891919952387806E-2</v>
      </c>
      <c r="W174" s="122"/>
      <c r="X174" s="104"/>
    </row>
    <row r="175" spans="1:24" s="102" customFormat="1" ht="13.15">
      <c r="A175" s="356"/>
      <c r="B175" s="115" t="s">
        <v>1137</v>
      </c>
      <c r="C175" s="335" t="str">
        <f>VLOOKUP(B175,Tot_res!C:D,2,FALSE)</f>
        <v>Educación y formación</v>
      </c>
      <c r="D175" s="338">
        <f>Gasto_o_ing_per_capita!D175-Gasto_o_ing_per_capita!$D175</f>
        <v>0</v>
      </c>
      <c r="E175" s="338">
        <f>Gasto_o_ing_per_capita!E175-Gasto_o_ing_per_capita!$D175</f>
        <v>0.32335022915129907</v>
      </c>
      <c r="F175" s="338">
        <f>Gasto_o_ing_per_capita!F175-Gasto_o_ing_per_capita!$D175</f>
        <v>0.32335022915129907</v>
      </c>
      <c r="G175" s="338">
        <f>Gasto_o_ing_per_capita!G175-Gasto_o_ing_per_capita!$D175</f>
        <v>0.32335022915129907</v>
      </c>
      <c r="H175" s="338">
        <f>Gasto_o_ing_per_capita!H175-Gasto_o_ing_per_capita!$D175</f>
        <v>0.32335022915129907</v>
      </c>
      <c r="I175" s="338">
        <f>Gasto_o_ing_per_capita!I175-Gasto_o_ing_per_capita!$D175</f>
        <v>0.32335022915129907</v>
      </c>
      <c r="J175" s="338">
        <f>Gasto_o_ing_per_capita!J175-Gasto_o_ing_per_capita!$D175</f>
        <v>0.32335022915129907</v>
      </c>
      <c r="K175" s="338">
        <f>Gasto_o_ing_per_capita!K175-Gasto_o_ing_per_capita!$D175</f>
        <v>0.32335022915129907</v>
      </c>
      <c r="L175" s="338">
        <f>Gasto_o_ing_per_capita!L175-Gasto_o_ing_per_capita!$D175</f>
        <v>0.32335022915129907</v>
      </c>
      <c r="M175" s="338">
        <f>Gasto_o_ing_per_capita!M175-Gasto_o_ing_per_capita!$D175</f>
        <v>0.32335022915129907</v>
      </c>
      <c r="N175" s="338">
        <f>Gasto_o_ing_per_capita!N175-Gasto_o_ing_per_capita!$D175</f>
        <v>0.32335022915129907</v>
      </c>
      <c r="O175" s="338">
        <f>Gasto_o_ing_per_capita!O175-Gasto_o_ing_per_capita!$D175</f>
        <v>0.32335022915129907</v>
      </c>
      <c r="P175" s="338">
        <f>Gasto_o_ing_per_capita!P175-Gasto_o_ing_per_capita!$D175</f>
        <v>0.32335022915129907</v>
      </c>
      <c r="Q175" s="338">
        <f>Gasto_o_ing_per_capita!Q175-Gasto_o_ing_per_capita!$D175</f>
        <v>0.32335022915129907</v>
      </c>
      <c r="R175" s="338">
        <f>Gasto_o_ing_per_capita!R175-Gasto_o_ing_per_capita!$D175</f>
        <v>0.32335022915129907</v>
      </c>
      <c r="S175" s="338">
        <f>Gasto_o_ing_per_capita!S175-Gasto_o_ing_per_capita!$D175</f>
        <v>-4.5248210365812644</v>
      </c>
      <c r="T175" s="338">
        <f>Gasto_o_ing_per_capita!T175-Gasto_o_ing_per_capita!$D175</f>
        <v>-5.1853440917752307</v>
      </c>
      <c r="U175" s="338">
        <f>Gasto_o_ing_per_capita!U175-Gasto_o_ing_per_capita!$D175</f>
        <v>0.32335022915129907</v>
      </c>
      <c r="V175" s="338">
        <f>Gasto_o_ing_per_capita!V175-Gasto_o_ing_per_capita!$D175</f>
        <v>0.32335022915129907</v>
      </c>
      <c r="W175" s="122"/>
      <c r="X175" s="104"/>
    </row>
    <row r="176" spans="1:24" s="102" customFormat="1" ht="13.15">
      <c r="A176" s="356"/>
      <c r="B176" s="115" t="s">
        <v>1138</v>
      </c>
      <c r="C176" s="335" t="str">
        <f>VLOOKUP(B176,Tot_res!C:D,2,FALSE)</f>
        <v>Administración de Justicia</v>
      </c>
      <c r="D176" s="338">
        <f>Gasto_o_ing_per_capita!D176-Gasto_o_ing_per_capita!$D176</f>
        <v>0</v>
      </c>
      <c r="E176" s="338">
        <f>Gasto_o_ing_per_capita!E176-Gasto_o_ing_per_capita!$D176</f>
        <v>2.0333392172440581</v>
      </c>
      <c r="F176" s="338">
        <f>Gasto_o_ing_per_capita!F176-Gasto_o_ing_per_capita!$D176</f>
        <v>2.0333392172440581</v>
      </c>
      <c r="G176" s="338">
        <f>Gasto_o_ing_per_capita!G176-Gasto_o_ing_per_capita!$D176</f>
        <v>2.0333392172440581</v>
      </c>
      <c r="H176" s="338">
        <f>Gasto_o_ing_per_capita!H176-Gasto_o_ing_per_capita!$D176</f>
        <v>2.0333392172440581</v>
      </c>
      <c r="I176" s="338">
        <f>Gasto_o_ing_per_capita!I176-Gasto_o_ing_per_capita!$D176</f>
        <v>2.0333392172440581</v>
      </c>
      <c r="J176" s="338">
        <f>Gasto_o_ing_per_capita!J176-Gasto_o_ing_per_capita!$D176</f>
        <v>2.0333392172440581</v>
      </c>
      <c r="K176" s="338">
        <f>Gasto_o_ing_per_capita!K176-Gasto_o_ing_per_capita!$D176</f>
        <v>2.0333392172440581</v>
      </c>
      <c r="L176" s="338">
        <f>Gasto_o_ing_per_capita!L176-Gasto_o_ing_per_capita!$D176</f>
        <v>2.0333392172440581</v>
      </c>
      <c r="M176" s="338">
        <f>Gasto_o_ing_per_capita!M176-Gasto_o_ing_per_capita!$D176</f>
        <v>2.0333392172440581</v>
      </c>
      <c r="N176" s="338">
        <f>Gasto_o_ing_per_capita!N176-Gasto_o_ing_per_capita!$D176</f>
        <v>2.0333392172440581</v>
      </c>
      <c r="O176" s="338">
        <f>Gasto_o_ing_per_capita!O176-Gasto_o_ing_per_capita!$D176</f>
        <v>2.0333392172440581</v>
      </c>
      <c r="P176" s="338">
        <f>Gasto_o_ing_per_capita!P176-Gasto_o_ing_per_capita!$D176</f>
        <v>2.0333392172440581</v>
      </c>
      <c r="Q176" s="338">
        <f>Gasto_o_ing_per_capita!Q176-Gasto_o_ing_per_capita!$D176</f>
        <v>2.0333392172440581</v>
      </c>
      <c r="R176" s="338">
        <f>Gasto_o_ing_per_capita!R176-Gasto_o_ing_per_capita!$D176</f>
        <v>2.0333392172440581</v>
      </c>
      <c r="S176" s="338">
        <f>Gasto_o_ing_per_capita!S176-Gasto_o_ing_per_capita!$D176</f>
        <v>-31.717088034552706</v>
      </c>
      <c r="T176" s="338">
        <f>Gasto_o_ing_per_capita!T176-Gasto_o_ing_per_capita!$D176</f>
        <v>-31.649779721004879</v>
      </c>
      <c r="U176" s="338">
        <f>Gasto_o_ing_per_capita!U176-Gasto_o_ing_per_capita!$D176</f>
        <v>2.0333392172440581</v>
      </c>
      <c r="V176" s="338">
        <f>Gasto_o_ing_per_capita!V176-Gasto_o_ing_per_capita!$D176</f>
        <v>2.0333392172440581</v>
      </c>
      <c r="W176" s="122"/>
      <c r="X176" s="104"/>
    </row>
    <row r="177" spans="1:24" s="102" customFormat="1" ht="13.15">
      <c r="A177" s="356"/>
      <c r="B177" s="115" t="s">
        <v>1139</v>
      </c>
      <c r="C177" s="335" t="str">
        <f>VLOOKUP(B177,Tot_res!C:D,2,FALSE)</f>
        <v>Seguridad Ciudadana y Vial</v>
      </c>
      <c r="D177" s="338">
        <f>Gasto_o_ing_per_capita!D177-Gasto_o_ing_per_capita!$D177</f>
        <v>0</v>
      </c>
      <c r="E177" s="338">
        <f>Gasto_o_ing_per_capita!E177-Gasto_o_ing_per_capita!$D177</f>
        <v>13.001771193264553</v>
      </c>
      <c r="F177" s="338">
        <f>Gasto_o_ing_per_capita!F177-Gasto_o_ing_per_capita!$D177</f>
        <v>13.001771193264553</v>
      </c>
      <c r="G177" s="338">
        <f>Gasto_o_ing_per_capita!G177-Gasto_o_ing_per_capita!$D177</f>
        <v>13.001771193264553</v>
      </c>
      <c r="H177" s="338">
        <f>Gasto_o_ing_per_capita!H177-Gasto_o_ing_per_capita!$D177</f>
        <v>13.001771193264553</v>
      </c>
      <c r="I177" s="338">
        <f>Gasto_o_ing_per_capita!I177-Gasto_o_ing_per_capita!$D177</f>
        <v>13.001771193264553</v>
      </c>
      <c r="J177" s="338">
        <f>Gasto_o_ing_per_capita!J177-Gasto_o_ing_per_capita!$D177</f>
        <v>13.001771193264553</v>
      </c>
      <c r="K177" s="338">
        <f>Gasto_o_ing_per_capita!K177-Gasto_o_ing_per_capita!$D177</f>
        <v>13.001771193264553</v>
      </c>
      <c r="L177" s="338">
        <f>Gasto_o_ing_per_capita!L177-Gasto_o_ing_per_capita!$D177</f>
        <v>13.001771193264553</v>
      </c>
      <c r="M177" s="338">
        <f>Gasto_o_ing_per_capita!M177-Gasto_o_ing_per_capita!$D177</f>
        <v>13.001771193264553</v>
      </c>
      <c r="N177" s="338">
        <f>Gasto_o_ing_per_capita!N177-Gasto_o_ing_per_capita!$D177</f>
        <v>13.001771193264553</v>
      </c>
      <c r="O177" s="338">
        <f>Gasto_o_ing_per_capita!O177-Gasto_o_ing_per_capita!$D177</f>
        <v>13.001771193264553</v>
      </c>
      <c r="P177" s="338">
        <f>Gasto_o_ing_per_capita!P177-Gasto_o_ing_per_capita!$D177</f>
        <v>13.001771193264553</v>
      </c>
      <c r="Q177" s="338">
        <f>Gasto_o_ing_per_capita!Q177-Gasto_o_ing_per_capita!$D177</f>
        <v>13.001771193264553</v>
      </c>
      <c r="R177" s="338">
        <f>Gasto_o_ing_per_capita!R177-Gasto_o_ing_per_capita!$D177</f>
        <v>13.001771193264553</v>
      </c>
      <c r="S177" s="338">
        <f>Gasto_o_ing_per_capita!S177-Gasto_o_ing_per_capita!$D177</f>
        <v>-100.8999684232534</v>
      </c>
      <c r="T177" s="338">
        <f>Gasto_o_ing_per_capita!T177-Gasto_o_ing_per_capita!$D177</f>
        <v>-232.27749378320129</v>
      </c>
      <c r="U177" s="338">
        <f>Gasto_o_ing_per_capita!U177-Gasto_o_ing_per_capita!$D177</f>
        <v>13.001771193264553</v>
      </c>
      <c r="V177" s="338">
        <f>Gasto_o_ing_per_capita!V177-Gasto_o_ing_per_capita!$D177</f>
        <v>13.001771193264553</v>
      </c>
      <c r="W177" s="122"/>
      <c r="X177" s="104"/>
    </row>
    <row r="178" spans="1:24" s="102" customFormat="1" ht="13.15">
      <c r="A178" s="356"/>
      <c r="B178" s="115" t="s">
        <v>1140</v>
      </c>
      <c r="C178" s="335" t="str">
        <f>VLOOKUP(B178,Tot_res!C:D,2,FALSE)</f>
        <v>Ayudas a la vivienda</v>
      </c>
      <c r="D178" s="338">
        <f>Gasto_o_ing_per_capita!D178-Gasto_o_ing_per_capita!$D178</f>
        <v>0</v>
      </c>
      <c r="E178" s="338">
        <f>Gasto_o_ing_per_capita!E178-Gasto_o_ing_per_capita!$D178</f>
        <v>0.88310726448751453</v>
      </c>
      <c r="F178" s="338">
        <f>Gasto_o_ing_per_capita!F178-Gasto_o_ing_per_capita!$D178</f>
        <v>0.88310726448751453</v>
      </c>
      <c r="G178" s="338">
        <f>Gasto_o_ing_per_capita!G178-Gasto_o_ing_per_capita!$D178</f>
        <v>0.88310726448751453</v>
      </c>
      <c r="H178" s="338">
        <f>Gasto_o_ing_per_capita!H178-Gasto_o_ing_per_capita!$D178</f>
        <v>0.88310726448751453</v>
      </c>
      <c r="I178" s="338">
        <f>Gasto_o_ing_per_capita!I178-Gasto_o_ing_per_capita!$D178</f>
        <v>0.88310726448751453</v>
      </c>
      <c r="J178" s="338">
        <f>Gasto_o_ing_per_capita!J178-Gasto_o_ing_per_capita!$D178</f>
        <v>0.88310726448751453</v>
      </c>
      <c r="K178" s="338">
        <f>Gasto_o_ing_per_capita!K178-Gasto_o_ing_per_capita!$D178</f>
        <v>0.88310726448751453</v>
      </c>
      <c r="L178" s="338">
        <f>Gasto_o_ing_per_capita!L178-Gasto_o_ing_per_capita!$D178</f>
        <v>0.88310726448751453</v>
      </c>
      <c r="M178" s="338">
        <f>Gasto_o_ing_per_capita!M178-Gasto_o_ing_per_capita!$D178</f>
        <v>0.88310726448751453</v>
      </c>
      <c r="N178" s="338">
        <f>Gasto_o_ing_per_capita!N178-Gasto_o_ing_per_capita!$D178</f>
        <v>0.88310726448751453</v>
      </c>
      <c r="O178" s="338">
        <f>Gasto_o_ing_per_capita!O178-Gasto_o_ing_per_capita!$D178</f>
        <v>0.88310726448751453</v>
      </c>
      <c r="P178" s="338">
        <f>Gasto_o_ing_per_capita!P178-Gasto_o_ing_per_capita!$D178</f>
        <v>0.88310726448751453</v>
      </c>
      <c r="Q178" s="338">
        <f>Gasto_o_ing_per_capita!Q178-Gasto_o_ing_per_capita!$D178</f>
        <v>0.88310726448751453</v>
      </c>
      <c r="R178" s="338">
        <f>Gasto_o_ing_per_capita!R178-Gasto_o_ing_per_capita!$D178</f>
        <v>0.88310726448751453</v>
      </c>
      <c r="S178" s="338">
        <f>Gasto_o_ing_per_capita!S178-Gasto_o_ing_per_capita!$D178</f>
        <v>-11.766342093275327</v>
      </c>
      <c r="T178" s="338">
        <f>Gasto_o_ing_per_capita!T178-Gasto_o_ing_per_capita!$D178</f>
        <v>-14.335316076122288</v>
      </c>
      <c r="U178" s="338">
        <f>Gasto_o_ing_per_capita!U178-Gasto_o_ing_per_capita!$D178</f>
        <v>0.88310726448751453</v>
      </c>
      <c r="V178" s="338">
        <f>Gasto_o_ing_per_capita!V178-Gasto_o_ing_per_capita!$D178</f>
        <v>0.88310726448751453</v>
      </c>
      <c r="W178" s="122"/>
      <c r="X178" s="104"/>
    </row>
    <row r="179" spans="1:24" s="102" customFormat="1" ht="13.15">
      <c r="A179" s="356"/>
      <c r="B179" s="115" t="s">
        <v>1141</v>
      </c>
      <c r="C179" s="335" t="str">
        <f>VLOOKUP(B179,Tot_res!C:D,2,FALSE)</f>
        <v>ajuste forales, ayudas al transporte colectivo urbano</v>
      </c>
      <c r="D179" s="338">
        <f>Gasto_o_ing_per_capita!D179-Gasto_o_ing_per_capita!$D179</f>
        <v>0</v>
      </c>
      <c r="E179" s="338">
        <f>Gasto_o_ing_per_capita!E179-Gasto_o_ing_per_capita!$D179</f>
        <v>0.40751050125200428</v>
      </c>
      <c r="F179" s="338">
        <f>Gasto_o_ing_per_capita!F179-Gasto_o_ing_per_capita!$D179</f>
        <v>0.40751050125200428</v>
      </c>
      <c r="G179" s="338">
        <f>Gasto_o_ing_per_capita!G179-Gasto_o_ing_per_capita!$D179</f>
        <v>0.40751050125200428</v>
      </c>
      <c r="H179" s="338">
        <f>Gasto_o_ing_per_capita!H179-Gasto_o_ing_per_capita!$D179</f>
        <v>0.40751050125200428</v>
      </c>
      <c r="I179" s="338">
        <f>Gasto_o_ing_per_capita!I179-Gasto_o_ing_per_capita!$D179</f>
        <v>0.40751050125200428</v>
      </c>
      <c r="J179" s="338">
        <f>Gasto_o_ing_per_capita!J179-Gasto_o_ing_per_capita!$D179</f>
        <v>0.40751050125200428</v>
      </c>
      <c r="K179" s="338">
        <f>Gasto_o_ing_per_capita!K179-Gasto_o_ing_per_capita!$D179</f>
        <v>0.40751050125200428</v>
      </c>
      <c r="L179" s="338">
        <f>Gasto_o_ing_per_capita!L179-Gasto_o_ing_per_capita!$D179</f>
        <v>0.40751050125200428</v>
      </c>
      <c r="M179" s="338">
        <f>Gasto_o_ing_per_capita!M179-Gasto_o_ing_per_capita!$D179</f>
        <v>0.40751050125200428</v>
      </c>
      <c r="N179" s="338">
        <f>Gasto_o_ing_per_capita!N179-Gasto_o_ing_per_capita!$D179</f>
        <v>0.40751050125200428</v>
      </c>
      <c r="O179" s="338">
        <f>Gasto_o_ing_per_capita!O179-Gasto_o_ing_per_capita!$D179</f>
        <v>0.40751050125200428</v>
      </c>
      <c r="P179" s="338">
        <f>Gasto_o_ing_per_capita!P179-Gasto_o_ing_per_capita!$D179</f>
        <v>0.40751050125200428</v>
      </c>
      <c r="Q179" s="338">
        <f>Gasto_o_ing_per_capita!Q179-Gasto_o_ing_per_capita!$D179</f>
        <v>0.40751050125200428</v>
      </c>
      <c r="R179" s="338">
        <f>Gasto_o_ing_per_capita!R179-Gasto_o_ing_per_capita!$D179</f>
        <v>0.40751050125200428</v>
      </c>
      <c r="S179" s="338">
        <f>Gasto_o_ing_per_capita!S179-Gasto_o_ing_per_capita!$D179</f>
        <v>-6.3552451354607067</v>
      </c>
      <c r="T179" s="338">
        <f>Gasto_o_ing_per_capita!T179-Gasto_o_ing_per_capita!$D179</f>
        <v>-6.3434585773005923</v>
      </c>
      <c r="U179" s="338">
        <f>Gasto_o_ing_per_capita!U179-Gasto_o_ing_per_capita!$D179</f>
        <v>0.40751050125200428</v>
      </c>
      <c r="V179" s="338">
        <f>Gasto_o_ing_per_capita!V179-Gasto_o_ing_per_capita!$D179</f>
        <v>0.40751050125200428</v>
      </c>
      <c r="W179" s="122"/>
      <c r="X179" s="104"/>
    </row>
    <row r="180" spans="1:24" s="102" customFormat="1" ht="13.15">
      <c r="A180" s="356"/>
      <c r="B180" s="115" t="s">
        <v>1142</v>
      </c>
      <c r="C180" s="335" t="str">
        <f>VLOOKUP(B180,Tot_res!C:D,2,FALSE)</f>
        <v>Conservación patrimonio artístico y cultural</v>
      </c>
      <c r="D180" s="338">
        <f>Gasto_o_ing_per_capita!D180-Gasto_o_ing_per_capita!$D180</f>
        <v>0</v>
      </c>
      <c r="E180" s="338">
        <f>Gasto_o_ing_per_capita!E180-Gasto_o_ing_per_capita!$D180</f>
        <v>1.5667338157444078E-2</v>
      </c>
      <c r="F180" s="338">
        <f>Gasto_o_ing_per_capita!F180-Gasto_o_ing_per_capita!$D180</f>
        <v>1.5667338157444078E-2</v>
      </c>
      <c r="G180" s="338">
        <f>Gasto_o_ing_per_capita!G180-Gasto_o_ing_per_capita!$D180</f>
        <v>1.5667338157444078E-2</v>
      </c>
      <c r="H180" s="338">
        <f>Gasto_o_ing_per_capita!H180-Gasto_o_ing_per_capita!$D180</f>
        <v>1.5667338157444078E-2</v>
      </c>
      <c r="I180" s="338">
        <f>Gasto_o_ing_per_capita!I180-Gasto_o_ing_per_capita!$D180</f>
        <v>1.5667338157444078E-2</v>
      </c>
      <c r="J180" s="338">
        <f>Gasto_o_ing_per_capita!J180-Gasto_o_ing_per_capita!$D180</f>
        <v>1.5667338157444078E-2</v>
      </c>
      <c r="K180" s="338">
        <f>Gasto_o_ing_per_capita!K180-Gasto_o_ing_per_capita!$D180</f>
        <v>1.5667338157444078E-2</v>
      </c>
      <c r="L180" s="338">
        <f>Gasto_o_ing_per_capita!L180-Gasto_o_ing_per_capita!$D180</f>
        <v>1.5667338157444078E-2</v>
      </c>
      <c r="M180" s="338">
        <f>Gasto_o_ing_per_capita!M180-Gasto_o_ing_per_capita!$D180</f>
        <v>1.5667338157444078E-2</v>
      </c>
      <c r="N180" s="338">
        <f>Gasto_o_ing_per_capita!N180-Gasto_o_ing_per_capita!$D180</f>
        <v>1.5667338157444078E-2</v>
      </c>
      <c r="O180" s="338">
        <f>Gasto_o_ing_per_capita!O180-Gasto_o_ing_per_capita!$D180</f>
        <v>1.5667338157444078E-2</v>
      </c>
      <c r="P180" s="338">
        <f>Gasto_o_ing_per_capita!P180-Gasto_o_ing_per_capita!$D180</f>
        <v>1.5667338157444078E-2</v>
      </c>
      <c r="Q180" s="338">
        <f>Gasto_o_ing_per_capita!Q180-Gasto_o_ing_per_capita!$D180</f>
        <v>1.5667338157444078E-2</v>
      </c>
      <c r="R180" s="338">
        <f>Gasto_o_ing_per_capita!R180-Gasto_o_ing_per_capita!$D180</f>
        <v>1.5667338157444078E-2</v>
      </c>
      <c r="S180" s="338">
        <f>Gasto_o_ing_per_capita!S180-Gasto_o_ing_per_capita!$D180</f>
        <v>-0.66806690684525272</v>
      </c>
      <c r="T180" s="338">
        <f>Gasto_o_ing_per_capita!T180-Gasto_o_ing_per_capita!$D180</f>
        <v>-0.11956311903097201</v>
      </c>
      <c r="U180" s="338">
        <f>Gasto_o_ing_per_capita!U180-Gasto_o_ing_per_capita!$D180</f>
        <v>1.5667338157444078E-2</v>
      </c>
      <c r="V180" s="338">
        <f>Gasto_o_ing_per_capita!V180-Gasto_o_ing_per_capita!$D180</f>
        <v>1.5667338157444078E-2</v>
      </c>
      <c r="W180" s="122"/>
      <c r="X180" s="104"/>
    </row>
    <row r="181" spans="1:24" s="102" customFormat="1" ht="13.15">
      <c r="A181" s="356"/>
      <c r="B181" s="115" t="s">
        <v>1148</v>
      </c>
      <c r="C181" s="335" t="e">
        <f>VLOOKUP(B181,Tot_res!C:D,2,FALSE)</f>
        <v>#N/A</v>
      </c>
      <c r="D181" s="338">
        <f>Gasto_o_ing_per_capita!D181-Gasto_o_ing_per_capita!$D181</f>
        <v>0</v>
      </c>
      <c r="E181" s="338" t="e">
        <f>Gasto_o_ing_per_capita!E181-Gasto_o_ing_per_capita!$D181</f>
        <v>#VALUE!</v>
      </c>
      <c r="F181" s="338" t="e">
        <f>Gasto_o_ing_per_capita!F181-Gasto_o_ing_per_capita!$D181</f>
        <v>#VALUE!</v>
      </c>
      <c r="G181" s="338" t="e">
        <f>Gasto_o_ing_per_capita!G181-Gasto_o_ing_per_capita!$D181</f>
        <v>#VALUE!</v>
      </c>
      <c r="H181" s="338" t="e">
        <f>Gasto_o_ing_per_capita!H181-Gasto_o_ing_per_capita!$D181</f>
        <v>#VALUE!</v>
      </c>
      <c r="I181" s="338" t="e">
        <f>Gasto_o_ing_per_capita!I181-Gasto_o_ing_per_capita!$D181</f>
        <v>#VALUE!</v>
      </c>
      <c r="J181" s="338" t="e">
        <f>Gasto_o_ing_per_capita!J181-Gasto_o_ing_per_capita!$D181</f>
        <v>#VALUE!</v>
      </c>
      <c r="K181" s="338" t="e">
        <f>Gasto_o_ing_per_capita!K181-Gasto_o_ing_per_capita!$D181</f>
        <v>#VALUE!</v>
      </c>
      <c r="L181" s="338" t="e">
        <f>Gasto_o_ing_per_capita!L181-Gasto_o_ing_per_capita!$D181</f>
        <v>#VALUE!</v>
      </c>
      <c r="M181" s="338" t="e">
        <f>Gasto_o_ing_per_capita!M181-Gasto_o_ing_per_capita!$D181</f>
        <v>#VALUE!</v>
      </c>
      <c r="N181" s="338" t="e">
        <f>Gasto_o_ing_per_capita!N181-Gasto_o_ing_per_capita!$D181</f>
        <v>#VALUE!</v>
      </c>
      <c r="O181" s="338" t="e">
        <f>Gasto_o_ing_per_capita!O181-Gasto_o_ing_per_capita!$D181</f>
        <v>#VALUE!</v>
      </c>
      <c r="P181" s="338" t="e">
        <f>Gasto_o_ing_per_capita!P181-Gasto_o_ing_per_capita!$D181</f>
        <v>#VALUE!</v>
      </c>
      <c r="Q181" s="338" t="e">
        <f>Gasto_o_ing_per_capita!Q181-Gasto_o_ing_per_capita!$D181</f>
        <v>#VALUE!</v>
      </c>
      <c r="R181" s="338" t="e">
        <f>Gasto_o_ing_per_capita!R181-Gasto_o_ing_per_capita!$D181</f>
        <v>#VALUE!</v>
      </c>
      <c r="S181" s="338" t="e">
        <f>Gasto_o_ing_per_capita!S181-Gasto_o_ing_per_capita!$D181</f>
        <v>#VALUE!</v>
      </c>
      <c r="T181" s="338" t="e">
        <f>Gasto_o_ing_per_capita!T181-Gasto_o_ing_per_capita!$D181</f>
        <v>#VALUE!</v>
      </c>
      <c r="U181" s="338" t="e">
        <f>Gasto_o_ing_per_capita!U181-Gasto_o_ing_per_capita!$D181</f>
        <v>#VALUE!</v>
      </c>
      <c r="V181" s="338" t="e">
        <f>Gasto_o_ing_per_capita!V181-Gasto_o_ing_per_capita!$D181</f>
        <v>#VALUE!</v>
      </c>
      <c r="W181" s="122"/>
      <c r="X181" s="104"/>
    </row>
    <row r="182" spans="1:24" s="102" customFormat="1" ht="13.15">
      <c r="A182" s="356"/>
      <c r="B182" s="115" t="s">
        <v>1143</v>
      </c>
      <c r="C182" s="335" t="str">
        <f>VLOOKUP(B182,Tot_res!C:D,2,FALSE)</f>
        <v>Servicios Sociales</v>
      </c>
      <c r="D182" s="338">
        <f>Gasto_o_ing_per_capita!D182-Gasto_o_ing_per_capita!$D182</f>
        <v>0</v>
      </c>
      <c r="E182" s="338">
        <f>Gasto_o_ing_per_capita!E182-Gasto_o_ing_per_capita!$D182</f>
        <v>0.16551725719947716</v>
      </c>
      <c r="F182" s="338">
        <f>Gasto_o_ing_per_capita!F182-Gasto_o_ing_per_capita!$D182</f>
        <v>0.16551725719947716</v>
      </c>
      <c r="G182" s="338">
        <f>Gasto_o_ing_per_capita!G182-Gasto_o_ing_per_capita!$D182</f>
        <v>0.16551725719947716</v>
      </c>
      <c r="H182" s="338">
        <f>Gasto_o_ing_per_capita!H182-Gasto_o_ing_per_capita!$D182</f>
        <v>0.16551725719947716</v>
      </c>
      <c r="I182" s="338">
        <f>Gasto_o_ing_per_capita!I182-Gasto_o_ing_per_capita!$D182</f>
        <v>0.16551725719947716</v>
      </c>
      <c r="J182" s="338">
        <f>Gasto_o_ing_per_capita!J182-Gasto_o_ing_per_capita!$D182</f>
        <v>0.16551725719947716</v>
      </c>
      <c r="K182" s="338">
        <f>Gasto_o_ing_per_capita!K182-Gasto_o_ing_per_capita!$D182</f>
        <v>0.16551725719947716</v>
      </c>
      <c r="L182" s="338">
        <f>Gasto_o_ing_per_capita!L182-Gasto_o_ing_per_capita!$D182</f>
        <v>0.16551725719947716</v>
      </c>
      <c r="M182" s="338">
        <f>Gasto_o_ing_per_capita!M182-Gasto_o_ing_per_capita!$D182</f>
        <v>0.16551725719947716</v>
      </c>
      <c r="N182" s="338">
        <f>Gasto_o_ing_per_capita!N182-Gasto_o_ing_per_capita!$D182</f>
        <v>0.16551725719947716</v>
      </c>
      <c r="O182" s="338">
        <f>Gasto_o_ing_per_capita!O182-Gasto_o_ing_per_capita!$D182</f>
        <v>0.16551725719947716</v>
      </c>
      <c r="P182" s="338">
        <f>Gasto_o_ing_per_capita!P182-Gasto_o_ing_per_capita!$D182</f>
        <v>0.16551725719947716</v>
      </c>
      <c r="Q182" s="338">
        <f>Gasto_o_ing_per_capita!Q182-Gasto_o_ing_per_capita!$D182</f>
        <v>0.16551725719947716</v>
      </c>
      <c r="R182" s="338">
        <f>Gasto_o_ing_per_capita!R182-Gasto_o_ing_per_capita!$D182</f>
        <v>0.16551725719947716</v>
      </c>
      <c r="S182" s="338">
        <f>Gasto_o_ing_per_capita!S182-Gasto_o_ing_per_capita!$D182</f>
        <v>-3.2063644195151557</v>
      </c>
      <c r="T182" s="338">
        <f>Gasto_o_ing_per_capita!T182-Gasto_o_ing_per_capita!$D182</f>
        <v>-2.3931086884480717</v>
      </c>
      <c r="U182" s="338">
        <f>Gasto_o_ing_per_capita!U182-Gasto_o_ing_per_capita!$D182</f>
        <v>0.16551725719947716</v>
      </c>
      <c r="V182" s="338">
        <f>Gasto_o_ing_per_capita!V182-Gasto_o_ing_per_capita!$D182</f>
        <v>0.16551725719947716</v>
      </c>
      <c r="W182" s="122"/>
      <c r="X182" s="104"/>
    </row>
    <row r="183" spans="1:24" s="102" customFormat="1" ht="13.15">
      <c r="A183" s="356"/>
      <c r="B183" s="115" t="s">
        <v>1144</v>
      </c>
      <c r="C183" s="335" t="str">
        <f>VLOOKUP(B183,Tot_res!C:D,2,FALSE)</f>
        <v>Fomento y gestiòn del empleo, incluyendo ISM</v>
      </c>
      <c r="D183" s="338">
        <f>Gasto_o_ing_per_capita!D183-Gasto_o_ing_per_capita!$D183</f>
        <v>0</v>
      </c>
      <c r="E183" s="338">
        <f>Gasto_o_ing_per_capita!E183-Gasto_o_ing_per_capita!$D183</f>
        <v>1.9828729632671915</v>
      </c>
      <c r="F183" s="338">
        <f>Gasto_o_ing_per_capita!F183-Gasto_o_ing_per_capita!$D183</f>
        <v>1.9828729632671915</v>
      </c>
      <c r="G183" s="338">
        <f>Gasto_o_ing_per_capita!G183-Gasto_o_ing_per_capita!$D183</f>
        <v>1.9828729632671915</v>
      </c>
      <c r="H183" s="338">
        <f>Gasto_o_ing_per_capita!H183-Gasto_o_ing_per_capita!$D183</f>
        <v>1.9828729632671915</v>
      </c>
      <c r="I183" s="338">
        <f>Gasto_o_ing_per_capita!I183-Gasto_o_ing_per_capita!$D183</f>
        <v>1.9828729632671915</v>
      </c>
      <c r="J183" s="338">
        <f>Gasto_o_ing_per_capita!J183-Gasto_o_ing_per_capita!$D183</f>
        <v>1.9828729632671915</v>
      </c>
      <c r="K183" s="338">
        <f>Gasto_o_ing_per_capita!K183-Gasto_o_ing_per_capita!$D183</f>
        <v>1.9828729632671915</v>
      </c>
      <c r="L183" s="338">
        <f>Gasto_o_ing_per_capita!L183-Gasto_o_ing_per_capita!$D183</f>
        <v>1.9828729632671915</v>
      </c>
      <c r="M183" s="338">
        <f>Gasto_o_ing_per_capita!M183-Gasto_o_ing_per_capita!$D183</f>
        <v>1.9828729632671915</v>
      </c>
      <c r="N183" s="338">
        <f>Gasto_o_ing_per_capita!N183-Gasto_o_ing_per_capita!$D183</f>
        <v>1.9828729632671915</v>
      </c>
      <c r="O183" s="338">
        <f>Gasto_o_ing_per_capita!O183-Gasto_o_ing_per_capita!$D183</f>
        <v>1.9828729632671915</v>
      </c>
      <c r="P183" s="338">
        <f>Gasto_o_ing_per_capita!P183-Gasto_o_ing_per_capita!$D183</f>
        <v>1.9828729632671915</v>
      </c>
      <c r="Q183" s="338">
        <f>Gasto_o_ing_per_capita!Q183-Gasto_o_ing_per_capita!$D183</f>
        <v>1.9828729632671915</v>
      </c>
      <c r="R183" s="338">
        <f>Gasto_o_ing_per_capita!R183-Gasto_o_ing_per_capita!$D183</f>
        <v>1.9828729632671915</v>
      </c>
      <c r="S183" s="338">
        <f>Gasto_o_ing_per_capita!S183-Gasto_o_ing_per_capita!$D183</f>
        <v>1.9828729632671915</v>
      </c>
      <c r="T183" s="338">
        <f>Gasto_o_ing_per_capita!T183-Gasto_o_ing_per_capita!$D183</f>
        <v>-40.520700122749162</v>
      </c>
      <c r="U183" s="338">
        <f>Gasto_o_ing_per_capita!U183-Gasto_o_ing_per_capita!$D183</f>
        <v>1.9828729632671915</v>
      </c>
      <c r="V183" s="338">
        <f>Gasto_o_ing_per_capita!V183-Gasto_o_ing_per_capita!$D183</f>
        <v>1.9828729632671915</v>
      </c>
      <c r="W183" s="122"/>
      <c r="X183" s="104"/>
    </row>
    <row r="184" spans="1:24" s="102" customFormat="1" ht="13.15">
      <c r="A184" s="356"/>
      <c r="B184" s="115" t="s">
        <v>1149</v>
      </c>
      <c r="C184" s="335" t="e">
        <f>VLOOKUP(B184,Tot_res!C:D,2,FALSE)</f>
        <v>#N/A</v>
      </c>
      <c r="D184" s="338">
        <f>Gasto_o_ing_per_capita!D184-Gasto_o_ing_per_capita!$D184</f>
        <v>0</v>
      </c>
      <c r="E184" s="338" t="e">
        <f>Gasto_o_ing_per_capita!E184-Gasto_o_ing_per_capita!$D184</f>
        <v>#VALUE!</v>
      </c>
      <c r="F184" s="338" t="e">
        <f>Gasto_o_ing_per_capita!F184-Gasto_o_ing_per_capita!$D184</f>
        <v>#VALUE!</v>
      </c>
      <c r="G184" s="338" t="e">
        <f>Gasto_o_ing_per_capita!G184-Gasto_o_ing_per_capita!$D184</f>
        <v>#VALUE!</v>
      </c>
      <c r="H184" s="338" t="e">
        <f>Gasto_o_ing_per_capita!H184-Gasto_o_ing_per_capita!$D184</f>
        <v>#VALUE!</v>
      </c>
      <c r="I184" s="338" t="e">
        <f>Gasto_o_ing_per_capita!I184-Gasto_o_ing_per_capita!$D184</f>
        <v>#VALUE!</v>
      </c>
      <c r="J184" s="338" t="e">
        <f>Gasto_o_ing_per_capita!J184-Gasto_o_ing_per_capita!$D184</f>
        <v>#VALUE!</v>
      </c>
      <c r="K184" s="338" t="e">
        <f>Gasto_o_ing_per_capita!K184-Gasto_o_ing_per_capita!$D184</f>
        <v>#VALUE!</v>
      </c>
      <c r="L184" s="338" t="e">
        <f>Gasto_o_ing_per_capita!L184-Gasto_o_ing_per_capita!$D184</f>
        <v>#VALUE!</v>
      </c>
      <c r="M184" s="338" t="e">
        <f>Gasto_o_ing_per_capita!M184-Gasto_o_ing_per_capita!$D184</f>
        <v>#VALUE!</v>
      </c>
      <c r="N184" s="338" t="e">
        <f>Gasto_o_ing_per_capita!N184-Gasto_o_ing_per_capita!$D184</f>
        <v>#VALUE!</v>
      </c>
      <c r="O184" s="338" t="e">
        <f>Gasto_o_ing_per_capita!O184-Gasto_o_ing_per_capita!$D184</f>
        <v>#VALUE!</v>
      </c>
      <c r="P184" s="338" t="e">
        <f>Gasto_o_ing_per_capita!P184-Gasto_o_ing_per_capita!$D184</f>
        <v>#VALUE!</v>
      </c>
      <c r="Q184" s="338" t="e">
        <f>Gasto_o_ing_per_capita!Q184-Gasto_o_ing_per_capita!$D184</f>
        <v>#VALUE!</v>
      </c>
      <c r="R184" s="338" t="e">
        <f>Gasto_o_ing_per_capita!R184-Gasto_o_ing_per_capita!$D184</f>
        <v>#VALUE!</v>
      </c>
      <c r="S184" s="338" t="e">
        <f>Gasto_o_ing_per_capita!S184-Gasto_o_ing_per_capita!$D184</f>
        <v>#VALUE!</v>
      </c>
      <c r="T184" s="338" t="e">
        <f>Gasto_o_ing_per_capita!T184-Gasto_o_ing_per_capita!$D184</f>
        <v>#VALUE!</v>
      </c>
      <c r="U184" s="338" t="e">
        <f>Gasto_o_ing_per_capita!U184-Gasto_o_ing_per_capita!$D184</f>
        <v>#VALUE!</v>
      </c>
      <c r="V184" s="338" t="e">
        <f>Gasto_o_ing_per_capita!V184-Gasto_o_ing_per_capita!$D184</f>
        <v>#VALUE!</v>
      </c>
      <c r="W184" s="122"/>
      <c r="X184" s="104"/>
    </row>
    <row r="185" spans="1:24" s="102" customFormat="1" ht="13.15">
      <c r="A185" s="356"/>
      <c r="B185" s="115" t="s">
        <v>1145</v>
      </c>
      <c r="C185" s="335" t="str">
        <f>VLOOKUP(B185,Tot_res!C:D,2,FALSE)</f>
        <v>Agricultura</v>
      </c>
      <c r="D185" s="338">
        <f>Gasto_o_ing_per_capita!D185-Gasto_o_ing_per_capita!$D185</f>
        <v>0</v>
      </c>
      <c r="E185" s="338">
        <f>Gasto_o_ing_per_capita!E185-Gasto_o_ing_per_capita!$D185</f>
        <v>0.14803483906734036</v>
      </c>
      <c r="F185" s="338">
        <f>Gasto_o_ing_per_capita!F185-Gasto_o_ing_per_capita!$D185</f>
        <v>0.14803483906734036</v>
      </c>
      <c r="G185" s="338">
        <f>Gasto_o_ing_per_capita!G185-Gasto_o_ing_per_capita!$D185</f>
        <v>0.14803483906734036</v>
      </c>
      <c r="H185" s="338">
        <f>Gasto_o_ing_per_capita!H185-Gasto_o_ing_per_capita!$D185</f>
        <v>0.14803483906734036</v>
      </c>
      <c r="I185" s="338">
        <f>Gasto_o_ing_per_capita!I185-Gasto_o_ing_per_capita!$D185</f>
        <v>0.14803483906734036</v>
      </c>
      <c r="J185" s="338">
        <f>Gasto_o_ing_per_capita!J185-Gasto_o_ing_per_capita!$D185</f>
        <v>0.14803483906734036</v>
      </c>
      <c r="K185" s="338">
        <f>Gasto_o_ing_per_capita!K185-Gasto_o_ing_per_capita!$D185</f>
        <v>0.14803483906734036</v>
      </c>
      <c r="L185" s="338">
        <f>Gasto_o_ing_per_capita!L185-Gasto_o_ing_per_capita!$D185</f>
        <v>0.14803483906734036</v>
      </c>
      <c r="M185" s="338">
        <f>Gasto_o_ing_per_capita!M185-Gasto_o_ing_per_capita!$D185</f>
        <v>0.14803483906734036</v>
      </c>
      <c r="N185" s="338">
        <f>Gasto_o_ing_per_capita!N185-Gasto_o_ing_per_capita!$D185</f>
        <v>0.14803483906734036</v>
      </c>
      <c r="O185" s="338">
        <f>Gasto_o_ing_per_capita!O185-Gasto_o_ing_per_capita!$D185</f>
        <v>0.14803483906734036</v>
      </c>
      <c r="P185" s="338">
        <f>Gasto_o_ing_per_capita!P185-Gasto_o_ing_per_capita!$D185</f>
        <v>0.14803483906734036</v>
      </c>
      <c r="Q185" s="338">
        <f>Gasto_o_ing_per_capita!Q185-Gasto_o_ing_per_capita!$D185</f>
        <v>0.14803483906734036</v>
      </c>
      <c r="R185" s="338">
        <f>Gasto_o_ing_per_capita!R185-Gasto_o_ing_per_capita!$D185</f>
        <v>0.14803483906734036</v>
      </c>
      <c r="S185" s="338">
        <f>Gasto_o_ing_per_capita!S185-Gasto_o_ing_per_capita!$D185</f>
        <v>-1.2494151589735134</v>
      </c>
      <c r="T185" s="338">
        <f>Gasto_o_ing_per_capita!T185-Gasto_o_ing_per_capita!$D185</f>
        <v>-2.6151383062437272</v>
      </c>
      <c r="U185" s="338">
        <f>Gasto_o_ing_per_capita!U185-Gasto_o_ing_per_capita!$D185</f>
        <v>0.14803483906734036</v>
      </c>
      <c r="V185" s="338">
        <f>Gasto_o_ing_per_capita!V185-Gasto_o_ing_per_capita!$D185</f>
        <v>0.14803483906734036</v>
      </c>
      <c r="W185" s="122"/>
      <c r="X185" s="104"/>
    </row>
    <row r="186" spans="1:24" s="102" customFormat="1" ht="13.15">
      <c r="A186" s="356"/>
      <c r="B186" s="115" t="s">
        <v>1150</v>
      </c>
      <c r="C186" s="335" t="e">
        <f>VLOOKUP(B186,Tot_res!C:D,2,FALSE)</f>
        <v>#N/A</v>
      </c>
      <c r="D186" s="338">
        <f>Gasto_o_ing_per_capita!D186-Gasto_o_ing_per_capita!$D186</f>
        <v>0</v>
      </c>
      <c r="E186" s="338" t="e">
        <f>Gasto_o_ing_per_capita!E186-Gasto_o_ing_per_capita!$D186</f>
        <v>#VALUE!</v>
      </c>
      <c r="F186" s="338" t="e">
        <f>Gasto_o_ing_per_capita!F186-Gasto_o_ing_per_capita!$D186</f>
        <v>#VALUE!</v>
      </c>
      <c r="G186" s="338" t="e">
        <f>Gasto_o_ing_per_capita!G186-Gasto_o_ing_per_capita!$D186</f>
        <v>#VALUE!</v>
      </c>
      <c r="H186" s="338" t="e">
        <f>Gasto_o_ing_per_capita!H186-Gasto_o_ing_per_capita!$D186</f>
        <v>#VALUE!</v>
      </c>
      <c r="I186" s="338" t="e">
        <f>Gasto_o_ing_per_capita!I186-Gasto_o_ing_per_capita!$D186</f>
        <v>#VALUE!</v>
      </c>
      <c r="J186" s="338" t="e">
        <f>Gasto_o_ing_per_capita!J186-Gasto_o_ing_per_capita!$D186</f>
        <v>#VALUE!</v>
      </c>
      <c r="K186" s="338" t="e">
        <f>Gasto_o_ing_per_capita!K186-Gasto_o_ing_per_capita!$D186</f>
        <v>#VALUE!</v>
      </c>
      <c r="L186" s="338" t="e">
        <f>Gasto_o_ing_per_capita!L186-Gasto_o_ing_per_capita!$D186</f>
        <v>#VALUE!</v>
      </c>
      <c r="M186" s="338" t="e">
        <f>Gasto_o_ing_per_capita!M186-Gasto_o_ing_per_capita!$D186</f>
        <v>#VALUE!</v>
      </c>
      <c r="N186" s="338" t="e">
        <f>Gasto_o_ing_per_capita!N186-Gasto_o_ing_per_capita!$D186</f>
        <v>#VALUE!</v>
      </c>
      <c r="O186" s="338" t="e">
        <f>Gasto_o_ing_per_capita!O186-Gasto_o_ing_per_capita!$D186</f>
        <v>#VALUE!</v>
      </c>
      <c r="P186" s="338" t="e">
        <f>Gasto_o_ing_per_capita!P186-Gasto_o_ing_per_capita!$D186</f>
        <v>#VALUE!</v>
      </c>
      <c r="Q186" s="338" t="e">
        <f>Gasto_o_ing_per_capita!Q186-Gasto_o_ing_per_capita!$D186</f>
        <v>#VALUE!</v>
      </c>
      <c r="R186" s="338" t="e">
        <f>Gasto_o_ing_per_capita!R186-Gasto_o_ing_per_capita!$D186</f>
        <v>#VALUE!</v>
      </c>
      <c r="S186" s="338" t="e">
        <f>Gasto_o_ing_per_capita!S186-Gasto_o_ing_per_capita!$D186</f>
        <v>#VALUE!</v>
      </c>
      <c r="T186" s="338" t="e">
        <f>Gasto_o_ing_per_capita!T186-Gasto_o_ing_per_capita!$D186</f>
        <v>#VALUE!</v>
      </c>
      <c r="U186" s="338" t="e">
        <f>Gasto_o_ing_per_capita!U186-Gasto_o_ing_per_capita!$D186</f>
        <v>#VALUE!</v>
      </c>
      <c r="V186" s="338" t="e">
        <f>Gasto_o_ing_per_capita!V186-Gasto_o_ing_per_capita!$D186</f>
        <v>#VALUE!</v>
      </c>
      <c r="W186" s="122"/>
      <c r="X186" s="104"/>
    </row>
    <row r="187" spans="1:24" s="102" customFormat="1" ht="13.15">
      <c r="A187" s="356"/>
      <c r="B187" s="115" t="s">
        <v>1146</v>
      </c>
      <c r="C187" s="335" t="str">
        <f>VLOOKUP(B187,Tot_res!C:D,2,FALSE)</f>
        <v>Turismo</v>
      </c>
      <c r="D187" s="338">
        <f>Gasto_o_ing_per_capita!D187-Gasto_o_ing_per_capita!$D187</f>
        <v>0</v>
      </c>
      <c r="E187" s="338">
        <f>Gasto_o_ing_per_capita!E187-Gasto_o_ing_per_capita!$D187</f>
        <v>1.7006676462786554E-2</v>
      </c>
      <c r="F187" s="338">
        <f>Gasto_o_ing_per_capita!F187-Gasto_o_ing_per_capita!$D187</f>
        <v>1.7006676462786554E-2</v>
      </c>
      <c r="G187" s="338">
        <f>Gasto_o_ing_per_capita!G187-Gasto_o_ing_per_capita!$D187</f>
        <v>1.7006676462786554E-2</v>
      </c>
      <c r="H187" s="338">
        <f>Gasto_o_ing_per_capita!H187-Gasto_o_ing_per_capita!$D187</f>
        <v>1.7006676462786554E-2</v>
      </c>
      <c r="I187" s="338">
        <f>Gasto_o_ing_per_capita!I187-Gasto_o_ing_per_capita!$D187</f>
        <v>1.7006676462786554E-2</v>
      </c>
      <c r="J187" s="338">
        <f>Gasto_o_ing_per_capita!J187-Gasto_o_ing_per_capita!$D187</f>
        <v>1.7006676462786554E-2</v>
      </c>
      <c r="K187" s="338">
        <f>Gasto_o_ing_per_capita!K187-Gasto_o_ing_per_capita!$D187</f>
        <v>1.7006676462786554E-2</v>
      </c>
      <c r="L187" s="338">
        <f>Gasto_o_ing_per_capita!L187-Gasto_o_ing_per_capita!$D187</f>
        <v>1.7006676462786554E-2</v>
      </c>
      <c r="M187" s="338">
        <f>Gasto_o_ing_per_capita!M187-Gasto_o_ing_per_capita!$D187</f>
        <v>1.7006676462786554E-2</v>
      </c>
      <c r="N187" s="338">
        <f>Gasto_o_ing_per_capita!N187-Gasto_o_ing_per_capita!$D187</f>
        <v>1.7006676462786554E-2</v>
      </c>
      <c r="O187" s="338">
        <f>Gasto_o_ing_per_capita!O187-Gasto_o_ing_per_capita!$D187</f>
        <v>1.7006676462786554E-2</v>
      </c>
      <c r="P187" s="338">
        <f>Gasto_o_ing_per_capita!P187-Gasto_o_ing_per_capita!$D187</f>
        <v>1.7006676462786554E-2</v>
      </c>
      <c r="Q187" s="338">
        <f>Gasto_o_ing_per_capita!Q187-Gasto_o_ing_per_capita!$D187</f>
        <v>1.7006676462786554E-2</v>
      </c>
      <c r="R187" s="338">
        <f>Gasto_o_ing_per_capita!R187-Gasto_o_ing_per_capita!$D187</f>
        <v>1.7006676462786554E-2</v>
      </c>
      <c r="S187" s="338">
        <f>Gasto_o_ing_per_capita!S187-Gasto_o_ing_per_capita!$D187</f>
        <v>-0.25357462562289523</v>
      </c>
      <c r="T187" s="338">
        <f>Gasto_o_ing_per_capita!T187-Gasto_o_ing_per_capita!$D187</f>
        <v>-0.26815008550342628</v>
      </c>
      <c r="U187" s="338">
        <f>Gasto_o_ing_per_capita!U187-Gasto_o_ing_per_capita!$D187</f>
        <v>1.7006676462786554E-2</v>
      </c>
      <c r="V187" s="338">
        <f>Gasto_o_ing_per_capita!V187-Gasto_o_ing_per_capita!$D187</f>
        <v>1.7006676462786554E-2</v>
      </c>
      <c r="W187" s="122"/>
      <c r="X187" s="104"/>
    </row>
    <row r="188" spans="1:24" s="102" customFormat="1" ht="13.15">
      <c r="A188" s="356"/>
      <c r="B188" s="115"/>
      <c r="C188" s="141"/>
      <c r="D188" s="110"/>
      <c r="E188" s="110"/>
      <c r="F188" s="110"/>
      <c r="G188" s="110"/>
      <c r="H188" s="110"/>
      <c r="I188" s="110"/>
      <c r="J188" s="110"/>
      <c r="K188" s="110"/>
      <c r="L188" s="110"/>
      <c r="M188" s="110"/>
      <c r="N188" s="110"/>
      <c r="O188" s="110"/>
      <c r="P188" s="110"/>
      <c r="Q188" s="110"/>
      <c r="R188" s="110"/>
      <c r="S188" s="110"/>
      <c r="T188" s="110"/>
      <c r="U188" s="110"/>
      <c r="V188" s="110"/>
      <c r="W188" s="126"/>
      <c r="X188" s="104"/>
    </row>
    <row r="189" spans="1:24" s="102" customFormat="1" ht="26.3">
      <c r="A189" s="356"/>
      <c r="B189" s="115"/>
      <c r="C189" s="117" t="s">
        <v>57</v>
      </c>
      <c r="D189" s="113">
        <f>Gasto_o_ing_per_capita!D189-Gasto_o_ing_per_capita!$D189</f>
        <v>0</v>
      </c>
      <c r="E189" s="113">
        <f>Gasto_o_ing_per_capita!E189-Gasto_o_ing_per_capita!$D189</f>
        <v>-256.51497405296891</v>
      </c>
      <c r="F189" s="113">
        <f>Gasto_o_ing_per_capita!F189-Gasto_o_ing_per_capita!$D189</f>
        <v>150.495567185249</v>
      </c>
      <c r="G189" s="113">
        <f>Gasto_o_ing_per_capita!G189-Gasto_o_ing_per_capita!$D189</f>
        <v>127.87354762616133</v>
      </c>
      <c r="H189" s="113">
        <f>Gasto_o_ing_per_capita!H189-Gasto_o_ing_per_capita!$D189</f>
        <v>-101.58760272205063</v>
      </c>
      <c r="I189" s="113">
        <f>Gasto_o_ing_per_capita!I189-Gasto_o_ing_per_capita!$D189</f>
        <v>-25.342448496033285</v>
      </c>
      <c r="J189" s="113">
        <f>Gasto_o_ing_per_capita!J189-Gasto_o_ing_per_capita!$D189</f>
        <v>392.12186878531929</v>
      </c>
      <c r="K189" s="113">
        <f>Gasto_o_ing_per_capita!K189-Gasto_o_ing_per_capita!$D189</f>
        <v>266.02415532777241</v>
      </c>
      <c r="L189" s="113">
        <f>Gasto_o_ing_per_capita!L189-Gasto_o_ing_per_capita!$D189</f>
        <v>14.214372366719999</v>
      </c>
      <c r="M189" s="113">
        <f>Gasto_o_ing_per_capita!M189-Gasto_o_ing_per_capita!$D189</f>
        <v>-181.22955138369093</v>
      </c>
      <c r="N189" s="113">
        <f>Gasto_o_ing_per_capita!N189-Gasto_o_ing_per_capita!$D189</f>
        <v>-330.57703462527593</v>
      </c>
      <c r="O189" s="113">
        <f>Gasto_o_ing_per_capita!O189-Gasto_o_ing_per_capita!$D189</f>
        <v>238.78895833504066</v>
      </c>
      <c r="P189" s="113">
        <f>Gasto_o_ing_per_capita!P189-Gasto_o_ing_per_capita!$D189</f>
        <v>176.61784656826921</v>
      </c>
      <c r="Q189" s="113">
        <f>Gasto_o_ing_per_capita!Q189-Gasto_o_ing_per_capita!$D189</f>
        <v>-279.78104126039489</v>
      </c>
      <c r="R189" s="113">
        <f>Gasto_o_ing_per_capita!R189-Gasto_o_ing_per_capita!$D189</f>
        <v>-274.62069237885157</v>
      </c>
      <c r="S189" s="113">
        <f>Gasto_o_ing_per_capita!S189-Gasto_o_ing_per_capita!$D189</f>
        <v>1111.0314451566123</v>
      </c>
      <c r="T189" s="113">
        <f>Gasto_o_ing_per_capita!T189-Gasto_o_ing_per_capita!$D189</f>
        <v>2015.0524125840047</v>
      </c>
      <c r="U189" s="113">
        <f>Gasto_o_ing_per_capita!U189-Gasto_o_ing_per_capita!$D189</f>
        <v>326.60729512775242</v>
      </c>
      <c r="V189" s="113">
        <f>Gasto_o_ing_per_capita!V189-Gasto_o_ing_per_capita!$D189</f>
        <v>1967.0713776109051</v>
      </c>
      <c r="W189" s="122"/>
      <c r="X189" s="104"/>
    </row>
    <row r="190" spans="1:24" s="102" customFormat="1" ht="13.15">
      <c r="A190" s="356"/>
      <c r="B190" s="115"/>
      <c r="C190" s="140"/>
      <c r="D190" s="110"/>
      <c r="E190" s="110"/>
      <c r="F190" s="110"/>
      <c r="G190" s="110"/>
      <c r="H190" s="110"/>
      <c r="I190" s="110"/>
      <c r="J190" s="110"/>
      <c r="K190" s="110"/>
      <c r="L190" s="110"/>
      <c r="M190" s="110"/>
      <c r="N190" s="110"/>
      <c r="O190" s="110"/>
      <c r="P190" s="110"/>
      <c r="Q190" s="110"/>
      <c r="R190" s="110"/>
      <c r="S190" s="110"/>
      <c r="T190" s="110"/>
      <c r="U190" s="110"/>
      <c r="V190" s="110"/>
      <c r="W190" s="126"/>
      <c r="X190" s="104"/>
    </row>
    <row r="191" spans="1:24" s="102" customFormat="1" ht="13.15">
      <c r="A191" s="356"/>
      <c r="B191" s="137"/>
      <c r="C191" s="117" t="s">
        <v>29</v>
      </c>
      <c r="D191" s="113">
        <f>Gasto_o_ing_per_capita!D191-Gasto_o_ing_per_capita!$D191</f>
        <v>0</v>
      </c>
      <c r="E191" s="113">
        <f>Gasto_o_ing_per_capita!E191-Gasto_o_ing_per_capita!$D191</f>
        <v>39.644290344373687</v>
      </c>
      <c r="F191" s="113">
        <f>Gasto_o_ing_per_capita!F191-Gasto_o_ing_per_capita!$D191</f>
        <v>32.149612111199943</v>
      </c>
      <c r="G191" s="113">
        <f>Gasto_o_ing_per_capita!G191-Gasto_o_ing_per_capita!$D191</f>
        <v>124.66845508660676</v>
      </c>
      <c r="H191" s="113">
        <f>Gasto_o_ing_per_capita!H191-Gasto_o_ing_per_capita!$D191</f>
        <v>109.36961762043553</v>
      </c>
      <c r="I191" s="113">
        <f>Gasto_o_ing_per_capita!I191-Gasto_o_ing_per_capita!$D191</f>
        <v>-23.500522660462032</v>
      </c>
      <c r="J191" s="113">
        <f>Gasto_o_ing_per_capita!J191-Gasto_o_ing_per_capita!$D191</f>
        <v>84.8048042369998</v>
      </c>
      <c r="K191" s="113">
        <f>Gasto_o_ing_per_capita!K191-Gasto_o_ing_per_capita!$D191</f>
        <v>12.761724686255619</v>
      </c>
      <c r="L191" s="113">
        <f>Gasto_o_ing_per_capita!L191-Gasto_o_ing_per_capita!$D191</f>
        <v>-95.384669984268697</v>
      </c>
      <c r="M191" s="113">
        <f>Gasto_o_ing_per_capita!M191-Gasto_o_ing_per_capita!$D191</f>
        <v>131.05688231169717</v>
      </c>
      <c r="N191" s="113">
        <f>Gasto_o_ing_per_capita!N191-Gasto_o_ing_per_capita!$D191</f>
        <v>34.36803936246875</v>
      </c>
      <c r="O191" s="113">
        <f>Gasto_o_ing_per_capita!O191-Gasto_o_ing_per_capita!$D191</f>
        <v>161.80857563926941</v>
      </c>
      <c r="P191" s="113">
        <f>Gasto_o_ing_per_capita!P191-Gasto_o_ing_per_capita!$D191</f>
        <v>1.0520634034719691</v>
      </c>
      <c r="Q191" s="113">
        <f>Gasto_o_ing_per_capita!Q191-Gasto_o_ing_per_capita!$D191</f>
        <v>-83.187608220690478</v>
      </c>
      <c r="R191" s="113">
        <f>Gasto_o_ing_per_capita!R191-Gasto_o_ing_per_capita!$D191</f>
        <v>40.702779576210062</v>
      </c>
      <c r="S191" s="113">
        <f>Gasto_o_ing_per_capita!S191-Gasto_o_ing_per_capita!$D191</f>
        <v>-594.13209585645916</v>
      </c>
      <c r="T191" s="113">
        <f>Gasto_o_ing_per_capita!T191-Gasto_o_ing_per_capita!$D191</f>
        <v>-428.91126662509487</v>
      </c>
      <c r="U191" s="113">
        <f>Gasto_o_ing_per_capita!U191-Gasto_o_ing_per_capita!$D191</f>
        <v>7.3909696907941722</v>
      </c>
      <c r="V191" s="113">
        <f>Gasto_o_ing_per_capita!V191-Gasto_o_ing_per_capita!$D191</f>
        <v>-52.333142975266796</v>
      </c>
      <c r="W191" s="122"/>
      <c r="X191" s="104"/>
    </row>
    <row r="192" spans="1:24" s="102" customFormat="1" ht="13.15">
      <c r="A192" s="355" t="str">
        <f>IF(B192="","",(IF(ISERROR(MATCH(B192,Tot_res!C:C,0)),"Eliminar!!!","")))</f>
        <v/>
      </c>
      <c r="B192" s="115" t="s">
        <v>988</v>
      </c>
      <c r="C192" s="333" t="str">
        <f>VLOOKUP(B192,Tot_res!C:D,2,FALSE)</f>
        <v>Participación CCAARC en IRPF, sobreesfuerzo fiscal regional</v>
      </c>
      <c r="D192" s="336">
        <f>Gasto_o_ing_per_capita!D192-Gasto_o_ing_per_capita!$D192</f>
        <v>0</v>
      </c>
      <c r="E192" s="336">
        <f>Gasto_o_ing_per_capita!E192-Gasto_o_ing_per_capita!$D192</f>
        <v>9.3560679197150964</v>
      </c>
      <c r="F192" s="336">
        <f>Gasto_o_ing_per_capita!F192-Gasto_o_ing_per_capita!$D192</f>
        <v>7.283465171384214</v>
      </c>
      <c r="G192" s="336">
        <f>Gasto_o_ing_per_capita!G192-Gasto_o_ing_per_capita!$D192</f>
        <v>7.2283097555998479</v>
      </c>
      <c r="H192" s="336">
        <f>Gasto_o_ing_per_capita!H192-Gasto_o_ing_per_capita!$D192</f>
        <v>3.4756447655316531</v>
      </c>
      <c r="I192" s="336">
        <f>Gasto_o_ing_per_capita!I192-Gasto_o_ing_per_capita!$D192</f>
        <v>-6.5812741456240378</v>
      </c>
      <c r="J192" s="336">
        <f>Gasto_o_ing_per_capita!J192-Gasto_o_ing_per_capita!$D192</f>
        <v>6.6069727119035084</v>
      </c>
      <c r="K192" s="336">
        <f>Gasto_o_ing_per_capita!K192-Gasto_o_ing_per_capita!$D192</f>
        <v>-5.5963317076619674</v>
      </c>
      <c r="L192" s="336">
        <f>Gasto_o_ing_per_capita!L192-Gasto_o_ing_per_capita!$D192</f>
        <v>3.908970040010002</v>
      </c>
      <c r="M192" s="336">
        <f>Gasto_o_ing_per_capita!M192-Gasto_o_ing_per_capita!$D192</f>
        <v>6.4421582363943184</v>
      </c>
      <c r="N192" s="336">
        <f>Gasto_o_ing_per_capita!N192-Gasto_o_ing_per_capita!$D192</f>
        <v>1.9124731696170532</v>
      </c>
      <c r="O192" s="336">
        <f>Gasto_o_ing_per_capita!O192-Gasto_o_ing_per_capita!$D192</f>
        <v>5.4199914278951704</v>
      </c>
      <c r="P192" s="336">
        <f>Gasto_o_ing_per_capita!P192-Gasto_o_ing_per_capita!$D192</f>
        <v>2.5893542699596876</v>
      </c>
      <c r="Q192" s="336">
        <f>Gasto_o_ing_per_capita!Q192-Gasto_o_ing_per_capita!$D192</f>
        <v>-28.73910692829379</v>
      </c>
      <c r="R192" s="336">
        <f>Gasto_o_ing_per_capita!R192-Gasto_o_ing_per_capita!$D192</f>
        <v>7.1112612999081284</v>
      </c>
      <c r="S192" s="336">
        <f>Gasto_o_ing_per_capita!S192-Gasto_o_ing_per_capita!$D192</f>
        <v>7.8214832883861511</v>
      </c>
      <c r="T192" s="336">
        <f>Gasto_o_ing_per_capita!T192-Gasto_o_ing_per_capita!$D192</f>
        <v>7.8214832883861511</v>
      </c>
      <c r="U192" s="336">
        <f>Gasto_o_ing_per_capita!U192-Gasto_o_ing_per_capita!$D192</f>
        <v>-10.569605926955184</v>
      </c>
      <c r="V192" s="336">
        <f>Gasto_o_ing_per_capita!V192-Gasto_o_ing_per_capita!$D192</f>
        <v>7.8214832883861511</v>
      </c>
      <c r="W192" s="122"/>
      <c r="X192" s="104"/>
    </row>
    <row r="193" spans="1:24" s="102" customFormat="1" ht="13.15">
      <c r="A193" s="355" t="str">
        <f>IF(B193="","",(IF(ISERROR(MATCH(B193,Tot_res!C:C,0)),"Eliminar!!!","")))</f>
        <v/>
      </c>
      <c r="B193" s="115" t="s">
        <v>1120</v>
      </c>
      <c r="C193" s="333" t="str">
        <f>VLOOKUP(B193,Tot_res!C:D,2,FALSE)</f>
        <v>Participación CCAARC en IH, sobreesfuerzo fiscal regional</v>
      </c>
      <c r="D193" s="336">
        <f>Gasto_o_ing_per_capita!D193-Gasto_o_ing_per_capita!$D193</f>
        <v>0</v>
      </c>
      <c r="E193" s="336">
        <f>Gasto_o_ing_per_capita!E193-Gasto_o_ing_per_capita!$D193</f>
        <v>4.776890963365787</v>
      </c>
      <c r="F193" s="336">
        <f>Gasto_o_ing_per_capita!F193-Gasto_o_ing_per_capita!$D193</f>
        <v>-19.801729742872944</v>
      </c>
      <c r="G193" s="336">
        <f>Gasto_o_ing_per_capita!G193-Gasto_o_ing_per_capita!$D193</f>
        <v>2.973753479274734</v>
      </c>
      <c r="H193" s="336">
        <f>Gasto_o_ing_per_capita!H193-Gasto_o_ing_per_capita!$D193</f>
        <v>8.9637796029130108</v>
      </c>
      <c r="I193" s="336">
        <f>Gasto_o_ing_per_capita!I193-Gasto_o_ing_per_capita!$D193</f>
        <v>-19.801729742872944</v>
      </c>
      <c r="J193" s="336">
        <f>Gasto_o_ing_per_capita!J193-Gasto_o_ing_per_capita!$D193</f>
        <v>-19.339773221133814</v>
      </c>
      <c r="K193" s="336">
        <f>Gasto_o_ing_per_capita!K193-Gasto_o_ing_per_capita!$D193</f>
        <v>11.295055386343066</v>
      </c>
      <c r="L193" s="336">
        <f>Gasto_o_ing_per_capita!L193-Gasto_o_ing_per_capita!$D193</f>
        <v>16.526017661250265</v>
      </c>
      <c r="M193" s="336">
        <f>Gasto_o_ing_per_capita!M193-Gasto_o_ing_per_capita!$D193</f>
        <v>8.616556130794244</v>
      </c>
      <c r="N193" s="336">
        <f>Gasto_o_ing_per_capita!N193-Gasto_o_ing_per_capita!$D193</f>
        <v>5.854770787483897</v>
      </c>
      <c r="O193" s="336">
        <f>Gasto_o_ing_per_capita!O193-Gasto_o_ing_per_capita!$D193</f>
        <v>17.449585810149422</v>
      </c>
      <c r="P193" s="336">
        <f>Gasto_o_ing_per_capita!P193-Gasto_o_ing_per_capita!$D193</f>
        <v>-10.539974431778012</v>
      </c>
      <c r="Q193" s="336">
        <f>Gasto_o_ing_per_capita!Q193-Gasto_o_ing_per_capita!$D193</f>
        <v>-11.700331062364208</v>
      </c>
      <c r="R193" s="336">
        <f>Gasto_o_ing_per_capita!R193-Gasto_o_ing_per_capita!$D193</f>
        <v>13.838642550259067</v>
      </c>
      <c r="S193" s="336">
        <f>Gasto_o_ing_per_capita!S193-Gasto_o_ing_per_capita!$D193</f>
        <v>-19.801729742872944</v>
      </c>
      <c r="T193" s="336">
        <f>Gasto_o_ing_per_capita!T193-Gasto_o_ing_per_capita!$D193</f>
        <v>-19.801729742872944</v>
      </c>
      <c r="U193" s="336">
        <f>Gasto_o_ing_per_capita!U193-Gasto_o_ing_per_capita!$D193</f>
        <v>-19.801729742872944</v>
      </c>
      <c r="V193" s="336">
        <f>Gasto_o_ing_per_capita!V193-Gasto_o_ing_per_capita!$D193</f>
        <v>-19.801729742872944</v>
      </c>
      <c r="W193" s="122"/>
      <c r="X193" s="104"/>
    </row>
    <row r="194" spans="1:24" s="102" customFormat="1" ht="13.15">
      <c r="A194" s="355" t="str">
        <f>IF(B194="","",(IF(ISERROR(MATCH(B194,Tot_res!C:C,0)),"Eliminar!!!","")))</f>
        <v/>
      </c>
      <c r="B194" s="115" t="s">
        <v>989</v>
      </c>
      <c r="C194" s="333" t="str">
        <f>VLOOKUP(B194,Tot_res!C:D,2,FALSE)</f>
        <v>Impuesto sucesiones y donac, sobreesfuerzo fiscal de las CCAARC</v>
      </c>
      <c r="D194" s="336">
        <f>Gasto_o_ing_per_capita!D194-Gasto_o_ing_per_capita!$D194</f>
        <v>0</v>
      </c>
      <c r="E194" s="336">
        <f>Gasto_o_ing_per_capita!E194-Gasto_o_ing_per_capita!$D194</f>
        <v>12.139716344693804</v>
      </c>
      <c r="F194" s="336">
        <f>Gasto_o_ing_per_capita!F194-Gasto_o_ing_per_capita!$D194</f>
        <v>22.137322937730545</v>
      </c>
      <c r="G194" s="336">
        <f>Gasto_o_ing_per_capita!G194-Gasto_o_ing_per_capita!$D194</f>
        <v>44.108805726883482</v>
      </c>
      <c r="H194" s="336">
        <f>Gasto_o_ing_per_capita!H194-Gasto_o_ing_per_capita!$D194</f>
        <v>19.683686534979458</v>
      </c>
      <c r="I194" s="336">
        <f>Gasto_o_ing_per_capita!I194-Gasto_o_ing_per_capita!$D194</f>
        <v>-0.19732844678901501</v>
      </c>
      <c r="J194" s="336">
        <f>Gasto_o_ing_per_capita!J194-Gasto_o_ing_per_capita!$D194</f>
        <v>55.822439253118262</v>
      </c>
      <c r="K194" s="336">
        <f>Gasto_o_ing_per_capita!K194-Gasto_o_ing_per_capita!$D194</f>
        <v>-9.804783003272826</v>
      </c>
      <c r="L194" s="336">
        <f>Gasto_o_ing_per_capita!L194-Gasto_o_ing_per_capita!$D194</f>
        <v>-2.3065736210572592</v>
      </c>
      <c r="M194" s="336">
        <f>Gasto_o_ing_per_capita!M194-Gasto_o_ing_per_capita!$D194</f>
        <v>-17.451716216259388</v>
      </c>
      <c r="N194" s="336">
        <f>Gasto_o_ing_per_capita!N194-Gasto_o_ing_per_capita!$D194</f>
        <v>-16.097921338572014</v>
      </c>
      <c r="O194" s="336">
        <f>Gasto_o_ing_per_capita!O194-Gasto_o_ing_per_capita!$D194</f>
        <v>14.961579099871146</v>
      </c>
      <c r="P194" s="336">
        <f>Gasto_o_ing_per_capita!P194-Gasto_o_ing_per_capita!$D194</f>
        <v>-7.361709287206172</v>
      </c>
      <c r="Q194" s="336">
        <f>Gasto_o_ing_per_capita!Q194-Gasto_o_ing_per_capita!$D194</f>
        <v>2.2676259723252432</v>
      </c>
      <c r="R194" s="336">
        <f>Gasto_o_ing_per_capita!R194-Gasto_o_ing_per_capita!$D194</f>
        <v>0.74378007223579912</v>
      </c>
      <c r="S194" s="336">
        <f>Gasto_o_ing_per_capita!S194-Gasto_o_ing_per_capita!$D194</f>
        <v>3.3318682895626182E-15</v>
      </c>
      <c r="T194" s="336">
        <f>Gasto_o_ing_per_capita!T194-Gasto_o_ing_per_capita!$D194</f>
        <v>3.3318682895626182E-15</v>
      </c>
      <c r="U194" s="336">
        <f>Gasto_o_ing_per_capita!U194-Gasto_o_ing_per_capita!$D194</f>
        <v>-8.4697219041952678</v>
      </c>
      <c r="V194" s="336">
        <f>Gasto_o_ing_per_capita!V194-Gasto_o_ing_per_capita!$D194</f>
        <v>3.3318682895626182E-15</v>
      </c>
      <c r="W194" s="122"/>
      <c r="X194" s="104"/>
    </row>
    <row r="195" spans="1:24" s="102" customFormat="1" ht="13.15">
      <c r="A195" s="355" t="str">
        <f>IF(B195="","",(IF(ISERROR(MATCH(B195,Tot_res!C:C,0)),"Eliminar!!!","")))</f>
        <v/>
      </c>
      <c r="B195" s="115" t="s">
        <v>990</v>
      </c>
      <c r="C195" s="333" t="str">
        <f>VLOOKUP(B195,Tot_res!C:D,2,FALSE)</f>
        <v>ITP y AJD, sobreesfuerzo fiscal de las CCAARC</v>
      </c>
      <c r="D195" s="336">
        <f>Gasto_o_ing_per_capita!D195-Gasto_o_ing_per_capita!$D195</f>
        <v>0</v>
      </c>
      <c r="E195" s="336">
        <f>Gasto_o_ing_per_capita!E195-Gasto_o_ing_per_capita!$D195</f>
        <v>1.1315680755302093</v>
      </c>
      <c r="F195" s="336">
        <f>Gasto_o_ing_per_capita!F195-Gasto_o_ing_per_capita!$D195</f>
        <v>-5.2115714304378713</v>
      </c>
      <c r="G195" s="336">
        <f>Gasto_o_ing_per_capita!G195-Gasto_o_ing_per_capita!$D195</f>
        <v>-1.7658298107314208</v>
      </c>
      <c r="H195" s="336">
        <f>Gasto_o_ing_per_capita!H195-Gasto_o_ing_per_capita!$D195</f>
        <v>5.6244406521084276</v>
      </c>
      <c r="I195" s="336">
        <f>Gasto_o_ing_per_capita!I195-Gasto_o_ing_per_capita!$D195</f>
        <v>-8.6035456902155385</v>
      </c>
      <c r="J195" s="336">
        <f>Gasto_o_ing_per_capita!J195-Gasto_o_ing_per_capita!$D195</f>
        <v>0.52390102788354831</v>
      </c>
      <c r="K195" s="336">
        <f>Gasto_o_ing_per_capita!K195-Gasto_o_ing_per_capita!$D195</f>
        <v>-0.66096366214293756</v>
      </c>
      <c r="L195" s="336">
        <f>Gasto_o_ing_per_capita!L195-Gasto_o_ing_per_capita!$D195</f>
        <v>-1.6718680062890949</v>
      </c>
      <c r="M195" s="336">
        <f>Gasto_o_ing_per_capita!M195-Gasto_o_ing_per_capita!$D195</f>
        <v>6.6126626470483245</v>
      </c>
      <c r="N195" s="336">
        <f>Gasto_o_ing_per_capita!N195-Gasto_o_ing_per_capita!$D195</f>
        <v>3.7187955039969651</v>
      </c>
      <c r="O195" s="336">
        <f>Gasto_o_ing_per_capita!O195-Gasto_o_ing_per_capita!$D195</f>
        <v>-2.392247362389087</v>
      </c>
      <c r="P195" s="336">
        <f>Gasto_o_ing_per_capita!P195-Gasto_o_ing_per_capita!$D195</f>
        <v>1.9652250244128826</v>
      </c>
      <c r="Q195" s="336">
        <f>Gasto_o_ing_per_capita!Q195-Gasto_o_ing_per_capita!$D195</f>
        <v>-5.2115714304378713</v>
      </c>
      <c r="R195" s="336">
        <f>Gasto_o_ing_per_capita!R195-Gasto_o_ing_per_capita!$D195</f>
        <v>-2.9110294765161391</v>
      </c>
      <c r="S195" s="336">
        <f>Gasto_o_ing_per_capita!S195-Gasto_o_ing_per_capita!$D195</f>
        <v>-5.2115714304378713</v>
      </c>
      <c r="T195" s="336">
        <f>Gasto_o_ing_per_capita!T195-Gasto_o_ing_per_capita!$D195</f>
        <v>-5.2115714304378713</v>
      </c>
      <c r="U195" s="336">
        <f>Gasto_o_ing_per_capita!U195-Gasto_o_ing_per_capita!$D195</f>
        <v>-5.2115714304378713</v>
      </c>
      <c r="V195" s="336">
        <f>Gasto_o_ing_per_capita!V195-Gasto_o_ing_per_capita!$D195</f>
        <v>-5.2115714304378713</v>
      </c>
      <c r="W195" s="122"/>
      <c r="X195" s="104"/>
    </row>
    <row r="196" spans="1:24" s="102" customFormat="1" ht="13.15">
      <c r="A196" s="355" t="str">
        <f>IF(B196="","",(IF(ISERROR(MATCH(B196,Tot_res!C:C,0)),"Eliminar!!!","")))</f>
        <v/>
      </c>
      <c r="B196" s="115" t="s">
        <v>991</v>
      </c>
      <c r="C196" s="333" t="str">
        <f>VLOOKUP(B196,Tot_res!C:D,2,FALSE)</f>
        <v>Tasas sobre el juego, sobreesfuerzo fiscal de las CCAARC</v>
      </c>
      <c r="D196" s="336">
        <f>Gasto_o_ing_per_capita!D196-Gasto_o_ing_per_capita!$D196</f>
        <v>0</v>
      </c>
      <c r="E196" s="336">
        <f>Gasto_o_ing_per_capita!E196-Gasto_o_ing_per_capita!$D196</f>
        <v>1.5726899234033083</v>
      </c>
      <c r="F196" s="336">
        <f>Gasto_o_ing_per_capita!F196-Gasto_o_ing_per_capita!$D196</f>
        <v>6.8298681798159526</v>
      </c>
      <c r="G196" s="336">
        <f>Gasto_o_ing_per_capita!G196-Gasto_o_ing_per_capita!$D196</f>
        <v>3.9679614740046163</v>
      </c>
      <c r="H196" s="336">
        <f>Gasto_o_ing_per_capita!H196-Gasto_o_ing_per_capita!$D196</f>
        <v>-7.6216071924712292</v>
      </c>
      <c r="I196" s="336">
        <f>Gasto_o_ing_per_capita!I196-Gasto_o_ing_per_capita!$D196</f>
        <v>10.088987495950409</v>
      </c>
      <c r="J196" s="336">
        <f>Gasto_o_ing_per_capita!J196-Gasto_o_ing_per_capita!$D196</f>
        <v>2.9431182609808078</v>
      </c>
      <c r="K196" s="336">
        <f>Gasto_o_ing_per_capita!K196-Gasto_o_ing_per_capita!$D196</f>
        <v>1.4381280571556376</v>
      </c>
      <c r="L196" s="336">
        <f>Gasto_o_ing_per_capita!L196-Gasto_o_ing_per_capita!$D196</f>
        <v>-2.7116207731883035</v>
      </c>
      <c r="M196" s="336">
        <f>Gasto_o_ing_per_capita!M196-Gasto_o_ing_per_capita!$D196</f>
        <v>6.5473611904162237</v>
      </c>
      <c r="N196" s="336">
        <f>Gasto_o_ing_per_capita!N196-Gasto_o_ing_per_capita!$D196</f>
        <v>-3.1189867875619455</v>
      </c>
      <c r="O196" s="336">
        <f>Gasto_o_ing_per_capita!O196-Gasto_o_ing_per_capita!$D196</f>
        <v>5.400935465296703</v>
      </c>
      <c r="P196" s="336">
        <f>Gasto_o_ing_per_capita!P196-Gasto_o_ing_per_capita!$D196</f>
        <v>0.20412523497976148</v>
      </c>
      <c r="Q196" s="336">
        <f>Gasto_o_ing_per_capita!Q196-Gasto_o_ing_per_capita!$D196</f>
        <v>-12.672106792223587</v>
      </c>
      <c r="R196" s="336">
        <f>Gasto_o_ing_per_capita!R196-Gasto_o_ing_per_capita!$D196</f>
        <v>0.87786654709318002</v>
      </c>
      <c r="S196" s="336">
        <f>Gasto_o_ing_per_capita!S196-Gasto_o_ing_per_capita!$D196</f>
        <v>-2.8282137806752456E-15</v>
      </c>
      <c r="T196" s="336">
        <f>Gasto_o_ing_per_capita!T196-Gasto_o_ing_per_capita!$D196</f>
        <v>-2.8282137806752456E-15</v>
      </c>
      <c r="U196" s="336">
        <f>Gasto_o_ing_per_capita!U196-Gasto_o_ing_per_capita!$D196</f>
        <v>4.8319921709592339</v>
      </c>
      <c r="V196" s="336">
        <f>Gasto_o_ing_per_capita!V196-Gasto_o_ing_per_capita!$D196</f>
        <v>-2.8282137806752456E-15</v>
      </c>
      <c r="W196" s="122"/>
      <c r="X196" s="104"/>
    </row>
    <row r="197" spans="1:24" s="102" customFormat="1" ht="13.15">
      <c r="A197" s="355" t="str">
        <f>IF(B197="","",(IF(ISERROR(MATCH(B197,Tot_res!C:C,0)),"Eliminar!!!","")))</f>
        <v/>
      </c>
      <c r="B197" s="115" t="s">
        <v>992</v>
      </c>
      <c r="C197" s="333" t="str">
        <f>VLOOKUP(B197,Tot_res!C:D,2,FALSE)</f>
        <v>IVMH, sobreesfuerzo fiscal de las CCAARC</v>
      </c>
      <c r="D197" s="336">
        <f>Gasto_o_ing_per_capita!D197-Gasto_o_ing_per_capita!$D197</f>
        <v>0</v>
      </c>
      <c r="E197" s="336">
        <f>Gasto_o_ing_per_capita!E197-Gasto_o_ing_per_capita!$D197</f>
        <v>1.419002506745052</v>
      </c>
      <c r="F197" s="336">
        <f>Gasto_o_ing_per_capita!F197-Gasto_o_ing_per_capita!$D197</f>
        <v>-5.3578636609291284</v>
      </c>
      <c r="G197" s="336">
        <f>Gasto_o_ing_per_capita!G197-Gasto_o_ing_per_capita!$D197</f>
        <v>-1.6829386284983476</v>
      </c>
      <c r="H197" s="336">
        <f>Gasto_o_ing_per_capita!H197-Gasto_o_ing_per_capita!$D197</f>
        <v>1.0082679547514939</v>
      </c>
      <c r="I197" s="336">
        <f>Gasto_o_ing_per_capita!I197-Gasto_o_ing_per_capita!$D197</f>
        <v>-5.3578636609291284</v>
      </c>
      <c r="J197" s="336">
        <f>Gasto_o_ing_per_capita!J197-Gasto_o_ing_per_capita!$D197</f>
        <v>2.1549609351892709</v>
      </c>
      <c r="K197" s="336">
        <f>Gasto_o_ing_per_capita!K197-Gasto_o_ing_per_capita!$D197</f>
        <v>3.9592891299352644</v>
      </c>
      <c r="L197" s="336">
        <f>Gasto_o_ing_per_capita!L197-Gasto_o_ing_per_capita!$D197</f>
        <v>3.9300864798615525</v>
      </c>
      <c r="M197" s="336">
        <f>Gasto_o_ing_per_capita!M197-Gasto_o_ing_per_capita!$D197</f>
        <v>2.6450433449377595</v>
      </c>
      <c r="N197" s="336">
        <f>Gasto_o_ing_per_capita!N197-Gasto_o_ing_per_capita!$D197</f>
        <v>1.1819950298321675</v>
      </c>
      <c r="O197" s="336">
        <f>Gasto_o_ing_per_capita!O197-Gasto_o_ing_per_capita!$D197</f>
        <v>3.0075197326984959</v>
      </c>
      <c r="P197" s="336">
        <f>Gasto_o_ing_per_capita!P197-Gasto_o_ing_per_capita!$D197</f>
        <v>-2.6532132171554239</v>
      </c>
      <c r="Q197" s="336">
        <f>Gasto_o_ing_per_capita!Q197-Gasto_o_ing_per_capita!$D197</f>
        <v>-2.8234093898798283</v>
      </c>
      <c r="R197" s="336">
        <f>Gasto_o_ing_per_capita!R197-Gasto_o_ing_per_capita!$D197</f>
        <v>1.3315441959082204</v>
      </c>
      <c r="S197" s="336">
        <f>Gasto_o_ing_per_capita!S197-Gasto_o_ing_per_capita!$D197</f>
        <v>-5.3578636609291284</v>
      </c>
      <c r="T197" s="336">
        <f>Gasto_o_ing_per_capita!T197-Gasto_o_ing_per_capita!$D197</f>
        <v>-5.3578636609291284</v>
      </c>
      <c r="U197" s="336">
        <f>Gasto_o_ing_per_capita!U197-Gasto_o_ing_per_capita!$D197</f>
        <v>-5.3578636609291284</v>
      </c>
      <c r="V197" s="336">
        <f>Gasto_o_ing_per_capita!V197-Gasto_o_ing_per_capita!$D197</f>
        <v>-5.3578636609291284</v>
      </c>
      <c r="W197" s="122"/>
      <c r="X197" s="104"/>
    </row>
    <row r="198" spans="1:24" s="102" customFormat="1" ht="13.15">
      <c r="A198" s="355" t="str">
        <f>IF(B198="","",(IF(ISERROR(MATCH(B198,Tot_res!C:C,0)),"Eliminar!!!","")))</f>
        <v/>
      </c>
      <c r="B198" s="115" t="s">
        <v>993</v>
      </c>
      <c r="C198" s="333" t="str">
        <f>VLOOKUP(B198,Tot_res!C:D,2,FALSE)</f>
        <v>Impuesto de matriculación, sobreesfuerzo fiscal de las CCAARC</v>
      </c>
      <c r="D198" s="336">
        <f>Gasto_o_ing_per_capita!D198-Gasto_o_ing_per_capita!$D198</f>
        <v>0</v>
      </c>
      <c r="E198" s="336">
        <f>Gasto_o_ing_per_capita!E198-Gasto_o_ing_per_capita!$D198</f>
        <v>5.7119350764479188E-2</v>
      </c>
      <c r="F198" s="336">
        <f>Gasto_o_ing_per_capita!F198-Gasto_o_ing_per_capita!$D198</f>
        <v>-4.4026523047796584E-2</v>
      </c>
      <c r="G198" s="336">
        <f>Gasto_o_ing_per_capita!G198-Gasto_o_ing_per_capita!$D198</f>
        <v>-3.7902889339488308E-3</v>
      </c>
      <c r="H198" s="336">
        <f>Gasto_o_ing_per_capita!H198-Gasto_o_ing_per_capita!$D198</f>
        <v>8.5844779403181276E-2</v>
      </c>
      <c r="I198" s="336">
        <f>Gasto_o_ing_per_capita!I198-Gasto_o_ing_per_capita!$D198</f>
        <v>-4.4026523047796584E-2</v>
      </c>
      <c r="J198" s="336">
        <f>Gasto_o_ing_per_capita!J198-Gasto_o_ing_per_capita!$D198</f>
        <v>0.10729354634394098</v>
      </c>
      <c r="K198" s="336">
        <f>Gasto_o_ing_per_capita!K198-Gasto_o_ing_per_capita!$D198</f>
        <v>-4.4026523047796584E-2</v>
      </c>
      <c r="L198" s="336">
        <f>Gasto_o_ing_per_capita!L198-Gasto_o_ing_per_capita!$D198</f>
        <v>-4.4026523047796584E-2</v>
      </c>
      <c r="M198" s="336">
        <f>Gasto_o_ing_per_capita!M198-Gasto_o_ing_per_capita!$D198</f>
        <v>4.3052288351970933E-2</v>
      </c>
      <c r="N198" s="336">
        <f>Gasto_o_ing_per_capita!N198-Gasto_o_ing_per_capita!$D198</f>
        <v>-4.4026523047796584E-2</v>
      </c>
      <c r="O198" s="336">
        <f>Gasto_o_ing_per_capita!O198-Gasto_o_ing_per_capita!$D198</f>
        <v>0.21284893188214626</v>
      </c>
      <c r="P198" s="336">
        <f>Gasto_o_ing_per_capita!P198-Gasto_o_ing_per_capita!$D198</f>
        <v>-4.4026523047796584E-2</v>
      </c>
      <c r="Q198" s="336">
        <f>Gasto_o_ing_per_capita!Q198-Gasto_o_ing_per_capita!$D198</f>
        <v>-4.4026523047796584E-2</v>
      </c>
      <c r="R198" s="336">
        <f>Gasto_o_ing_per_capita!R198-Gasto_o_ing_per_capita!$D198</f>
        <v>-4.4026523047796584E-2</v>
      </c>
      <c r="S198" s="336">
        <f>Gasto_o_ing_per_capita!S198-Gasto_o_ing_per_capita!$D198</f>
        <v>-4.4026523047796584E-2</v>
      </c>
      <c r="T198" s="336">
        <f>Gasto_o_ing_per_capita!T198-Gasto_o_ing_per_capita!$D198</f>
        <v>-4.4026523047796584E-2</v>
      </c>
      <c r="U198" s="336">
        <f>Gasto_o_ing_per_capita!U198-Gasto_o_ing_per_capita!$D198</f>
        <v>-4.4026523047796584E-2</v>
      </c>
      <c r="V198" s="336">
        <f>Gasto_o_ing_per_capita!V198-Gasto_o_ing_per_capita!$D198</f>
        <v>-4.4026523047796584E-2</v>
      </c>
      <c r="W198" s="122"/>
      <c r="X198" s="104"/>
    </row>
    <row r="199" spans="1:24" s="102" customFormat="1" ht="13.15">
      <c r="A199" s="355" t="str">
        <f>IF(B199="","",(IF(ISERROR(MATCH(B199,Tot_res!C:C,0)),"Eliminar!!!","")))</f>
        <v/>
      </c>
      <c r="B199" s="115" t="s">
        <v>994</v>
      </c>
      <c r="C199" s="333" t="str">
        <f>VLOOKUP(B199,Tot_res!C:D,2,FALSE)</f>
        <v>IRPF, sobreesfuerzo fiscal de las comunidades forales</v>
      </c>
      <c r="D199" s="336">
        <f>Gasto_o_ing_per_capita!D199-Gasto_o_ing_per_capita!$D199</f>
        <v>0</v>
      </c>
      <c r="E199" s="336">
        <f>Gasto_o_ing_per_capita!E199-Gasto_o_ing_per_capita!$D199</f>
        <v>23.659873400849015</v>
      </c>
      <c r="F199" s="336">
        <f>Gasto_o_ing_per_capita!F199-Gasto_o_ing_per_capita!$D199</f>
        <v>23.659873400849015</v>
      </c>
      <c r="G199" s="336">
        <f>Gasto_o_ing_per_capita!G199-Gasto_o_ing_per_capita!$D199</f>
        <v>23.659873400849015</v>
      </c>
      <c r="H199" s="336">
        <f>Gasto_o_ing_per_capita!H199-Gasto_o_ing_per_capita!$D199</f>
        <v>23.659873400849015</v>
      </c>
      <c r="I199" s="336">
        <f>Gasto_o_ing_per_capita!I199-Gasto_o_ing_per_capita!$D199</f>
        <v>23.659873400849015</v>
      </c>
      <c r="J199" s="336">
        <f>Gasto_o_ing_per_capita!J199-Gasto_o_ing_per_capita!$D199</f>
        <v>23.659873400849015</v>
      </c>
      <c r="K199" s="336">
        <f>Gasto_o_ing_per_capita!K199-Gasto_o_ing_per_capita!$D199</f>
        <v>23.659873400849015</v>
      </c>
      <c r="L199" s="336">
        <f>Gasto_o_ing_per_capita!L199-Gasto_o_ing_per_capita!$D199</f>
        <v>23.659873400849015</v>
      </c>
      <c r="M199" s="336">
        <f>Gasto_o_ing_per_capita!M199-Gasto_o_ing_per_capita!$D199</f>
        <v>23.659873400849015</v>
      </c>
      <c r="N199" s="336">
        <f>Gasto_o_ing_per_capita!N199-Gasto_o_ing_per_capita!$D199</f>
        <v>23.659873400849015</v>
      </c>
      <c r="O199" s="336">
        <f>Gasto_o_ing_per_capita!O199-Gasto_o_ing_per_capita!$D199</f>
        <v>23.659873400849015</v>
      </c>
      <c r="P199" s="336">
        <f>Gasto_o_ing_per_capita!P199-Gasto_o_ing_per_capita!$D199</f>
        <v>23.659873400849015</v>
      </c>
      <c r="Q199" s="336">
        <f>Gasto_o_ing_per_capita!Q199-Gasto_o_ing_per_capita!$D199</f>
        <v>23.659873400849015</v>
      </c>
      <c r="R199" s="336">
        <f>Gasto_o_ing_per_capita!R199-Gasto_o_ing_per_capita!$D199</f>
        <v>23.659873400849015</v>
      </c>
      <c r="S199" s="336">
        <f>Gasto_o_ing_per_capita!S199-Gasto_o_ing_per_capita!$D199</f>
        <v>-429.66521618114291</v>
      </c>
      <c r="T199" s="336">
        <f>Gasto_o_ing_per_capita!T199-Gasto_o_ing_per_capita!$D199</f>
        <v>-350.49432004175844</v>
      </c>
      <c r="U199" s="336">
        <f>Gasto_o_ing_per_capita!U199-Gasto_o_ing_per_capita!$D199</f>
        <v>23.659873400849015</v>
      </c>
      <c r="V199" s="336">
        <f>Gasto_o_ing_per_capita!V199-Gasto_o_ing_per_capita!$D199</f>
        <v>23.659873400849015</v>
      </c>
      <c r="W199" s="122"/>
      <c r="X199" s="104"/>
    </row>
    <row r="200" spans="1:24" s="102" customFormat="1" ht="13.15">
      <c r="A200" s="355" t="str">
        <f>IF(B200="","",(IF(ISERROR(MATCH(B200,Tot_res!C:C,0)),"Eliminar!!!","")))</f>
        <v/>
      </c>
      <c r="B200" s="115" t="s">
        <v>995</v>
      </c>
      <c r="C200" s="333" t="str">
        <f>VLOOKUP(B200,Tot_res!C:D,2,FALSE)</f>
        <v>Sociedades, sobreesfuerzo fiscal de las comunidades forales</v>
      </c>
      <c r="D200" s="336">
        <f>Gasto_o_ing_per_capita!D200-Gasto_o_ing_per_capita!$D200</f>
        <v>0</v>
      </c>
      <c r="E200" s="336">
        <f>Gasto_o_ing_per_capita!E200-Gasto_o_ing_per_capita!$D200</f>
        <v>3.8431270717095933</v>
      </c>
      <c r="F200" s="336">
        <f>Gasto_o_ing_per_capita!F200-Gasto_o_ing_per_capita!$D200</f>
        <v>3.8431270717095933</v>
      </c>
      <c r="G200" s="336">
        <f>Gasto_o_ing_per_capita!G200-Gasto_o_ing_per_capita!$D200</f>
        <v>3.8431270717095933</v>
      </c>
      <c r="H200" s="336">
        <f>Gasto_o_ing_per_capita!H200-Gasto_o_ing_per_capita!$D200</f>
        <v>3.8431270717095933</v>
      </c>
      <c r="I200" s="336">
        <f>Gasto_o_ing_per_capita!I200-Gasto_o_ing_per_capita!$D200</f>
        <v>3.8431270717095933</v>
      </c>
      <c r="J200" s="336">
        <f>Gasto_o_ing_per_capita!J200-Gasto_o_ing_per_capita!$D200</f>
        <v>3.8431270717095933</v>
      </c>
      <c r="K200" s="336">
        <f>Gasto_o_ing_per_capita!K200-Gasto_o_ing_per_capita!$D200</f>
        <v>3.8431270717095933</v>
      </c>
      <c r="L200" s="336">
        <f>Gasto_o_ing_per_capita!L200-Gasto_o_ing_per_capita!$D200</f>
        <v>3.8431270717095933</v>
      </c>
      <c r="M200" s="336">
        <f>Gasto_o_ing_per_capita!M200-Gasto_o_ing_per_capita!$D200</f>
        <v>3.8431270717095933</v>
      </c>
      <c r="N200" s="336">
        <f>Gasto_o_ing_per_capita!N200-Gasto_o_ing_per_capita!$D200</f>
        <v>3.8431270717095933</v>
      </c>
      <c r="O200" s="336">
        <f>Gasto_o_ing_per_capita!O200-Gasto_o_ing_per_capita!$D200</f>
        <v>3.8431270717095933</v>
      </c>
      <c r="P200" s="336">
        <f>Gasto_o_ing_per_capita!P200-Gasto_o_ing_per_capita!$D200</f>
        <v>3.8431270717095933</v>
      </c>
      <c r="Q200" s="336">
        <f>Gasto_o_ing_per_capita!Q200-Gasto_o_ing_per_capita!$D200</f>
        <v>3.8431270717095933</v>
      </c>
      <c r="R200" s="336">
        <f>Gasto_o_ing_per_capita!R200-Gasto_o_ing_per_capita!$D200</f>
        <v>3.8431270717095933</v>
      </c>
      <c r="S200" s="336">
        <f>Gasto_o_ing_per_capita!S200-Gasto_o_ing_per_capita!$D200</f>
        <v>-243.66192531084042</v>
      </c>
      <c r="T200" s="336">
        <f>Gasto_o_ing_per_capita!T200-Gasto_o_ing_per_capita!$D200</f>
        <v>-5.9188282533120269</v>
      </c>
      <c r="U200" s="336">
        <f>Gasto_o_ing_per_capita!U200-Gasto_o_ing_per_capita!$D200</f>
        <v>3.8431270717095933</v>
      </c>
      <c r="V200" s="336">
        <f>Gasto_o_ing_per_capita!V200-Gasto_o_ing_per_capita!$D200</f>
        <v>3.8431270717095933</v>
      </c>
      <c r="W200" s="122"/>
      <c r="X200" s="104"/>
    </row>
    <row r="201" spans="1:24" s="102" customFormat="1" ht="13.15">
      <c r="A201" s="355" t="str">
        <f>IF(B201="","",(IF(ISERROR(MATCH(B201,Tot_res!C:C,0)),"Eliminar!!!","")))</f>
        <v/>
      </c>
      <c r="B201" s="115" t="s">
        <v>1122</v>
      </c>
      <c r="C201" s="333" t="str">
        <f>VLOOKUP(B201,Tot_res!C:D,2,FALSE)</f>
        <v>IH, sobreesfuerso fiscal de las comunidades forales</v>
      </c>
      <c r="D201" s="336">
        <f>Gasto_o_ing_per_capita!D201-Gasto_o_ing_per_capita!$D201</f>
        <v>0</v>
      </c>
      <c r="E201" s="336">
        <f>Gasto_o_ing_per_capita!E201-Gasto_o_ing_per_capita!$D201</f>
        <v>-0.24708679866281474</v>
      </c>
      <c r="F201" s="336">
        <f>Gasto_o_ing_per_capita!F201-Gasto_o_ing_per_capita!$D201</f>
        <v>-0.24708679866281474</v>
      </c>
      <c r="G201" s="336">
        <f>Gasto_o_ing_per_capita!G201-Gasto_o_ing_per_capita!$D201</f>
        <v>-0.24708679866281474</v>
      </c>
      <c r="H201" s="336">
        <f>Gasto_o_ing_per_capita!H201-Gasto_o_ing_per_capita!$D201</f>
        <v>-0.24708679866281474</v>
      </c>
      <c r="I201" s="336">
        <f>Gasto_o_ing_per_capita!I201-Gasto_o_ing_per_capita!$D201</f>
        <v>-0.24708679866281474</v>
      </c>
      <c r="J201" s="336">
        <f>Gasto_o_ing_per_capita!J201-Gasto_o_ing_per_capita!$D201</f>
        <v>-0.24708679866281474</v>
      </c>
      <c r="K201" s="336">
        <f>Gasto_o_ing_per_capita!K201-Gasto_o_ing_per_capita!$D201</f>
        <v>-0.24708679866281474</v>
      </c>
      <c r="L201" s="336">
        <f>Gasto_o_ing_per_capita!L201-Gasto_o_ing_per_capita!$D201</f>
        <v>-0.24708679866281474</v>
      </c>
      <c r="M201" s="336">
        <f>Gasto_o_ing_per_capita!M201-Gasto_o_ing_per_capita!$D201</f>
        <v>-0.24708679866281474</v>
      </c>
      <c r="N201" s="336">
        <f>Gasto_o_ing_per_capita!N201-Gasto_o_ing_per_capita!$D201</f>
        <v>-0.24708679866281474</v>
      </c>
      <c r="O201" s="336">
        <f>Gasto_o_ing_per_capita!O201-Gasto_o_ing_per_capita!$D201</f>
        <v>-0.24708679866281474</v>
      </c>
      <c r="P201" s="336">
        <f>Gasto_o_ing_per_capita!P201-Gasto_o_ing_per_capita!$D201</f>
        <v>-0.24708679866281474</v>
      </c>
      <c r="Q201" s="336">
        <f>Gasto_o_ing_per_capita!Q201-Gasto_o_ing_per_capita!$D201</f>
        <v>-0.24708679866281474</v>
      </c>
      <c r="R201" s="336">
        <f>Gasto_o_ing_per_capita!R201-Gasto_o_ing_per_capita!$D201</f>
        <v>-0.24708679866281474</v>
      </c>
      <c r="S201" s="336">
        <f>Gasto_o_ing_per_capita!S201-Gasto_o_ing_per_capita!$D201</f>
        <v>17.804981853220415</v>
      </c>
      <c r="T201" s="336">
        <f>Gasto_o_ing_per_capita!T201-Gasto_o_ing_per_capita!$D201</f>
        <v>-0.24708679866281474</v>
      </c>
      <c r="U201" s="336">
        <f>Gasto_o_ing_per_capita!U201-Gasto_o_ing_per_capita!$D201</f>
        <v>-0.24708679866281474</v>
      </c>
      <c r="V201" s="336">
        <f>Gasto_o_ing_per_capita!V201-Gasto_o_ing_per_capita!$D201</f>
        <v>-0.24708679866281474</v>
      </c>
      <c r="W201" s="122"/>
      <c r="X201" s="104"/>
    </row>
    <row r="202" spans="1:24" s="102" customFormat="1" ht="13.15">
      <c r="A202" s="355" t="str">
        <f>IF(B202="","",(IF(ISERROR(MATCH(B202,Tot_res!C:C,0)),"Eliminar!!!","")))</f>
        <v/>
      </c>
      <c r="B202" s="115" t="s">
        <v>996</v>
      </c>
      <c r="C202" s="333" t="str">
        <f>VLOOKUP(B202,Tot_res!C:D,2,FALSE)</f>
        <v>Sucesiones y donaciones, sobreesfuerzo fiscal de las comunidades forales</v>
      </c>
      <c r="D202" s="336">
        <f>Gasto_o_ing_per_capita!D202-Gasto_o_ing_per_capita!$D202</f>
        <v>0</v>
      </c>
      <c r="E202" s="336">
        <f>Gasto_o_ing_per_capita!E202-Gasto_o_ing_per_capita!$D202</f>
        <v>0.63114829587250587</v>
      </c>
      <c r="F202" s="336">
        <f>Gasto_o_ing_per_capita!F202-Gasto_o_ing_per_capita!$D202</f>
        <v>0.63114829587250587</v>
      </c>
      <c r="G202" s="336">
        <f>Gasto_o_ing_per_capita!G202-Gasto_o_ing_per_capita!$D202</f>
        <v>0.63114829587250587</v>
      </c>
      <c r="H202" s="336">
        <f>Gasto_o_ing_per_capita!H202-Gasto_o_ing_per_capita!$D202</f>
        <v>0.63114829587250587</v>
      </c>
      <c r="I202" s="336">
        <f>Gasto_o_ing_per_capita!I202-Gasto_o_ing_per_capita!$D202</f>
        <v>0.63114829587250587</v>
      </c>
      <c r="J202" s="336">
        <f>Gasto_o_ing_per_capita!J202-Gasto_o_ing_per_capita!$D202</f>
        <v>0.63114829587250587</v>
      </c>
      <c r="K202" s="336">
        <f>Gasto_o_ing_per_capita!K202-Gasto_o_ing_per_capita!$D202</f>
        <v>0.63114829587250587</v>
      </c>
      <c r="L202" s="336">
        <f>Gasto_o_ing_per_capita!L202-Gasto_o_ing_per_capita!$D202</f>
        <v>0.63114829587250587</v>
      </c>
      <c r="M202" s="336">
        <f>Gasto_o_ing_per_capita!M202-Gasto_o_ing_per_capita!$D202</f>
        <v>0.63114829587250587</v>
      </c>
      <c r="N202" s="336">
        <f>Gasto_o_ing_per_capita!N202-Gasto_o_ing_per_capita!$D202</f>
        <v>0.63114829587250587</v>
      </c>
      <c r="O202" s="336">
        <f>Gasto_o_ing_per_capita!O202-Gasto_o_ing_per_capita!$D202</f>
        <v>0.63114829587250587</v>
      </c>
      <c r="P202" s="336">
        <f>Gasto_o_ing_per_capita!P202-Gasto_o_ing_per_capita!$D202</f>
        <v>0.63114829587250587</v>
      </c>
      <c r="Q202" s="336">
        <f>Gasto_o_ing_per_capita!Q202-Gasto_o_ing_per_capita!$D202</f>
        <v>0.63114829587250587</v>
      </c>
      <c r="R202" s="336">
        <f>Gasto_o_ing_per_capita!R202-Gasto_o_ing_per_capita!$D202</f>
        <v>0.63114829587250587</v>
      </c>
      <c r="S202" s="336">
        <f>Gasto_o_ing_per_capita!S202-Gasto_o_ing_per_capita!$D202</f>
        <v>75.708383179621507</v>
      </c>
      <c r="T202" s="336">
        <f>Gasto_o_ing_per_capita!T202-Gasto_o_ing_per_capita!$D202</f>
        <v>-34.925041398629332</v>
      </c>
      <c r="U202" s="336">
        <f>Gasto_o_ing_per_capita!U202-Gasto_o_ing_per_capita!$D202</f>
        <v>0.63114829587250587</v>
      </c>
      <c r="V202" s="336">
        <f>Gasto_o_ing_per_capita!V202-Gasto_o_ing_per_capita!$D202</f>
        <v>0.63114829587250587</v>
      </c>
      <c r="W202" s="122"/>
      <c r="X202" s="104"/>
    </row>
    <row r="203" spans="1:24" s="102" customFormat="1" ht="13.15">
      <c r="A203" s="355" t="str">
        <f>IF(B203="","",(IF(ISERROR(MATCH(B203,Tot_res!C:C,0)),"Eliminar!!!","")))</f>
        <v/>
      </c>
      <c r="B203" s="115" t="s">
        <v>1107</v>
      </c>
      <c r="C203" s="333" t="s">
        <v>1108</v>
      </c>
      <c r="D203" s="336">
        <f>Gasto_o_ing_per_capita!D203-Gasto_o_ing_per_capita!$D203</f>
        <v>0</v>
      </c>
      <c r="E203" s="336">
        <f>Gasto_o_ing_per_capita!E203-Gasto_o_ing_per_capita!$D203</f>
        <v>-8.5876116030304386E-2</v>
      </c>
      <c r="F203" s="336">
        <f>Gasto_o_ing_per_capita!F203-Gasto_o_ing_per_capita!$D203</f>
        <v>-8.5876116030304386E-2</v>
      </c>
      <c r="G203" s="336">
        <f>Gasto_o_ing_per_capita!G203-Gasto_o_ing_per_capita!$D203</f>
        <v>-8.5876116030304386E-2</v>
      </c>
      <c r="H203" s="336">
        <f>Gasto_o_ing_per_capita!H203-Gasto_o_ing_per_capita!$D203</f>
        <v>-8.5876116030304386E-2</v>
      </c>
      <c r="I203" s="336">
        <f>Gasto_o_ing_per_capita!I203-Gasto_o_ing_per_capita!$D203</f>
        <v>-8.5876116030304386E-2</v>
      </c>
      <c r="J203" s="336">
        <f>Gasto_o_ing_per_capita!J203-Gasto_o_ing_per_capita!$D203</f>
        <v>-8.5876116030304386E-2</v>
      </c>
      <c r="K203" s="336">
        <f>Gasto_o_ing_per_capita!K203-Gasto_o_ing_per_capita!$D203</f>
        <v>-8.5876116030304386E-2</v>
      </c>
      <c r="L203" s="336">
        <f>Gasto_o_ing_per_capita!L203-Gasto_o_ing_per_capita!$D203</f>
        <v>-8.5876116030304386E-2</v>
      </c>
      <c r="M203" s="336">
        <f>Gasto_o_ing_per_capita!M203-Gasto_o_ing_per_capita!$D203</f>
        <v>-8.5876116030304386E-2</v>
      </c>
      <c r="N203" s="336">
        <f>Gasto_o_ing_per_capita!N203-Gasto_o_ing_per_capita!$D203</f>
        <v>-8.5876116030304386E-2</v>
      </c>
      <c r="O203" s="336">
        <f>Gasto_o_ing_per_capita!O203-Gasto_o_ing_per_capita!$D203</f>
        <v>-8.5876116030304386E-2</v>
      </c>
      <c r="P203" s="336">
        <f>Gasto_o_ing_per_capita!P203-Gasto_o_ing_per_capita!$D203</f>
        <v>-8.5876116030304386E-2</v>
      </c>
      <c r="Q203" s="336">
        <f>Gasto_o_ing_per_capita!Q203-Gasto_o_ing_per_capita!$D203</f>
        <v>-8.5876116030304386E-2</v>
      </c>
      <c r="R203" s="336">
        <f>Gasto_o_ing_per_capita!R203-Gasto_o_ing_per_capita!$D203</f>
        <v>-8.5876116030304386E-2</v>
      </c>
      <c r="S203" s="336">
        <f>Gasto_o_ing_per_capita!S203-Gasto_o_ing_per_capita!$D203</f>
        <v>6.1882006477860863</v>
      </c>
      <c r="T203" s="336">
        <f>Gasto_o_ing_per_capita!T203-Gasto_o_ing_per_capita!$D203</f>
        <v>-8.5876116030304386E-2</v>
      </c>
      <c r="U203" s="336">
        <f>Gasto_o_ing_per_capita!U203-Gasto_o_ing_per_capita!$D203</f>
        <v>-8.5876116030304386E-2</v>
      </c>
      <c r="V203" s="336">
        <f>Gasto_o_ing_per_capita!V203-Gasto_o_ing_per_capita!$D203</f>
        <v>-8.5876116030304386E-2</v>
      </c>
      <c r="W203" s="122"/>
      <c r="X203" s="104"/>
    </row>
    <row r="204" spans="1:24" s="102" customFormat="1" ht="13.15">
      <c r="A204" s="355" t="str">
        <f>IF(B204="","",(IF(ISERROR(MATCH(B204,Tot_res!C:C,0)),"Eliminar!!!","")))</f>
        <v/>
      </c>
      <c r="B204" s="115" t="s">
        <v>997</v>
      </c>
      <c r="C204" s="333" t="str">
        <f>VLOOKUP(B204,Tot_res!C:D,2,FALSE)</f>
        <v>ITP y AJD, sobreesfuerzo fiscal de las comunidades forales</v>
      </c>
      <c r="D204" s="336">
        <f>Gasto_o_ing_per_capita!D204-Gasto_o_ing_per_capita!$D204</f>
        <v>0</v>
      </c>
      <c r="E204" s="336">
        <f>Gasto_o_ing_per_capita!E204-Gasto_o_ing_per_capita!$D204</f>
        <v>1.7658994403489277</v>
      </c>
      <c r="F204" s="336">
        <f>Gasto_o_ing_per_capita!F204-Gasto_o_ing_per_capita!$D204</f>
        <v>1.7658994403489277</v>
      </c>
      <c r="G204" s="336">
        <f>Gasto_o_ing_per_capita!G204-Gasto_o_ing_per_capita!$D204</f>
        <v>1.7658994403489277</v>
      </c>
      <c r="H204" s="336">
        <f>Gasto_o_ing_per_capita!H204-Gasto_o_ing_per_capita!$D204</f>
        <v>1.7658994403489277</v>
      </c>
      <c r="I204" s="336">
        <f>Gasto_o_ing_per_capita!I204-Gasto_o_ing_per_capita!$D204</f>
        <v>1.7658994403489277</v>
      </c>
      <c r="J204" s="336">
        <f>Gasto_o_ing_per_capita!J204-Gasto_o_ing_per_capita!$D204</f>
        <v>1.7658994403489277</v>
      </c>
      <c r="K204" s="336">
        <f>Gasto_o_ing_per_capita!K204-Gasto_o_ing_per_capita!$D204</f>
        <v>1.7658994403489277</v>
      </c>
      <c r="L204" s="336">
        <f>Gasto_o_ing_per_capita!L204-Gasto_o_ing_per_capita!$D204</f>
        <v>1.7658994403489277</v>
      </c>
      <c r="M204" s="336">
        <f>Gasto_o_ing_per_capita!M204-Gasto_o_ing_per_capita!$D204</f>
        <v>1.7658994403489277</v>
      </c>
      <c r="N204" s="336">
        <f>Gasto_o_ing_per_capita!N204-Gasto_o_ing_per_capita!$D204</f>
        <v>1.7658994403489277</v>
      </c>
      <c r="O204" s="336">
        <f>Gasto_o_ing_per_capita!O204-Gasto_o_ing_per_capita!$D204</f>
        <v>1.7658994403489277</v>
      </c>
      <c r="P204" s="336">
        <f>Gasto_o_ing_per_capita!P204-Gasto_o_ing_per_capita!$D204</f>
        <v>1.7658994403489277</v>
      </c>
      <c r="Q204" s="336">
        <f>Gasto_o_ing_per_capita!Q204-Gasto_o_ing_per_capita!$D204</f>
        <v>1.7658994403489277</v>
      </c>
      <c r="R204" s="336">
        <f>Gasto_o_ing_per_capita!R204-Gasto_o_ing_per_capita!$D204</f>
        <v>1.7658994403489277</v>
      </c>
      <c r="S204" s="336">
        <f>Gasto_o_ing_per_capita!S204-Gasto_o_ing_per_capita!$D204</f>
        <v>-15.859076915139891</v>
      </c>
      <c r="T204" s="336">
        <f>Gasto_o_ing_per_capita!T204-Gasto_o_ing_per_capita!$D204</f>
        <v>-30.915685768991377</v>
      </c>
      <c r="U204" s="336">
        <f>Gasto_o_ing_per_capita!U204-Gasto_o_ing_per_capita!$D204</f>
        <v>1.7658994403489277</v>
      </c>
      <c r="V204" s="336">
        <f>Gasto_o_ing_per_capita!V204-Gasto_o_ing_per_capita!$D204</f>
        <v>1.7658994403489277</v>
      </c>
      <c r="W204" s="122"/>
      <c r="X204" s="104"/>
    </row>
    <row r="205" spans="1:24" s="102" customFormat="1" ht="13.15">
      <c r="A205" s="355" t="str">
        <f>IF(B205="","",(IF(ISERROR(MATCH(B205,Tot_res!C:C,0)),"Eliminar!!!","")))</f>
        <v/>
      </c>
      <c r="B205" s="115" t="s">
        <v>998</v>
      </c>
      <c r="C205" s="333" t="str">
        <f>VLOOKUP(B205,Tot_res!C:D,2,FALSE)</f>
        <v>Tasas juego, sobreesfuerzo fiscal de las comunidades forales</v>
      </c>
      <c r="D205" s="336">
        <f>Gasto_o_ing_per_capita!D205-Gasto_o_ing_per_capita!$D205</f>
        <v>0</v>
      </c>
      <c r="E205" s="336">
        <f>Gasto_o_ing_per_capita!E205-Gasto_o_ing_per_capita!$D205</f>
        <v>-0.36267562197828129</v>
      </c>
      <c r="F205" s="336">
        <f>Gasto_o_ing_per_capita!F205-Gasto_o_ing_per_capita!$D205</f>
        <v>-0.36267562197828129</v>
      </c>
      <c r="G205" s="336">
        <f>Gasto_o_ing_per_capita!G205-Gasto_o_ing_per_capita!$D205</f>
        <v>-0.36267562197828129</v>
      </c>
      <c r="H205" s="336">
        <f>Gasto_o_ing_per_capita!H205-Gasto_o_ing_per_capita!$D205</f>
        <v>-0.36267562197828129</v>
      </c>
      <c r="I205" s="336">
        <f>Gasto_o_ing_per_capita!I205-Gasto_o_ing_per_capita!$D205</f>
        <v>-0.36267562197828129</v>
      </c>
      <c r="J205" s="336">
        <f>Gasto_o_ing_per_capita!J205-Gasto_o_ing_per_capita!$D205</f>
        <v>-0.36267562197828129</v>
      </c>
      <c r="K205" s="336">
        <f>Gasto_o_ing_per_capita!K205-Gasto_o_ing_per_capita!$D205</f>
        <v>-0.36267562197828129</v>
      </c>
      <c r="L205" s="336">
        <f>Gasto_o_ing_per_capita!L205-Gasto_o_ing_per_capita!$D205</f>
        <v>-0.36267562197828129</v>
      </c>
      <c r="M205" s="336">
        <f>Gasto_o_ing_per_capita!M205-Gasto_o_ing_per_capita!$D205</f>
        <v>-0.36267562197828129</v>
      </c>
      <c r="N205" s="336">
        <f>Gasto_o_ing_per_capita!N205-Gasto_o_ing_per_capita!$D205</f>
        <v>-0.36267562197828129</v>
      </c>
      <c r="O205" s="336">
        <f>Gasto_o_ing_per_capita!O205-Gasto_o_ing_per_capita!$D205</f>
        <v>-0.36267562197828129</v>
      </c>
      <c r="P205" s="336">
        <f>Gasto_o_ing_per_capita!P205-Gasto_o_ing_per_capita!$D205</f>
        <v>-0.36267562197828129</v>
      </c>
      <c r="Q205" s="336">
        <f>Gasto_o_ing_per_capita!Q205-Gasto_o_ing_per_capita!$D205</f>
        <v>-0.36267562197828129</v>
      </c>
      <c r="R205" s="336">
        <f>Gasto_o_ing_per_capita!R205-Gasto_o_ing_per_capita!$D205</f>
        <v>-0.36267562197828129</v>
      </c>
      <c r="S205" s="336">
        <f>Gasto_o_ing_per_capita!S205-Gasto_o_ing_per_capita!$D205</f>
        <v>-2.7649349208258491</v>
      </c>
      <c r="T205" s="336">
        <f>Gasto_o_ing_per_capita!T205-Gasto_o_ing_per_capita!$D205</f>
        <v>8.1162142715953767</v>
      </c>
      <c r="U205" s="336">
        <f>Gasto_o_ing_per_capita!U205-Gasto_o_ing_per_capita!$D205</f>
        <v>-0.36267562197828129</v>
      </c>
      <c r="V205" s="336">
        <f>Gasto_o_ing_per_capita!V205-Gasto_o_ing_per_capita!$D205</f>
        <v>-0.36267562197828129</v>
      </c>
      <c r="W205" s="122"/>
      <c r="X205" s="104"/>
    </row>
    <row r="206" spans="1:24" s="102" customFormat="1" ht="13.15">
      <c r="A206" s="355" t="str">
        <f>IF(B206="","",(IF(ISERROR(MATCH(B206,Tot_res!C:C,0)),"Eliminar!!!","")))</f>
        <v/>
      </c>
      <c r="B206" s="115" t="s">
        <v>237</v>
      </c>
      <c r="C206" s="333" t="str">
        <f>VLOOKUP(B206,Tot_res!C:D,2,FALSE)</f>
        <v xml:space="preserve"> Ingresos por tributos propios de las comunidades autónomas y patrimonio</v>
      </c>
      <c r="D206" s="336">
        <f>Gasto_o_ing_per_capita!D206-Gasto_o_ing_per_capita!$D206</f>
        <v>0</v>
      </c>
      <c r="E206" s="336">
        <f>Gasto_o_ing_per_capita!E206-Gasto_o_ing_per_capita!$D206</f>
        <v>-20.01317441195269</v>
      </c>
      <c r="F206" s="336">
        <f>Gasto_o_ing_per_capita!F206-Gasto_o_ing_per_capita!$D206</f>
        <v>-2.8902624925516776</v>
      </c>
      <c r="G206" s="336">
        <f>Gasto_o_ing_per_capita!G206-Gasto_o_ing_per_capita!$D206</f>
        <v>40.637773706899168</v>
      </c>
      <c r="H206" s="336">
        <f>Gasto_o_ing_per_capita!H206-Gasto_o_ing_per_capita!$D206</f>
        <v>48.945150851110881</v>
      </c>
      <c r="I206" s="336">
        <f>Gasto_o_ing_per_capita!I206-Gasto_o_ing_per_capita!$D206</f>
        <v>-22.208151619042617</v>
      </c>
      <c r="J206" s="336">
        <f>Gasto_o_ing_per_capita!J206-Gasto_o_ing_per_capita!$D206</f>
        <v>6.7814820506056321</v>
      </c>
      <c r="K206" s="336">
        <f>Gasto_o_ing_per_capita!K206-Gasto_o_ing_per_capita!$D206</f>
        <v>-17.029052663161451</v>
      </c>
      <c r="L206" s="336">
        <f>Gasto_o_ing_per_capita!L206-Gasto_o_ing_per_capita!$D206</f>
        <v>-142.2200649139167</v>
      </c>
      <c r="M206" s="336">
        <f>Gasto_o_ing_per_capita!M206-Gasto_o_ing_per_capita!$D206</f>
        <v>88.39735501790507</v>
      </c>
      <c r="N206" s="336">
        <f>Gasto_o_ing_per_capita!N206-Gasto_o_ing_per_capita!$D206</f>
        <v>11.756529848611805</v>
      </c>
      <c r="O206" s="336">
        <f>Gasto_o_ing_per_capita!O206-Gasto_o_ing_per_capita!$D206</f>
        <v>88.54395286175675</v>
      </c>
      <c r="P206" s="336">
        <f>Gasto_o_ing_per_capita!P206-Gasto_o_ing_per_capita!$D206</f>
        <v>-12.312127338801588</v>
      </c>
      <c r="Q206" s="336">
        <f>Gasto_o_ing_per_capita!Q206-Gasto_o_ing_per_capita!$D206</f>
        <v>-53.469091738877275</v>
      </c>
      <c r="R206" s="336">
        <f>Gasto_o_ing_per_capita!R206-Gasto_o_ing_per_capita!$D206</f>
        <v>-9.4496687617390265</v>
      </c>
      <c r="S206" s="336">
        <f>Gasto_o_ing_per_capita!S206-Gasto_o_ing_per_capita!$D206</f>
        <v>20.711199859763497</v>
      </c>
      <c r="T206" s="336">
        <f>Gasto_o_ing_per_capita!T206-Gasto_o_ing_per_capita!$D206</f>
        <v>8.153065549595695</v>
      </c>
      <c r="U206" s="336">
        <f>Gasto_o_ing_per_capita!U206-Gasto_o_ing_per_capita!$D206</f>
        <v>22.809087036164499</v>
      </c>
      <c r="V206" s="336">
        <f>Gasto_o_ing_per_capita!V206-Gasto_o_ing_per_capita!$D206</f>
        <v>-58.943844578473843</v>
      </c>
      <c r="W206" s="126"/>
      <c r="X206" s="104"/>
    </row>
    <row r="207" spans="1:24" s="102" customFormat="1" ht="13.15">
      <c r="A207" s="356"/>
      <c r="B207" s="115"/>
      <c r="C207" s="140"/>
      <c r="D207" s="110"/>
      <c r="E207" s="110"/>
      <c r="F207" s="110"/>
      <c r="G207" s="110"/>
      <c r="H207" s="110"/>
      <c r="I207" s="110"/>
      <c r="J207" s="110"/>
      <c r="K207" s="110"/>
      <c r="L207" s="110"/>
      <c r="M207" s="110"/>
      <c r="N207" s="110"/>
      <c r="O207" s="110"/>
      <c r="P207" s="110"/>
      <c r="Q207" s="110"/>
      <c r="R207" s="110"/>
      <c r="S207" s="110"/>
      <c r="T207" s="110"/>
      <c r="U207" s="110"/>
      <c r="V207" s="110"/>
      <c r="W207" s="122"/>
      <c r="X207" s="104"/>
    </row>
    <row r="208" spans="1:24" s="102" customFormat="1" ht="13.15">
      <c r="A208" s="356"/>
      <c r="B208" s="115"/>
      <c r="C208" s="128" t="s">
        <v>59</v>
      </c>
      <c r="D208" s="113">
        <f>Gasto_o_ing_per_capita!D208-Gasto_o_ing_per_capita!$D208</f>
        <v>0</v>
      </c>
      <c r="E208" s="113">
        <f>Gasto_o_ing_per_capita!E208-Gasto_o_ing_per_capita!$D208</f>
        <v>-112.4136454892049</v>
      </c>
      <c r="F208" s="113">
        <f>Gasto_o_ing_per_capita!F208-Gasto_o_ing_per_capita!$D208</f>
        <v>73.667366976027438</v>
      </c>
      <c r="G208" s="113">
        <f>Gasto_o_ing_per_capita!G208-Gasto_o_ing_per_capita!$D208</f>
        <v>-49.708965878730282</v>
      </c>
      <c r="H208" s="113">
        <f>Gasto_o_ing_per_capita!H208-Gasto_o_ing_per_capita!$D208</f>
        <v>58.730862912208067</v>
      </c>
      <c r="I208" s="113">
        <f>Gasto_o_ing_per_capita!I208-Gasto_o_ing_per_capita!$D208</f>
        <v>145.70435702543159</v>
      </c>
      <c r="J208" s="113">
        <f>Gasto_o_ing_per_capita!J208-Gasto_o_ing_per_capita!$D208</f>
        <v>-10.131265079441619</v>
      </c>
      <c r="K208" s="113">
        <f>Gasto_o_ing_per_capita!K208-Gasto_o_ing_per_capita!$D208</f>
        <v>-6.8344586141148511</v>
      </c>
      <c r="L208" s="113">
        <f>Gasto_o_ing_per_capita!L208-Gasto_o_ing_per_capita!$D208</f>
        <v>-85.895036908247334</v>
      </c>
      <c r="M208" s="113">
        <f>Gasto_o_ing_per_capita!M208-Gasto_o_ing_per_capita!$D208</f>
        <v>141.02861190102681</v>
      </c>
      <c r="N208" s="113">
        <f>Gasto_o_ing_per_capita!N208-Gasto_o_ing_per_capita!$D208</f>
        <v>-66.813199744683516</v>
      </c>
      <c r="O208" s="113">
        <f>Gasto_o_ing_per_capita!O208-Gasto_o_ing_per_capita!$D208</f>
        <v>-146.11088310150535</v>
      </c>
      <c r="P208" s="113">
        <f>Gasto_o_ing_per_capita!P208-Gasto_o_ing_per_capita!$D208</f>
        <v>-163.82980729720975</v>
      </c>
      <c r="Q208" s="113">
        <f>Gasto_o_ing_per_capita!Q208-Gasto_o_ing_per_capita!$D208</f>
        <v>149.14412342812534</v>
      </c>
      <c r="R208" s="113">
        <f>Gasto_o_ing_per_capita!R208-Gasto_o_ing_per_capita!$D208</f>
        <v>-130.05702519080126</v>
      </c>
      <c r="S208" s="113">
        <f>Gasto_o_ing_per_capita!S208-Gasto_o_ing_per_capita!$D208</f>
        <v>-43.808654820059473</v>
      </c>
      <c r="T208" s="113">
        <f>Gasto_o_ing_per_capita!T208-Gasto_o_ing_per_capita!$D208</f>
        <v>-14.824607513496176</v>
      </c>
      <c r="U208" s="113">
        <f>Gasto_o_ing_per_capita!U208-Gasto_o_ing_per_capita!$D208</f>
        <v>-23.770454474561234</v>
      </c>
      <c r="V208" s="113">
        <f>Gasto_o_ing_per_capita!V208-Gasto_o_ing_per_capita!$D208</f>
        <v>-518.10994663235431</v>
      </c>
      <c r="W208" s="139"/>
      <c r="X208" s="104"/>
    </row>
    <row r="209" spans="1:24" s="102" customFormat="1" ht="13.15">
      <c r="A209" s="356"/>
      <c r="B209" s="115"/>
      <c r="D209" s="110"/>
      <c r="E209" s="110"/>
      <c r="F209" s="110"/>
      <c r="G209" s="110"/>
      <c r="H209" s="110"/>
      <c r="I209" s="110"/>
      <c r="J209" s="110"/>
      <c r="K209" s="110"/>
      <c r="L209" s="110"/>
      <c r="M209" s="110"/>
      <c r="N209" s="110"/>
      <c r="O209" s="110"/>
      <c r="P209" s="110"/>
      <c r="Q209" s="110"/>
      <c r="R209" s="110"/>
      <c r="S209" s="110"/>
      <c r="T209" s="110"/>
      <c r="U209" s="110"/>
      <c r="V209" s="110"/>
      <c r="W209" s="122"/>
      <c r="X209" s="104"/>
    </row>
    <row r="210" spans="1:24" s="102" customFormat="1" ht="13.15">
      <c r="A210" s="356"/>
      <c r="B210" s="115"/>
      <c r="C210" s="117" t="s">
        <v>54</v>
      </c>
      <c r="D210" s="113">
        <f>Gasto_o_ing_per_capita!D210-Gasto_o_ing_per_capita!$D210</f>
        <v>0</v>
      </c>
      <c r="E210" s="113">
        <f>Gasto_o_ing_per_capita!E210-Gasto_o_ing_per_capita!$D210</f>
        <v>-3.5687240095837751</v>
      </c>
      <c r="F210" s="113">
        <f>Gasto_o_ing_per_capita!F210-Gasto_o_ing_per_capita!$D210</f>
        <v>25.945525833072111</v>
      </c>
      <c r="G210" s="113">
        <f>Gasto_o_ing_per_capita!G210-Gasto_o_ing_per_capita!$D210</f>
        <v>19.832515090705868</v>
      </c>
      <c r="H210" s="113">
        <f>Gasto_o_ing_per_capita!H210-Gasto_o_ing_per_capita!$D210</f>
        <v>-38.823259564376855</v>
      </c>
      <c r="I210" s="113">
        <f>Gasto_o_ing_per_capita!I210-Gasto_o_ing_per_capita!$D210</f>
        <v>198.22957309019867</v>
      </c>
      <c r="J210" s="113">
        <f>Gasto_o_ing_per_capita!J210-Gasto_o_ing_per_capita!$D210</f>
        <v>-1.8962655700368884</v>
      </c>
      <c r="K210" s="113">
        <f>Gasto_o_ing_per_capita!K210-Gasto_o_ing_per_capita!$D210</f>
        <v>69.212075539653199</v>
      </c>
      <c r="L210" s="113">
        <f>Gasto_o_ing_per_capita!L210-Gasto_o_ing_per_capita!$D210</f>
        <v>37.683375584362523</v>
      </c>
      <c r="M210" s="113">
        <f>Gasto_o_ing_per_capita!M210-Gasto_o_ing_per_capita!$D210</f>
        <v>-34.386574049988923</v>
      </c>
      <c r="N210" s="113">
        <f>Gasto_o_ing_per_capita!N210-Gasto_o_ing_per_capita!$D210</f>
        <v>-26.455931652157545</v>
      </c>
      <c r="O210" s="113">
        <f>Gasto_o_ing_per_capita!O210-Gasto_o_ing_per_capita!$D210</f>
        <v>78.472506867957719</v>
      </c>
      <c r="P210" s="113">
        <f>Gasto_o_ing_per_capita!P210-Gasto_o_ing_per_capita!$D210</f>
        <v>20.234464674272431</v>
      </c>
      <c r="Q210" s="113">
        <f>Gasto_o_ing_per_capita!Q210-Gasto_o_ing_per_capita!$D210</f>
        <v>-46.158107977526711</v>
      </c>
      <c r="R210" s="113">
        <f>Gasto_o_ing_per_capita!R210-Gasto_o_ing_per_capita!$D210</f>
        <v>-35.131354069519944</v>
      </c>
      <c r="S210" s="113">
        <f>Gasto_o_ing_per_capita!S210-Gasto_o_ing_per_capita!$D210</f>
        <v>-12.005298276417818</v>
      </c>
      <c r="T210" s="113">
        <f>Gasto_o_ing_per_capita!T210-Gasto_o_ing_per_capita!$D210</f>
        <v>-11.344740300292955</v>
      </c>
      <c r="U210" s="113">
        <f>Gasto_o_ing_per_capita!U210-Gasto_o_ing_per_capita!$D210</f>
        <v>-3.8785773119142846</v>
      </c>
      <c r="V210" s="113">
        <f>Gasto_o_ing_per_capita!V210-Gasto_o_ing_per_capita!$D210</f>
        <v>-103.60314908860468</v>
      </c>
      <c r="W210" s="122"/>
      <c r="X210" s="104"/>
    </row>
    <row r="211" spans="1:24" s="102" customFormat="1" ht="13.15">
      <c r="A211" s="355" t="str">
        <f>IF(B211="","",(IF(ISERROR(MATCH(B211,Tot_res!C:C,0)),"Eliminar!!!","")))</f>
        <v/>
      </c>
      <c r="B211" s="102" t="s">
        <v>734</v>
      </c>
      <c r="C211" s="333" t="str">
        <f>VLOOKUP(B211,Tot_res!C:D,2,FALSE)</f>
        <v>Ajuste por competencias atípicas forales: financiación provincias</v>
      </c>
      <c r="D211" s="336">
        <f>Gasto_o_ing_per_capita!D211-Gasto_o_ing_per_capita!$D211</f>
        <v>0</v>
      </c>
      <c r="E211" s="336">
        <f>Gasto_o_ing_per_capita!E211-Gasto_o_ing_per_capita!$D211</f>
        <v>-0.17881453259033298</v>
      </c>
      <c r="F211" s="336">
        <f>Gasto_o_ing_per_capita!F211-Gasto_o_ing_per_capita!$D211</f>
        <v>-0.10370231218318193</v>
      </c>
      <c r="G211" s="336">
        <f>Gasto_o_ing_per_capita!G211-Gasto_o_ing_per_capita!$D211</f>
        <v>-8.1892466296008992E-2</v>
      </c>
      <c r="H211" s="336">
        <f>Gasto_o_ing_per_capita!H211-Gasto_o_ing_per_capita!$D211</f>
        <v>7.0334324622596589E-2</v>
      </c>
      <c r="I211" s="336">
        <f>Gasto_o_ing_per_capita!I211-Gasto_o_ing_per_capita!$D211</f>
        <v>5.3343070536977732E-2</v>
      </c>
      <c r="J211" s="336">
        <f>Gasto_o_ing_per_capita!J211-Gasto_o_ing_per_capita!$D211</f>
        <v>-0.12443597246912996</v>
      </c>
      <c r="K211" s="336">
        <f>Gasto_o_ing_per_capita!K211-Gasto_o_ing_per_capita!$D211</f>
        <v>0.1382469172826154</v>
      </c>
      <c r="L211" s="336">
        <f>Gasto_o_ing_per_capita!L211-Gasto_o_ing_per_capita!$D211</f>
        <v>-7.0999031481830954E-2</v>
      </c>
      <c r="M211" s="336">
        <f>Gasto_o_ing_per_capita!M211-Gasto_o_ing_per_capita!$D211</f>
        <v>0.25934665459548301</v>
      </c>
      <c r="N211" s="336">
        <f>Gasto_o_ing_per_capita!N211-Gasto_o_ing_per_capita!$D211</f>
        <v>-0.189857127513686</v>
      </c>
      <c r="O211" s="336">
        <f>Gasto_o_ing_per_capita!O211-Gasto_o_ing_per_capita!$D211</f>
        <v>-0.10390961901193319</v>
      </c>
      <c r="P211" s="336">
        <f>Gasto_o_ing_per_capita!P211-Gasto_o_ing_per_capita!$D211</f>
        <v>-6.6679639875883212E-2</v>
      </c>
      <c r="Q211" s="336">
        <f>Gasto_o_ing_per_capita!Q211-Gasto_o_ing_per_capita!$D211</f>
        <v>0.14844982932017037</v>
      </c>
      <c r="R211" s="336">
        <f>Gasto_o_ing_per_capita!R211-Gasto_o_ing_per_capita!$D211</f>
        <v>-0.12145173774049467</v>
      </c>
      <c r="S211" s="336">
        <f>Gasto_o_ing_per_capita!S211-Gasto_o_ing_per_capita!$D211</f>
        <v>-0.13561087102269131</v>
      </c>
      <c r="T211" s="336">
        <f>Gasto_o_ing_per_capita!T211-Gasto_o_ing_per_capita!$D211</f>
        <v>-7.4768874222463144E-2</v>
      </c>
      <c r="U211" s="336">
        <f>Gasto_o_ing_per_capita!U211-Gasto_o_ing_per_capita!$D211</f>
        <v>-9.3660438146408342E-2</v>
      </c>
      <c r="V211" s="336">
        <f>Gasto_o_ing_per_capita!V211-Gasto_o_ing_per_capita!$D211</f>
        <v>1.2976160637782261</v>
      </c>
      <c r="W211" s="122"/>
      <c r="X211" s="104"/>
    </row>
    <row r="212" spans="1:24" s="102" customFormat="1" ht="13.15">
      <c r="A212" s="355" t="str">
        <f>IF(B212="","",(IF(ISERROR(MATCH(B212,Tot_res!C:C,0)),"Eliminar!!!","")))</f>
        <v/>
      </c>
      <c r="B212" s="115" t="s">
        <v>735</v>
      </c>
      <c r="C212" s="333" t="str">
        <f>VLOOKUP(B212,Tot_res!C:D,2,FALSE)</f>
        <v xml:space="preserve">Transferencias a CC.LL. por participación en ingresos Estado, participación de las provincias y entes asimilados  </v>
      </c>
      <c r="D212" s="336">
        <f>Gasto_o_ing_per_capita!D212-Gasto_o_ing_per_capita!$D212</f>
        <v>0</v>
      </c>
      <c r="E212" s="336">
        <f>Gasto_o_ing_per_capita!E212-Gasto_o_ing_per_capita!$D212</f>
        <v>6.2359338453144915</v>
      </c>
      <c r="F212" s="336">
        <f>Gasto_o_ing_per_capita!F212-Gasto_o_ing_per_capita!$D212</f>
        <v>47.33706498825461</v>
      </c>
      <c r="G212" s="336">
        <f>Gasto_o_ing_per_capita!G212-Gasto_o_ing_per_capita!$D212</f>
        <v>65.208711794184723</v>
      </c>
      <c r="H212" s="336">
        <f>Gasto_o_ing_per_capita!H212-Gasto_o_ing_per_capita!$D212</f>
        <v>-18.532561329011884</v>
      </c>
      <c r="I212" s="336">
        <f>Gasto_o_ing_per_capita!I212-Gasto_o_ing_per_capita!$D212</f>
        <v>62.131588995048503</v>
      </c>
      <c r="J212" s="336">
        <f>Gasto_o_ing_per_capita!J212-Gasto_o_ing_per_capita!$D212</f>
        <v>-107.38658054896285</v>
      </c>
      <c r="K212" s="336">
        <f>Gasto_o_ing_per_capita!K212-Gasto_o_ing_per_capita!$D212</f>
        <v>110.97311693851131</v>
      </c>
      <c r="L212" s="336">
        <f>Gasto_o_ing_per_capita!L212-Gasto_o_ing_per_capita!$D212</f>
        <v>81.611814117652784</v>
      </c>
      <c r="M212" s="336">
        <f>Gasto_o_ing_per_capita!M212-Gasto_o_ing_per_capita!$D212</f>
        <v>-10.295703774519907</v>
      </c>
      <c r="N212" s="336">
        <f>Gasto_o_ing_per_capita!N212-Gasto_o_ing_per_capita!$D212</f>
        <v>18.631342726886601</v>
      </c>
      <c r="O212" s="336">
        <f>Gasto_o_ing_per_capita!O212-Gasto_o_ing_per_capita!$D212</f>
        <v>122.13863194599253</v>
      </c>
      <c r="P212" s="336">
        <f>Gasto_o_ing_per_capita!P212-Gasto_o_ing_per_capita!$D212</f>
        <v>61.719687632229466</v>
      </c>
      <c r="Q212" s="336">
        <f>Gasto_o_ing_per_capita!Q212-Gasto_o_ing_per_capita!$D212</f>
        <v>-105.18383655674123</v>
      </c>
      <c r="R212" s="336">
        <f>Gasto_o_ing_per_capita!R212-Gasto_o_ing_per_capita!$D212</f>
        <v>15.987874696244049</v>
      </c>
      <c r="S212" s="336">
        <f>Gasto_o_ing_per_capita!S212-Gasto_o_ing_per_capita!$D212</f>
        <v>-107.40394301624823</v>
      </c>
      <c r="T212" s="336">
        <f>Gasto_o_ing_per_capita!T212-Gasto_o_ing_per_capita!$D212</f>
        <v>-107.42495538785873</v>
      </c>
      <c r="U212" s="336">
        <f>Gasto_o_ing_per_capita!U212-Gasto_o_ing_per_capita!$D212</f>
        <v>-105.64759411591636</v>
      </c>
      <c r="V212" s="336">
        <f>Gasto_o_ing_per_capita!V212-Gasto_o_ing_per_capita!$D212</f>
        <v>-41.393113870001159</v>
      </c>
      <c r="W212" s="122"/>
      <c r="X212" s="104"/>
    </row>
    <row r="213" spans="1:24" s="102" customFormat="1" ht="13.15">
      <c r="A213" s="355" t="str">
        <f>IF(B213="","",(IF(ISERROR(MATCH(B213,Tot_res!C:C,0)),"Eliminar!!!","")))</f>
        <v/>
      </c>
      <c r="B213" s="102" t="s">
        <v>486</v>
      </c>
      <c r="C213" s="333" t="str">
        <f>VLOOKUP(B213,Tot_res!C:D,2,FALSE)</f>
        <v>Otros flujos de financiación local, reintegros parciales de saldos pendientes</v>
      </c>
      <c r="D213" s="336">
        <f>Gasto_o_ing_per_capita!D213-Gasto_o_ing_per_capita!$D213</f>
        <v>0</v>
      </c>
      <c r="E213" s="336">
        <f>Gasto_o_ing_per_capita!E213-Gasto_o_ing_per_capita!$D213</f>
        <v>0.37108213377221677</v>
      </c>
      <c r="F213" s="336">
        <f>Gasto_o_ing_per_capita!F213-Gasto_o_ing_per_capita!$D213</f>
        <v>-9.2694756856802236</v>
      </c>
      <c r="G213" s="336">
        <f>Gasto_o_ing_per_capita!G213-Gasto_o_ing_per_capita!$D213</f>
        <v>-9.8483696797883162</v>
      </c>
      <c r="H213" s="336">
        <f>Gasto_o_ing_per_capita!H213-Gasto_o_ing_per_capita!$D213</f>
        <v>-4.5071032134481834</v>
      </c>
      <c r="I213" s="336">
        <f>Gasto_o_ing_per_capita!I213-Gasto_o_ing_per_capita!$D213</f>
        <v>0.43361647609471987</v>
      </c>
      <c r="J213" s="336">
        <f>Gasto_o_ing_per_capita!J213-Gasto_o_ing_per_capita!$D213</f>
        <v>5.039501249696861</v>
      </c>
      <c r="K213" s="336">
        <f>Gasto_o_ing_per_capita!K213-Gasto_o_ing_per_capita!$D213</f>
        <v>-4.0968690805245993</v>
      </c>
      <c r="L213" s="336">
        <f>Gasto_o_ing_per_capita!L213-Gasto_o_ing_per_capita!$D213</f>
        <v>-1.4877532446828763</v>
      </c>
      <c r="M213" s="336">
        <f>Gasto_o_ing_per_capita!M213-Gasto_o_ing_per_capita!$D213</f>
        <v>1.7759509478999456</v>
      </c>
      <c r="N213" s="336">
        <f>Gasto_o_ing_per_capita!N213-Gasto_o_ing_per_capita!$D213</f>
        <v>-2.6257197775163297</v>
      </c>
      <c r="O213" s="336">
        <f>Gasto_o_ing_per_capita!O213-Gasto_o_ing_per_capita!$D213</f>
        <v>-0.41586631373013017</v>
      </c>
      <c r="P213" s="336">
        <f>Gasto_o_ing_per_capita!P213-Gasto_o_ing_per_capita!$D213</f>
        <v>-1.9588180138627411</v>
      </c>
      <c r="Q213" s="336">
        <f>Gasto_o_ing_per_capita!Q213-Gasto_o_ing_per_capita!$D213</f>
        <v>5.039501249696861</v>
      </c>
      <c r="R213" s="336">
        <f>Gasto_o_ing_per_capita!R213-Gasto_o_ing_per_capita!$D213</f>
        <v>-5.9004464505563314</v>
      </c>
      <c r="S213" s="336">
        <f>Gasto_o_ing_per_capita!S213-Gasto_o_ing_per_capita!$D213</f>
        <v>5.0292823628819034</v>
      </c>
      <c r="T213" s="336">
        <f>Gasto_o_ing_per_capita!T213-Gasto_o_ing_per_capita!$D213</f>
        <v>5.0308381319570286</v>
      </c>
      <c r="U213" s="336">
        <f>Gasto_o_ing_per_capita!U213-Gasto_o_ing_per_capita!$D213</f>
        <v>5.039501249696861</v>
      </c>
      <c r="V213" s="336">
        <f>Gasto_o_ing_per_capita!V213-Gasto_o_ing_per_capita!$D213</f>
        <v>0.97956606437443305</v>
      </c>
      <c r="W213" s="122"/>
      <c r="X213" s="104"/>
    </row>
    <row r="214" spans="1:24" s="102" customFormat="1" ht="13.15">
      <c r="A214" s="355" t="str">
        <f>IF(B214="","",(IF(ISERROR(MATCH(B214,Tot_res!C:C,0)),"Eliminar!!!","")))</f>
        <v/>
      </c>
      <c r="B214" s="115" t="s">
        <v>238</v>
      </c>
      <c r="C214" s="333" t="str">
        <f>VLOOKUP(B214,Tot_res!C:D,2,FALSE)</f>
        <v>Hospitales provinciales asumidos por CCAA</v>
      </c>
      <c r="D214" s="336">
        <f>Gasto_o_ing_per_capita!D214-Gasto_o_ing_per_capita!$D214</f>
        <v>0</v>
      </c>
      <c r="E214" s="336">
        <f>Gasto_o_ing_per_capita!E214-Gasto_o_ing_per_capita!$D214</f>
        <v>25.778381958906586</v>
      </c>
      <c r="F214" s="336">
        <f>Gasto_o_ing_per_capita!F214-Gasto_o_ing_per_capita!$D214</f>
        <v>14.322966426010803</v>
      </c>
      <c r="G214" s="336">
        <f>Gasto_o_ing_per_capita!G214-Gasto_o_ing_per_capita!$D214</f>
        <v>-8.9286679047789708</v>
      </c>
      <c r="H214" s="336">
        <f>Gasto_o_ing_per_capita!H214-Gasto_o_ing_per_capita!$D214</f>
        <v>10.580360291436604</v>
      </c>
      <c r="I214" s="336">
        <f>Gasto_o_ing_per_capita!I214-Gasto_o_ing_per_capita!$D214</f>
        <v>-8.9286679047789708</v>
      </c>
      <c r="J214" s="336">
        <f>Gasto_o_ing_per_capita!J214-Gasto_o_ing_per_capita!$D214</f>
        <v>-8.9286679047789708</v>
      </c>
      <c r="K214" s="336">
        <f>Gasto_o_ing_per_capita!K214-Gasto_o_ing_per_capita!$D214</f>
        <v>-8.9286679047789708</v>
      </c>
      <c r="L214" s="336">
        <f>Gasto_o_ing_per_capita!L214-Gasto_o_ing_per_capita!$D214</f>
        <v>-8.9286679047789708</v>
      </c>
      <c r="M214" s="336">
        <f>Gasto_o_ing_per_capita!M214-Gasto_o_ing_per_capita!$D214</f>
        <v>0.92362808343119518</v>
      </c>
      <c r="N214" s="336">
        <f>Gasto_o_ing_per_capita!N214-Gasto_o_ing_per_capita!$D214</f>
        <v>-8.9286679047789708</v>
      </c>
      <c r="O214" s="336">
        <f>Gasto_o_ing_per_capita!O214-Gasto_o_ing_per_capita!$D214</f>
        <v>-8.9286679047789708</v>
      </c>
      <c r="P214" s="336">
        <f>Gasto_o_ing_per_capita!P214-Gasto_o_ing_per_capita!$D214</f>
        <v>-8.9286679047789708</v>
      </c>
      <c r="Q214" s="336">
        <f>Gasto_o_ing_per_capita!Q214-Gasto_o_ing_per_capita!$D214</f>
        <v>-8.9286679047789708</v>
      </c>
      <c r="R214" s="336">
        <f>Gasto_o_ing_per_capita!R214-Gasto_o_ing_per_capita!$D214</f>
        <v>-8.9286679047789708</v>
      </c>
      <c r="S214" s="336">
        <f>Gasto_o_ing_per_capita!S214-Gasto_o_ing_per_capita!$D214</f>
        <v>-8.9286679047789708</v>
      </c>
      <c r="T214" s="336">
        <f>Gasto_o_ing_per_capita!T214-Gasto_o_ing_per_capita!$D214</f>
        <v>-8.9286679047789708</v>
      </c>
      <c r="U214" s="336">
        <f>Gasto_o_ing_per_capita!U214-Gasto_o_ing_per_capita!$D214</f>
        <v>-8.9286679047789708</v>
      </c>
      <c r="V214" s="336">
        <f>Gasto_o_ing_per_capita!V214-Gasto_o_ing_per_capita!$D214</f>
        <v>-8.9286679047789708</v>
      </c>
      <c r="W214" s="122"/>
      <c r="X214" s="104"/>
    </row>
    <row r="215" spans="1:24" s="102" customFormat="1" ht="13.15">
      <c r="A215" s="355" t="str">
        <f>IF(B215="","",(IF(ISERROR(MATCH(B215,Tot_res!C:C,0)),"Eliminar!!!","")))</f>
        <v/>
      </c>
      <c r="B215" s="115" t="s">
        <v>239</v>
      </c>
      <c r="C215" s="333" t="str">
        <f>VLOOKUP(B215,Tot_res!C:D,2,FALSE)</f>
        <v>Participación provincial en ingresos del Estado integrada en Fondo de Suficiencia</v>
      </c>
      <c r="D215" s="336">
        <f>Gasto_o_ing_per_capita!D215-Gasto_o_ing_per_capita!$D215</f>
        <v>0</v>
      </c>
      <c r="E215" s="336">
        <f>Gasto_o_ing_per_capita!E215-Gasto_o_ing_per_capita!$D215</f>
        <v>-18.949163456171043</v>
      </c>
      <c r="F215" s="336">
        <f>Gasto_o_ing_per_capita!F215-Gasto_o_ing_per_capita!$D215</f>
        <v>-18.949163456171043</v>
      </c>
      <c r="G215" s="336">
        <f>Gasto_o_ing_per_capita!G215-Gasto_o_ing_per_capita!$D215</f>
        <v>-18.949163456171043</v>
      </c>
      <c r="H215" s="336">
        <f>Gasto_o_ing_per_capita!H215-Gasto_o_ing_per_capita!$D215</f>
        <v>-18.949163456171043</v>
      </c>
      <c r="I215" s="336">
        <f>Gasto_o_ing_per_capita!I215-Gasto_o_ing_per_capita!$D215</f>
        <v>-18.949163456171043</v>
      </c>
      <c r="J215" s="336">
        <f>Gasto_o_ing_per_capita!J215-Gasto_o_ing_per_capita!$D215</f>
        <v>145.09649014017992</v>
      </c>
      <c r="K215" s="336">
        <f>Gasto_o_ing_per_capita!K215-Gasto_o_ing_per_capita!$D215</f>
        <v>-18.949163456171043</v>
      </c>
      <c r="L215" s="336">
        <f>Gasto_o_ing_per_capita!L215-Gasto_o_ing_per_capita!$D215</f>
        <v>-18.949163456171043</v>
      </c>
      <c r="M215" s="336">
        <f>Gasto_o_ing_per_capita!M215-Gasto_o_ing_per_capita!$D215</f>
        <v>-18.949163456171043</v>
      </c>
      <c r="N215" s="336">
        <f>Gasto_o_ing_per_capita!N215-Gasto_o_ing_per_capita!$D215</f>
        <v>-18.949163456171043</v>
      </c>
      <c r="O215" s="336">
        <f>Gasto_o_ing_per_capita!O215-Gasto_o_ing_per_capita!$D215</f>
        <v>-18.949163456171043</v>
      </c>
      <c r="P215" s="336">
        <f>Gasto_o_ing_per_capita!P215-Gasto_o_ing_per_capita!$D215</f>
        <v>-18.949163456171043</v>
      </c>
      <c r="Q215" s="336">
        <f>Gasto_o_ing_per_capita!Q215-Gasto_o_ing_per_capita!$D215</f>
        <v>95.619365788605734</v>
      </c>
      <c r="R215" s="336">
        <f>Gasto_o_ing_per_capita!R215-Gasto_o_ing_per_capita!$D215</f>
        <v>-18.949163456171043</v>
      </c>
      <c r="S215" s="336">
        <f>Gasto_o_ing_per_capita!S215-Gasto_o_ing_per_capita!$D215</f>
        <v>-18.949163456171043</v>
      </c>
      <c r="T215" s="336">
        <f>Gasto_o_ing_per_capita!T215-Gasto_o_ing_per_capita!$D215</f>
        <v>-18.949163456171043</v>
      </c>
      <c r="U215" s="336">
        <f>Gasto_o_ing_per_capita!U215-Gasto_o_ing_per_capita!$D215</f>
        <v>140.20621440011789</v>
      </c>
      <c r="V215" s="336">
        <f>Gasto_o_ing_per_capita!V215-Gasto_o_ing_per_capita!$D215</f>
        <v>-18.949163456171043</v>
      </c>
      <c r="W215" s="122"/>
      <c r="X215" s="104"/>
    </row>
    <row r="216" spans="1:24" s="102" customFormat="1" ht="13.15">
      <c r="A216" s="355" t="str">
        <f>IF(B216="","",(IF(ISERROR(MATCH(B216,Tot_res!C:C,0)),"Eliminar!!!","")))</f>
        <v/>
      </c>
      <c r="B216" s="115" t="s">
        <v>240</v>
      </c>
      <c r="C216" s="333" t="str">
        <f>VLOOKUP(B216,Tot_res!C:D,2,FALSE)</f>
        <v>Participación de las provincias en el IRPF, IVA e Impuestos Especiales</v>
      </c>
      <c r="D216" s="336">
        <f>Gasto_o_ing_per_capita!D216-Gasto_o_ing_per_capita!$D216</f>
        <v>0</v>
      </c>
      <c r="E216" s="336">
        <f>Gasto_o_ing_per_capita!E216-Gasto_o_ing_per_capita!$D216</f>
        <v>1.3460680249076091</v>
      </c>
      <c r="F216" s="336">
        <f>Gasto_o_ing_per_capita!F216-Gasto_o_ing_per_capita!$D216</f>
        <v>8.1602839081550371</v>
      </c>
      <c r="G216" s="336">
        <f>Gasto_o_ing_per_capita!G216-Gasto_o_ing_per_capita!$D216</f>
        <v>7.6397491959225192</v>
      </c>
      <c r="H216" s="336">
        <f>Gasto_o_ing_per_capita!H216-Gasto_o_ing_per_capita!$D216</f>
        <v>10.35068467550666</v>
      </c>
      <c r="I216" s="336">
        <f>Gasto_o_ing_per_capita!I216-Gasto_o_ing_per_capita!$D216</f>
        <v>-8.6377791745461963</v>
      </c>
      <c r="J216" s="336">
        <f>Gasto_o_ing_per_capita!J216-Gasto_o_ing_per_capita!$D216</f>
        <v>-15.386660854027689</v>
      </c>
      <c r="K216" s="336">
        <f>Gasto_o_ing_per_capita!K216-Gasto_o_ing_per_capita!$D216</f>
        <v>7.0775111534743047</v>
      </c>
      <c r="L216" s="336">
        <f>Gasto_o_ing_per_capita!L216-Gasto_o_ing_per_capita!$D216</f>
        <v>3.2966317697560186</v>
      </c>
      <c r="M216" s="336">
        <f>Gasto_o_ing_per_capita!M216-Gasto_o_ing_per_capita!$D216</f>
        <v>9.8546294436411976</v>
      </c>
      <c r="N216" s="336">
        <f>Gasto_o_ing_per_capita!N216-Gasto_o_ing_per_capita!$D216</f>
        <v>3.5345082554363252</v>
      </c>
      <c r="O216" s="336">
        <f>Gasto_o_ing_per_capita!O216-Gasto_o_ing_per_capita!$D216</f>
        <v>1.6795322196015299</v>
      </c>
      <c r="P216" s="336">
        <f>Gasto_o_ing_per_capita!P216-Gasto_o_ing_per_capita!$D216</f>
        <v>5.1510638693674267</v>
      </c>
      <c r="Q216" s="336">
        <f>Gasto_o_ing_per_capita!Q216-Gasto_o_ing_per_capita!$D216</f>
        <v>-15.386660854027689</v>
      </c>
      <c r="R216" s="336">
        <f>Gasto_o_ing_per_capita!R216-Gasto_o_ing_per_capita!$D216</f>
        <v>2.3072457365053332</v>
      </c>
      <c r="S216" s="336">
        <f>Gasto_o_ing_per_capita!S216-Gasto_o_ing_per_capita!$D216</f>
        <v>-15.386660854027689</v>
      </c>
      <c r="T216" s="336">
        <f>Gasto_o_ing_per_capita!T216-Gasto_o_ing_per_capita!$D216</f>
        <v>-15.386660854027689</v>
      </c>
      <c r="U216" s="336">
        <f>Gasto_o_ing_per_capita!U216-Gasto_o_ing_per_capita!$D216</f>
        <v>-15.386660854027689</v>
      </c>
      <c r="V216" s="336">
        <f>Gasto_o_ing_per_capita!V216-Gasto_o_ing_per_capita!$D216</f>
        <v>-15.386660854027689</v>
      </c>
      <c r="W216" s="122"/>
      <c r="X216" s="104"/>
    </row>
    <row r="217" spans="1:24" s="102" customFormat="1" ht="13.15">
      <c r="A217" s="355" t="str">
        <f>IF(B217="","",(IF(ISERROR(MATCH(B217,Tot_res!C:C,0)),"Eliminar!!!","")))</f>
        <v/>
      </c>
      <c r="B217" s="115" t="s">
        <v>740</v>
      </c>
      <c r="C217" s="333" t="str">
        <f>VLOOKUP(B217,Tot_res!C:D,2,FALSE)</f>
        <v>Recursos REF de los cabildos canarios</v>
      </c>
      <c r="D217" s="336">
        <f>Gasto_o_ing_per_capita!D217-Gasto_o_ing_per_capita!$D217</f>
        <v>0</v>
      </c>
      <c r="E217" s="336">
        <f>Gasto_o_ing_per_capita!E217-Gasto_o_ing_per_capita!$D217</f>
        <v>-8.6095076005186151</v>
      </c>
      <c r="F217" s="336">
        <f>Gasto_o_ing_per_capita!F217-Gasto_o_ing_per_capita!$D217</f>
        <v>-8.6095076005186151</v>
      </c>
      <c r="G217" s="336">
        <f>Gasto_o_ing_per_capita!G217-Gasto_o_ing_per_capita!$D217</f>
        <v>-8.6095076005186151</v>
      </c>
      <c r="H217" s="336">
        <f>Gasto_o_ing_per_capita!H217-Gasto_o_ing_per_capita!$D217</f>
        <v>-8.6095076005186151</v>
      </c>
      <c r="I217" s="336">
        <f>Gasto_o_ing_per_capita!I217-Gasto_o_ing_per_capita!$D217</f>
        <v>182.8060456772275</v>
      </c>
      <c r="J217" s="336">
        <f>Gasto_o_ing_per_capita!J217-Gasto_o_ing_per_capita!$D217</f>
        <v>-8.6095076005186151</v>
      </c>
      <c r="K217" s="336">
        <f>Gasto_o_ing_per_capita!K217-Gasto_o_ing_per_capita!$D217</f>
        <v>-8.6095076005186151</v>
      </c>
      <c r="L217" s="336">
        <f>Gasto_o_ing_per_capita!L217-Gasto_o_ing_per_capita!$D217</f>
        <v>-8.6095076005186151</v>
      </c>
      <c r="M217" s="336">
        <f>Gasto_o_ing_per_capita!M217-Gasto_o_ing_per_capita!$D217</f>
        <v>-8.6095076005186151</v>
      </c>
      <c r="N217" s="336">
        <f>Gasto_o_ing_per_capita!N217-Gasto_o_ing_per_capita!$D217</f>
        <v>-8.6095076005186151</v>
      </c>
      <c r="O217" s="336">
        <f>Gasto_o_ing_per_capita!O217-Gasto_o_ing_per_capita!$D217</f>
        <v>-8.6095076005186151</v>
      </c>
      <c r="P217" s="336">
        <f>Gasto_o_ing_per_capita!P217-Gasto_o_ing_per_capita!$D217</f>
        <v>-8.6095076005186151</v>
      </c>
      <c r="Q217" s="336">
        <f>Gasto_o_ing_per_capita!Q217-Gasto_o_ing_per_capita!$D217</f>
        <v>-8.6095076005186151</v>
      </c>
      <c r="R217" s="336">
        <f>Gasto_o_ing_per_capita!R217-Gasto_o_ing_per_capita!$D217</f>
        <v>-8.6095076005186151</v>
      </c>
      <c r="S217" s="336">
        <f>Gasto_o_ing_per_capita!S217-Gasto_o_ing_per_capita!$D217</f>
        <v>-8.6095076005186151</v>
      </c>
      <c r="T217" s="336">
        <f>Gasto_o_ing_per_capita!T217-Gasto_o_ing_per_capita!$D217</f>
        <v>-8.6095076005186151</v>
      </c>
      <c r="U217" s="336">
        <f>Gasto_o_ing_per_capita!U217-Gasto_o_ing_per_capita!$D217</f>
        <v>-8.6095076005186151</v>
      </c>
      <c r="V217" s="336">
        <f>Gasto_o_ing_per_capita!V217-Gasto_o_ing_per_capita!$D217</f>
        <v>-8.6095076005186151</v>
      </c>
      <c r="W217" s="139"/>
      <c r="X217" s="104"/>
    </row>
    <row r="218" spans="1:24" s="102" customFormat="1" ht="13.15">
      <c r="A218" s="355" t="str">
        <f>IF(B218="","",(IF(ISERROR(MATCH(B218,Tot_res!C:C,0)),"Eliminar!!!","")))</f>
        <v/>
      </c>
      <c r="B218" s="115" t="s">
        <v>243</v>
      </c>
      <c r="C218" s="333" t="str">
        <f>VLOOKUP(B218,Tot_res!C:D,2,FALSE)</f>
        <v>Recargo provincial sobre el IAE</v>
      </c>
      <c r="D218" s="336">
        <f>Gasto_o_ing_per_capita!D218-Gasto_o_ing_per_capita!$D218</f>
        <v>0</v>
      </c>
      <c r="E218" s="336">
        <f>Gasto_o_ing_per_capita!E218-Gasto_o_ing_per_capita!$D218</f>
        <v>-0.20966665682127283</v>
      </c>
      <c r="F218" s="336">
        <f>Gasto_o_ing_per_capita!F218-Gasto_o_ing_per_capita!$D218</f>
        <v>2.4100972915881345</v>
      </c>
      <c r="G218" s="336">
        <f>Gasto_o_ing_per_capita!G218-Gasto_o_ing_per_capita!$D218</f>
        <v>2.7546929345350035</v>
      </c>
      <c r="H218" s="336">
        <f>Gasto_o_ing_per_capita!H218-Gasto_o_ing_per_capita!$D218</f>
        <v>0.12673446959043222</v>
      </c>
      <c r="I218" s="336">
        <f>Gasto_o_ing_per_capita!I218-Gasto_o_ing_per_capita!$D218</f>
        <v>-1.3263728668294286</v>
      </c>
      <c r="J218" s="336">
        <f>Gasto_o_ing_per_capita!J218-Gasto_o_ing_per_capita!$D218</f>
        <v>-2.2433663527730205</v>
      </c>
      <c r="K218" s="336">
        <f>Gasto_o_ing_per_capita!K218-Gasto_o_ing_per_capita!$D218</f>
        <v>0.96044629876157206</v>
      </c>
      <c r="L218" s="336">
        <f>Gasto_o_ing_per_capita!L218-Gasto_o_ing_per_capita!$D218</f>
        <v>0.17405866097046685</v>
      </c>
      <c r="M218" s="336">
        <f>Gasto_o_ing_per_capita!M218-Gasto_o_ing_per_capita!$D218</f>
        <v>7.2833780362180356E-3</v>
      </c>
      <c r="N218" s="336">
        <f>Gasto_o_ing_per_capita!N218-Gasto_o_ing_per_capita!$D218</f>
        <v>3.4170958401561258E-2</v>
      </c>
      <c r="O218" s="336">
        <f>Gasto_o_ing_per_capita!O218-Gasto_o_ing_per_capita!$D218</f>
        <v>1.014495322957722</v>
      </c>
      <c r="P218" s="336">
        <f>Gasto_o_ing_per_capita!P218-Gasto_o_ing_per_capita!$D218</f>
        <v>1.229587514266151</v>
      </c>
      <c r="Q218" s="336">
        <f>Gasto_o_ing_per_capita!Q218-Gasto_o_ing_per_capita!$D218</f>
        <v>0.49628579730040867</v>
      </c>
      <c r="R218" s="336">
        <f>Gasto_o_ing_per_capita!R218-Gasto_o_ing_per_capita!$D218</f>
        <v>-1.5641996261204951</v>
      </c>
      <c r="S218" s="336">
        <f>Gasto_o_ing_per_capita!S218-Gasto_o_ing_per_capita!$D218</f>
        <v>-3.2601798048764579</v>
      </c>
      <c r="T218" s="336">
        <f>Gasto_o_ing_per_capita!T218-Gasto_o_ing_per_capita!$D218</f>
        <v>-2.6604638255518482</v>
      </c>
      <c r="U218" s="336">
        <f>Gasto_o_ing_per_capita!U218-Gasto_o_ing_per_capita!$D218</f>
        <v>-1.1051643219575884</v>
      </c>
      <c r="V218" s="336">
        <f>Gasto_o_ing_per_capita!V218-Gasto_o_ing_per_capita!$D218</f>
        <v>-3.2601798048764579</v>
      </c>
      <c r="W218" s="122"/>
      <c r="X218" s="104"/>
    </row>
    <row r="219" spans="1:24" s="102" customFormat="1" ht="13.15">
      <c r="A219" s="355" t="str">
        <f>IF(B219="","",(IF(ISERROR(MATCH(B219,Tot_res!C:C,0)),"Eliminar!!!","")))</f>
        <v/>
      </c>
      <c r="B219" s="115" t="s">
        <v>229</v>
      </c>
      <c r="C219" s="333" t="str">
        <f>VLOOKUP(B219,Tot_res!C:D,2,FALSE)</f>
        <v>Ajuste por competencias atípicas forales: financiación provincias</v>
      </c>
      <c r="D219" s="336">
        <f>Gasto_o_ing_per_capita!D219-Gasto_o_ing_per_capita!$D219</f>
        <v>0</v>
      </c>
      <c r="E219" s="336">
        <f>Gasto_o_ing_per_capita!E219-Gasto_o_ing_per_capita!$D219</f>
        <v>-9.353037726383393</v>
      </c>
      <c r="F219" s="336">
        <f>Gasto_o_ing_per_capita!F219-Gasto_o_ing_per_capita!$D219</f>
        <v>-9.353037726383393</v>
      </c>
      <c r="G219" s="336">
        <f>Gasto_o_ing_per_capita!G219-Gasto_o_ing_per_capita!$D219</f>
        <v>-9.353037726383393</v>
      </c>
      <c r="H219" s="336">
        <f>Gasto_o_ing_per_capita!H219-Gasto_o_ing_per_capita!$D219</f>
        <v>-9.353037726383393</v>
      </c>
      <c r="I219" s="336">
        <f>Gasto_o_ing_per_capita!I219-Gasto_o_ing_per_capita!$D219</f>
        <v>-9.353037726383393</v>
      </c>
      <c r="J219" s="336">
        <f>Gasto_o_ing_per_capita!J219-Gasto_o_ing_per_capita!$D219</f>
        <v>-9.353037726383393</v>
      </c>
      <c r="K219" s="336">
        <f>Gasto_o_ing_per_capita!K219-Gasto_o_ing_per_capita!$D219</f>
        <v>-9.353037726383393</v>
      </c>
      <c r="L219" s="336">
        <f>Gasto_o_ing_per_capita!L219-Gasto_o_ing_per_capita!$D219</f>
        <v>-9.353037726383393</v>
      </c>
      <c r="M219" s="336">
        <f>Gasto_o_ing_per_capita!M219-Gasto_o_ing_per_capita!$D219</f>
        <v>-9.353037726383393</v>
      </c>
      <c r="N219" s="336">
        <f>Gasto_o_ing_per_capita!N219-Gasto_o_ing_per_capita!$D219</f>
        <v>-9.353037726383393</v>
      </c>
      <c r="O219" s="336">
        <f>Gasto_o_ing_per_capita!O219-Gasto_o_ing_per_capita!$D219</f>
        <v>-9.353037726383393</v>
      </c>
      <c r="P219" s="336">
        <f>Gasto_o_ing_per_capita!P219-Gasto_o_ing_per_capita!$D219</f>
        <v>-9.353037726383393</v>
      </c>
      <c r="Q219" s="336">
        <f>Gasto_o_ing_per_capita!Q219-Gasto_o_ing_per_capita!$D219</f>
        <v>-9.353037726383393</v>
      </c>
      <c r="R219" s="336">
        <f>Gasto_o_ing_per_capita!R219-Gasto_o_ing_per_capita!$D219</f>
        <v>-9.353037726383393</v>
      </c>
      <c r="S219" s="336">
        <f>Gasto_o_ing_per_capita!S219-Gasto_o_ing_per_capita!$D219</f>
        <v>145.63915286834398</v>
      </c>
      <c r="T219" s="336">
        <f>Gasto_o_ing_per_capita!T219-Gasto_o_ing_per_capita!$D219</f>
        <v>145.65860947087936</v>
      </c>
      <c r="U219" s="336">
        <f>Gasto_o_ing_per_capita!U219-Gasto_o_ing_per_capita!$D219</f>
        <v>-9.353037726383393</v>
      </c>
      <c r="V219" s="336">
        <f>Gasto_o_ing_per_capita!V219-Gasto_o_ing_per_capita!$D219</f>
        <v>-9.353037726383393</v>
      </c>
      <c r="W219" s="122"/>
      <c r="X219" s="104"/>
    </row>
    <row r="220" spans="1:24" ht="13.15">
      <c r="A220" s="356"/>
      <c r="B220" s="9"/>
      <c r="D220" s="20"/>
      <c r="E220" s="20"/>
      <c r="F220" s="20"/>
      <c r="G220" s="20"/>
      <c r="H220" s="20"/>
      <c r="I220" s="20"/>
      <c r="J220" s="20"/>
      <c r="K220" s="20"/>
      <c r="L220" s="20"/>
      <c r="M220" s="20"/>
      <c r="N220" s="20"/>
      <c r="O220" s="20"/>
      <c r="P220" s="20"/>
      <c r="Q220" s="20"/>
      <c r="R220" s="20"/>
      <c r="S220" s="20"/>
      <c r="T220" s="20"/>
      <c r="U220" s="20"/>
      <c r="V220" s="20"/>
      <c r="W220" s="10"/>
      <c r="X220" s="15"/>
    </row>
    <row r="221" spans="1:24" s="102" customFormat="1" ht="13.15">
      <c r="A221" s="356"/>
      <c r="B221" s="115"/>
      <c r="C221" s="128" t="s">
        <v>477</v>
      </c>
      <c r="D221" s="113">
        <f>Gasto_o_ing_per_capita!D221-Gasto_o_ing_per_capita!$D221</f>
        <v>0</v>
      </c>
      <c r="E221" s="113">
        <f>Gasto_o_ing_per_capita!E221-Gasto_o_ing_per_capita!$D221</f>
        <v>-108.84492147962101</v>
      </c>
      <c r="F221" s="113">
        <f>Gasto_o_ing_per_capita!F221-Gasto_o_ing_per_capita!$D221</f>
        <v>47.721841142955441</v>
      </c>
      <c r="G221" s="113">
        <f>Gasto_o_ing_per_capita!G221-Gasto_o_ing_per_capita!$D221</f>
        <v>-69.541480969436179</v>
      </c>
      <c r="H221" s="113">
        <f>Gasto_o_ing_per_capita!H221-Gasto_o_ing_per_capita!$D221</f>
        <v>97.554122476584894</v>
      </c>
      <c r="I221" s="113">
        <f>Gasto_o_ing_per_capita!I221-Gasto_o_ing_per_capita!$D221</f>
        <v>-52.525216064766937</v>
      </c>
      <c r="J221" s="113">
        <f>Gasto_o_ing_per_capita!J221-Gasto_o_ing_per_capita!$D221</f>
        <v>-8.234999509404588</v>
      </c>
      <c r="K221" s="113">
        <f>Gasto_o_ing_per_capita!K221-Gasto_o_ing_per_capita!$D221</f>
        <v>-76.046534153768107</v>
      </c>
      <c r="L221" s="113">
        <f>Gasto_o_ing_per_capita!L221-Gasto_o_ing_per_capita!$D221</f>
        <v>-123.57841249260991</v>
      </c>
      <c r="M221" s="113">
        <f>Gasto_o_ing_per_capita!M221-Gasto_o_ing_per_capita!$D221</f>
        <v>175.41518595101581</v>
      </c>
      <c r="N221" s="113">
        <f>Gasto_o_ing_per_capita!N221-Gasto_o_ing_per_capita!$D221</f>
        <v>-40.357268092526056</v>
      </c>
      <c r="O221" s="113">
        <f>Gasto_o_ing_per_capita!O221-Gasto_o_ing_per_capita!$D221</f>
        <v>-224.58338996946304</v>
      </c>
      <c r="P221" s="113">
        <f>Gasto_o_ing_per_capita!P221-Gasto_o_ing_per_capita!$D221</f>
        <v>-184.0642719714823</v>
      </c>
      <c r="Q221" s="113">
        <f>Gasto_o_ing_per_capita!Q221-Gasto_o_ing_per_capita!$D221</f>
        <v>195.30223140565181</v>
      </c>
      <c r="R221" s="113">
        <f>Gasto_o_ing_per_capita!R221-Gasto_o_ing_per_capita!$D221</f>
        <v>-94.925671121281312</v>
      </c>
      <c r="S221" s="113">
        <f>Gasto_o_ing_per_capita!S221-Gasto_o_ing_per_capita!$D221</f>
        <v>-31.803356543641598</v>
      </c>
      <c r="T221" s="113">
        <f>Gasto_o_ing_per_capita!T221-Gasto_o_ing_per_capita!$D221</f>
        <v>-3.4798672132031925</v>
      </c>
      <c r="U221" s="113">
        <f>Gasto_o_ing_per_capita!U221-Gasto_o_ing_per_capita!$D221</f>
        <v>-19.891877162646779</v>
      </c>
      <c r="V221" s="113">
        <f>Gasto_o_ing_per_capita!V221-Gasto_o_ing_per_capita!$D221</f>
        <v>-414.50679754374966</v>
      </c>
      <c r="W221" s="122"/>
      <c r="X221" s="104"/>
    </row>
    <row r="222" spans="1:24" s="102" customFormat="1" ht="13.15">
      <c r="A222" s="355" t="str">
        <f>IF(B222="","",(IF(ISERROR(MATCH(B222,Tot_res!C:C,0)),"Eliminar!!!","")))</f>
        <v/>
      </c>
      <c r="B222" s="115" t="s">
        <v>742</v>
      </c>
      <c r="C222" s="333" t="str">
        <f>VLOOKUP(B222,Tot_res!C:D,2,FALSE)</f>
        <v xml:space="preserve">Transferencias a CC.LL. por participación en ingresos Estado, parte correspondiente a los municipios (excluyendo provincias y entes asimilados) </v>
      </c>
      <c r="D222" s="336">
        <f>Gasto_o_ing_per_capita!D222-Gasto_o_ing_per_capita!$D222</f>
        <v>0</v>
      </c>
      <c r="E222" s="336">
        <f>Gasto_o_ing_per_capita!E222-Gasto_o_ing_per_capita!$D222</f>
        <v>1.6545716320873112</v>
      </c>
      <c r="F222" s="336">
        <f>Gasto_o_ing_per_capita!F222-Gasto_o_ing_per_capita!$D222</f>
        <v>37.657824510970244</v>
      </c>
      <c r="G222" s="336">
        <f>Gasto_o_ing_per_capita!G222-Gasto_o_ing_per_capita!$D222</f>
        <v>-20.835385588018966</v>
      </c>
      <c r="H222" s="336">
        <f>Gasto_o_ing_per_capita!H222-Gasto_o_ing_per_capita!$D222</f>
        <v>-30.80090742624472</v>
      </c>
      <c r="I222" s="336">
        <f>Gasto_o_ing_per_capita!I222-Gasto_o_ing_per_capita!$D222</f>
        <v>-13.4874874248232</v>
      </c>
      <c r="J222" s="336">
        <f>Gasto_o_ing_per_capita!J222-Gasto_o_ing_per_capita!$D222</f>
        <v>-25.369614621297643</v>
      </c>
      <c r="K222" s="336">
        <f>Gasto_o_ing_per_capita!K222-Gasto_o_ing_per_capita!$D222</f>
        <v>-32.644990505037043</v>
      </c>
      <c r="L222" s="336">
        <f>Gasto_o_ing_per_capita!L222-Gasto_o_ing_per_capita!$D222</f>
        <v>-45.815258316925537</v>
      </c>
      <c r="M222" s="336">
        <f>Gasto_o_ing_per_capita!M222-Gasto_o_ing_per_capita!$D222</f>
        <v>66.56765201664129</v>
      </c>
      <c r="N222" s="336">
        <f>Gasto_o_ing_per_capita!N222-Gasto_o_ing_per_capita!$D222</f>
        <v>-0.11403634351324854</v>
      </c>
      <c r="O222" s="336">
        <f>Gasto_o_ing_per_capita!O222-Gasto_o_ing_per_capita!$D222</f>
        <v>-42.270799263471673</v>
      </c>
      <c r="P222" s="336">
        <f>Gasto_o_ing_per_capita!P222-Gasto_o_ing_per_capita!$D222</f>
        <v>-29.391554680464452</v>
      </c>
      <c r="Q222" s="336">
        <f>Gasto_o_ing_per_capita!Q222-Gasto_o_ing_per_capita!$D222</f>
        <v>81.695244150741161</v>
      </c>
      <c r="R222" s="336">
        <f>Gasto_o_ing_per_capita!R222-Gasto_o_ing_per_capita!$D222</f>
        <v>-32.810354716984563</v>
      </c>
      <c r="S222" s="336">
        <f>Gasto_o_ing_per_capita!S222-Gasto_o_ing_per_capita!$D222</f>
        <v>-221.45011116916189</v>
      </c>
      <c r="T222" s="336">
        <f>Gasto_o_ing_per_capita!T222-Gasto_o_ing_per_capita!$D222</f>
        <v>-221.32763491541118</v>
      </c>
      <c r="U222" s="336">
        <f>Gasto_o_ing_per_capita!U222-Gasto_o_ing_per_capita!$D222</f>
        <v>-37.167528855379942</v>
      </c>
      <c r="V222" s="336">
        <f>Gasto_o_ing_per_capita!V222-Gasto_o_ing_per_capita!$D222</f>
        <v>-12.658756403531271</v>
      </c>
      <c r="W222" s="122"/>
      <c r="X222" s="104"/>
    </row>
    <row r="223" spans="1:24" s="102" customFormat="1" ht="13.15">
      <c r="A223" s="355" t="str">
        <f>IF(B223="","",(IF(ISERROR(MATCH(B223,Tot_res!C:C,0)),"Eliminar!!!","")))</f>
        <v/>
      </c>
      <c r="B223" s="102" t="s">
        <v>487</v>
      </c>
      <c r="C223" s="333" t="str">
        <f>VLOOKUP(B223,Tot_res!C:D,2,FALSE)</f>
        <v>Otros flujos de financiación local, para reintegros parciales saldos pendientes</v>
      </c>
      <c r="D223" s="336">
        <f>Gasto_o_ing_per_capita!D223-Gasto_o_ing_per_capita!$D223</f>
        <v>0</v>
      </c>
      <c r="E223" s="336">
        <f>Gasto_o_ing_per_capita!E223-Gasto_o_ing_per_capita!$D223</f>
        <v>4.5041590827459288E-2</v>
      </c>
      <c r="F223" s="336">
        <f>Gasto_o_ing_per_capita!F223-Gasto_o_ing_per_capita!$D223</f>
        <v>-0.93546367799542995</v>
      </c>
      <c r="G223" s="336">
        <f>Gasto_o_ing_per_capita!G223-Gasto_o_ing_per_capita!$D223</f>
        <v>-5.1733393742196911</v>
      </c>
      <c r="H223" s="336">
        <f>Gasto_o_ing_per_capita!H223-Gasto_o_ing_per_capita!$D223</f>
        <v>1.6508755384701264</v>
      </c>
      <c r="I223" s="336">
        <f>Gasto_o_ing_per_capita!I223-Gasto_o_ing_per_capita!$D223</f>
        <v>-1.01665239850169</v>
      </c>
      <c r="J223" s="336">
        <f>Gasto_o_ing_per_capita!J223-Gasto_o_ing_per_capita!$D223</f>
        <v>1.773955771857473</v>
      </c>
      <c r="K223" s="336">
        <f>Gasto_o_ing_per_capita!K223-Gasto_o_ing_per_capita!$D223</f>
        <v>1.7658139473667793</v>
      </c>
      <c r="L223" s="336">
        <f>Gasto_o_ing_per_capita!L223-Gasto_o_ing_per_capita!$D223</f>
        <v>2.0746253119347031</v>
      </c>
      <c r="M223" s="336">
        <f>Gasto_o_ing_per_capita!M223-Gasto_o_ing_per_capita!$D223</f>
        <v>-1.2829984772946448</v>
      </c>
      <c r="N223" s="336">
        <f>Gasto_o_ing_per_capita!N223-Gasto_o_ing_per_capita!$D223</f>
        <v>0.26824231572349788</v>
      </c>
      <c r="O223" s="336">
        <f>Gasto_o_ing_per_capita!O223-Gasto_o_ing_per_capita!$D223</f>
        <v>1.0668997358631378</v>
      </c>
      <c r="P223" s="336">
        <f>Gasto_o_ing_per_capita!P223-Gasto_o_ing_per_capita!$D223</f>
        <v>-0.15196637407045621</v>
      </c>
      <c r="Q223" s="336">
        <f>Gasto_o_ing_per_capita!Q223-Gasto_o_ing_per_capita!$D223</f>
        <v>-2.4939216845871952</v>
      </c>
      <c r="R223" s="336">
        <f>Gasto_o_ing_per_capita!R223-Gasto_o_ing_per_capita!$D223</f>
        <v>0.18475154766468105</v>
      </c>
      <c r="S223" s="336">
        <f>Gasto_o_ing_per_capita!S223-Gasto_o_ing_per_capita!$D223</f>
        <v>7.251554806577154</v>
      </c>
      <c r="T223" s="336">
        <f>Gasto_o_ing_per_capita!T223-Gasto_o_ing_per_capita!$D223</f>
        <v>7.2541770406603794</v>
      </c>
      <c r="U223" s="336">
        <f>Gasto_o_ing_per_capita!U223-Gasto_o_ing_per_capita!$D223</f>
        <v>0.21644355170076768</v>
      </c>
      <c r="V223" s="336">
        <f>Gasto_o_ing_per_capita!V223-Gasto_o_ing_per_capita!$D223</f>
        <v>-1.7671117704218284</v>
      </c>
      <c r="W223" s="122"/>
      <c r="X223" s="104"/>
    </row>
    <row r="224" spans="1:24" s="102" customFormat="1" ht="13.15">
      <c r="A224" s="355" t="str">
        <f>IF(B224="","",(IF(ISERROR(MATCH(B224,Tot_res!C:C,0)),"Eliminar!!!","")))</f>
        <v/>
      </c>
      <c r="B224" s="115" t="s">
        <v>246</v>
      </c>
      <c r="C224" s="333" t="str">
        <f>VLOOKUP(B224,Tot_res!C:D,2,FALSE)</f>
        <v>Participacón de los municipios en el IRPF, IVA e Impuestos Especiales</v>
      </c>
      <c r="D224" s="336">
        <f>Gasto_o_ing_per_capita!D224-Gasto_o_ing_per_capita!$D224</f>
        <v>0</v>
      </c>
      <c r="E224" s="336">
        <f>Gasto_o_ing_per_capita!E224-Gasto_o_ing_per_capita!$D224</f>
        <v>-4.1937817176589949</v>
      </c>
      <c r="F224" s="336">
        <f>Gasto_o_ing_per_capita!F224-Gasto_o_ing_per_capita!$D224</f>
        <v>6.5149622805925596</v>
      </c>
      <c r="G224" s="336">
        <f>Gasto_o_ing_per_capita!G224-Gasto_o_ing_per_capita!$D224</f>
        <v>4.9708592242096863</v>
      </c>
      <c r="H224" s="336">
        <f>Gasto_o_ing_per_capita!H224-Gasto_o_ing_per_capita!$D224</f>
        <v>-1.6772622529069494</v>
      </c>
      <c r="I224" s="336">
        <f>Gasto_o_ing_per_capita!I224-Gasto_o_ing_per_capita!$D224</f>
        <v>-11.31506229189268</v>
      </c>
      <c r="J224" s="336">
        <f>Gasto_o_ing_per_capita!J224-Gasto_o_ing_per_capita!$D224</f>
        <v>-4.6755584173640656</v>
      </c>
      <c r="K224" s="336">
        <f>Gasto_o_ing_per_capita!K224-Gasto_o_ing_per_capita!$D224</f>
        <v>0.53296218211762536</v>
      </c>
      <c r="L224" s="336">
        <f>Gasto_o_ing_per_capita!L224-Gasto_o_ing_per_capita!$D224</f>
        <v>-7.5179111322845475</v>
      </c>
      <c r="M224" s="336">
        <f>Gasto_o_ing_per_capita!M224-Gasto_o_ing_per_capita!$D224</f>
        <v>3.9757685934856148</v>
      </c>
      <c r="N224" s="336">
        <f>Gasto_o_ing_per_capita!N224-Gasto_o_ing_per_capita!$D224</f>
        <v>-5.0813394324525678</v>
      </c>
      <c r="O224" s="336">
        <f>Gasto_o_ing_per_capita!O224-Gasto_o_ing_per_capita!$D224</f>
        <v>-7.7900503058542245</v>
      </c>
      <c r="P224" s="336">
        <f>Gasto_o_ing_per_capita!P224-Gasto_o_ing_per_capita!$D224</f>
        <v>-4.068948506054177</v>
      </c>
      <c r="Q224" s="336">
        <f>Gasto_o_ing_per_capita!Q224-Gasto_o_ing_per_capita!$D224</f>
        <v>20.754143092216385</v>
      </c>
      <c r="R224" s="336">
        <f>Gasto_o_ing_per_capita!R224-Gasto_o_ing_per_capita!$D224</f>
        <v>-1.4730610701611191</v>
      </c>
      <c r="S224" s="336">
        <f>Gasto_o_ing_per_capita!S224-Gasto_o_ing_per_capita!$D224</f>
        <v>-17.442888224639358</v>
      </c>
      <c r="T224" s="336">
        <f>Gasto_o_ing_per_capita!T224-Gasto_o_ing_per_capita!$D224</f>
        <v>-17.442888224639358</v>
      </c>
      <c r="U224" s="336">
        <f>Gasto_o_ing_per_capita!U224-Gasto_o_ing_per_capita!$D224</f>
        <v>-0.33907429422435342</v>
      </c>
      <c r="V224" s="336">
        <f>Gasto_o_ing_per_capita!V224-Gasto_o_ing_per_capita!$D224</f>
        <v>-17.442888224639358</v>
      </c>
      <c r="W224" s="122"/>
      <c r="X224" s="104"/>
    </row>
    <row r="225" spans="1:24" s="102" customFormat="1" ht="13.15">
      <c r="A225" s="355" t="str">
        <f>IF(B225="","",(IF(ISERROR(MATCH(B225,Tot_res!C:C,0)),"Eliminar!!!","")))</f>
        <v/>
      </c>
      <c r="B225" s="115" t="s">
        <v>247</v>
      </c>
      <c r="C225" s="333" t="str">
        <f>VLOOKUP(B225,Tot_res!C:D,2,FALSE)</f>
        <v>Impuestos municipales</v>
      </c>
      <c r="D225" s="336">
        <f>Gasto_o_ing_per_capita!D225-Gasto_o_ing_per_capita!$D225</f>
        <v>0</v>
      </c>
      <c r="E225" s="336">
        <f>Gasto_o_ing_per_capita!E225-Gasto_o_ing_per_capita!$D225</f>
        <v>-58.210715554952912</v>
      </c>
      <c r="F225" s="336">
        <f>Gasto_o_ing_per_capita!F225-Gasto_o_ing_per_capita!$D225</f>
        <v>-7.0700011099484641</v>
      </c>
      <c r="G225" s="336">
        <f>Gasto_o_ing_per_capita!G225-Gasto_o_ing_per_capita!$D225</f>
        <v>-11.805832864651791</v>
      </c>
      <c r="H225" s="336">
        <f>Gasto_o_ing_per_capita!H225-Gasto_o_ing_per_capita!$D225</f>
        <v>69.108038002714238</v>
      </c>
      <c r="I225" s="336">
        <f>Gasto_o_ing_per_capita!I225-Gasto_o_ing_per_capita!$D225</f>
        <v>-94.999668519490967</v>
      </c>
      <c r="J225" s="336">
        <f>Gasto_o_ing_per_capita!J225-Gasto_o_ing_per_capita!$D225</f>
        <v>17.587615259910706</v>
      </c>
      <c r="K225" s="336">
        <f>Gasto_o_ing_per_capita!K225-Gasto_o_ing_per_capita!$D225</f>
        <v>-27.355066941759787</v>
      </c>
      <c r="L225" s="336">
        <f>Gasto_o_ing_per_capita!L225-Gasto_o_ing_per_capita!$D225</f>
        <v>-53.496454644278572</v>
      </c>
      <c r="M225" s="336">
        <f>Gasto_o_ing_per_capita!M225-Gasto_o_ing_per_capita!$D225</f>
        <v>96.435565864056571</v>
      </c>
      <c r="N225" s="336">
        <f>Gasto_o_ing_per_capita!N225-Gasto_o_ing_per_capita!$D225</f>
        <v>10.878653909212176</v>
      </c>
      <c r="O225" s="336">
        <f>Gasto_o_ing_per_capita!O225-Gasto_o_ing_per_capita!$D225</f>
        <v>-126.19883710217024</v>
      </c>
      <c r="P225" s="336">
        <f>Gasto_o_ing_per_capita!P225-Gasto_o_ing_per_capita!$D225</f>
        <v>-105.1390441710704</v>
      </c>
      <c r="Q225" s="336">
        <f>Gasto_o_ing_per_capita!Q225-Gasto_o_ing_per_capita!$D225</f>
        <v>117.86920732941309</v>
      </c>
      <c r="R225" s="336">
        <f>Gasto_o_ing_per_capita!R225-Gasto_o_ing_per_capita!$D225</f>
        <v>-42.86585401455244</v>
      </c>
      <c r="S225" s="336">
        <f>Gasto_o_ing_per_capita!S225-Gasto_o_ing_per_capita!$D225</f>
        <v>-69.728797355551876</v>
      </c>
      <c r="T225" s="336">
        <f>Gasto_o_ing_per_capita!T225-Gasto_o_ing_per_capita!$D225</f>
        <v>-66.81696558364456</v>
      </c>
      <c r="U225" s="336">
        <f>Gasto_o_ing_per_capita!U225-Gasto_o_ing_per_capita!$D225</f>
        <v>-19.617262895962654</v>
      </c>
      <c r="V225" s="336">
        <f>Gasto_o_ing_per_capita!V225-Gasto_o_ing_per_capita!$D225</f>
        <v>-292.35762391675013</v>
      </c>
      <c r="W225" s="122"/>
      <c r="X225" s="104"/>
    </row>
    <row r="226" spans="1:24" s="102" customFormat="1" ht="13.15">
      <c r="A226" s="355" t="str">
        <f>IF(B226="","",(IF(ISERROR(MATCH(B226,Tot_res!C:C,0)),"Eliminar!!!","")))</f>
        <v/>
      </c>
      <c r="B226" s="115" t="s">
        <v>248</v>
      </c>
      <c r="C226" s="333" t="str">
        <f>VLOOKUP(B226,Tot_res!C:D,2,FALSE)</f>
        <v>Tasas municipales</v>
      </c>
      <c r="D226" s="336">
        <f>Gasto_o_ing_per_capita!D226-Gasto_o_ing_per_capita!$D226</f>
        <v>0</v>
      </c>
      <c r="E226" s="336">
        <f>Gasto_o_ing_per_capita!E226-Gasto_o_ing_per_capita!$D226</f>
        <v>-28.68221779499612</v>
      </c>
      <c r="F226" s="336">
        <f>Gasto_o_ing_per_capita!F226-Gasto_o_ing_per_capita!$D226</f>
        <v>30.011446405798409</v>
      </c>
      <c r="G226" s="336">
        <f>Gasto_o_ing_per_capita!G226-Gasto_o_ing_per_capita!$D226</f>
        <v>-15.909726441846772</v>
      </c>
      <c r="H226" s="336">
        <f>Gasto_o_ing_per_capita!H226-Gasto_o_ing_per_capita!$D226</f>
        <v>79.397811171657821</v>
      </c>
      <c r="I226" s="336">
        <f>Gasto_o_ing_per_capita!I226-Gasto_o_ing_per_capita!$D226</f>
        <v>-21.301042173866762</v>
      </c>
      <c r="J226" s="336">
        <f>Gasto_o_ing_per_capita!J226-Gasto_o_ing_per_capita!$D226</f>
        <v>22.858605963075007</v>
      </c>
      <c r="K226" s="336">
        <f>Gasto_o_ing_per_capita!K226-Gasto_o_ing_per_capita!$D226</f>
        <v>1.5286783206115615</v>
      </c>
      <c r="L226" s="336">
        <f>Gasto_o_ing_per_capita!L226-Gasto_o_ing_per_capita!$D226</f>
        <v>1.8497081957168575</v>
      </c>
      <c r="M226" s="336">
        <f>Gasto_o_ing_per_capita!M226-Gasto_o_ing_per_capita!$D226</f>
        <v>30.061294889262712</v>
      </c>
      <c r="N226" s="336">
        <f>Gasto_o_ing_per_capita!N226-Gasto_o_ing_per_capita!$D226</f>
        <v>-25.982869376792408</v>
      </c>
      <c r="O226" s="336">
        <f>Gasto_o_ing_per_capita!O226-Gasto_o_ing_per_capita!$D226</f>
        <v>-29.774915180590654</v>
      </c>
      <c r="P226" s="336">
        <f>Gasto_o_ing_per_capita!P226-Gasto_o_ing_per_capita!$D226</f>
        <v>-24.125875885305916</v>
      </c>
      <c r="Q226" s="336">
        <f>Gasto_o_ing_per_capita!Q226-Gasto_o_ing_per_capita!$D226</f>
        <v>-2.147129271930055</v>
      </c>
      <c r="R226" s="336">
        <f>Gasto_o_ing_per_capita!R226-Gasto_o_ing_per_capita!$D226</f>
        <v>-7.2688690462117052</v>
      </c>
      <c r="S226" s="336">
        <f>Gasto_o_ing_per_capita!S226-Gasto_o_ing_per_capita!$D226</f>
        <v>42.76933988459831</v>
      </c>
      <c r="T226" s="336">
        <f>Gasto_o_ing_per_capita!T226-Gasto_o_ing_per_capita!$D226</f>
        <v>68.180997443129399</v>
      </c>
      <c r="U226" s="336">
        <f>Gasto_o_ing_per_capita!U226-Gasto_o_ing_per_capita!$D226</f>
        <v>55.576769095652395</v>
      </c>
      <c r="V226" s="336">
        <f>Gasto_o_ing_per_capita!V226-Gasto_o_ing_per_capita!$D226</f>
        <v>-68.677781328173609</v>
      </c>
      <c r="W226" s="122"/>
      <c r="X226" s="104"/>
    </row>
    <row r="227" spans="1:24" s="102" customFormat="1" ht="13.15">
      <c r="A227" s="355" t="str">
        <f>IF(B227="","",(IF(ISERROR(MATCH(B227,Tot_res!C:C,0)),"Eliminar!!!","")))</f>
        <v/>
      </c>
      <c r="B227" s="115" t="s">
        <v>748</v>
      </c>
      <c r="C227" s="333" t="str">
        <f>VLOOKUP(B227,Tot_res!C:D,2,FALSE)</f>
        <v>Recursos REF de los municipios canarios</v>
      </c>
      <c r="D227" s="336">
        <f>Gasto_o_ing_per_capita!D227-Gasto_o_ing_per_capita!$D227</f>
        <v>0</v>
      </c>
      <c r="E227" s="336">
        <f>Gasto_o_ing_per_capita!E227-Gasto_o_ing_per_capita!$D227</f>
        <v>-4.8438990726880657</v>
      </c>
      <c r="F227" s="336">
        <f>Gasto_o_ing_per_capita!F227-Gasto_o_ing_per_capita!$D227</f>
        <v>-4.8438990726880657</v>
      </c>
      <c r="G227" s="336">
        <f>Gasto_o_ing_per_capita!G227-Gasto_o_ing_per_capita!$D227</f>
        <v>-4.8438990726880657</v>
      </c>
      <c r="H227" s="336">
        <f>Gasto_o_ing_per_capita!H227-Gasto_o_ing_per_capita!$D227</f>
        <v>-4.8438990726880657</v>
      </c>
      <c r="I227" s="336">
        <f>Gasto_o_ing_per_capita!I227-Gasto_o_ing_per_capita!$D227</f>
        <v>102.85071762807368</v>
      </c>
      <c r="J227" s="336">
        <f>Gasto_o_ing_per_capita!J227-Gasto_o_ing_per_capita!$D227</f>
        <v>-4.8438990726880657</v>
      </c>
      <c r="K227" s="336">
        <f>Gasto_o_ing_per_capita!K227-Gasto_o_ing_per_capita!$D227</f>
        <v>-4.8438990726880657</v>
      </c>
      <c r="L227" s="336">
        <f>Gasto_o_ing_per_capita!L227-Gasto_o_ing_per_capita!$D227</f>
        <v>-4.8438990726880657</v>
      </c>
      <c r="M227" s="336">
        <f>Gasto_o_ing_per_capita!M227-Gasto_o_ing_per_capita!$D227</f>
        <v>-4.8438990726880657</v>
      </c>
      <c r="N227" s="336">
        <f>Gasto_o_ing_per_capita!N227-Gasto_o_ing_per_capita!$D227</f>
        <v>-4.8438990726880657</v>
      </c>
      <c r="O227" s="336">
        <f>Gasto_o_ing_per_capita!O227-Gasto_o_ing_per_capita!$D227</f>
        <v>-4.8438990726880657</v>
      </c>
      <c r="P227" s="336">
        <f>Gasto_o_ing_per_capita!P227-Gasto_o_ing_per_capita!$D227</f>
        <v>-4.8438990726880657</v>
      </c>
      <c r="Q227" s="336">
        <f>Gasto_o_ing_per_capita!Q227-Gasto_o_ing_per_capita!$D227</f>
        <v>-4.8438990726880657</v>
      </c>
      <c r="R227" s="336">
        <f>Gasto_o_ing_per_capita!R227-Gasto_o_ing_per_capita!$D227</f>
        <v>-4.8438990726880657</v>
      </c>
      <c r="S227" s="336">
        <f>Gasto_o_ing_per_capita!S227-Gasto_o_ing_per_capita!$D227</f>
        <v>-4.8438990726880657</v>
      </c>
      <c r="T227" s="336">
        <f>Gasto_o_ing_per_capita!T227-Gasto_o_ing_per_capita!$D227</f>
        <v>-4.8438990726880657</v>
      </c>
      <c r="U227" s="336">
        <f>Gasto_o_ing_per_capita!U227-Gasto_o_ing_per_capita!$D227</f>
        <v>-4.8438990726880657</v>
      </c>
      <c r="V227" s="336">
        <f>Gasto_o_ing_per_capita!V227-Gasto_o_ing_per_capita!$D227</f>
        <v>-4.8438990726880657</v>
      </c>
      <c r="W227" s="122"/>
      <c r="X227" s="104"/>
    </row>
    <row r="228" spans="1:24" s="102" customFormat="1" ht="13.15">
      <c r="A228" s="355" t="str">
        <f>IF(B228="","",(IF(ISERROR(MATCH(B228,Tot_res!C:C,0)),"Eliminar!!!","")))</f>
        <v/>
      </c>
      <c r="B228" s="115" t="s">
        <v>749</v>
      </c>
      <c r="C228" s="333" t="str">
        <f>VLOOKUP(B228,Tot_res!C:D,2,FALSE)</f>
        <v>Otras aportaciones a Corporaciones Locales, compensaciones por beneficios fiscales</v>
      </c>
      <c r="D228" s="336">
        <f>Gasto_o_ing_per_capita!D228-Gasto_o_ing_per_capita!$D228</f>
        <v>0</v>
      </c>
      <c r="E228" s="336">
        <f>Gasto_o_ing_per_capita!E228-Gasto_o_ing_per_capita!$D228</f>
        <v>0.3449190770198487</v>
      </c>
      <c r="F228" s="336">
        <f>Gasto_o_ing_per_capita!F228-Gasto_o_ing_per_capita!$D228</f>
        <v>1.5667149623671131</v>
      </c>
      <c r="G228" s="336">
        <f>Gasto_o_ing_per_capita!G228-Gasto_o_ing_per_capita!$D228</f>
        <v>-0.86697397274620114</v>
      </c>
      <c r="H228" s="336">
        <f>Gasto_o_ing_per_capita!H228-Gasto_o_ing_per_capita!$D228</f>
        <v>-0.93417969000190482</v>
      </c>
      <c r="I228" s="336">
        <f>Gasto_o_ing_per_capita!I228-Gasto_o_ing_per_capita!$D228</f>
        <v>-1.1765741520870634</v>
      </c>
      <c r="J228" s="336">
        <f>Gasto_o_ing_per_capita!J228-Gasto_o_ing_per_capita!$D228</f>
        <v>-0.60522865018553484</v>
      </c>
      <c r="K228" s="336">
        <f>Gasto_o_ing_per_capita!K228-Gasto_o_ing_per_capita!$D228</f>
        <v>-1.4722196050445113E-3</v>
      </c>
      <c r="L228" s="336">
        <f>Gasto_o_ing_per_capita!L228-Gasto_o_ing_per_capita!$D228</f>
        <v>-0.71687678189535464</v>
      </c>
      <c r="M228" s="336">
        <f>Gasto_o_ing_per_capita!M228-Gasto_o_ing_per_capita!$D228</f>
        <v>-0.26839990681613846</v>
      </c>
      <c r="N228" s="336">
        <f>Gasto_o_ing_per_capita!N228-Gasto_o_ing_per_capita!$D228</f>
        <v>-0.30202486878356605</v>
      </c>
      <c r="O228" s="336">
        <f>Gasto_o_ing_per_capita!O228-Gasto_o_ing_per_capita!$D228</f>
        <v>0.45035930618818654</v>
      </c>
      <c r="P228" s="336">
        <f>Gasto_o_ing_per_capita!P228-Gasto_o_ing_per_capita!$D228</f>
        <v>-1.1928730797081737</v>
      </c>
      <c r="Q228" s="336">
        <f>Gasto_o_ing_per_capita!Q228-Gasto_o_ing_per_capita!$D228</f>
        <v>-0.30161518188191461</v>
      </c>
      <c r="R228" s="336">
        <f>Gasto_o_ing_per_capita!R228-Gasto_o_ing_per_capita!$D228</f>
        <v>9.3264705018346312</v>
      </c>
      <c r="S228" s="336">
        <f>Gasto_o_ing_per_capita!S228-Gasto_o_ing_per_capita!$D228</f>
        <v>-1.5289388719138228</v>
      </c>
      <c r="T228" s="336">
        <f>Gasto_o_ing_per_capita!T228-Gasto_o_ing_per_capita!$D228</f>
        <v>-1.5289388719138228</v>
      </c>
      <c r="U228" s="336">
        <f>Gasto_o_ing_per_capita!U228-Gasto_o_ing_per_capita!$D228</f>
        <v>1.5124732638865852</v>
      </c>
      <c r="V228" s="336">
        <f>Gasto_o_ing_per_capita!V228-Gasto_o_ing_per_capita!$D228</f>
        <v>-1.5289388719138228</v>
      </c>
      <c r="W228" s="155"/>
      <c r="X228" s="156"/>
    </row>
    <row r="229" spans="1:24" s="102" customFormat="1" ht="13.15">
      <c r="A229" s="355" t="str">
        <f>IF(B229="","",(IF(ISERROR(MATCH(B229,Tot_res!C:C,0)),"Eliminar!!!","")))</f>
        <v/>
      </c>
      <c r="B229" s="115" t="s">
        <v>251</v>
      </c>
      <c r="C229" s="333" t="str">
        <f>VLOOKUP(B229,Tot_res!C:D,2,FALSE)</f>
        <v xml:space="preserve">Cooperación económica local del Estado </v>
      </c>
      <c r="D229" s="336">
        <f>Gasto_o_ing_per_capita!D229-Gasto_o_ing_per_capita!$D229</f>
        <v>0</v>
      </c>
      <c r="E229" s="336">
        <f>Gasto_o_ing_per_capita!E229-Gasto_o_ing_per_capita!$D229</f>
        <v>2.3632973812895197E-2</v>
      </c>
      <c r="F229" s="336">
        <f>Gasto_o_ing_per_capita!F229-Gasto_o_ing_per_capita!$D229</f>
        <v>-0.19727054306869524</v>
      </c>
      <c r="G229" s="336">
        <f>Gasto_o_ing_per_capita!G229-Gasto_o_ing_per_capita!$D229</f>
        <v>-9.4710266402001364E-2</v>
      </c>
      <c r="H229" s="336">
        <f>Gasto_o_ing_per_capita!H229-Gasto_o_ing_per_capita!$D229</f>
        <v>0.63611881865659603</v>
      </c>
      <c r="I229" s="336">
        <f>Gasto_o_ing_per_capita!I229-Gasto_o_ing_per_capita!$D229</f>
        <v>2.9030258808939435</v>
      </c>
      <c r="J229" s="336">
        <f>Gasto_o_ing_per_capita!J229-Gasto_o_ing_per_capita!$D229</f>
        <v>2.1596870359800402E-2</v>
      </c>
      <c r="K229" s="336">
        <f>Gasto_o_ing_per_capita!K229-Gasto_o_ing_per_capita!$D229</f>
        <v>-4.608725170189909E-2</v>
      </c>
      <c r="L229" s="336">
        <f>Gasto_o_ing_per_capita!L229-Gasto_o_ing_per_capita!$D229</f>
        <v>-0.12987343911710497</v>
      </c>
      <c r="M229" s="336">
        <f>Gasto_o_ing_per_capita!M229-Gasto_o_ing_per_capita!$D229</f>
        <v>-0.24732534255926478</v>
      </c>
      <c r="N229" s="336">
        <f>Gasto_o_ing_per_capita!N229-Gasto_o_ing_per_capita!$D229</f>
        <v>-0.19752261015963241</v>
      </c>
      <c r="O229" s="336">
        <f>Gasto_o_ing_per_capita!O229-Gasto_o_ing_per_capita!$D229</f>
        <v>-0.23967547366727823</v>
      </c>
      <c r="P229" s="336">
        <f>Gasto_o_ing_per_capita!P229-Gasto_o_ing_per_capita!$D229</f>
        <v>-0.16763758904825452</v>
      </c>
      <c r="Q229" s="336">
        <f>Gasto_o_ing_per_capita!Q229-Gasto_o_ing_per_capita!$D229</f>
        <v>-0.24732534255926478</v>
      </c>
      <c r="R229" s="336">
        <f>Gasto_o_ing_per_capita!R229-Gasto_o_ing_per_capita!$D229</f>
        <v>-0.19238263711035128</v>
      </c>
      <c r="S229" s="336">
        <f>Gasto_o_ing_per_capita!S229-Gasto_o_ing_per_capita!$D229</f>
        <v>-0.24732534255926478</v>
      </c>
      <c r="T229" s="336">
        <f>Gasto_o_ing_per_capita!T229-Gasto_o_ing_per_capita!$D229</f>
        <v>-0.24732534255926478</v>
      </c>
      <c r="U229" s="336">
        <f>Gasto_o_ing_per_capita!U229-Gasto_o_ing_per_capita!$D229</f>
        <v>-0.24732534255926478</v>
      </c>
      <c r="V229" s="336">
        <f>Gasto_o_ing_per_capita!V229-Gasto_o_ing_per_capita!$D229</f>
        <v>-0.24732534255926478</v>
      </c>
      <c r="W229" s="155"/>
      <c r="X229" s="146"/>
    </row>
    <row r="230" spans="1:24" s="102" customFormat="1" ht="13.15">
      <c r="A230" s="355" t="str">
        <f>IF(B230="","",(IF(ISERROR(MATCH(B230,Tot_res!C:C,0)),"Eliminar!!!","")))</f>
        <v/>
      </c>
      <c r="B230" s="115" t="s">
        <v>230</v>
      </c>
      <c r="C230" s="333" t="str">
        <f>VLOOKUP(B230,Tot_res!C:D,2,FALSE)</f>
        <v>Ajuste por competencias atípicas forales: financiación municipios</v>
      </c>
      <c r="D230" s="336">
        <f>Gasto_o_ing_per_capita!D230-Gasto_o_ing_per_capita!$D230</f>
        <v>0</v>
      </c>
      <c r="E230" s="336">
        <f>Gasto_o_ing_per_capita!E230-Gasto_o_ing_per_capita!$D230</f>
        <v>-14.982472613072305</v>
      </c>
      <c r="F230" s="336">
        <f>Gasto_o_ing_per_capita!F230-Gasto_o_ing_per_capita!$D230</f>
        <v>-14.982472613072305</v>
      </c>
      <c r="G230" s="336">
        <f>Gasto_o_ing_per_capita!G230-Gasto_o_ing_per_capita!$D230</f>
        <v>-14.982472613072305</v>
      </c>
      <c r="H230" s="336">
        <f>Gasto_o_ing_per_capita!H230-Gasto_o_ing_per_capita!$D230</f>
        <v>-14.982472613072305</v>
      </c>
      <c r="I230" s="336">
        <f>Gasto_o_ing_per_capita!I230-Gasto_o_ing_per_capita!$D230</f>
        <v>-14.982472613072305</v>
      </c>
      <c r="J230" s="336">
        <f>Gasto_o_ing_per_capita!J230-Gasto_o_ing_per_capita!$D230</f>
        <v>-14.982472613072305</v>
      </c>
      <c r="K230" s="336">
        <f>Gasto_o_ing_per_capita!K230-Gasto_o_ing_per_capita!$D230</f>
        <v>-14.982472613072305</v>
      </c>
      <c r="L230" s="336">
        <f>Gasto_o_ing_per_capita!L230-Gasto_o_ing_per_capita!$D230</f>
        <v>-14.982472613072305</v>
      </c>
      <c r="M230" s="336">
        <f>Gasto_o_ing_per_capita!M230-Gasto_o_ing_per_capita!$D230</f>
        <v>-14.982472613072305</v>
      </c>
      <c r="N230" s="336">
        <f>Gasto_o_ing_per_capita!N230-Gasto_o_ing_per_capita!$D230</f>
        <v>-14.982472613072305</v>
      </c>
      <c r="O230" s="336">
        <f>Gasto_o_ing_per_capita!O230-Gasto_o_ing_per_capita!$D230</f>
        <v>-14.982472613072305</v>
      </c>
      <c r="P230" s="336">
        <f>Gasto_o_ing_per_capita!P230-Gasto_o_ing_per_capita!$D230</f>
        <v>-14.982472613072305</v>
      </c>
      <c r="Q230" s="336">
        <f>Gasto_o_ing_per_capita!Q230-Gasto_o_ing_per_capita!$D230</f>
        <v>-14.982472613072305</v>
      </c>
      <c r="R230" s="336">
        <f>Gasto_o_ing_per_capita!R230-Gasto_o_ing_per_capita!$D230</f>
        <v>-14.982472613072305</v>
      </c>
      <c r="S230" s="336">
        <f>Gasto_o_ing_per_capita!S230-Gasto_o_ing_per_capita!$D230</f>
        <v>233.41770880169719</v>
      </c>
      <c r="T230" s="336">
        <f>Gasto_o_ing_per_capita!T230-Gasto_o_ing_per_capita!$D230</f>
        <v>233.29261031386324</v>
      </c>
      <c r="U230" s="336">
        <f>Gasto_o_ing_per_capita!U230-Gasto_o_ing_per_capita!$D230</f>
        <v>-14.982472613072305</v>
      </c>
      <c r="V230" s="336">
        <f>Gasto_o_ing_per_capita!V230-Gasto_o_ing_per_capita!$D230</f>
        <v>-14.982472613072305</v>
      </c>
      <c r="W230" s="155"/>
      <c r="X230" s="145"/>
    </row>
    <row r="231" spans="1:24" ht="13.15">
      <c r="A231" s="356"/>
      <c r="B231" s="9"/>
      <c r="D231" s="19"/>
      <c r="E231" s="19"/>
      <c r="F231" s="19"/>
      <c r="G231" s="19"/>
      <c r="H231" s="19"/>
      <c r="I231" s="19"/>
      <c r="J231" s="19"/>
      <c r="K231" s="19"/>
      <c r="L231" s="19"/>
      <c r="M231" s="19"/>
      <c r="N231" s="19"/>
      <c r="O231" s="19"/>
      <c r="P231" s="19"/>
      <c r="Q231" s="19"/>
      <c r="R231" s="19"/>
      <c r="S231" s="19"/>
      <c r="T231" s="19"/>
      <c r="U231" s="19"/>
      <c r="V231" s="19"/>
      <c r="W231" s="21"/>
      <c r="X231" s="22"/>
    </row>
    <row r="232" spans="1:24" s="102" customFormat="1" ht="13.15">
      <c r="A232" s="356"/>
      <c r="B232" s="115"/>
      <c r="D232" s="110"/>
      <c r="E232" s="110"/>
      <c r="F232" s="110"/>
      <c r="G232" s="110"/>
      <c r="H232" s="110"/>
      <c r="I232" s="110"/>
      <c r="J232" s="110"/>
      <c r="K232" s="110"/>
      <c r="L232" s="110"/>
      <c r="M232" s="110"/>
      <c r="N232" s="110"/>
      <c r="O232" s="110"/>
      <c r="P232" s="110"/>
      <c r="Q232" s="110"/>
      <c r="R232" s="110"/>
      <c r="S232" s="110"/>
      <c r="T232" s="110"/>
      <c r="U232" s="110"/>
      <c r="V232" s="110"/>
      <c r="W232" s="155"/>
      <c r="X232" s="146"/>
    </row>
    <row r="233" spans="1:24" s="102" customFormat="1" ht="26.3">
      <c r="A233" s="364"/>
      <c r="B233" s="115"/>
      <c r="C233" s="128" t="s">
        <v>23</v>
      </c>
      <c r="D233" s="113">
        <f>Gasto_o_ing_per_capita!D233-Gasto_o_ing_per_capita!$D233</f>
        <v>0</v>
      </c>
      <c r="E233" s="113">
        <f>Gasto_o_ing_per_capita!E233-Gasto_o_ing_per_capita!$D233</f>
        <v>-29.889136129122306</v>
      </c>
      <c r="F233" s="113">
        <f>Gasto_o_ing_per_capita!F233-Gasto_o_ing_per_capita!$D233</f>
        <v>98.813464782144706</v>
      </c>
      <c r="G233" s="113">
        <f>Gasto_o_ing_per_capita!G233-Gasto_o_ing_per_capita!$D233</f>
        <v>98.484605506097921</v>
      </c>
      <c r="H233" s="113">
        <f>Gasto_o_ing_per_capita!H233-Gasto_o_ing_per_capita!$D233</f>
        <v>-112.17481929035958</v>
      </c>
      <c r="I233" s="113">
        <f>Gasto_o_ing_per_capita!I233-Gasto_o_ing_per_capita!$D233</f>
        <v>-1.1415409613520069</v>
      </c>
      <c r="J233" s="113">
        <f>Gasto_o_ing_per_capita!J233-Gasto_o_ing_per_capita!$D233</f>
        <v>103.0004849641081</v>
      </c>
      <c r="K233" s="113">
        <f>Gasto_o_ing_per_capita!K233-Gasto_o_ing_per_capita!$D233</f>
        <v>176.87366166301058</v>
      </c>
      <c r="L233" s="113">
        <f>Gasto_o_ing_per_capita!L233-Gasto_o_ing_per_capita!$D233</f>
        <v>52.570789308973019</v>
      </c>
      <c r="M233" s="113">
        <f>Gasto_o_ing_per_capita!M233-Gasto_o_ing_per_capita!$D233</f>
        <v>-28.825234279217185</v>
      </c>
      <c r="N233" s="113">
        <f>Gasto_o_ing_per_capita!N233-Gasto_o_ing_per_capita!$D233</f>
        <v>-77.388642177001955</v>
      </c>
      <c r="O233" s="113">
        <f>Gasto_o_ing_per_capita!O233-Gasto_o_ing_per_capita!$D233</f>
        <v>94.348475165050388</v>
      </c>
      <c r="P233" s="113">
        <f>Gasto_o_ing_per_capita!P233-Gasto_o_ing_per_capita!$D233</f>
        <v>39.250744788342615</v>
      </c>
      <c r="Q233" s="113">
        <f>Gasto_o_ing_per_capita!Q233-Gasto_o_ing_per_capita!$D233</f>
        <v>-18.760335240838614</v>
      </c>
      <c r="R233" s="113">
        <f>Gasto_o_ing_per_capita!R233-Gasto_o_ing_per_capita!$D233</f>
        <v>-67.133910118038855</v>
      </c>
      <c r="S233" s="113">
        <f>Gasto_o_ing_per_capita!S233-Gasto_o_ing_per_capita!$D233</f>
        <v>-61.934307229732923</v>
      </c>
      <c r="T233" s="113">
        <f>Gasto_o_ing_per_capita!T233-Gasto_o_ing_per_capita!$D233</f>
        <v>88.529441915382478</v>
      </c>
      <c r="U233" s="113">
        <f>Gasto_o_ing_per_capita!U233-Gasto_o_ing_per_capita!$D233</f>
        <v>-22.522625609648856</v>
      </c>
      <c r="V233" s="113">
        <f>Gasto_o_ing_per_capita!V233-Gasto_o_ing_per_capita!$D233</f>
        <v>-17.125721694888966</v>
      </c>
      <c r="W233" s="155"/>
      <c r="X233" s="146"/>
    </row>
    <row r="234" spans="1:24" s="102" customFormat="1" ht="13.15">
      <c r="A234" s="355" t="str">
        <f>IF(B234="","",(IF(ISERROR(MATCH(B234,Tot_res!C:C,0)),"Eliminar!!!","")))</f>
        <v/>
      </c>
      <c r="B234" s="115" t="s">
        <v>253</v>
      </c>
      <c r="C234" s="333" t="str">
        <f>VLOOKUP(B234,Tot_res!C:D,2,FALSE)</f>
        <v>Gestión de recursos hídricos para el regadío</v>
      </c>
      <c r="D234" s="336">
        <f>Gasto_o_ing_per_capita!D234-Gasto_o_ing_per_capita!$D234</f>
        <v>0</v>
      </c>
      <c r="E234" s="336">
        <f>Gasto_o_ing_per_capita!E234-Gasto_o_ing_per_capita!$D234</f>
        <v>8.1647209834350698E-2</v>
      </c>
      <c r="F234" s="336">
        <f>Gasto_o_ing_per_capita!F234-Gasto_o_ing_per_capita!$D234</f>
        <v>7.7382617393064193</v>
      </c>
      <c r="G234" s="336">
        <f>Gasto_o_ing_per_capita!G234-Gasto_o_ing_per_capita!$D234</f>
        <v>-0.69017422304763887</v>
      </c>
      <c r="H234" s="336">
        <f>Gasto_o_ing_per_capita!H234-Gasto_o_ing_per_capita!$D234</f>
        <v>-0.10951044482483607</v>
      </c>
      <c r="I234" s="336">
        <f>Gasto_o_ing_per_capita!I234-Gasto_o_ing_per_capita!$D234</f>
        <v>-0.69017422304763887</v>
      </c>
      <c r="J234" s="336">
        <f>Gasto_o_ing_per_capita!J234-Gasto_o_ing_per_capita!$D234</f>
        <v>-0.69017422304763887</v>
      </c>
      <c r="K234" s="336">
        <f>Gasto_o_ing_per_capita!K234-Gasto_o_ing_per_capita!$D234</f>
        <v>1.6616398156719474</v>
      </c>
      <c r="L234" s="336">
        <f>Gasto_o_ing_per_capita!L234-Gasto_o_ing_per_capita!$D234</f>
        <v>-0.69017422304763887</v>
      </c>
      <c r="M234" s="336">
        <f>Gasto_o_ing_per_capita!M234-Gasto_o_ing_per_capita!$D234</f>
        <v>0.12734281755872723</v>
      </c>
      <c r="N234" s="336">
        <f>Gasto_o_ing_per_capita!N234-Gasto_o_ing_per_capita!$D234</f>
        <v>-0.69017422304763887</v>
      </c>
      <c r="O234" s="336">
        <f>Gasto_o_ing_per_capita!O234-Gasto_o_ing_per_capita!$D234</f>
        <v>-0.69017422304763887</v>
      </c>
      <c r="P234" s="336">
        <f>Gasto_o_ing_per_capita!P234-Gasto_o_ing_per_capita!$D234</f>
        <v>-0.69017422304763887</v>
      </c>
      <c r="Q234" s="336">
        <f>Gasto_o_ing_per_capita!Q234-Gasto_o_ing_per_capita!$D234</f>
        <v>-0.69017422304763887</v>
      </c>
      <c r="R234" s="336">
        <f>Gasto_o_ing_per_capita!R234-Gasto_o_ing_per_capita!$D234</f>
        <v>-0.69017422304763887</v>
      </c>
      <c r="S234" s="336">
        <f>Gasto_o_ing_per_capita!S234-Gasto_o_ing_per_capita!$D234</f>
        <v>-0.69017422304763887</v>
      </c>
      <c r="T234" s="336">
        <f>Gasto_o_ing_per_capita!T234-Gasto_o_ing_per_capita!$D234</f>
        <v>-8.446502170273118E-2</v>
      </c>
      <c r="U234" s="336">
        <f>Gasto_o_ing_per_capita!U234-Gasto_o_ing_per_capita!$D234</f>
        <v>1.2256287526002614</v>
      </c>
      <c r="V234" s="336">
        <f>Gasto_o_ing_per_capita!V234-Gasto_o_ing_per_capita!$D234</f>
        <v>-0.69017422304763887</v>
      </c>
      <c r="W234" s="155"/>
      <c r="X234" s="146"/>
    </row>
    <row r="235" spans="1:24" s="102" customFormat="1" ht="13.15">
      <c r="A235" s="355" t="str">
        <f>IF(B235="","",(IF(ISERROR(MATCH(B235,Tot_res!C:C,0)),"Eliminar!!!","")))</f>
        <v/>
      </c>
      <c r="B235" s="115" t="s">
        <v>254</v>
      </c>
      <c r="C235" s="333" t="str">
        <f>VLOOKUP(B235,Tot_res!C:D,2,FALSE)</f>
        <v>Subvenciones y apoyo al transporte terrestre</v>
      </c>
      <c r="D235" s="336">
        <f>Gasto_o_ing_per_capita!D235-Gasto_o_ing_per_capita!$D235</f>
        <v>0</v>
      </c>
      <c r="E235" s="336">
        <f>Gasto_o_ing_per_capita!E235-Gasto_o_ing_per_capita!$D235</f>
        <v>-9.8850996441259831</v>
      </c>
      <c r="F235" s="336">
        <f>Gasto_o_ing_per_capita!F235-Gasto_o_ing_per_capita!$D235</f>
        <v>-4.9760329936543783</v>
      </c>
      <c r="G235" s="336">
        <f>Gasto_o_ing_per_capita!G235-Gasto_o_ing_per_capita!$D235</f>
        <v>-10.185930553954172</v>
      </c>
      <c r="H235" s="336">
        <f>Gasto_o_ing_per_capita!H235-Gasto_o_ing_per_capita!$D235</f>
        <v>-15.829680359246856</v>
      </c>
      <c r="I235" s="336">
        <f>Gasto_o_ing_per_capita!I235-Gasto_o_ing_per_capita!$D235</f>
        <v>-4.1040538357194762</v>
      </c>
      <c r="J235" s="336">
        <f>Gasto_o_ing_per_capita!J235-Gasto_o_ing_per_capita!$D235</f>
        <v>-9.5317872036868749</v>
      </c>
      <c r="K235" s="336">
        <f>Gasto_o_ing_per_capita!K235-Gasto_o_ing_per_capita!$D235</f>
        <v>-12.228529091567408</v>
      </c>
      <c r="L235" s="336">
        <f>Gasto_o_ing_per_capita!L235-Gasto_o_ing_per_capita!$D235</f>
        <v>-6.3845405893944918</v>
      </c>
      <c r="M235" s="336">
        <f>Gasto_o_ing_per_capita!M235-Gasto_o_ing_per_capita!$D235</f>
        <v>17.447251601058152</v>
      </c>
      <c r="N235" s="336">
        <f>Gasto_o_ing_per_capita!N235-Gasto_o_ing_per_capita!$D235</f>
        <v>-8.9025204135997971</v>
      </c>
      <c r="O235" s="336">
        <f>Gasto_o_ing_per_capita!O235-Gasto_o_ing_per_capita!$D235</f>
        <v>-13.186872923547572</v>
      </c>
      <c r="P235" s="336">
        <f>Gasto_o_ing_per_capita!P235-Gasto_o_ing_per_capita!$D235</f>
        <v>-10.568055489901965</v>
      </c>
      <c r="Q235" s="336">
        <f>Gasto_o_ing_per_capita!Q235-Gasto_o_ing_per_capita!$D235</f>
        <v>26.869034497875926</v>
      </c>
      <c r="R235" s="336">
        <f>Gasto_o_ing_per_capita!R235-Gasto_o_ing_per_capita!$D235</f>
        <v>-12.098783161208399</v>
      </c>
      <c r="S235" s="336">
        <f>Gasto_o_ing_per_capita!S235-Gasto_o_ing_per_capita!$D235</f>
        <v>-2.9340796358247783</v>
      </c>
      <c r="T235" s="336">
        <f>Gasto_o_ing_per_capita!T235-Gasto_o_ing_per_capita!$D235</f>
        <v>-7.8795679715158791</v>
      </c>
      <c r="U235" s="336">
        <f>Gasto_o_ing_per_capita!U235-Gasto_o_ing_per_capita!$D235</f>
        <v>-2.7345903741192714</v>
      </c>
      <c r="V235" s="336">
        <f>Gasto_o_ing_per_capita!V235-Gasto_o_ing_per_capita!$D235</f>
        <v>-14.134518684498907</v>
      </c>
      <c r="W235" s="155"/>
      <c r="X235" s="146"/>
    </row>
    <row r="236" spans="1:24" s="102" customFormat="1" ht="13.15">
      <c r="A236" s="355" t="str">
        <f>IF(B236="","",(IF(ISERROR(MATCH(B236,Tot_res!C:C,0)),"Eliminar!!!","")))</f>
        <v/>
      </c>
      <c r="B236" s="115" t="s">
        <v>255</v>
      </c>
      <c r="C236" s="333" t="str">
        <f>VLOOKUP(B236,Tot_res!C:D,2,FALSE)</f>
        <v>Estudios y servicios de asistencia técnica en obras públicas y urbanismo</v>
      </c>
      <c r="D236" s="336">
        <f>Gasto_o_ing_per_capita!D236-Gasto_o_ing_per_capita!$D236</f>
        <v>0</v>
      </c>
      <c r="E236" s="336">
        <f>Gasto_o_ing_per_capita!E236-Gasto_o_ing_per_capita!$D236</f>
        <v>-0.11601639447826589</v>
      </c>
      <c r="F236" s="336">
        <f>Gasto_o_ing_per_capita!F236-Gasto_o_ing_per_capita!$D236</f>
        <v>0.39666675610175683</v>
      </c>
      <c r="G236" s="336">
        <f>Gasto_o_ing_per_capita!G236-Gasto_o_ing_per_capita!$D236</f>
        <v>0.38756339062269984</v>
      </c>
      <c r="H236" s="336">
        <f>Gasto_o_ing_per_capita!H236-Gasto_o_ing_per_capita!$D236</f>
        <v>-0.39242125235530673</v>
      </c>
      <c r="I236" s="336">
        <f>Gasto_o_ing_per_capita!I236-Gasto_o_ing_per_capita!$D236</f>
        <v>-0.14825861986443128</v>
      </c>
      <c r="J236" s="336">
        <f>Gasto_o_ing_per_capita!J236-Gasto_o_ing_per_capita!$D236</f>
        <v>0.35274547587144889</v>
      </c>
      <c r="K236" s="336">
        <f>Gasto_o_ing_per_capita!K236-Gasto_o_ing_per_capita!$D236</f>
        <v>0.65004932447789721</v>
      </c>
      <c r="L236" s="336">
        <f>Gasto_o_ing_per_capita!L236-Gasto_o_ing_per_capita!$D236</f>
        <v>0.28085557794806615</v>
      </c>
      <c r="M236" s="336">
        <f>Gasto_o_ing_per_capita!M236-Gasto_o_ing_per_capita!$D236</f>
        <v>-0.13063819085122624</v>
      </c>
      <c r="N236" s="336">
        <f>Gasto_o_ing_per_capita!N236-Gasto_o_ing_per_capita!$D236</f>
        <v>-0.14605944834502699</v>
      </c>
      <c r="O236" s="336">
        <f>Gasto_o_ing_per_capita!O236-Gasto_o_ing_per_capita!$D236</f>
        <v>0.3420559187043628</v>
      </c>
      <c r="P236" s="336">
        <f>Gasto_o_ing_per_capita!P236-Gasto_o_ing_per_capita!$D236</f>
        <v>0.17358493120963447</v>
      </c>
      <c r="Q236" s="336">
        <f>Gasto_o_ing_per_capita!Q236-Gasto_o_ing_per_capita!$D236</f>
        <v>-0.11259763179144072</v>
      </c>
      <c r="R236" s="336">
        <f>Gasto_o_ing_per_capita!R236-Gasto_o_ing_per_capita!$D236</f>
        <v>-0.10699232659735708</v>
      </c>
      <c r="S236" s="336">
        <f>Gasto_o_ing_per_capita!S236-Gasto_o_ing_per_capita!$D236</f>
        <v>-7.420254304762991E-2</v>
      </c>
      <c r="T236" s="336">
        <f>Gasto_o_ing_per_capita!T236-Gasto_o_ing_per_capita!$D236</f>
        <v>6.9356405757776463E-2</v>
      </c>
      <c r="U236" s="336">
        <f>Gasto_o_ing_per_capita!U236-Gasto_o_ing_per_capita!$D236</f>
        <v>0.14971651371677652</v>
      </c>
      <c r="V236" s="336">
        <f>Gasto_o_ing_per_capita!V236-Gasto_o_ing_per_capita!$D236</f>
        <v>-0.24343848969454063</v>
      </c>
      <c r="W236" s="155"/>
      <c r="X236" s="146"/>
    </row>
    <row r="237" spans="1:24" s="102" customFormat="1" ht="13.15">
      <c r="A237" s="355" t="str">
        <f>IF(B237="","",(IF(ISERROR(MATCH(B237,Tot_res!C:C,0)),"Eliminar!!!","")))</f>
        <v/>
      </c>
      <c r="B237" s="115" t="s">
        <v>256</v>
      </c>
      <c r="C237" s="333" t="str">
        <f>VLOOKUP(B237,Tot_res!C:D,2,FALSE)</f>
        <v>Dirección y servicios generales de fomento</v>
      </c>
      <c r="D237" s="336">
        <f>Gasto_o_ing_per_capita!D237-Gasto_o_ing_per_capita!$D237</f>
        <v>0</v>
      </c>
      <c r="E237" s="336">
        <f>Gasto_o_ing_per_capita!E237-Gasto_o_ing_per_capita!$D237</f>
        <v>-0.25794569716495785</v>
      </c>
      <c r="F237" s="336">
        <f>Gasto_o_ing_per_capita!F237-Gasto_o_ing_per_capita!$D237</f>
        <v>0.44485887187323403</v>
      </c>
      <c r="G237" s="336">
        <f>Gasto_o_ing_per_capita!G237-Gasto_o_ing_per_capita!$D237</f>
        <v>0.83207392973064609</v>
      </c>
      <c r="H237" s="336">
        <f>Gasto_o_ing_per_capita!H237-Gasto_o_ing_per_capita!$D237</f>
        <v>-0.7639090405619402</v>
      </c>
      <c r="I237" s="336">
        <f>Gasto_o_ing_per_capita!I237-Gasto_o_ing_per_capita!$D237</f>
        <v>-0.35665802501762967</v>
      </c>
      <c r="J237" s="336">
        <f>Gasto_o_ing_per_capita!J237-Gasto_o_ing_per_capita!$D237</f>
        <v>0.6885176176054002</v>
      </c>
      <c r="K237" s="336">
        <f>Gasto_o_ing_per_capita!K237-Gasto_o_ing_per_capita!$D237</f>
        <v>1.3404624518287891</v>
      </c>
      <c r="L237" s="336">
        <f>Gasto_o_ing_per_capita!L237-Gasto_o_ing_per_capita!$D237</f>
        <v>0.49597496664535079</v>
      </c>
      <c r="M237" s="336">
        <f>Gasto_o_ing_per_capita!M237-Gasto_o_ing_per_capita!$D237</f>
        <v>-0.16927055894376308</v>
      </c>
      <c r="N237" s="336">
        <f>Gasto_o_ing_per_capita!N237-Gasto_o_ing_per_capita!$D237</f>
        <v>-0.28647510858699388</v>
      </c>
      <c r="O237" s="336">
        <f>Gasto_o_ing_per_capita!O237-Gasto_o_ing_per_capita!$D237</f>
        <v>8.737748469154516E-2</v>
      </c>
      <c r="P237" s="336">
        <f>Gasto_o_ing_per_capita!P237-Gasto_o_ing_per_capita!$D237</f>
        <v>0.50832128857985781</v>
      </c>
      <c r="Q237" s="336">
        <f>Gasto_o_ing_per_capita!Q237-Gasto_o_ing_per_capita!$D237</f>
        <v>-0.15769787517880696</v>
      </c>
      <c r="R237" s="336">
        <f>Gasto_o_ing_per_capita!R237-Gasto_o_ing_per_capita!$D237</f>
        <v>-0.42855720192417923</v>
      </c>
      <c r="S237" s="336">
        <f>Gasto_o_ing_per_capita!S237-Gasto_o_ing_per_capita!$D237</f>
        <v>-0.16171697834709398</v>
      </c>
      <c r="T237" s="336">
        <f>Gasto_o_ing_per_capita!T237-Gasto_o_ing_per_capita!$D237</f>
        <v>0.229524967496753</v>
      </c>
      <c r="U237" s="336">
        <f>Gasto_o_ing_per_capita!U237-Gasto_o_ing_per_capita!$D237</f>
        <v>0.29103973099879177</v>
      </c>
      <c r="V237" s="336">
        <f>Gasto_o_ing_per_capita!V237-Gasto_o_ing_per_capita!$D237</f>
        <v>-0.75345051928138895</v>
      </c>
      <c r="W237" s="155"/>
      <c r="X237" s="146"/>
    </row>
    <row r="238" spans="1:24" s="102" customFormat="1" ht="13.15">
      <c r="A238" s="355" t="str">
        <f>IF(B238="","",(IF(ISERROR(MATCH(B238,Tot_res!C:C,0)),"Eliminar!!!","")))</f>
        <v/>
      </c>
      <c r="B238" s="115" t="s">
        <v>756</v>
      </c>
      <c r="C238" s="333" t="str">
        <f>VLOOKUP(B238,Tot_res!C:D,2,FALSE)</f>
        <v>Dirección y Servicios Generales de Agricultura, Alimentación y Medio Ambiente</v>
      </c>
      <c r="D238" s="336">
        <f>Gasto_o_ing_per_capita!D238-Gasto_o_ing_per_capita!$D238</f>
        <v>0</v>
      </c>
      <c r="E238" s="336">
        <f>Gasto_o_ing_per_capita!E238-Gasto_o_ing_per_capita!$D238</f>
        <v>-3.8459386551152441E-2</v>
      </c>
      <c r="F238" s="336">
        <f>Gasto_o_ing_per_capita!F238-Gasto_o_ing_per_capita!$D238</f>
        <v>1.5070096299191602</v>
      </c>
      <c r="G238" s="336">
        <f>Gasto_o_ing_per_capita!G238-Gasto_o_ing_per_capita!$D238</f>
        <v>0.22168598232960668</v>
      </c>
      <c r="H238" s="336">
        <f>Gasto_o_ing_per_capita!H238-Gasto_o_ing_per_capita!$D238</f>
        <v>-0.47180991512516524</v>
      </c>
      <c r="I238" s="336">
        <f>Gasto_o_ing_per_capita!I238-Gasto_o_ing_per_capita!$D238</f>
        <v>3.5907367487228559E-2</v>
      </c>
      <c r="J238" s="336">
        <f>Gasto_o_ing_per_capita!J238-Gasto_o_ing_per_capita!$D238</f>
        <v>0.41830537125457479</v>
      </c>
      <c r="K238" s="336">
        <f>Gasto_o_ing_per_capita!K238-Gasto_o_ing_per_capita!$D238</f>
        <v>0.54539737064149407</v>
      </c>
      <c r="L238" s="336">
        <f>Gasto_o_ing_per_capita!L238-Gasto_o_ing_per_capita!$D238</f>
        <v>0.49740278961101492</v>
      </c>
      <c r="M238" s="336">
        <f>Gasto_o_ing_per_capita!M238-Gasto_o_ing_per_capita!$D238</f>
        <v>-0.42468772549330958</v>
      </c>
      <c r="N238" s="336">
        <f>Gasto_o_ing_per_capita!N238-Gasto_o_ing_per_capita!$D238</f>
        <v>-0.16884903568240861</v>
      </c>
      <c r="O238" s="336">
        <f>Gasto_o_ing_per_capita!O238-Gasto_o_ing_per_capita!$D238</f>
        <v>2.2318194505423827</v>
      </c>
      <c r="P238" s="336">
        <f>Gasto_o_ing_per_capita!P238-Gasto_o_ing_per_capita!$D238</f>
        <v>-0.32760080378623191</v>
      </c>
      <c r="Q238" s="336">
        <f>Gasto_o_ing_per_capita!Q238-Gasto_o_ing_per_capita!$D238</f>
        <v>-0.32889540100566694</v>
      </c>
      <c r="R238" s="336">
        <f>Gasto_o_ing_per_capita!R238-Gasto_o_ing_per_capita!$D238</f>
        <v>0.56460794067550024</v>
      </c>
      <c r="S238" s="336">
        <f>Gasto_o_ing_per_capita!S238-Gasto_o_ing_per_capita!$D238</f>
        <v>-3.48629120912336E-2</v>
      </c>
      <c r="T238" s="336">
        <f>Gasto_o_ing_per_capita!T238-Gasto_o_ing_per_capita!$D238</f>
        <v>-0.21405189287236182</v>
      </c>
      <c r="U238" s="336">
        <f>Gasto_o_ing_per_capita!U238-Gasto_o_ing_per_capita!$D238</f>
        <v>0.18128499703255962</v>
      </c>
      <c r="V238" s="336">
        <f>Gasto_o_ing_per_capita!V238-Gasto_o_ing_per_capita!$D238</f>
        <v>0.58711757190531721</v>
      </c>
      <c r="W238" s="155"/>
      <c r="X238" s="146"/>
    </row>
    <row r="239" spans="1:24" s="102" customFormat="1" ht="13.15">
      <c r="A239" s="355" t="str">
        <f>IF(B239="","",(IF(ISERROR(MATCH(B239,Tot_res!C:C,0)),"Eliminar!!!","")))</f>
        <v/>
      </c>
      <c r="B239" s="115" t="s">
        <v>257</v>
      </c>
      <c r="C239" s="333" t="str">
        <f>VLOOKUP(B239,Tot_res!C:D,2,FALSE)</f>
        <v>Gestión e infraestructuras del agua</v>
      </c>
      <c r="D239" s="336">
        <f>Gasto_o_ing_per_capita!D239-Gasto_o_ing_per_capita!$D239</f>
        <v>0</v>
      </c>
      <c r="E239" s="336">
        <f>Gasto_o_ing_per_capita!E239-Gasto_o_ing_per_capita!$D239</f>
        <v>2.1672696719850215</v>
      </c>
      <c r="F239" s="336">
        <f>Gasto_o_ing_per_capita!F239-Gasto_o_ing_per_capita!$D239</f>
        <v>49.602341908143245</v>
      </c>
      <c r="G239" s="336">
        <f>Gasto_o_ing_per_capita!G239-Gasto_o_ing_per_capita!$D239</f>
        <v>-13.196796322245579</v>
      </c>
      <c r="H239" s="336">
        <f>Gasto_o_ing_per_capita!H239-Gasto_o_ing_per_capita!$D239</f>
        <v>-15.823084147309359</v>
      </c>
      <c r="I239" s="336">
        <f>Gasto_o_ing_per_capita!I239-Gasto_o_ing_per_capita!$D239</f>
        <v>-8.0023849934237123</v>
      </c>
      <c r="J239" s="336">
        <f>Gasto_o_ing_per_capita!J239-Gasto_o_ing_per_capita!$D239</f>
        <v>-12.937003910642213</v>
      </c>
      <c r="K239" s="336">
        <f>Gasto_o_ing_per_capita!K239-Gasto_o_ing_per_capita!$D239</f>
        <v>18.783614770884274</v>
      </c>
      <c r="L239" s="336">
        <f>Gasto_o_ing_per_capita!L239-Gasto_o_ing_per_capita!$D239</f>
        <v>18.042588962582432</v>
      </c>
      <c r="M239" s="336">
        <f>Gasto_o_ing_per_capita!M239-Gasto_o_ing_per_capita!$D239</f>
        <v>-13.289182082001179</v>
      </c>
      <c r="N239" s="336">
        <f>Gasto_o_ing_per_capita!N239-Gasto_o_ing_per_capita!$D239</f>
        <v>-3.8931664937367714</v>
      </c>
      <c r="O239" s="336">
        <f>Gasto_o_ing_per_capita!O239-Gasto_o_ing_per_capita!$D239</f>
        <v>64.896632125307022</v>
      </c>
      <c r="P239" s="336">
        <f>Gasto_o_ing_per_capita!P239-Gasto_o_ing_per_capita!$D239</f>
        <v>-14.008205394902514</v>
      </c>
      <c r="Q239" s="336">
        <f>Gasto_o_ing_per_capita!Q239-Gasto_o_ing_per_capita!$D239</f>
        <v>-7.9128656492098148</v>
      </c>
      <c r="R239" s="336">
        <f>Gasto_o_ing_per_capita!R239-Gasto_o_ing_per_capita!$D239</f>
        <v>29.071019439054883</v>
      </c>
      <c r="S239" s="336">
        <f>Gasto_o_ing_per_capita!S239-Gasto_o_ing_per_capita!$D239</f>
        <v>3.403277489459029</v>
      </c>
      <c r="T239" s="336">
        <f>Gasto_o_ing_per_capita!T239-Gasto_o_ing_per_capita!$D239</f>
        <v>-11.925804424119088</v>
      </c>
      <c r="U239" s="336">
        <f>Gasto_o_ing_per_capita!U239-Gasto_o_ing_per_capita!$D239</f>
        <v>9.2598113234699326</v>
      </c>
      <c r="V239" s="336">
        <f>Gasto_o_ing_per_capita!V239-Gasto_o_ing_per_capita!$D239</f>
        <v>19.161307086590799</v>
      </c>
      <c r="W239" s="155"/>
      <c r="X239" s="145"/>
    </row>
    <row r="240" spans="1:24" s="102" customFormat="1" ht="13.15">
      <c r="A240" s="355" t="str">
        <f>IF(B240="","",(IF(ISERROR(MATCH(B240,Tot_res!C:C,0)),"Eliminar!!!","")))</f>
        <v/>
      </c>
      <c r="B240" s="115" t="s">
        <v>258</v>
      </c>
      <c r="C240" s="333" t="str">
        <f>VLOOKUP(B240,Tot_res!C:D,2,FALSE)</f>
        <v>Normativa y ordenac. territorial recursos hídricos</v>
      </c>
      <c r="D240" s="336">
        <f>Gasto_o_ing_per_capita!D240-Gasto_o_ing_per_capita!$D240</f>
        <v>0</v>
      </c>
      <c r="E240" s="336">
        <f>Gasto_o_ing_per_capita!E240-Gasto_o_ing_per_capita!$D240</f>
        <v>0</v>
      </c>
      <c r="F240" s="336">
        <f>Gasto_o_ing_per_capita!F240-Gasto_o_ing_per_capita!$D240</f>
        <v>0</v>
      </c>
      <c r="G240" s="336">
        <f>Gasto_o_ing_per_capita!G240-Gasto_o_ing_per_capita!$D240</f>
        <v>0</v>
      </c>
      <c r="H240" s="336">
        <f>Gasto_o_ing_per_capita!H240-Gasto_o_ing_per_capita!$D240</f>
        <v>0</v>
      </c>
      <c r="I240" s="336">
        <f>Gasto_o_ing_per_capita!I240-Gasto_o_ing_per_capita!$D240</f>
        <v>0</v>
      </c>
      <c r="J240" s="336">
        <f>Gasto_o_ing_per_capita!J240-Gasto_o_ing_per_capita!$D240</f>
        <v>0</v>
      </c>
      <c r="K240" s="336">
        <f>Gasto_o_ing_per_capita!K240-Gasto_o_ing_per_capita!$D240</f>
        <v>0</v>
      </c>
      <c r="L240" s="336">
        <f>Gasto_o_ing_per_capita!L240-Gasto_o_ing_per_capita!$D240</f>
        <v>0</v>
      </c>
      <c r="M240" s="336">
        <f>Gasto_o_ing_per_capita!M240-Gasto_o_ing_per_capita!$D240</f>
        <v>0</v>
      </c>
      <c r="N240" s="336">
        <f>Gasto_o_ing_per_capita!N240-Gasto_o_ing_per_capita!$D240</f>
        <v>0</v>
      </c>
      <c r="O240" s="336">
        <f>Gasto_o_ing_per_capita!O240-Gasto_o_ing_per_capita!$D240</f>
        <v>0</v>
      </c>
      <c r="P240" s="336">
        <f>Gasto_o_ing_per_capita!P240-Gasto_o_ing_per_capita!$D240</f>
        <v>0</v>
      </c>
      <c r="Q240" s="336">
        <f>Gasto_o_ing_per_capita!Q240-Gasto_o_ing_per_capita!$D240</f>
        <v>0</v>
      </c>
      <c r="R240" s="336">
        <f>Gasto_o_ing_per_capita!R240-Gasto_o_ing_per_capita!$D240</f>
        <v>0</v>
      </c>
      <c r="S240" s="336">
        <f>Gasto_o_ing_per_capita!S240-Gasto_o_ing_per_capita!$D240</f>
        <v>0</v>
      </c>
      <c r="T240" s="336">
        <f>Gasto_o_ing_per_capita!T240-Gasto_o_ing_per_capita!$D240</f>
        <v>0</v>
      </c>
      <c r="U240" s="336">
        <f>Gasto_o_ing_per_capita!U240-Gasto_o_ing_per_capita!$D240</f>
        <v>0</v>
      </c>
      <c r="V240" s="336">
        <f>Gasto_o_ing_per_capita!V240-Gasto_o_ing_per_capita!$D240</f>
        <v>0</v>
      </c>
      <c r="W240" s="155"/>
      <c r="X240" s="145"/>
    </row>
    <row r="241" spans="1:24" s="102" customFormat="1" ht="13.15">
      <c r="A241" s="355" t="str">
        <f>IF(B241="","",(IF(ISERROR(MATCH(B241,Tot_res!C:C,0)),"Eliminar!!!","")))</f>
        <v/>
      </c>
      <c r="B241" s="115" t="s">
        <v>259</v>
      </c>
      <c r="C241" s="333" t="str">
        <f>VLOOKUP(B241,Tot_res!C:D,2,FALSE)</f>
        <v>Infraestructura del transporte ferroviario + AF10 (no se ha hecho)</v>
      </c>
      <c r="D241" s="336">
        <f>Gasto_o_ing_per_capita!D241-Gasto_o_ing_per_capita!$D241</f>
        <v>0</v>
      </c>
      <c r="E241" s="336">
        <f>Gasto_o_ing_per_capita!E241-Gasto_o_ing_per_capita!$D241</f>
        <v>2.7528335632258041</v>
      </c>
      <c r="F241" s="336">
        <f>Gasto_o_ing_per_capita!F241-Gasto_o_ing_per_capita!$D241</f>
        <v>-1.282146923297093</v>
      </c>
      <c r="G241" s="336">
        <f>Gasto_o_ing_per_capita!G241-Gasto_o_ing_per_capita!$D241</f>
        <v>6.339082039498134E-2</v>
      </c>
      <c r="H241" s="336">
        <f>Gasto_o_ing_per_capita!H241-Gasto_o_ing_per_capita!$D241</f>
        <v>0.27217665262462098</v>
      </c>
      <c r="I241" s="336">
        <f>Gasto_o_ing_per_capita!I241-Gasto_o_ing_per_capita!$D241</f>
        <v>3.5133878837506658</v>
      </c>
      <c r="J241" s="336">
        <f>Gasto_o_ing_per_capita!J241-Gasto_o_ing_per_capita!$D241</f>
        <v>-1.4957367903741312</v>
      </c>
      <c r="K241" s="336">
        <f>Gasto_o_ing_per_capita!K241-Gasto_o_ing_per_capita!$D241</f>
        <v>-1.7284075272262309</v>
      </c>
      <c r="L241" s="336">
        <f>Gasto_o_ing_per_capita!L241-Gasto_o_ing_per_capita!$D241</f>
        <v>-1.786581036936203</v>
      </c>
      <c r="M241" s="336">
        <f>Gasto_o_ing_per_capita!M241-Gasto_o_ing_per_capita!$D241</f>
        <v>-1.5076779626913321</v>
      </c>
      <c r="N241" s="336">
        <f>Gasto_o_ing_per_capita!N241-Gasto_o_ing_per_capita!$D241</f>
        <v>-2.1462391647215431</v>
      </c>
      <c r="O241" s="336">
        <f>Gasto_o_ing_per_capita!O241-Gasto_o_ing_per_capita!$D241</f>
        <v>4.575418798046746</v>
      </c>
      <c r="P241" s="336">
        <f>Gasto_o_ing_per_capita!P241-Gasto_o_ing_per_capita!$D241</f>
        <v>-1.7876609225188549</v>
      </c>
      <c r="Q241" s="336">
        <f>Gasto_o_ing_per_capita!Q241-Gasto_o_ing_per_capita!$D241</f>
        <v>2.0102246988316135</v>
      </c>
      <c r="R241" s="336">
        <f>Gasto_o_ing_per_capita!R241-Gasto_o_ing_per_capita!$D241</f>
        <v>-2.0890045656338376</v>
      </c>
      <c r="S241" s="336">
        <f>Gasto_o_ing_per_capita!S241-Gasto_o_ing_per_capita!$D241</f>
        <v>-2.1327407726948717</v>
      </c>
      <c r="T241" s="336">
        <f>Gasto_o_ing_per_capita!T241-Gasto_o_ing_per_capita!$D241</f>
        <v>-2.4353887014892996</v>
      </c>
      <c r="U241" s="336">
        <f>Gasto_o_ing_per_capita!U241-Gasto_o_ing_per_capita!$D241</f>
        <v>-2.8345414624074676</v>
      </c>
      <c r="V241" s="336">
        <f>Gasto_o_ing_per_capita!V241-Gasto_o_ing_per_capita!$D241</f>
        <v>-3.1528565095950216</v>
      </c>
      <c r="W241" s="155"/>
      <c r="X241" s="145"/>
    </row>
    <row r="242" spans="1:24" s="102" customFormat="1" ht="13.15">
      <c r="A242" s="355" t="str">
        <f>IF(B242="","",(IF(ISERROR(MATCH(B242,Tot_res!C:C,0)),"Eliminar!!!","")))</f>
        <v/>
      </c>
      <c r="B242" s="115" t="s">
        <v>260</v>
      </c>
      <c r="C242" s="333" t="str">
        <f>VLOOKUP(B242,Tot_res!C:D,2,FALSE)</f>
        <v>Creación de infraestructura de carreteras + AF06/1</v>
      </c>
      <c r="D242" s="336">
        <f>Gasto_o_ing_per_capita!D242-Gasto_o_ing_per_capita!$D242</f>
        <v>0</v>
      </c>
      <c r="E242" s="336">
        <f>Gasto_o_ing_per_capita!E242-Gasto_o_ing_per_capita!$D242</f>
        <v>3.9410967493651299</v>
      </c>
      <c r="F242" s="336">
        <f>Gasto_o_ing_per_capita!F242-Gasto_o_ing_per_capita!$D242</f>
        <v>54.168382113840522</v>
      </c>
      <c r="G242" s="336">
        <f>Gasto_o_ing_per_capita!G242-Gasto_o_ing_per_capita!$D242</f>
        <v>76.044818052176524</v>
      </c>
      <c r="H242" s="336">
        <f>Gasto_o_ing_per_capita!H242-Gasto_o_ing_per_capita!$D242</f>
        <v>-33.702595674592679</v>
      </c>
      <c r="I242" s="336">
        <f>Gasto_o_ing_per_capita!I242-Gasto_o_ing_per_capita!$D242</f>
        <v>-9.6523018375916223</v>
      </c>
      <c r="J242" s="336">
        <f>Gasto_o_ing_per_capita!J242-Gasto_o_ing_per_capita!$D242</f>
        <v>56.502855623848603</v>
      </c>
      <c r="K242" s="336">
        <f>Gasto_o_ing_per_capita!K242-Gasto_o_ing_per_capita!$D242</f>
        <v>43.408727191312224</v>
      </c>
      <c r="L242" s="336">
        <f>Gasto_o_ing_per_capita!L242-Gasto_o_ing_per_capita!$D242</f>
        <v>9.3658564718452766</v>
      </c>
      <c r="M242" s="336">
        <f>Gasto_o_ing_per_capita!M242-Gasto_o_ing_per_capita!$D242</f>
        <v>-10.785961898075428</v>
      </c>
      <c r="N242" s="336">
        <f>Gasto_o_ing_per_capita!N242-Gasto_o_ing_per_capita!$D242</f>
        <v>-16.874093056477779</v>
      </c>
      <c r="O242" s="336">
        <f>Gasto_o_ing_per_capita!O242-Gasto_o_ing_per_capita!$D242</f>
        <v>-17.116365081875308</v>
      </c>
      <c r="P242" s="336">
        <f>Gasto_o_ing_per_capita!P242-Gasto_o_ing_per_capita!$D242</f>
        <v>20.321320560139519</v>
      </c>
      <c r="Q242" s="336">
        <f>Gasto_o_ing_per_capita!Q242-Gasto_o_ing_per_capita!$D242</f>
        <v>-25.555977351083357</v>
      </c>
      <c r="R242" s="336">
        <f>Gasto_o_ing_per_capita!R242-Gasto_o_ing_per_capita!$D242</f>
        <v>-14.066176977237941</v>
      </c>
      <c r="S242" s="336">
        <f>Gasto_o_ing_per_capita!S242-Gasto_o_ing_per_capita!$D242</f>
        <v>5.1164616569829562</v>
      </c>
      <c r="T242" s="336">
        <f>Gasto_o_ing_per_capita!T242-Gasto_o_ing_per_capita!$D242</f>
        <v>1.6614942829127628</v>
      </c>
      <c r="U242" s="336">
        <f>Gasto_o_ing_per_capita!U242-Gasto_o_ing_per_capita!$D242</f>
        <v>71.791511283830118</v>
      </c>
      <c r="V242" s="336">
        <f>Gasto_o_ing_per_capita!V242-Gasto_o_ing_per_capita!$D242</f>
        <v>-29.172844122382806</v>
      </c>
      <c r="W242" s="155"/>
      <c r="X242" s="146"/>
    </row>
    <row r="243" spans="1:24" s="102" customFormat="1" ht="13.15">
      <c r="A243" s="355" t="str">
        <f>IF(B243="","",(IF(ISERROR(MATCH(B243,Tot_res!C:C,0)),"Eliminar!!!","")))</f>
        <v/>
      </c>
      <c r="B243" s="115" t="s">
        <v>262</v>
      </c>
      <c r="C243" s="333" t="str">
        <f>VLOOKUP(B243,Tot_res!C:D,2,FALSE)</f>
        <v>Conservación y explotación de carreteras + AF07</v>
      </c>
      <c r="D243" s="336">
        <f>Gasto_o_ing_per_capita!D243-Gasto_o_ing_per_capita!$D243</f>
        <v>0</v>
      </c>
      <c r="E243" s="336">
        <f>Gasto_o_ing_per_capita!E243-Gasto_o_ing_per_capita!$D243</f>
        <v>-8.0239167229100286</v>
      </c>
      <c r="F243" s="336">
        <f>Gasto_o_ing_per_capita!F243-Gasto_o_ing_per_capita!$D243</f>
        <v>48.144684197391634</v>
      </c>
      <c r="G243" s="336">
        <f>Gasto_o_ing_per_capita!G243-Gasto_o_ing_per_capita!$D243</f>
        <v>5.076762323976201</v>
      </c>
      <c r="H243" s="336">
        <f>Gasto_o_ing_per_capita!H243-Gasto_o_ing_per_capita!$D243</f>
        <v>-20.836474077639938</v>
      </c>
      <c r="I243" s="336">
        <f>Gasto_o_ing_per_capita!I243-Gasto_o_ing_per_capita!$D243</f>
        <v>-20.53343259943539</v>
      </c>
      <c r="J243" s="336">
        <f>Gasto_o_ing_per_capita!J243-Gasto_o_ing_per_capita!$D243</f>
        <v>28.437598536572452</v>
      </c>
      <c r="K243" s="336">
        <f>Gasto_o_ing_per_capita!K243-Gasto_o_ing_per_capita!$D243</f>
        <v>42.351930017711702</v>
      </c>
      <c r="L243" s="336">
        <f>Gasto_o_ing_per_capita!L243-Gasto_o_ing_per_capita!$D243</f>
        <v>45.633025412010575</v>
      </c>
      <c r="M243" s="336">
        <f>Gasto_o_ing_per_capita!M243-Gasto_o_ing_per_capita!$D243</f>
        <v>-12.197143818690707</v>
      </c>
      <c r="N243" s="336">
        <f>Gasto_o_ing_per_capita!N243-Gasto_o_ing_per_capita!$D243</f>
        <v>-7.749492057408899</v>
      </c>
      <c r="O243" s="336">
        <f>Gasto_o_ing_per_capita!O243-Gasto_o_ing_per_capita!$D243</f>
        <v>1.748666567287799</v>
      </c>
      <c r="P243" s="336">
        <f>Gasto_o_ing_per_capita!P243-Gasto_o_ing_per_capita!$D243</f>
        <v>1.0068094212029024</v>
      </c>
      <c r="Q243" s="336">
        <f>Gasto_o_ing_per_capita!Q243-Gasto_o_ing_per_capita!$D243</f>
        <v>-5.4949747644694291</v>
      </c>
      <c r="R243" s="336">
        <f>Gasto_o_ing_per_capita!R243-Gasto_o_ing_per_capita!$D243</f>
        <v>0.10936145659007224</v>
      </c>
      <c r="S243" s="336">
        <f>Gasto_o_ing_per_capita!S243-Gasto_o_ing_per_capita!$D243</f>
        <v>4.5376074088189142</v>
      </c>
      <c r="T243" s="336">
        <f>Gasto_o_ing_per_capita!T243-Gasto_o_ing_per_capita!$D243</f>
        <v>2.403215386405698</v>
      </c>
      <c r="U243" s="336">
        <f>Gasto_o_ing_per_capita!U243-Gasto_o_ing_per_capita!$D243</f>
        <v>5.7227866935048013</v>
      </c>
      <c r="V243" s="336">
        <f>Gasto_o_ing_per_capita!V243-Gasto_o_ing_per_capita!$D243</f>
        <v>-13.278674529121622</v>
      </c>
      <c r="W243" s="155"/>
      <c r="X243" s="146"/>
    </row>
    <row r="244" spans="1:24" s="102" customFormat="1" ht="13.15">
      <c r="A244" s="355" t="str">
        <f>IF(B244="","",(IF(ISERROR(MATCH(B244,Tot_res!C:C,0)),"Eliminar!!!","")))</f>
        <v/>
      </c>
      <c r="B244" s="115" t="s">
        <v>264</v>
      </c>
      <c r="C244" s="333" t="str">
        <f>VLOOKUP(B244,Tot_res!C:D,2,FALSE)</f>
        <v>Ordenac. e inspección del transporte terrestre</v>
      </c>
      <c r="D244" s="336">
        <f>Gasto_o_ing_per_capita!D244-Gasto_o_ing_per_capita!$D244</f>
        <v>0</v>
      </c>
      <c r="E244" s="336">
        <f>Gasto_o_ing_per_capita!E244-Gasto_o_ing_per_capita!$D244</f>
        <v>-0.14610247383759029</v>
      </c>
      <c r="F244" s="336">
        <f>Gasto_o_ing_per_capita!F244-Gasto_o_ing_per_capita!$D244</f>
        <v>4.3281363527763905E-2</v>
      </c>
      <c r="G244" s="336">
        <f>Gasto_o_ing_per_capita!G244-Gasto_o_ing_per_capita!$D244</f>
        <v>0.11345904043223898</v>
      </c>
      <c r="H244" s="336">
        <f>Gasto_o_ing_per_capita!H244-Gasto_o_ing_per_capita!$D244</f>
        <v>-0.21974535864541891</v>
      </c>
      <c r="I244" s="336">
        <f>Gasto_o_ing_per_capita!I244-Gasto_o_ing_per_capita!$D244</f>
        <v>-0.28922268672641499</v>
      </c>
      <c r="J244" s="336">
        <f>Gasto_o_ing_per_capita!J244-Gasto_o_ing_per_capita!$D244</f>
        <v>0.12890816039733033</v>
      </c>
      <c r="K244" s="336">
        <f>Gasto_o_ing_per_capita!K244-Gasto_o_ing_per_capita!$D244</f>
        <v>0.17061775927746692</v>
      </c>
      <c r="L244" s="336">
        <f>Gasto_o_ing_per_capita!L244-Gasto_o_ing_per_capita!$D244</f>
        <v>-2.4959103232967073E-2</v>
      </c>
      <c r="M244" s="336">
        <f>Gasto_o_ing_per_capita!M244-Gasto_o_ing_per_capita!$D244</f>
        <v>0.15197020293818386</v>
      </c>
      <c r="N244" s="336">
        <f>Gasto_o_ing_per_capita!N244-Gasto_o_ing_per_capita!$D244</f>
        <v>-0.15347088443709822</v>
      </c>
      <c r="O244" s="336">
        <f>Gasto_o_ing_per_capita!O244-Gasto_o_ing_per_capita!$D244</f>
        <v>0.14122596828434719</v>
      </c>
      <c r="P244" s="336">
        <f>Gasto_o_ing_per_capita!P244-Gasto_o_ing_per_capita!$D244</f>
        <v>2.1762558975939594E-3</v>
      </c>
      <c r="Q244" s="336">
        <f>Gasto_o_ing_per_capita!Q244-Gasto_o_ing_per_capita!$D244</f>
        <v>-7.3569480906343077E-3</v>
      </c>
      <c r="R244" s="336">
        <f>Gasto_o_ing_per_capita!R244-Gasto_o_ing_per_capita!$D244</f>
        <v>2.4597373375279952E-2</v>
      </c>
      <c r="S244" s="336">
        <f>Gasto_o_ing_per_capita!S244-Gasto_o_ing_per_capita!$D244</f>
        <v>0.42073843667193633</v>
      </c>
      <c r="T244" s="336">
        <f>Gasto_o_ing_per_capita!T244-Gasto_o_ing_per_capita!$D244</f>
        <v>0.22526742775434683</v>
      </c>
      <c r="U244" s="336">
        <f>Gasto_o_ing_per_capita!U244-Gasto_o_ing_per_capita!$D244</f>
        <v>0.70476957881884839</v>
      </c>
      <c r="V244" s="336">
        <f>Gasto_o_ing_per_capita!V244-Gasto_o_ing_per_capita!$D244</f>
        <v>-0.32310386513498279</v>
      </c>
      <c r="W244" s="155"/>
      <c r="X244" s="146"/>
    </row>
    <row r="245" spans="1:24" s="102" customFormat="1" ht="13.15">
      <c r="A245" s="355" t="str">
        <f>IF(B245="","",(IF(ISERROR(MATCH(B245,Tot_res!C:C,0)),"Eliminar!!!","")))</f>
        <v/>
      </c>
      <c r="B245" s="115" t="s">
        <v>265</v>
      </c>
      <c r="C245" s="333" t="str">
        <f>VLOOKUP(B245,Tot_res!C:D,2,FALSE)</f>
        <v>Seguridad tráfico marítimo y vigilancia costera</v>
      </c>
      <c r="D245" s="336">
        <f>Gasto_o_ing_per_capita!D245-Gasto_o_ing_per_capita!$D245</f>
        <v>0</v>
      </c>
      <c r="E245" s="336">
        <f>Gasto_o_ing_per_capita!E245-Gasto_o_ing_per_capita!$D245</f>
        <v>-0.27388273315803402</v>
      </c>
      <c r="F245" s="336">
        <f>Gasto_o_ing_per_capita!F245-Gasto_o_ing_per_capita!$D245</f>
        <v>0.64296291424077667</v>
      </c>
      <c r="G245" s="336">
        <f>Gasto_o_ing_per_capita!G245-Gasto_o_ing_per_capita!$D245</f>
        <v>-0.12866188986683913</v>
      </c>
      <c r="H245" s="336">
        <f>Gasto_o_ing_per_capita!H245-Gasto_o_ing_per_capita!$D245</f>
        <v>-0.28939677585897516</v>
      </c>
      <c r="I245" s="336">
        <f>Gasto_o_ing_per_capita!I245-Gasto_o_ing_per_capita!$D245</f>
        <v>0.13597010715968127</v>
      </c>
      <c r="J245" s="336">
        <f>Gasto_o_ing_per_capita!J245-Gasto_o_ing_per_capita!$D245</f>
        <v>0.1796929771674074</v>
      </c>
      <c r="K245" s="336">
        <f>Gasto_o_ing_per_capita!K245-Gasto_o_ing_per_capita!$D245</f>
        <v>0.12343966907207471</v>
      </c>
      <c r="L245" s="336">
        <f>Gasto_o_ing_per_capita!L245-Gasto_o_ing_per_capita!$D245</f>
        <v>-6.1066403832305216E-2</v>
      </c>
      <c r="M245" s="336">
        <f>Gasto_o_ing_per_capita!M245-Gasto_o_ing_per_capita!$D245</f>
        <v>0.1784503275028817</v>
      </c>
      <c r="N245" s="336">
        <f>Gasto_o_ing_per_capita!N245-Gasto_o_ing_per_capita!$D245</f>
        <v>-0.18184136241562998</v>
      </c>
      <c r="O245" s="336">
        <f>Gasto_o_ing_per_capita!O245-Gasto_o_ing_per_capita!$D245</f>
        <v>-0.4261158993288674</v>
      </c>
      <c r="P245" s="336">
        <f>Gasto_o_ing_per_capita!P245-Gasto_o_ing_per_capita!$D245</f>
        <v>-0.10695427635194765</v>
      </c>
      <c r="Q245" s="336">
        <f>Gasto_o_ing_per_capita!Q245-Gasto_o_ing_per_capita!$D245</f>
        <v>-4.9264957901150153E-2</v>
      </c>
      <c r="R245" s="336">
        <f>Gasto_o_ing_per_capita!R245-Gasto_o_ing_per_capita!$D245</f>
        <v>0.23592333843365587</v>
      </c>
      <c r="S245" s="336">
        <f>Gasto_o_ing_per_capita!S245-Gasto_o_ing_per_capita!$D245</f>
        <v>1.0317666468263167</v>
      </c>
      <c r="T245" s="336">
        <f>Gasto_o_ing_per_capita!T245-Gasto_o_ing_per_capita!$D245</f>
        <v>0.29274344807290453</v>
      </c>
      <c r="U245" s="336">
        <f>Gasto_o_ing_per_capita!U245-Gasto_o_ing_per_capita!$D245</f>
        <v>0.70428588892764732</v>
      </c>
      <c r="V245" s="336">
        <f>Gasto_o_ing_per_capita!V245-Gasto_o_ing_per_capita!$D245</f>
        <v>0.66175663613988789</v>
      </c>
      <c r="W245" s="155"/>
      <c r="X245" s="146"/>
    </row>
    <row r="246" spans="1:24" s="102" customFormat="1" ht="13.15">
      <c r="A246" s="355" t="str">
        <f>IF(B246="","",(IF(ISERROR(MATCH(B246,Tot_res!C:C,0)),"Eliminar!!!","")))</f>
        <v/>
      </c>
      <c r="B246" s="115" t="s">
        <v>266</v>
      </c>
      <c r="C246" s="333" t="str">
        <f>VLOOKUP(B246,Tot_res!C:D,2,FALSE)</f>
        <v>Regulación y supervisción de la aviación civil</v>
      </c>
      <c r="D246" s="336">
        <f>Gasto_o_ing_per_capita!D246-Gasto_o_ing_per_capita!$D246</f>
        <v>0</v>
      </c>
      <c r="E246" s="336">
        <f>Gasto_o_ing_per_capita!E246-Gasto_o_ing_per_capita!$D246</f>
        <v>-0.15049084024216219</v>
      </c>
      <c r="F246" s="336">
        <f>Gasto_o_ing_per_capita!F246-Gasto_o_ing_per_capita!$D246</f>
        <v>-2.4191751277087947E-2</v>
      </c>
      <c r="G246" s="336">
        <f>Gasto_o_ing_per_capita!G246-Gasto_o_ing_per_capita!$D246</f>
        <v>-2.9251274635369029E-3</v>
      </c>
      <c r="H246" s="336">
        <f>Gasto_o_ing_per_capita!H246-Gasto_o_ing_per_capita!$D246</f>
        <v>0.62995029249257151</v>
      </c>
      <c r="I246" s="336">
        <f>Gasto_o_ing_per_capita!I246-Gasto_o_ing_per_capita!$D246</f>
        <v>0.31753902460028094</v>
      </c>
      <c r="J246" s="336">
        <f>Gasto_o_ing_per_capita!J246-Gasto_o_ing_per_capita!$D246</f>
        <v>6.1342438447407055E-3</v>
      </c>
      <c r="K246" s="336">
        <f>Gasto_o_ing_per_capita!K246-Gasto_o_ing_per_capita!$D246</f>
        <v>-0.19903715017188517</v>
      </c>
      <c r="L246" s="336">
        <f>Gasto_o_ing_per_capita!L246-Gasto_o_ing_per_capita!$D246</f>
        <v>-0.10024175723902262</v>
      </c>
      <c r="M246" s="336">
        <f>Gasto_o_ing_per_capita!M246-Gasto_o_ing_per_capita!$D246</f>
        <v>0.12960793610998356</v>
      </c>
      <c r="N246" s="336">
        <f>Gasto_o_ing_per_capita!N246-Gasto_o_ing_per_capita!$D246</f>
        <v>-7.9634299908039496E-2</v>
      </c>
      <c r="O246" s="336">
        <f>Gasto_o_ing_per_capita!O246-Gasto_o_ing_per_capita!$D246</f>
        <v>-0.20505970726349632</v>
      </c>
      <c r="P246" s="336">
        <f>Gasto_o_ing_per_capita!P246-Gasto_o_ing_per_capita!$D246</f>
        <v>-0.12189570879823819</v>
      </c>
      <c r="Q246" s="336">
        <f>Gasto_o_ing_per_capita!Q246-Gasto_o_ing_per_capita!$D246</f>
        <v>0.11377228863711242</v>
      </c>
      <c r="R246" s="336">
        <f>Gasto_o_ing_per_capita!R246-Gasto_o_ing_per_capita!$D246</f>
        <v>-0.12205668911906065</v>
      </c>
      <c r="S246" s="336">
        <f>Gasto_o_ing_per_capita!S246-Gasto_o_ing_per_capita!$D246</f>
        <v>2.6103914913719883E-3</v>
      </c>
      <c r="T246" s="336">
        <f>Gasto_o_ing_per_capita!T246-Gasto_o_ing_per_capita!$D246</f>
        <v>3.8919049986440468E-2</v>
      </c>
      <c r="U246" s="336">
        <f>Gasto_o_ing_per_capita!U246-Gasto_o_ing_per_capita!$D246</f>
        <v>-8.49831481668748E-2</v>
      </c>
      <c r="V246" s="336">
        <f>Gasto_o_ing_per_capita!V246-Gasto_o_ing_per_capita!$D246</f>
        <v>6.2799093086402635E-2</v>
      </c>
      <c r="W246" s="155"/>
      <c r="X246" s="145"/>
    </row>
    <row r="247" spans="1:24" s="102" customFormat="1" ht="13.15">
      <c r="A247" s="355" t="str">
        <f>IF(B247="","",(IF(ISERROR(MATCH(B247,Tot_res!C:C,0)),"Eliminar!!!","")))</f>
        <v/>
      </c>
      <c r="B247" s="115" t="s">
        <v>267</v>
      </c>
      <c r="C247" s="333" t="str">
        <f>VLOOKUP(B247,Tot_res!C:D,2,FALSE)</f>
        <v>Calidad del agua</v>
      </c>
      <c r="D247" s="336">
        <f>Gasto_o_ing_per_capita!D247-Gasto_o_ing_per_capita!$D247</f>
        <v>0</v>
      </c>
      <c r="E247" s="336">
        <f>Gasto_o_ing_per_capita!E247-Gasto_o_ing_per_capita!$D247</f>
        <v>-2.1475414671922102</v>
      </c>
      <c r="F247" s="336">
        <f>Gasto_o_ing_per_capita!F247-Gasto_o_ing_per_capita!$D247</f>
        <v>7.3121048690660269</v>
      </c>
      <c r="G247" s="336">
        <f>Gasto_o_ing_per_capita!G247-Gasto_o_ing_per_capita!$D247</f>
        <v>20.618170734875161</v>
      </c>
      <c r="H247" s="336">
        <f>Gasto_o_ing_per_capita!H247-Gasto_o_ing_per_capita!$D247</f>
        <v>-2.8519348173084706</v>
      </c>
      <c r="I247" s="336">
        <f>Gasto_o_ing_per_capita!I247-Gasto_o_ing_per_capita!$D247</f>
        <v>0.93617166489614334</v>
      </c>
      <c r="J247" s="336">
        <f>Gasto_o_ing_per_capita!J247-Gasto_o_ing_per_capita!$D247</f>
        <v>32.515288008117821</v>
      </c>
      <c r="K247" s="336">
        <f>Gasto_o_ing_per_capita!K247-Gasto_o_ing_per_capita!$D247</f>
        <v>-2.4868139915528236</v>
      </c>
      <c r="L247" s="336">
        <f>Gasto_o_ing_per_capita!L247-Gasto_o_ing_per_capita!$D247</f>
        <v>-2.7082044259787574</v>
      </c>
      <c r="M247" s="336">
        <f>Gasto_o_ing_per_capita!M247-Gasto_o_ing_per_capita!$D247</f>
        <v>-2.8045613659471815</v>
      </c>
      <c r="N247" s="336">
        <f>Gasto_o_ing_per_capita!N247-Gasto_o_ing_per_capita!$D247</f>
        <v>-2.8292100058051082</v>
      </c>
      <c r="O247" s="336">
        <f>Gasto_o_ing_per_capita!O247-Gasto_o_ing_per_capita!$D247</f>
        <v>26.146397878536586</v>
      </c>
      <c r="P247" s="336">
        <f>Gasto_o_ing_per_capita!P247-Gasto_o_ing_per_capita!$D247</f>
        <v>0.76619957679827211</v>
      </c>
      <c r="Q247" s="336">
        <f>Gasto_o_ing_per_capita!Q247-Gasto_o_ing_per_capita!$D247</f>
        <v>-2.7872201479661007</v>
      </c>
      <c r="R247" s="336">
        <f>Gasto_o_ing_per_capita!R247-Gasto_o_ing_per_capita!$D247</f>
        <v>-2.841735305814467</v>
      </c>
      <c r="S247" s="336">
        <f>Gasto_o_ing_per_capita!S247-Gasto_o_ing_per_capita!$D247</f>
        <v>-2.641900280200733</v>
      </c>
      <c r="T247" s="336">
        <f>Gasto_o_ing_per_capita!T247-Gasto_o_ing_per_capita!$D247</f>
        <v>3.6037847685220354</v>
      </c>
      <c r="U247" s="336">
        <f>Gasto_o_ing_per_capita!U247-Gasto_o_ing_per_capita!$D247</f>
        <v>-2.5427849528251758</v>
      </c>
      <c r="V247" s="336">
        <f>Gasto_o_ing_per_capita!V247-Gasto_o_ing_per_capita!$D247</f>
        <v>9.5530465314109705</v>
      </c>
      <c r="W247" s="155"/>
      <c r="X247" s="145"/>
    </row>
    <row r="248" spans="1:24" s="102" customFormat="1" ht="13.15">
      <c r="A248" s="355" t="str">
        <f>IF(B248="","",(IF(ISERROR(MATCH(B248,Tot_res!C:C,0)),"Eliminar!!!","")))</f>
        <v/>
      </c>
      <c r="B248" s="115" t="s">
        <v>269</v>
      </c>
      <c r="C248" s="333" t="str">
        <f>VLOOKUP(B248,Tot_res!C:D,2,FALSE)</f>
        <v>Protección y mejora del medio ambiente</v>
      </c>
      <c r="D248" s="336">
        <f>Gasto_o_ing_per_capita!D248-Gasto_o_ing_per_capita!$D248</f>
        <v>0</v>
      </c>
      <c r="E248" s="336">
        <f>Gasto_o_ing_per_capita!E248-Gasto_o_ing_per_capita!$D248</f>
        <v>1.6729934514418565E-2</v>
      </c>
      <c r="F248" s="336">
        <f>Gasto_o_ing_per_capita!F248-Gasto_o_ing_per_capita!$D248</f>
        <v>-7.8778895128028825E-3</v>
      </c>
      <c r="G248" s="336">
        <f>Gasto_o_ing_per_capita!G248-Gasto_o_ing_per_capita!$D248</f>
        <v>-7.8778895128028825E-3</v>
      </c>
      <c r="H248" s="336">
        <f>Gasto_o_ing_per_capita!H248-Gasto_o_ing_per_capita!$D248</f>
        <v>-7.877889512802938E-3</v>
      </c>
      <c r="I248" s="336">
        <f>Gasto_o_ing_per_capita!I248-Gasto_o_ing_per_capita!$D248</f>
        <v>-7.8778895128028825E-3</v>
      </c>
      <c r="J248" s="336">
        <f>Gasto_o_ing_per_capita!J248-Gasto_o_ing_per_capita!$D248</f>
        <v>-7.8778895128028825E-3</v>
      </c>
      <c r="K248" s="336">
        <f>Gasto_o_ing_per_capita!K248-Gasto_o_ing_per_capita!$D248</f>
        <v>-7.8778895128028825E-3</v>
      </c>
      <c r="L248" s="336">
        <f>Gasto_o_ing_per_capita!L248-Gasto_o_ing_per_capita!$D248</f>
        <v>-7.8778895128028825E-3</v>
      </c>
      <c r="M248" s="336">
        <f>Gasto_o_ing_per_capita!M248-Gasto_o_ing_per_capita!$D248</f>
        <v>-3.8971438488135113E-3</v>
      </c>
      <c r="N248" s="336">
        <f>Gasto_o_ing_per_capita!N248-Gasto_o_ing_per_capita!$D248</f>
        <v>-7.8778895128028825E-3</v>
      </c>
      <c r="O248" s="336">
        <f>Gasto_o_ing_per_capita!O248-Gasto_o_ing_per_capita!$D248</f>
        <v>-7.877889512802938E-3</v>
      </c>
      <c r="P248" s="336">
        <f>Gasto_o_ing_per_capita!P248-Gasto_o_ing_per_capita!$D248</f>
        <v>-7.877889512802938E-3</v>
      </c>
      <c r="Q248" s="336">
        <f>Gasto_o_ing_per_capita!Q248-Gasto_o_ing_per_capita!$D248</f>
        <v>1.2607284569557453E-2</v>
      </c>
      <c r="R248" s="336">
        <f>Gasto_o_ing_per_capita!R248-Gasto_o_ing_per_capita!$D248</f>
        <v>-7.877889512802938E-3</v>
      </c>
      <c r="S248" s="336">
        <f>Gasto_o_ing_per_capita!S248-Gasto_o_ing_per_capita!$D248</f>
        <v>-7.8778895128028825E-3</v>
      </c>
      <c r="T248" s="336">
        <f>Gasto_o_ing_per_capita!T248-Gasto_o_ing_per_capita!$D248</f>
        <v>-7.8778895128028825E-3</v>
      </c>
      <c r="U248" s="336">
        <f>Gasto_o_ing_per_capita!U248-Gasto_o_ing_per_capita!$D248</f>
        <v>-7.8778895128028825E-3</v>
      </c>
      <c r="V248" s="336">
        <f>Gasto_o_ing_per_capita!V248-Gasto_o_ing_per_capita!$D248</f>
        <v>-7.877889512802938E-3</v>
      </c>
      <c r="W248" s="155"/>
      <c r="X248" s="146"/>
    </row>
    <row r="249" spans="1:24" s="102" customFormat="1" ht="13.15">
      <c r="A249" s="355" t="str">
        <f>IF(B249="","",(IF(ISERROR(MATCH(B249,Tot_res!C:C,0)),"Eliminar!!!","")))</f>
        <v/>
      </c>
      <c r="B249" s="115" t="s">
        <v>271</v>
      </c>
      <c r="C249" s="333" t="str">
        <f>VLOOKUP(B249,Tot_res!C:D,2,FALSE)</f>
        <v>Protección y mejora del medio natural + AF09</v>
      </c>
      <c r="D249" s="336">
        <f>Gasto_o_ing_per_capita!D249-Gasto_o_ing_per_capita!$D249</f>
        <v>0</v>
      </c>
      <c r="E249" s="336">
        <f>Gasto_o_ing_per_capita!E249-Gasto_o_ing_per_capita!$D249</f>
        <v>-1.174065161861729</v>
      </c>
      <c r="F249" s="336">
        <f>Gasto_o_ing_per_capita!F249-Gasto_o_ing_per_capita!$D249</f>
        <v>0.93722583574941121</v>
      </c>
      <c r="G249" s="336">
        <f>Gasto_o_ing_per_capita!G249-Gasto_o_ing_per_capita!$D249</f>
        <v>2.9401242741579883</v>
      </c>
      <c r="H249" s="336">
        <f>Gasto_o_ing_per_capita!H249-Gasto_o_ing_per_capita!$D249</f>
        <v>-1.4941712688303888</v>
      </c>
      <c r="I249" s="336">
        <f>Gasto_o_ing_per_capita!I249-Gasto_o_ing_per_capita!$D249</f>
        <v>0.86312475194051919</v>
      </c>
      <c r="J249" s="336">
        <f>Gasto_o_ing_per_capita!J249-Gasto_o_ing_per_capita!$D249</f>
        <v>-1.3253025898825168</v>
      </c>
      <c r="K249" s="336">
        <f>Gasto_o_ing_per_capita!K249-Gasto_o_ing_per_capita!$D249</f>
        <v>6.5081369152066202</v>
      </c>
      <c r="L249" s="336">
        <f>Gasto_o_ing_per_capita!L249-Gasto_o_ing_per_capita!$D249</f>
        <v>7.7948868761069097</v>
      </c>
      <c r="M249" s="336">
        <f>Gasto_o_ing_per_capita!M249-Gasto_o_ing_per_capita!$D249</f>
        <v>-1.6065079996797218</v>
      </c>
      <c r="N249" s="336">
        <f>Gasto_o_ing_per_capita!N249-Gasto_o_ing_per_capita!$D249</f>
        <v>-1.3563388383245187</v>
      </c>
      <c r="O249" s="336">
        <f>Gasto_o_ing_per_capita!O249-Gasto_o_ing_per_capita!$D249</f>
        <v>6.3337696951465805</v>
      </c>
      <c r="P249" s="336">
        <f>Gasto_o_ing_per_capita!P249-Gasto_o_ing_per_capita!$D249</f>
        <v>-0.32314891265861823</v>
      </c>
      <c r="Q249" s="336">
        <f>Gasto_o_ing_per_capita!Q249-Gasto_o_ing_per_capita!$D249</f>
        <v>-1.6577402264173409</v>
      </c>
      <c r="R249" s="336">
        <f>Gasto_o_ing_per_capita!R249-Gasto_o_ing_per_capita!$D249</f>
        <v>-1.0063087721989605</v>
      </c>
      <c r="S249" s="336">
        <f>Gasto_o_ing_per_capita!S249-Gasto_o_ing_per_capita!$D249</f>
        <v>-0.49165871202848255</v>
      </c>
      <c r="T249" s="336">
        <f>Gasto_o_ing_per_capita!T249-Gasto_o_ing_per_capita!$D249</f>
        <v>-0.4631837704398194</v>
      </c>
      <c r="U249" s="336">
        <f>Gasto_o_ing_per_capita!U249-Gasto_o_ing_per_capita!$D249</f>
        <v>0.91698038901436574</v>
      </c>
      <c r="V249" s="336">
        <f>Gasto_o_ing_per_capita!V249-Gasto_o_ing_per_capita!$D249</f>
        <v>-2.1282835206869679</v>
      </c>
      <c r="W249" s="155"/>
      <c r="X249" s="146"/>
    </row>
    <row r="250" spans="1:24" s="102" customFormat="1" ht="13.15">
      <c r="A250" s="355" t="str">
        <f>IF(B250="","",(IF(ISERROR(MATCH(B250,Tot_res!C:C,0)),"Eliminar!!!","")))</f>
        <v/>
      </c>
      <c r="B250" s="115" t="s">
        <v>273</v>
      </c>
      <c r="C250" s="333" t="str">
        <f>VLOOKUP(B250,Tot_res!C:D,2,FALSE)</f>
        <v>Actuación en la costa</v>
      </c>
      <c r="D250" s="336">
        <f>Gasto_o_ing_per_capita!D250-Gasto_o_ing_per_capita!$D250</f>
        <v>0</v>
      </c>
      <c r="E250" s="336">
        <f>Gasto_o_ing_per_capita!E250-Gasto_o_ing_per_capita!$D250</f>
        <v>-0.58998649303058359</v>
      </c>
      <c r="F250" s="336">
        <f>Gasto_o_ing_per_capita!F250-Gasto_o_ing_per_capita!$D250</f>
        <v>-1.0865677009344861</v>
      </c>
      <c r="G250" s="336">
        <f>Gasto_o_ing_per_capita!G250-Gasto_o_ing_per_capita!$D250</f>
        <v>-0.17595193707695467</v>
      </c>
      <c r="H250" s="336">
        <f>Gasto_o_ing_per_capita!H250-Gasto_o_ing_per_capita!$D250</f>
        <v>9.4530372114000505E-2</v>
      </c>
      <c r="I250" s="336">
        <f>Gasto_o_ing_per_capita!I250-Gasto_o_ing_per_capita!$D250</f>
        <v>8.4378682390326656</v>
      </c>
      <c r="J250" s="336">
        <f>Gasto_o_ing_per_capita!J250-Gasto_o_ing_per_capita!$D250</f>
        <v>0.34728492074759143</v>
      </c>
      <c r="K250" s="336">
        <f>Gasto_o_ing_per_capita!K250-Gasto_o_ing_per_capita!$D250</f>
        <v>-1.1173292070122012</v>
      </c>
      <c r="L250" s="336">
        <f>Gasto_o_ing_per_capita!L250-Gasto_o_ing_per_capita!$D250</f>
        <v>-1.1438728953531536</v>
      </c>
      <c r="M250" s="336">
        <f>Gasto_o_ing_per_capita!M250-Gasto_o_ing_per_capita!$D250</f>
        <v>-0.5985541461806716</v>
      </c>
      <c r="N250" s="336">
        <f>Gasto_o_ing_per_capita!N250-Gasto_o_ing_per_capita!$D250</f>
        <v>1.5505355358486284</v>
      </c>
      <c r="O250" s="336">
        <f>Gasto_o_ing_per_capita!O250-Gasto_o_ing_per_capita!$D250</f>
        <v>-1.1635740711920621</v>
      </c>
      <c r="P250" s="336">
        <f>Gasto_o_ing_per_capita!P250-Gasto_o_ing_per_capita!$D250</f>
        <v>0.24287575884922363</v>
      </c>
      <c r="Q250" s="336">
        <f>Gasto_o_ing_per_capita!Q250-Gasto_o_ing_per_capita!$D250</f>
        <v>-1.0403429975670981</v>
      </c>
      <c r="R250" s="336">
        <f>Gasto_o_ing_per_capita!R250-Gasto_o_ing_per_capita!$D250</f>
        <v>-0.3613980992600232</v>
      </c>
      <c r="S250" s="336">
        <f>Gasto_o_ing_per_capita!S250-Gasto_o_ing_per_capita!$D250</f>
        <v>-1.0636943786145665</v>
      </c>
      <c r="T250" s="336">
        <f>Gasto_o_ing_per_capita!T250-Gasto_o_ing_per_capita!$D250</f>
        <v>-0.28323218540094852</v>
      </c>
      <c r="U250" s="336">
        <f>Gasto_o_ing_per_capita!U250-Gasto_o_ing_per_capita!$D250</f>
        <v>-1.0933038898219654</v>
      </c>
      <c r="V250" s="336">
        <f>Gasto_o_ing_per_capita!V250-Gasto_o_ing_per_capita!$D250</f>
        <v>-0.76114818318816502</v>
      </c>
      <c r="W250" s="155"/>
      <c r="X250" s="145"/>
    </row>
    <row r="251" spans="1:24" s="102" customFormat="1" ht="13.15">
      <c r="A251" s="355" t="str">
        <f>IF(B251="","",(IF(ISERROR(MATCH(B251,Tot_res!C:C,0)),"Eliminar!!!","")))</f>
        <v/>
      </c>
      <c r="B251" s="115" t="s">
        <v>275</v>
      </c>
      <c r="C251" s="333" t="str">
        <f>VLOOKUP(B251,Tot_res!C:D,2,FALSE)</f>
        <v>Actuac. prevención contaminac. y cambio climático</v>
      </c>
      <c r="D251" s="336">
        <f>Gasto_o_ing_per_capita!D251-Gasto_o_ing_per_capita!$D251</f>
        <v>0</v>
      </c>
      <c r="E251" s="336">
        <f>Gasto_o_ing_per_capita!E251-Gasto_o_ing_per_capita!$D251</f>
        <v>0</v>
      </c>
      <c r="F251" s="336">
        <f>Gasto_o_ing_per_capita!F251-Gasto_o_ing_per_capita!$D251</f>
        <v>0</v>
      </c>
      <c r="G251" s="336">
        <f>Gasto_o_ing_per_capita!G251-Gasto_o_ing_per_capita!$D251</f>
        <v>0</v>
      </c>
      <c r="H251" s="336">
        <f>Gasto_o_ing_per_capita!H251-Gasto_o_ing_per_capita!$D251</f>
        <v>0</v>
      </c>
      <c r="I251" s="336">
        <f>Gasto_o_ing_per_capita!I251-Gasto_o_ing_per_capita!$D251</f>
        <v>0</v>
      </c>
      <c r="J251" s="336">
        <f>Gasto_o_ing_per_capita!J251-Gasto_o_ing_per_capita!$D251</f>
        <v>0</v>
      </c>
      <c r="K251" s="336">
        <f>Gasto_o_ing_per_capita!K251-Gasto_o_ing_per_capita!$D251</f>
        <v>0</v>
      </c>
      <c r="L251" s="336">
        <f>Gasto_o_ing_per_capita!L251-Gasto_o_ing_per_capita!$D251</f>
        <v>0</v>
      </c>
      <c r="M251" s="336">
        <f>Gasto_o_ing_per_capita!M251-Gasto_o_ing_per_capita!$D251</f>
        <v>0</v>
      </c>
      <c r="N251" s="336">
        <f>Gasto_o_ing_per_capita!N251-Gasto_o_ing_per_capita!$D251</f>
        <v>0</v>
      </c>
      <c r="O251" s="336">
        <f>Gasto_o_ing_per_capita!O251-Gasto_o_ing_per_capita!$D251</f>
        <v>0</v>
      </c>
      <c r="P251" s="336">
        <f>Gasto_o_ing_per_capita!P251-Gasto_o_ing_per_capita!$D251</f>
        <v>0</v>
      </c>
      <c r="Q251" s="336">
        <f>Gasto_o_ing_per_capita!Q251-Gasto_o_ing_per_capita!$D251</f>
        <v>0</v>
      </c>
      <c r="R251" s="336">
        <f>Gasto_o_ing_per_capita!R251-Gasto_o_ing_per_capita!$D251</f>
        <v>0</v>
      </c>
      <c r="S251" s="336">
        <f>Gasto_o_ing_per_capita!S251-Gasto_o_ing_per_capita!$D251</f>
        <v>0</v>
      </c>
      <c r="T251" s="336">
        <f>Gasto_o_ing_per_capita!T251-Gasto_o_ing_per_capita!$D251</f>
        <v>0</v>
      </c>
      <c r="U251" s="336">
        <f>Gasto_o_ing_per_capita!U251-Gasto_o_ing_per_capita!$D251</f>
        <v>0</v>
      </c>
      <c r="V251" s="336">
        <f>Gasto_o_ing_per_capita!V251-Gasto_o_ing_per_capita!$D251</f>
        <v>0</v>
      </c>
      <c r="W251" s="155"/>
      <c r="X251" s="145"/>
    </row>
    <row r="252" spans="1:24" s="102" customFormat="1" ht="13.15">
      <c r="A252" s="355" t="str">
        <f>IF(B252="","",(IF(ISERROR(MATCH(B252,Tot_res!C:C,0)),"Eliminar!!!","")))</f>
        <v/>
      </c>
      <c r="B252" s="115" t="s">
        <v>276</v>
      </c>
      <c r="C252" s="333" t="str">
        <f>VLOOKUP(B252,Tot_res!C:D,2,FALSE)</f>
        <v>Investigación, desarrollo y experimentación en transporte e infraestructuras</v>
      </c>
      <c r="D252" s="336">
        <f>Gasto_o_ing_per_capita!D252-Gasto_o_ing_per_capita!$D252</f>
        <v>0</v>
      </c>
      <c r="E252" s="336">
        <f>Gasto_o_ing_per_capita!E252-Gasto_o_ing_per_capita!$D252</f>
        <v>-1.0207565935255914E-3</v>
      </c>
      <c r="F252" s="336">
        <f>Gasto_o_ing_per_capita!F252-Gasto_o_ing_per_capita!$D252</f>
        <v>3.4900257721690248E-3</v>
      </c>
      <c r="G252" s="336">
        <f>Gasto_o_ing_per_capita!G252-Gasto_o_ing_per_capita!$D252</f>
        <v>3.4099308823234238E-3</v>
      </c>
      <c r="H252" s="336">
        <f>Gasto_o_ing_per_capita!H252-Gasto_o_ing_per_capita!$D252</f>
        <v>-3.4526722070844069E-3</v>
      </c>
      <c r="I252" s="336">
        <f>Gasto_o_ing_per_capita!I252-Gasto_o_ing_per_capita!$D252</f>
        <v>-1.304436019186696E-3</v>
      </c>
      <c r="J252" s="336">
        <f>Gasto_o_ing_per_capita!J252-Gasto_o_ing_per_capita!$D252</f>
        <v>3.1035895569014411E-3</v>
      </c>
      <c r="K252" s="336">
        <f>Gasto_o_ing_per_capita!K252-Gasto_o_ing_per_capita!$D252</f>
        <v>5.7193824809128697E-3</v>
      </c>
      <c r="L252" s="336">
        <f>Gasto_o_ing_per_capita!L252-Gasto_o_ing_per_capita!$D252</f>
        <v>2.4710747503244972E-3</v>
      </c>
      <c r="M252" s="336">
        <f>Gasto_o_ing_per_capita!M252-Gasto_o_ing_per_capita!$D252</f>
        <v>-1.149404748159322E-3</v>
      </c>
      <c r="N252" s="336">
        <f>Gasto_o_ing_per_capita!N252-Gasto_o_ing_per_capita!$D252</f>
        <v>-1.2850868673808607E-3</v>
      </c>
      <c r="O252" s="336">
        <f>Gasto_o_ing_per_capita!O252-Gasto_o_ing_per_capita!$D252</f>
        <v>3.0095387461583434E-3</v>
      </c>
      <c r="P252" s="336">
        <f>Gasto_o_ing_per_capita!P252-Gasto_o_ing_per_capita!$D252</f>
        <v>1.5272665890518978E-3</v>
      </c>
      <c r="Q252" s="336">
        <f>Gasto_o_ing_per_capita!Q252-Gasto_o_ing_per_capita!$D252</f>
        <v>-9.9067701235976049E-4</v>
      </c>
      <c r="R252" s="336">
        <f>Gasto_o_ing_per_capita!R252-Gasto_o_ing_per_capita!$D252</f>
        <v>-9.4135939426522475E-4</v>
      </c>
      <c r="S252" s="336">
        <f>Gasto_o_ing_per_capita!S252-Gasto_o_ing_per_capita!$D252</f>
        <v>-6.5286234254094237E-4</v>
      </c>
      <c r="T252" s="336">
        <f>Gasto_o_ing_per_capita!T252-Gasto_o_ing_per_capita!$D252</f>
        <v>6.10224173909742E-4</v>
      </c>
      <c r="U252" s="336">
        <f>Gasto_o_ing_per_capita!U252-Gasto_o_ing_per_capita!$D252</f>
        <v>1.3172631266755476E-3</v>
      </c>
      <c r="V252" s="336">
        <f>Gasto_o_ing_per_capita!V252-Gasto_o_ing_per_capita!$D252</f>
        <v>-2.1418649027242927E-3</v>
      </c>
      <c r="W252" s="155"/>
      <c r="X252" s="146"/>
    </row>
    <row r="253" spans="1:24" s="102" customFormat="1" ht="13.15">
      <c r="A253" s="355" t="str">
        <f>IF(B253="","",(IF(ISERROR(MATCH(B253,Tot_res!C:C,0)),"Eliminar!!!","")))</f>
        <v/>
      </c>
      <c r="B253" s="115" t="s">
        <v>277</v>
      </c>
      <c r="C253" s="333" t="str">
        <f>VLOOKUP(B253,Tot_res!C:D,2,FALSE)</f>
        <v>Servicio postal universal</v>
      </c>
      <c r="D253" s="336">
        <f>Gasto_o_ing_per_capita!D253-Gasto_o_ing_per_capita!$D253</f>
        <v>0</v>
      </c>
      <c r="E253" s="336">
        <f>Gasto_o_ing_per_capita!E253-Gasto_o_ing_per_capita!$D253</f>
        <v>-3.0112345134443479</v>
      </c>
      <c r="F253" s="336">
        <f>Gasto_o_ing_per_capita!F253-Gasto_o_ing_per_capita!$D253</f>
        <v>2.2673839502573809</v>
      </c>
      <c r="G253" s="336">
        <f>Gasto_o_ing_per_capita!G253-Gasto_o_ing_per_capita!$D253</f>
        <v>-1.0268639697189972</v>
      </c>
      <c r="H253" s="336">
        <f>Gasto_o_ing_per_capita!H253-Gasto_o_ing_per_capita!$D253</f>
        <v>10.151252250875954</v>
      </c>
      <c r="I253" s="336">
        <f>Gasto_o_ing_per_capita!I253-Gasto_o_ing_per_capita!$D253</f>
        <v>27.030050465904488</v>
      </c>
      <c r="J253" s="336">
        <f>Gasto_o_ing_per_capita!J253-Gasto_o_ing_per_capita!$D253</f>
        <v>1.4865573504894893</v>
      </c>
      <c r="K253" s="336">
        <f>Gasto_o_ing_per_capita!K253-Gasto_o_ing_per_capita!$D253</f>
        <v>6.149744213808102</v>
      </c>
      <c r="L253" s="336">
        <f>Gasto_o_ing_per_capita!L253-Gasto_o_ing_per_capita!$D253</f>
        <v>4.5332799943511404</v>
      </c>
      <c r="M253" s="336">
        <f>Gasto_o_ing_per_capita!M253-Gasto_o_ing_per_capita!$D253</f>
        <v>-3.0132505885851124</v>
      </c>
      <c r="N253" s="336">
        <f>Gasto_o_ing_per_capita!N253-Gasto_o_ing_per_capita!$D253</f>
        <v>-3.547165675697872</v>
      </c>
      <c r="O253" s="336">
        <f>Gasto_o_ing_per_capita!O253-Gasto_o_ing_per_capita!$D253</f>
        <v>5.6090179072253399</v>
      </c>
      <c r="P253" s="336">
        <f>Gasto_o_ing_per_capita!P253-Gasto_o_ing_per_capita!$D253</f>
        <v>4.3970514076734304</v>
      </c>
      <c r="Q253" s="336">
        <f>Gasto_o_ing_per_capita!Q253-Gasto_o_ing_per_capita!$D253</f>
        <v>-5.926613318103211</v>
      </c>
      <c r="R253" s="336">
        <f>Gasto_o_ing_per_capita!R253-Gasto_o_ing_per_capita!$D253</f>
        <v>-5.9911669916675141</v>
      </c>
      <c r="S253" s="336">
        <f>Gasto_o_ing_per_capita!S253-Gasto_o_ing_per_capita!$D253</f>
        <v>4.7477854549594252</v>
      </c>
      <c r="T253" s="336">
        <f>Gasto_o_ing_per_capita!T253-Gasto_o_ing_per_capita!$D253</f>
        <v>-2.9347497162432501</v>
      </c>
      <c r="U253" s="336">
        <f>Gasto_o_ing_per_capita!U253-Gasto_o_ing_per_capita!$D253</f>
        <v>1.6995222572467252</v>
      </c>
      <c r="V253" s="336">
        <f>Gasto_o_ing_per_capita!V253-Gasto_o_ing_per_capita!$D253</f>
        <v>10.016307793065275</v>
      </c>
      <c r="W253" s="155"/>
      <c r="X253" s="146"/>
    </row>
    <row r="254" spans="1:24" s="102" customFormat="1" ht="13.15">
      <c r="A254" s="355" t="str">
        <f>IF(B254="","",(IF(ISERROR(MATCH(B254,Tot_res!C:C,0)),"Eliminar!!!","")))</f>
        <v/>
      </c>
      <c r="B254" s="115" t="s">
        <v>767</v>
      </c>
      <c r="C254" s="333" t="str">
        <f>VLOOKUP(B254,Tot_res!C:D,2,FALSE)</f>
        <v>Salvamento y lucha contra la contaminación en la mar</v>
      </c>
      <c r="D254" s="336">
        <f>Gasto_o_ing_per_capita!D254-Gasto_o_ing_per_capita!$D254</f>
        <v>0</v>
      </c>
      <c r="E254" s="336">
        <f>Gasto_o_ing_per_capita!E254-Gasto_o_ing_per_capita!$D254</f>
        <v>-0.58504643030494519</v>
      </c>
      <c r="F254" s="336">
        <f>Gasto_o_ing_per_capita!F254-Gasto_o_ing_per_capita!$D254</f>
        <v>1.3734460491818576</v>
      </c>
      <c r="G254" s="336">
        <f>Gasto_o_ing_per_capita!G254-Gasto_o_ing_per_capita!$D254</f>
        <v>-0.2748372579568521</v>
      </c>
      <c r="H254" s="336">
        <f>Gasto_o_ing_per_capita!H254-Gasto_o_ing_per_capita!$D254</f>
        <v>-0.61818628982484736</v>
      </c>
      <c r="I254" s="336">
        <f>Gasto_o_ing_per_capita!I254-Gasto_o_ing_per_capita!$D254</f>
        <v>0.29044848831726666</v>
      </c>
      <c r="J254" s="336">
        <f>Gasto_o_ing_per_capita!J254-Gasto_o_ing_per_capita!$D254</f>
        <v>0.38384579279774789</v>
      </c>
      <c r="K254" s="336">
        <f>Gasto_o_ing_per_capita!K254-Gasto_o_ing_per_capita!$D254</f>
        <v>0.26368196678894051</v>
      </c>
      <c r="L254" s="336">
        <f>Gasto_o_ing_per_capita!L254-Gasto_o_ing_per_capita!$D254</f>
        <v>-0.13044517688902912</v>
      </c>
      <c r="M254" s="336">
        <f>Gasto_o_ing_per_capita!M254-Gasto_o_ing_per_capita!$D254</f>
        <v>0.38119134378605724</v>
      </c>
      <c r="N254" s="336">
        <f>Gasto_o_ing_per_capita!N254-Gasto_o_ing_per_capita!$D254</f>
        <v>-0.38843500185777025</v>
      </c>
      <c r="O254" s="336">
        <f>Gasto_o_ing_per_capita!O254-Gasto_o_ing_per_capita!$D254</f>
        <v>-0.91023476698944439</v>
      </c>
      <c r="P254" s="336">
        <f>Gasto_o_ing_per_capita!P254-Gasto_o_ing_per_capita!$D254</f>
        <v>-0.2284671869016659</v>
      </c>
      <c r="Q254" s="336">
        <f>Gasto_o_ing_per_capita!Q254-Gasto_o_ing_per_capita!$D254</f>
        <v>-0.10523587020931524</v>
      </c>
      <c r="R254" s="336">
        <f>Gasto_o_ing_per_capita!R254-Gasto_o_ing_per_capita!$D254</f>
        <v>0.50396060162212919</v>
      </c>
      <c r="S254" s="336">
        <f>Gasto_o_ing_per_capita!S254-Gasto_o_ing_per_capita!$D254</f>
        <v>2.2039775442329037</v>
      </c>
      <c r="T254" s="336">
        <f>Gasto_o_ing_per_capita!T254-Gasto_o_ing_per_capita!$D254</f>
        <v>0.62533518384085074</v>
      </c>
      <c r="U254" s="336">
        <f>Gasto_o_ing_per_capita!U254-Gasto_o_ing_per_capita!$D254</f>
        <v>1.5044392922481613</v>
      </c>
      <c r="V254" s="336">
        <f>Gasto_o_ing_per_capita!V254-Gasto_o_ing_per_capita!$D254</f>
        <v>1.4135916975856011</v>
      </c>
      <c r="W254" s="155"/>
      <c r="X254" s="146"/>
    </row>
    <row r="255" spans="1:24" s="102" customFormat="1" ht="13.15">
      <c r="A255" s="355" t="str">
        <f>IF(B255="","",(IF(ISERROR(MATCH(B255,Tot_res!C:C,0)),"Eliminar!!!","")))</f>
        <v/>
      </c>
      <c r="B255" s="115" t="s">
        <v>769</v>
      </c>
      <c r="C255" s="333" t="str">
        <f>VLOOKUP(B255,Tot_res!C:D,2,FALSE)</f>
        <v>Otras aportaciones a Corporaciones Locales, transferencias a corporaciones locales para financiar los servicios de transporte colectivo urbano</v>
      </c>
      <c r="D255" s="336">
        <f>Gasto_o_ing_per_capita!D255-Gasto_o_ing_per_capita!$D255</f>
        <v>0</v>
      </c>
      <c r="E255" s="336">
        <f>Gasto_o_ing_per_capita!E255-Gasto_o_ing_per_capita!$D255</f>
        <v>1.3164316694711709</v>
      </c>
      <c r="F255" s="336">
        <f>Gasto_o_ing_per_capita!F255-Gasto_o_ing_per_capita!$D255</f>
        <v>2.8748082155126715</v>
      </c>
      <c r="G255" s="336">
        <f>Gasto_o_ing_per_capita!G255-Gasto_o_ing_per_capita!$D255</f>
        <v>0.68080089924927423</v>
      </c>
      <c r="H255" s="336">
        <f>Gasto_o_ing_per_capita!H255-Gasto_o_ing_per_capita!$D255</f>
        <v>0.90009273476357787</v>
      </c>
      <c r="I255" s="336">
        <f>Gasto_o_ing_per_capita!I255-Gasto_o_ing_per_capita!$D255</f>
        <v>-1.08741491720589</v>
      </c>
      <c r="J255" s="336">
        <f>Gasto_o_ing_per_capita!J255-Gasto_o_ing_per_capita!$D255</f>
        <v>0.44423489847230591</v>
      </c>
      <c r="K255" s="336">
        <f>Gasto_o_ing_per_capita!K255-Gasto_o_ing_per_capita!$D255</f>
        <v>0.4423662346756414</v>
      </c>
      <c r="L255" s="336">
        <f>Gasto_o_ing_per_capita!L255-Gasto_o_ing_per_capita!$D255</f>
        <v>-0.52266352538909566</v>
      </c>
      <c r="M255" s="336">
        <f>Gasto_o_ing_per_capita!M255-Gasto_o_ing_per_capita!$D255</f>
        <v>-0.67764226621570933</v>
      </c>
      <c r="N255" s="336">
        <f>Gasto_o_ing_per_capita!N255-Gasto_o_ing_per_capita!$D255</f>
        <v>0.33607805750548225</v>
      </c>
      <c r="O255" s="336">
        <f>Gasto_o_ing_per_capita!O255-Gasto_o_ing_per_capita!$D255</f>
        <v>-0.40295523330165173</v>
      </c>
      <c r="P255" s="336">
        <f>Gasto_o_ing_per_capita!P255-Gasto_o_ing_per_capita!$D255</f>
        <v>2.4430200376688083E-2</v>
      </c>
      <c r="Q255" s="336">
        <f>Gasto_o_ing_per_capita!Q255-Gasto_o_ing_per_capita!$D255</f>
        <v>-1.08741491720589</v>
      </c>
      <c r="R255" s="336">
        <f>Gasto_o_ing_per_capita!R255-Gasto_o_ing_per_capita!$D255</f>
        <v>-0.67825723841334851</v>
      </c>
      <c r="S255" s="336">
        <f>Gasto_o_ing_per_capita!S255-Gasto_o_ing_per_capita!$D255</f>
        <v>-1.0871348197631019</v>
      </c>
      <c r="T255" s="336">
        <f>Gasto_o_ing_per_capita!T255-Gasto_o_ing_per_capita!$D255</f>
        <v>-1.0753482616029875</v>
      </c>
      <c r="U255" s="336">
        <f>Gasto_o_ing_per_capita!U255-Gasto_o_ing_per_capita!$D255</f>
        <v>0.85745809165954356</v>
      </c>
      <c r="V255" s="336">
        <f>Gasto_o_ing_per_capita!V255-Gasto_o_ing_per_capita!$D255</f>
        <v>-0.19124931131731171</v>
      </c>
      <c r="W255" s="155"/>
      <c r="X255" s="145"/>
    </row>
    <row r="256" spans="1:24" s="102" customFormat="1" ht="13.15">
      <c r="A256" s="355" t="str">
        <f>IF(B256="","",(IF(ISERROR(MATCH(B256,Tot_res!C:C,0)),"Eliminar!!!","")))</f>
        <v/>
      </c>
      <c r="B256" s="119" t="s">
        <v>770</v>
      </c>
      <c r="C256" s="333" t="str">
        <f>VLOOKUP(B256,Tot_res!C:D,2,FALSE)</f>
        <v>Otras aportaciones a Corporaciones Locales, mejoras suminstro agua CyMel</v>
      </c>
      <c r="D256" s="336">
        <f>Gasto_o_ing_per_capita!D256-Gasto_o_ing_per_capita!$D256</f>
        <v>0</v>
      </c>
      <c r="E256" s="336">
        <f>Gasto_o_ing_per_capita!E256-Gasto_o_ing_per_capita!$D256</f>
        <v>0.31724006560418816</v>
      </c>
      <c r="F256" s="336">
        <f>Gasto_o_ing_per_capita!F256-Gasto_o_ing_per_capita!$D256</f>
        <v>-0.2531983576682213</v>
      </c>
      <c r="G256" s="336">
        <f>Gasto_o_ing_per_capita!G256-Gasto_o_ing_per_capita!$D256</f>
        <v>-0.2531983576682213</v>
      </c>
      <c r="H256" s="336">
        <f>Gasto_o_ing_per_capita!H256-Gasto_o_ing_per_capita!$D256</f>
        <v>-0.2531983576682213</v>
      </c>
      <c r="I256" s="336">
        <f>Gasto_o_ing_per_capita!I256-Gasto_o_ing_per_capita!$D256</f>
        <v>-0.2531983576682213</v>
      </c>
      <c r="J256" s="336">
        <f>Gasto_o_ing_per_capita!J256-Gasto_o_ing_per_capita!$D256</f>
        <v>-0.2531983576682213</v>
      </c>
      <c r="K256" s="336">
        <f>Gasto_o_ing_per_capita!K256-Gasto_o_ing_per_capita!$D256</f>
        <v>-0.2531983576682213</v>
      </c>
      <c r="L256" s="336">
        <f>Gasto_o_ing_per_capita!L256-Gasto_o_ing_per_capita!$D256</f>
        <v>-0.2531983576682213</v>
      </c>
      <c r="M256" s="336">
        <f>Gasto_o_ing_per_capita!M256-Gasto_o_ing_per_capita!$D256</f>
        <v>-0.2531983576682213</v>
      </c>
      <c r="N256" s="336">
        <f>Gasto_o_ing_per_capita!N256-Gasto_o_ing_per_capita!$D256</f>
        <v>-0.2531983576682213</v>
      </c>
      <c r="O256" s="336">
        <f>Gasto_o_ing_per_capita!O256-Gasto_o_ing_per_capita!$D256</f>
        <v>-0.2531983576682213</v>
      </c>
      <c r="P256" s="336">
        <f>Gasto_o_ing_per_capita!P256-Gasto_o_ing_per_capita!$D256</f>
        <v>-0.2531983576682213</v>
      </c>
      <c r="Q256" s="336">
        <f>Gasto_o_ing_per_capita!Q256-Gasto_o_ing_per_capita!$D256</f>
        <v>-0.2531983576682213</v>
      </c>
      <c r="R256" s="336">
        <f>Gasto_o_ing_per_capita!R256-Gasto_o_ing_per_capita!$D256</f>
        <v>-0.2531983576682213</v>
      </c>
      <c r="S256" s="336">
        <f>Gasto_o_ing_per_capita!S256-Gasto_o_ing_per_capita!$D256</f>
        <v>-0.2531983576682213</v>
      </c>
      <c r="T256" s="336">
        <f>Gasto_o_ing_per_capita!T256-Gasto_o_ing_per_capita!$D256</f>
        <v>-0.2531983576682213</v>
      </c>
      <c r="U256" s="336">
        <f>Gasto_o_ing_per_capita!U256-Gasto_o_ing_per_capita!$D256</f>
        <v>-0.2531983576682213</v>
      </c>
      <c r="V256" s="336">
        <f>Gasto_o_ing_per_capita!V256-Gasto_o_ing_per_capita!$D256</f>
        <v>41.746918263691811</v>
      </c>
      <c r="W256" s="155"/>
      <c r="X256" s="145"/>
    </row>
    <row r="257" spans="1:24" s="102" customFormat="1" ht="13.15">
      <c r="A257" s="355" t="str">
        <f>IF(B257="","",(IF(ISERROR(MATCH(B257,Tot_res!C:C,0)),"Eliminar!!!","")))</f>
        <v/>
      </c>
      <c r="B257" s="119" t="s">
        <v>279</v>
      </c>
      <c r="C257" s="333" t="str">
        <f>VLOOKUP(B257,Tot_res!C:D,2,FALSE)</f>
        <v>Obras hidráulicas</v>
      </c>
      <c r="D257" s="336">
        <f>Gasto_o_ing_per_capita!D257-Gasto_o_ing_per_capita!$D257</f>
        <v>0</v>
      </c>
      <c r="E257" s="336">
        <f>Gasto_o_ing_per_capita!E257-Gasto_o_ing_per_capita!$D257</f>
        <v>-3.957129495914864</v>
      </c>
      <c r="F257" s="336">
        <f>Gasto_o_ing_per_capita!F257-Gasto_o_ing_per_capita!$D257</f>
        <v>-3.957129495914864</v>
      </c>
      <c r="G257" s="336">
        <f>Gasto_o_ing_per_capita!G257-Gasto_o_ing_per_capita!$D257</f>
        <v>-3.957129495914864</v>
      </c>
      <c r="H257" s="336">
        <f>Gasto_o_ing_per_capita!H257-Gasto_o_ing_per_capita!$D257</f>
        <v>-3.957129495914864</v>
      </c>
      <c r="I257" s="336">
        <f>Gasto_o_ing_per_capita!I257-Gasto_o_ing_per_capita!$D257</f>
        <v>2.1202076227677855</v>
      </c>
      <c r="J257" s="336">
        <f>Gasto_o_ing_per_capita!J257-Gasto_o_ing_per_capita!$D257</f>
        <v>-3.957129495914864</v>
      </c>
      <c r="K257" s="336">
        <f>Gasto_o_ing_per_capita!K257-Gasto_o_ing_per_capita!$D257</f>
        <v>-3.957129495914864</v>
      </c>
      <c r="L257" s="336">
        <f>Gasto_o_ing_per_capita!L257-Gasto_o_ing_per_capita!$D257</f>
        <v>-3.957129495914864</v>
      </c>
      <c r="M257" s="336">
        <f>Gasto_o_ing_per_capita!M257-Gasto_o_ing_per_capita!$D257</f>
        <v>14.180314720754648</v>
      </c>
      <c r="N257" s="336">
        <f>Gasto_o_ing_per_capita!N257-Gasto_o_ing_per_capita!$D257</f>
        <v>-3.957129495914864</v>
      </c>
      <c r="O257" s="336">
        <f>Gasto_o_ing_per_capita!O257-Gasto_o_ing_per_capita!$D257</f>
        <v>-3.957129495914864</v>
      </c>
      <c r="P257" s="336">
        <f>Gasto_o_ing_per_capita!P257-Gasto_o_ing_per_capita!$D257</f>
        <v>9.1958210407808529</v>
      </c>
      <c r="Q257" s="336">
        <f>Gasto_o_ing_per_capita!Q257-Gasto_o_ing_per_capita!$D257</f>
        <v>-3.957129495914864</v>
      </c>
      <c r="R257" s="336">
        <f>Gasto_o_ing_per_capita!R257-Gasto_o_ing_per_capita!$D257</f>
        <v>-3.957129495914864</v>
      </c>
      <c r="S257" s="336">
        <f>Gasto_o_ing_per_capita!S257-Gasto_o_ing_per_capita!$D257</f>
        <v>-3.957129495914864</v>
      </c>
      <c r="T257" s="336">
        <f>Gasto_o_ing_per_capita!T257-Gasto_o_ing_per_capita!$D257</f>
        <v>-3.957129495914864</v>
      </c>
      <c r="U257" s="336">
        <f>Gasto_o_ing_per_capita!U257-Gasto_o_ing_per_capita!$D257</f>
        <v>-3.957129495914864</v>
      </c>
      <c r="V257" s="336">
        <f>Gasto_o_ing_per_capita!V257-Gasto_o_ing_per_capita!$D257</f>
        <v>-3.957129495914864</v>
      </c>
      <c r="W257" s="155"/>
      <c r="X257" s="145"/>
    </row>
    <row r="258" spans="1:24" s="102" customFormat="1" ht="13.15">
      <c r="A258" s="355" t="str">
        <f>IF(B258="","",(IF(ISERROR(MATCH(B258,Tot_res!C:C,0)),"Eliminar!!!","")))</f>
        <v/>
      </c>
      <c r="B258" s="119" t="s">
        <v>280</v>
      </c>
      <c r="C258" s="333" t="str">
        <f>VLOOKUP(B258,Tot_res!C:D,2,FALSE)</f>
        <v>Confederaciones hidrográficas, Andalucía</v>
      </c>
      <c r="D258" s="336">
        <f>Gasto_o_ing_per_capita!D258-Gasto_o_ing_per_capita!$D258</f>
        <v>0</v>
      </c>
      <c r="E258" s="336">
        <f>Gasto_o_ing_per_capita!E258-Gasto_o_ing_per_capita!$D258</f>
        <v>18.226452442176299</v>
      </c>
      <c r="F258" s="336">
        <f>Gasto_o_ing_per_capita!F258-Gasto_o_ing_per_capita!$D258</f>
        <v>-3.9837378529797687</v>
      </c>
      <c r="G258" s="336">
        <f>Gasto_o_ing_per_capita!G258-Gasto_o_ing_per_capita!$D258</f>
        <v>-3.9837378529797687</v>
      </c>
      <c r="H258" s="336">
        <f>Gasto_o_ing_per_capita!H258-Gasto_o_ing_per_capita!$D258</f>
        <v>-3.9837378529797687</v>
      </c>
      <c r="I258" s="336">
        <f>Gasto_o_ing_per_capita!I258-Gasto_o_ing_per_capita!$D258</f>
        <v>-3.9837378529797687</v>
      </c>
      <c r="J258" s="336">
        <f>Gasto_o_ing_per_capita!J258-Gasto_o_ing_per_capita!$D258</f>
        <v>-3.9837378529797687</v>
      </c>
      <c r="K258" s="336">
        <f>Gasto_o_ing_per_capita!K258-Gasto_o_ing_per_capita!$D258</f>
        <v>-3.9837378529797687</v>
      </c>
      <c r="L258" s="336">
        <f>Gasto_o_ing_per_capita!L258-Gasto_o_ing_per_capita!$D258</f>
        <v>-3.9837378529797687</v>
      </c>
      <c r="M258" s="336">
        <f>Gasto_o_ing_per_capita!M258-Gasto_o_ing_per_capita!$D258</f>
        <v>-3.9837378529797687</v>
      </c>
      <c r="N258" s="336">
        <f>Gasto_o_ing_per_capita!N258-Gasto_o_ing_per_capita!$D258</f>
        <v>-3.9837378529797687</v>
      </c>
      <c r="O258" s="336">
        <f>Gasto_o_ing_per_capita!O258-Gasto_o_ing_per_capita!$D258</f>
        <v>-3.9837378529797687</v>
      </c>
      <c r="P258" s="336">
        <f>Gasto_o_ing_per_capita!P258-Gasto_o_ing_per_capita!$D258</f>
        <v>-3.9837378529797687</v>
      </c>
      <c r="Q258" s="336">
        <f>Gasto_o_ing_per_capita!Q258-Gasto_o_ing_per_capita!$D258</f>
        <v>-3.9837378529797687</v>
      </c>
      <c r="R258" s="336">
        <f>Gasto_o_ing_per_capita!R258-Gasto_o_ing_per_capita!$D258</f>
        <v>-3.9837378529797687</v>
      </c>
      <c r="S258" s="336">
        <f>Gasto_o_ing_per_capita!S258-Gasto_o_ing_per_capita!$D258</f>
        <v>-3.9837378529797687</v>
      </c>
      <c r="T258" s="336">
        <f>Gasto_o_ing_per_capita!T258-Gasto_o_ing_per_capita!$D258</f>
        <v>-3.9837378529797687</v>
      </c>
      <c r="U258" s="336">
        <f>Gasto_o_ing_per_capita!U258-Gasto_o_ing_per_capita!$D258</f>
        <v>-3.9837378529797687</v>
      </c>
      <c r="V258" s="336">
        <f>Gasto_o_ing_per_capita!V258-Gasto_o_ing_per_capita!$D258</f>
        <v>-3.9837378529797687</v>
      </c>
      <c r="W258" s="155"/>
      <c r="X258" s="145"/>
    </row>
    <row r="259" spans="1:24" s="102" customFormat="1" ht="13.15">
      <c r="A259" s="355" t="str">
        <f>IF(B259="","",(IF(ISERROR(MATCH(B259,Tot_res!C:C,0)),"Eliminar!!!","")))</f>
        <v/>
      </c>
      <c r="B259" s="119" t="s">
        <v>281</v>
      </c>
      <c r="C259" s="333" t="str">
        <f>VLOOKUP(B259,Tot_res!C:D,2,FALSE)</f>
        <v>Parques Nacionales</v>
      </c>
      <c r="D259" s="336">
        <f>Gasto_o_ing_per_capita!D259-Gasto_o_ing_per_capita!$D259</f>
        <v>0</v>
      </c>
      <c r="E259" s="336">
        <f>Gasto_o_ing_per_capita!E259-Gasto_o_ing_per_capita!$D259</f>
        <v>0.4856957964463342</v>
      </c>
      <c r="F259" s="336">
        <f>Gasto_o_ing_per_capita!F259-Gasto_o_ing_per_capita!$D259</f>
        <v>1.5219927207491109</v>
      </c>
      <c r="G259" s="336">
        <f>Gasto_o_ing_per_capita!G259-Gasto_o_ing_per_capita!$D259</f>
        <v>1.6243018186532903</v>
      </c>
      <c r="H259" s="336">
        <f>Gasto_o_ing_per_capita!H259-Gasto_o_ing_per_capita!$D259</f>
        <v>4.0894446189725109</v>
      </c>
      <c r="I259" s="336">
        <f>Gasto_o_ing_per_capita!I259-Gasto_o_ing_per_capita!$D259</f>
        <v>8.5075998805558015</v>
      </c>
      <c r="J259" s="336">
        <f>Gasto_o_ing_per_capita!J259-Gasto_o_ing_per_capita!$D259</f>
        <v>1.5308741114075499</v>
      </c>
      <c r="K259" s="336">
        <f>Gasto_o_ing_per_capita!K259-Gasto_o_ing_per_capita!$D259</f>
        <v>-0.4560163237029069</v>
      </c>
      <c r="L259" s="336">
        <f>Gasto_o_ing_per_capita!L259-Gasto_o_ing_per_capita!$D259</f>
        <v>-1.1830745196366417</v>
      </c>
      <c r="M259" s="336">
        <f>Gasto_o_ing_per_capita!M259-Gasto_o_ing_per_capita!$D259</f>
        <v>-1.1121685236465659</v>
      </c>
      <c r="N259" s="336">
        <f>Gasto_o_ing_per_capita!N259-Gasto_o_ing_per_capita!$D259</f>
        <v>-1.1715480563467899</v>
      </c>
      <c r="O259" s="336">
        <f>Gasto_o_ing_per_capita!O259-Gasto_o_ing_per_capita!$D259</f>
        <v>-1.2034508737198442</v>
      </c>
      <c r="P259" s="336">
        <f>Gasto_o_ing_per_capita!P259-Gasto_o_ing_per_capita!$D259</f>
        <v>0.12668584232273727</v>
      </c>
      <c r="Q259" s="336">
        <f>Gasto_o_ing_per_capita!Q259-Gasto_o_ing_per_capita!$D259</f>
        <v>-1.0759965526799606</v>
      </c>
      <c r="R259" s="336">
        <f>Gasto_o_ing_per_capita!R259-Gasto_o_ing_per_capita!$D259</f>
        <v>-1.1786220348375931</v>
      </c>
      <c r="S259" s="336">
        <f>Gasto_o_ing_per_capita!S259-Gasto_o_ing_per_capita!$D259</f>
        <v>-1.1001482080149323</v>
      </c>
      <c r="T259" s="336">
        <f>Gasto_o_ing_per_capita!T259-Gasto_o_ing_per_capita!$D259</f>
        <v>-1.0881194389483648</v>
      </c>
      <c r="U259" s="336">
        <f>Gasto_o_ing_per_capita!U259-Gasto_o_ing_per_capita!$D259</f>
        <v>-1.1307724656493912</v>
      </c>
      <c r="V259" s="336">
        <f>Gasto_o_ing_per_capita!V259-Gasto_o_ing_per_capita!$D259</f>
        <v>-1.1832514620082795</v>
      </c>
      <c r="W259" s="155"/>
      <c r="X259" s="146"/>
    </row>
    <row r="260" spans="1:24" s="102" customFormat="1" ht="13.15">
      <c r="A260" s="355" t="str">
        <f>IF(B260="","",(IF(ISERROR(MATCH(B260,Tot_res!C:C,0)),"Eliminar!!!","")))</f>
        <v/>
      </c>
      <c r="B260" s="119" t="s">
        <v>283</v>
      </c>
      <c r="C260" s="333" t="str">
        <f>VLOOKUP(B260,Tot_res!C:D,2,FALSE)</f>
        <v>Infraestructuras ferroviarias, ADIF y Renfe</v>
      </c>
      <c r="D260" s="336">
        <f>Gasto_o_ing_per_capita!D260-Gasto_o_ing_per_capita!$D260</f>
        <v>0</v>
      </c>
      <c r="E260" s="336">
        <f>Gasto_o_ing_per_capita!E260-Gasto_o_ing_per_capita!$D260</f>
        <v>-20.685866490667795</v>
      </c>
      <c r="F260" s="336">
        <f>Gasto_o_ing_per_capita!F260-Gasto_o_ing_per_capita!$D260</f>
        <v>-31.321172810723642</v>
      </c>
      <c r="G260" s="336">
        <f>Gasto_o_ing_per_capita!G260-Gasto_o_ing_per_capita!$D260</f>
        <v>-20.817140174803747</v>
      </c>
      <c r="H260" s="336">
        <f>Gasto_o_ing_per_capita!H260-Gasto_o_ing_per_capita!$D260</f>
        <v>-48.820620388163562</v>
      </c>
      <c r="I260" s="336">
        <f>Gasto_o_ing_per_capita!I260-Gasto_o_ing_per_capita!$D260</f>
        <v>-49.132543775576927</v>
      </c>
      <c r="J260" s="336">
        <f>Gasto_o_ing_per_capita!J260-Gasto_o_ing_per_capita!$D260</f>
        <v>-22.11803134908148</v>
      </c>
      <c r="K260" s="336">
        <f>Gasto_o_ing_per_capita!K260-Gasto_o_ing_per_capita!$D260</f>
        <v>110.98756509926915</v>
      </c>
      <c r="L260" s="336">
        <f>Gasto_o_ing_per_capita!L260-Gasto_o_ing_per_capita!$D260</f>
        <v>0.6842929722181168</v>
      </c>
      <c r="M260" s="336">
        <f>Gasto_o_ing_per_capita!M260-Gasto_o_ing_per_capita!$D260</f>
        <v>-1.1633652714760885</v>
      </c>
      <c r="N260" s="336">
        <f>Gasto_o_ing_per_capita!N260-Gasto_o_ing_per_capita!$D260</f>
        <v>-3.3613225715067969</v>
      </c>
      <c r="O260" s="336">
        <f>Gasto_o_ing_per_capita!O260-Gasto_o_ing_per_capita!$D260</f>
        <v>52.786945397210523</v>
      </c>
      <c r="P260" s="336">
        <f>Gasto_o_ing_per_capita!P260-Gasto_o_ing_per_capita!$D260</f>
        <v>43.50850041929386</v>
      </c>
      <c r="Q260" s="336">
        <f>Gasto_o_ing_per_capita!Q260-Gasto_o_ing_per_capita!$D260</f>
        <v>2.3739058228104071</v>
      </c>
      <c r="R260" s="336">
        <f>Gasto_o_ing_per_capita!R260-Gasto_o_ing_per_capita!$D260</f>
        <v>-31.764208485330339</v>
      </c>
      <c r="S260" s="336">
        <f>Gasto_o_ing_per_capita!S260-Gasto_o_ing_per_capita!$D260</f>
        <v>-21.906808764134169</v>
      </c>
      <c r="T260" s="336">
        <f>Gasto_o_ing_per_capita!T260-Gasto_o_ing_per_capita!$D260</f>
        <v>17.67329602015473</v>
      </c>
      <c r="U260" s="336">
        <f>Gasto_o_ing_per_capita!U260-Gasto_o_ing_per_capita!$D260</f>
        <v>-26.728865984871643</v>
      </c>
      <c r="V260" s="336">
        <f>Gasto_o_ing_per_capita!V260-Gasto_o_ing_per_capita!$D260</f>
        <v>-45.776953877879656</v>
      </c>
      <c r="W260" s="155"/>
      <c r="X260" s="146"/>
    </row>
    <row r="261" spans="1:24" s="102" customFormat="1" ht="13.15">
      <c r="A261" s="355" t="str">
        <f>IF(B261="","",(IF(ISERROR(MATCH(B261,Tot_res!C:C,0)),"Eliminar!!!","")))</f>
        <v/>
      </c>
      <c r="B261" s="119" t="s">
        <v>284</v>
      </c>
      <c r="C261" s="333" t="str">
        <f>VLOOKUP(B261,Tot_res!C:D,2,FALSE)</f>
        <v>Infraestructuras aeroportuarias, AENA</v>
      </c>
      <c r="D261" s="336">
        <f>Gasto_o_ing_per_capita!D261-Gasto_o_ing_per_capita!$D261</f>
        <v>0</v>
      </c>
      <c r="E261" s="336">
        <f>Gasto_o_ing_per_capita!E261-Gasto_o_ing_per_capita!$D261</f>
        <v>-5.1026218171819293</v>
      </c>
      <c r="F261" s="336">
        <f>Gasto_o_ing_per_capita!F261-Gasto_o_ing_per_capita!$D261</f>
        <v>-4.6916634640930432</v>
      </c>
      <c r="G261" s="336">
        <f>Gasto_o_ing_per_capita!G261-Gasto_o_ing_per_capita!$D261</f>
        <v>-4.8950429877053461</v>
      </c>
      <c r="H261" s="336">
        <f>Gasto_o_ing_per_capita!H261-Gasto_o_ing_per_capita!$D261</f>
        <v>12.212456977840375</v>
      </c>
      <c r="I261" s="336">
        <f>Gasto_o_ing_per_capita!I261-Gasto_o_ing_per_capita!$D261</f>
        <v>31.49101708541054</v>
      </c>
      <c r="J261" s="336">
        <f>Gasto_o_ing_per_capita!J261-Gasto_o_ing_per_capita!$D261</f>
        <v>-6.3406682338695726</v>
      </c>
      <c r="K261" s="336">
        <f>Gasto_o_ing_per_capita!K261-Gasto_o_ing_per_capita!$D261</f>
        <v>-8.70894956179316</v>
      </c>
      <c r="L261" s="336">
        <f>Gasto_o_ing_per_capita!L261-Gasto_o_ing_per_capita!$D261</f>
        <v>-8.532506305970708</v>
      </c>
      <c r="M261" s="336">
        <f>Gasto_o_ing_per_capita!M261-Gasto_o_ing_per_capita!$D261</f>
        <v>-1.3273251021804153</v>
      </c>
      <c r="N261" s="336">
        <f>Gasto_o_ing_per_capita!N261-Gasto_o_ing_per_capita!$D261</f>
        <v>-4.3748784245338266</v>
      </c>
      <c r="O261" s="336">
        <f>Gasto_o_ing_per_capita!O261-Gasto_o_ing_per_capita!$D261</f>
        <v>-8.6445701451353969</v>
      </c>
      <c r="P261" s="336">
        <f>Gasto_o_ing_per_capita!P261-Gasto_o_ing_per_capita!$D261</f>
        <v>5.0394618185193423</v>
      </c>
      <c r="Q261" s="336">
        <f>Gasto_o_ing_per_capita!Q261-Gasto_o_ing_per_capita!$D261</f>
        <v>11.124148260310132</v>
      </c>
      <c r="R261" s="336">
        <f>Gasto_o_ing_per_capita!R261-Gasto_o_ing_per_capita!$D261</f>
        <v>-8.4736393317345886</v>
      </c>
      <c r="S261" s="336">
        <f>Gasto_o_ing_per_capita!S261-Gasto_o_ing_per_capita!$D261</f>
        <v>-6.1913602224629969</v>
      </c>
      <c r="T261" s="336">
        <f>Gasto_o_ing_per_capita!T261-Gasto_o_ing_per_capita!$D261</f>
        <v>-3.241863991556885</v>
      </c>
      <c r="U261" s="336">
        <f>Gasto_o_ing_per_capita!U261-Gasto_o_ing_per_capita!$D261</f>
        <v>-7.9665961938912249</v>
      </c>
      <c r="V261" s="336">
        <f>Gasto_o_ing_per_capita!V261-Gasto_o_ing_per_capita!$D261</f>
        <v>-2.0265091218261873</v>
      </c>
      <c r="W261" s="155"/>
      <c r="X261" s="146"/>
    </row>
    <row r="262" spans="1:24" s="102" customFormat="1" ht="13.15">
      <c r="A262" s="355" t="str">
        <f>IF(B262="","",(IF(ISERROR(MATCH(B262,Tot_res!C:C,0)),"Eliminar!!!","")))</f>
        <v/>
      </c>
      <c r="B262" s="119" t="s">
        <v>285</v>
      </c>
      <c r="C262" s="333" t="str">
        <f>VLOOKUP(B262,Tot_res!C:D,2,FALSE)</f>
        <v xml:space="preserve">Infraestructuras portuarias, Puertos del Estado </v>
      </c>
      <c r="D262" s="336">
        <f>Gasto_o_ing_per_capita!D262-Gasto_o_ing_per_capita!$D262</f>
        <v>0</v>
      </c>
      <c r="E262" s="336">
        <f>Gasto_o_ing_per_capita!E262-Gasto_o_ing_per_capita!$D262</f>
        <v>-2.8787341395396959</v>
      </c>
      <c r="F262" s="336">
        <f>Gasto_o_ing_per_capita!F262-Gasto_o_ing_per_capita!$D262</f>
        <v>-3.7800943616982323</v>
      </c>
      <c r="G262" s="336">
        <f>Gasto_o_ing_per_capita!G262-Gasto_o_ing_per_capita!$D262</f>
        <v>-4.4478352074105825</v>
      </c>
      <c r="H262" s="336">
        <f>Gasto_o_ing_per_capita!H262-Gasto_o_ing_per_capita!$D262</f>
        <v>-0.26668827357126901</v>
      </c>
      <c r="I262" s="336">
        <f>Gasto_o_ing_per_capita!I262-Gasto_o_ing_per_capita!$D262</f>
        <v>11.146659682847892</v>
      </c>
      <c r="J262" s="336">
        <f>Gasto_o_ing_per_capita!J262-Gasto_o_ing_per_capita!$D262</f>
        <v>31.612612425072193</v>
      </c>
      <c r="K262" s="336">
        <f>Gasto_o_ing_per_capita!K262-Gasto_o_ing_per_capita!$D262</f>
        <v>-5.1897990890826531</v>
      </c>
      <c r="L262" s="336">
        <f>Gasto_o_ing_per_capita!L262-Gasto_o_ing_per_capita!$D262</f>
        <v>-5.6904486473521363</v>
      </c>
      <c r="M262" s="336">
        <f>Gasto_o_ing_per_capita!M262-Gasto_o_ing_per_capita!$D262</f>
        <v>4.1058966662119687</v>
      </c>
      <c r="N262" s="336">
        <f>Gasto_o_ing_per_capita!N262-Gasto_o_ing_per_capita!$D262</f>
        <v>-1.4267807338508733</v>
      </c>
      <c r="O262" s="336">
        <f>Gasto_o_ing_per_capita!O262-Gasto_o_ing_per_capita!$D262</f>
        <v>-6.6809952770100534</v>
      </c>
      <c r="P262" s="336">
        <f>Gasto_o_ing_per_capita!P262-Gasto_o_ing_per_capita!$D262</f>
        <v>1.6224583361676128</v>
      </c>
      <c r="Q262" s="336">
        <f>Gasto_o_ing_per_capita!Q262-Gasto_o_ing_per_capita!$D262</f>
        <v>-5.6584259144449334</v>
      </c>
      <c r="R262" s="336">
        <f>Gasto_o_ing_per_capita!R262-Gasto_o_ing_per_capita!$D262</f>
        <v>5.0965914196224933</v>
      </c>
      <c r="S262" s="336">
        <f>Gasto_o_ing_per_capita!S262-Gasto_o_ing_per_capita!$D262</f>
        <v>-2.7250915972452896</v>
      </c>
      <c r="T262" s="336">
        <f>Gasto_o_ing_per_capita!T262-Gasto_o_ing_per_capita!$D262</f>
        <v>12.912575050076486</v>
      </c>
      <c r="U262" s="336">
        <f>Gasto_o_ing_per_capita!U262-Gasto_o_ing_per_capita!$D262</f>
        <v>-3.6136970192938804</v>
      </c>
      <c r="V262" s="336">
        <f>Gasto_o_ing_per_capita!V262-Gasto_o_ing_per_capita!$D262</f>
        <v>-0.1757141161057465</v>
      </c>
      <c r="W262" s="155"/>
      <c r="X262" s="145"/>
    </row>
    <row r="263" spans="1:24" s="102" customFormat="1" ht="13.15">
      <c r="A263" s="355" t="str">
        <f>IF(B263="","",(IF(ISERROR(MATCH(B263,Tot_res!C:C,0)),"Eliminar!!!","")))</f>
        <v/>
      </c>
      <c r="B263" s="119" t="s">
        <v>286</v>
      </c>
      <c r="C263" s="333" t="str">
        <f>VLOOKUP(B263,Tot_res!C:D,2,FALSE)</f>
        <v>Autopistas de peaje</v>
      </c>
      <c r="D263" s="336">
        <f>Gasto_o_ing_per_capita!D263-Gasto_o_ing_per_capita!$D263</f>
        <v>0</v>
      </c>
      <c r="E263" s="336">
        <f>Gasto_o_ing_per_capita!E263-Gasto_o_ing_per_capita!$D263</f>
        <v>-2.7405166289241709</v>
      </c>
      <c r="F263" s="336">
        <f>Gasto_o_ing_per_capita!F263-Gasto_o_ing_per_capita!$D263</f>
        <v>-0.20927816060004822</v>
      </c>
      <c r="G263" s="336">
        <f>Gasto_o_ing_per_capita!G263-Gasto_o_ing_per_capita!$D263</f>
        <v>-2.4375687247110069</v>
      </c>
      <c r="H263" s="336">
        <f>Gasto_o_ing_per_capita!H263-Gasto_o_ing_per_capita!$D263</f>
        <v>-3.3777728940116196</v>
      </c>
      <c r="I263" s="336">
        <f>Gasto_o_ing_per_capita!I263-Gasto_o_ing_per_capita!$D263</f>
        <v>-3.3287855438396603</v>
      </c>
      <c r="J263" s="336">
        <f>Gasto_o_ing_per_capita!J263-Gasto_o_ing_per_capita!$D263</f>
        <v>-3.0636189083136331</v>
      </c>
      <c r="K263" s="336">
        <f>Gasto_o_ing_per_capita!K263-Gasto_o_ing_per_capita!$D263</f>
        <v>1.631852325206939</v>
      </c>
      <c r="L263" s="336">
        <f>Gasto_o_ing_per_capita!L263-Gasto_o_ing_per_capita!$D263</f>
        <v>8.1716120866386763</v>
      </c>
      <c r="M263" s="336">
        <f>Gasto_o_ing_per_capita!M263-Gasto_o_ing_per_capita!$D263</f>
        <v>3.3315584762493993</v>
      </c>
      <c r="N263" s="336">
        <f>Gasto_o_ing_per_capita!N263-Gasto_o_ing_per_capita!$D263</f>
        <v>-1.751698395921133</v>
      </c>
      <c r="O263" s="336">
        <f>Gasto_o_ing_per_capita!O263-Gasto_o_ing_per_capita!$D263</f>
        <v>-3.0508998011964574</v>
      </c>
      <c r="P263" s="336">
        <f>Gasto_o_ing_per_capita!P263-Gasto_o_ing_per_capita!$D263</f>
        <v>-2.4683903924240713</v>
      </c>
      <c r="Q263" s="336">
        <f>Gasto_o_ing_per_capita!Q263-Gasto_o_ing_per_capita!$D263</f>
        <v>1.7675844438400059</v>
      </c>
      <c r="R263" s="336">
        <f>Gasto_o_ing_per_capita!R263-Gasto_o_ing_per_capita!$D263</f>
        <v>-2.2379675012655538</v>
      </c>
      <c r="S263" s="336">
        <f>Gasto_o_ing_per_capita!S263-Gasto_o_ing_per_capita!$D263</f>
        <v>-0.22706947460335369</v>
      </c>
      <c r="T263" s="336">
        <f>Gasto_o_ing_per_capita!T263-Gasto_o_ing_per_capita!$D263</f>
        <v>0.77641892543963742</v>
      </c>
      <c r="U263" s="336">
        <f>Gasto_o_ing_per_capita!U263-Gasto_o_ing_per_capita!$D263</f>
        <v>6.636915587348085</v>
      </c>
      <c r="V263" s="336">
        <f>Gasto_o_ing_per_capita!V263-Gasto_o_ing_per_capita!$D263</f>
        <v>-3.2686853406400802</v>
      </c>
      <c r="W263" s="155"/>
      <c r="X263" s="146"/>
    </row>
    <row r="264" spans="1:24" s="102" customFormat="1" ht="13.15">
      <c r="A264" s="355" t="str">
        <f>IF(B264="","",(IF(ISERROR(MATCH(B264,Tot_res!C:C,0)),"Eliminar!!!","")))</f>
        <v/>
      </c>
      <c r="B264" s="119" t="s">
        <v>288</v>
      </c>
      <c r="C264" s="333" t="str">
        <f>VLOOKUP(B264,Tot_res!C:D,2,FALSE)</f>
        <v>Excedente bruto de AENA</v>
      </c>
      <c r="D264" s="336">
        <f>Gasto_o_ing_per_capita!D264-Gasto_o_ing_per_capita!$D264</f>
        <v>0</v>
      </c>
      <c r="E264" s="336">
        <f>Gasto_o_ing_per_capita!E264-Gasto_o_ing_per_capita!$D264</f>
        <v>1.5664830491153054</v>
      </c>
      <c r="F264" s="336">
        <f>Gasto_o_ing_per_capita!F264-Gasto_o_ing_per_capita!$D264</f>
        <v>-6.4409823848385415</v>
      </c>
      <c r="G264" s="336">
        <f>Gasto_o_ing_per_capita!G264-Gasto_o_ing_per_capita!$D264</f>
        <v>-8.7994250428603564</v>
      </c>
      <c r="H264" s="336">
        <f>Gasto_o_ing_per_capita!H264-Gasto_o_ing_per_capita!$D264</f>
        <v>13.607511715749382</v>
      </c>
      <c r="I264" s="336">
        <f>Gasto_o_ing_per_capita!I264-Gasto_o_ing_per_capita!$D264</f>
        <v>6.981099528671546</v>
      </c>
      <c r="J264" s="336">
        <f>Gasto_o_ing_per_capita!J264-Gasto_o_ing_per_capita!$D264</f>
        <v>-6.9453624262087246</v>
      </c>
      <c r="K264" s="336">
        <f>Gasto_o_ing_per_capita!K264-Gasto_o_ing_per_capita!$D264</f>
        <v>-1.279701882082847</v>
      </c>
      <c r="L264" s="336">
        <f>Gasto_o_ing_per_capita!L264-Gasto_o_ing_per_capita!$D264</f>
        <v>-7.3856098421398002</v>
      </c>
      <c r="M264" s="336">
        <f>Gasto_o_ing_per_capita!M264-Gasto_o_ing_per_capita!$D264</f>
        <v>-2.9260341913942298</v>
      </c>
      <c r="N264" s="336">
        <f>Gasto_o_ing_per_capita!N264-Gasto_o_ing_per_capita!$D264</f>
        <v>-2.0845652826452721</v>
      </c>
      <c r="O264" s="336">
        <f>Gasto_o_ing_per_capita!O264-Gasto_o_ing_per_capita!$D264</f>
        <v>-3.6444593625497106</v>
      </c>
      <c r="P264" s="336">
        <f>Gasto_o_ing_per_capita!P264-Gasto_o_ing_per_capita!$D264</f>
        <v>-1.7181853675930725</v>
      </c>
      <c r="Q264" s="336">
        <f>Gasto_o_ing_per_capita!Q264-Gasto_o_ing_per_capita!$D264</f>
        <v>10.061390257348435</v>
      </c>
      <c r="R264" s="336">
        <f>Gasto_o_ing_per_capita!R264-Gasto_o_ing_per_capita!$D264</f>
        <v>-3.6573789731902622</v>
      </c>
      <c r="S264" s="336">
        <f>Gasto_o_ing_per_capita!S264-Gasto_o_ing_per_capita!$D264</f>
        <v>-5.9727543690184319</v>
      </c>
      <c r="T264" s="336">
        <f>Gasto_o_ing_per_capita!T264-Gasto_o_ing_per_capita!$D264</f>
        <v>-7.3844687413437242</v>
      </c>
      <c r="U264" s="336">
        <f>Gasto_o_ing_per_capita!U264-Gasto_o_ing_per_capita!$D264</f>
        <v>-1.6924727996482503</v>
      </c>
      <c r="V264" s="336">
        <f>Gasto_o_ing_per_capita!V264-Gasto_o_ing_per_capita!$D264</f>
        <v>-0.8983697951942986</v>
      </c>
      <c r="W264" s="155"/>
      <c r="X264" s="145"/>
    </row>
    <row r="265" spans="1:24" s="102" customFormat="1" ht="13.15">
      <c r="A265" s="355" t="str">
        <f>IF(B265="","",(IF(ISERROR(MATCH(B265,Tot_res!C:C,0)),"Eliminar!!!","")))</f>
        <v/>
      </c>
      <c r="B265" s="119" t="s">
        <v>289</v>
      </c>
      <c r="C265" s="333" t="str">
        <f>VLOOKUP(B265,Tot_res!C:D,2,FALSE)</f>
        <v>Excedene bruto de puertos del Estado</v>
      </c>
      <c r="D265" s="336">
        <f>Gasto_o_ing_per_capita!D265-Gasto_o_ing_per_capita!$D265</f>
        <v>0</v>
      </c>
      <c r="E265" s="336">
        <f>Gasto_o_ing_per_capita!E265-Gasto_o_ing_per_capita!$D265</f>
        <v>0.56295380537584627</v>
      </c>
      <c r="F265" s="336">
        <f>Gasto_o_ing_per_capita!F265-Gasto_o_ing_per_capita!$D265</f>
        <v>1.7429229433839524</v>
      </c>
      <c r="G265" s="336">
        <f>Gasto_o_ing_per_capita!G265-Gasto_o_ing_per_capita!$D265</f>
        <v>2.7103088896581387</v>
      </c>
      <c r="H265" s="336">
        <f>Gasto_o_ing_per_capita!H265-Gasto_o_ing_per_capita!$D265</f>
        <v>-3.0710502227425422</v>
      </c>
      <c r="I265" s="336">
        <f>Gasto_o_ing_per_capita!I265-Gasto_o_ing_per_capita!$D265</f>
        <v>-4.6001735544633977</v>
      </c>
      <c r="J265" s="336">
        <f>Gasto_o_ing_per_capita!J265-Gasto_o_ing_per_capita!$D265</f>
        <v>4.6355714379030939</v>
      </c>
      <c r="K265" s="336">
        <f>Gasto_o_ing_per_capita!K265-Gasto_o_ing_per_capita!$D265</f>
        <v>-1.0378097818697292</v>
      </c>
      <c r="L265" s="336">
        <f>Gasto_o_ing_per_capita!L265-Gasto_o_ing_per_capita!$D265</f>
        <v>-1.0718361813876189</v>
      </c>
      <c r="M265" s="336">
        <f>Gasto_o_ing_per_capita!M265-Gasto_o_ing_per_capita!$D265</f>
        <v>0.79725373461402249</v>
      </c>
      <c r="N265" s="336">
        <f>Gasto_o_ing_per_capita!N265-Gasto_o_ing_per_capita!$D265</f>
        <v>0.89567177000598974</v>
      </c>
      <c r="O265" s="336">
        <f>Gasto_o_ing_per_capita!O265-Gasto_o_ing_per_capita!$D265</f>
        <v>-3.2948928378487459</v>
      </c>
      <c r="P265" s="336">
        <f>Gasto_o_ing_per_capita!P265-Gasto_o_ing_per_capita!$D265</f>
        <v>3.0796671233018209</v>
      </c>
      <c r="Q265" s="336">
        <f>Gasto_o_ing_per_capita!Q265-Gasto_o_ing_per_capita!$D265</f>
        <v>-4.7209072928476115</v>
      </c>
      <c r="R265" s="336">
        <f>Gasto_o_ing_per_capita!R265-Gasto_o_ing_per_capita!$D265</f>
        <v>4.1881302996272725</v>
      </c>
      <c r="S265" s="336">
        <f>Gasto_o_ing_per_capita!S265-Gasto_o_ing_per_capita!$D265</f>
        <v>3.7911006276183485</v>
      </c>
      <c r="T265" s="336">
        <f>Gasto_o_ing_per_capita!T265-Gasto_o_ing_per_capita!$D265</f>
        <v>3.3398456987794809</v>
      </c>
      <c r="U265" s="336">
        <f>Gasto_o_ing_per_capita!U265-Gasto_o_ing_per_capita!$D265</f>
        <v>2.3435911865547023</v>
      </c>
      <c r="V265" s="336">
        <f>Gasto_o_ing_per_capita!V265-Gasto_o_ing_per_capita!$D265</f>
        <v>22.38264535676127</v>
      </c>
      <c r="W265" s="105"/>
    </row>
    <row r="266" spans="1:24" s="102" customFormat="1" ht="13.15">
      <c r="A266" s="355" t="str">
        <f>IF(B266="","",(IF(ISERROR(MATCH(B266,Tot_res!C:C,0)),"Eliminar!!!","")))</f>
        <v/>
      </c>
      <c r="B266" s="119" t="s">
        <v>290</v>
      </c>
      <c r="C266" s="333" t="str">
        <f>VLOOKUP(B266,Tot_res!C:D,2,FALSE)</f>
        <v>Excedente bruto de los concesionarios de autopistas de peaje</v>
      </c>
      <c r="D266" s="336">
        <f>Gasto_o_ing_per_capita!D266-Gasto_o_ing_per_capita!$D266</f>
        <v>0</v>
      </c>
      <c r="E266" s="336">
        <f>Gasto_o_ing_per_capita!E266-Gasto_o_ing_per_capita!$D266</f>
        <v>7.6507780854023295</v>
      </c>
      <c r="F266" s="336">
        <f>Gasto_o_ing_per_capita!F266-Gasto_o_ing_per_capita!$D266</f>
        <v>-13.610059190021907</v>
      </c>
      <c r="G266" s="336">
        <f>Gasto_o_ing_per_capita!G266-Gasto_o_ing_per_capita!$D266</f>
        <v>5.8650588425647356</v>
      </c>
      <c r="H266" s="336">
        <f>Gasto_o_ing_per_capita!H266-Gasto_o_ing_per_capita!$D266</f>
        <v>15.935236004914952</v>
      </c>
      <c r="I266" s="336">
        <f>Gasto_o_ing_per_capita!I266-Gasto_o_ing_per_capita!$D266</f>
        <v>16.101869173878555</v>
      </c>
      <c r="J266" s="336">
        <f>Gasto_o_ing_per_capita!J266-Gasto_o_ing_per_capita!$D266</f>
        <v>13.463510412652971</v>
      </c>
      <c r="K266" s="336">
        <f>Gasto_o_ing_per_capita!K266-Gasto_o_ing_per_capita!$D266</f>
        <v>-5.9915799390116184</v>
      </c>
      <c r="L266" s="336">
        <f>Gasto_o_ing_per_capita!L266-Gasto_o_ing_per_capita!$D266</f>
        <v>-10.23336170591282</v>
      </c>
      <c r="M266" s="336">
        <f>Gasto_o_ing_per_capita!M266-Gasto_o_ing_per_capita!$D266</f>
        <v>-3.576425944800981</v>
      </c>
      <c r="N266" s="336">
        <f>Gasto_o_ing_per_capita!N266-Gasto_o_ing_per_capita!$D266</f>
        <v>-0.94439048979608131</v>
      </c>
      <c r="O266" s="336">
        <f>Gasto_o_ing_per_capita!O266-Gasto_o_ing_per_capita!$D266</f>
        <v>10.129967608633343</v>
      </c>
      <c r="P266" s="336">
        <f>Gasto_o_ing_per_capita!P266-Gasto_o_ing_per_capita!$D266</f>
        <v>-7.8187555370274779</v>
      </c>
      <c r="Q266" s="336">
        <f>Gasto_o_ing_per_capita!Q266-Gasto_o_ing_per_capita!$D266</f>
        <v>4.1051054057293399</v>
      </c>
      <c r="R266" s="336">
        <f>Gasto_o_ing_per_capita!R266-Gasto_o_ing_per_capita!$D266</f>
        <v>0.64396807046661664</v>
      </c>
      <c r="S266" s="336">
        <f>Gasto_o_ing_per_capita!S266-Gasto_o_ing_per_capita!$D266</f>
        <v>-32.799757856165527</v>
      </c>
      <c r="T266" s="336">
        <f>Gasto_o_ing_per_capita!T266-Gasto_o_ing_per_capita!$D266</f>
        <v>-11.168766694900427</v>
      </c>
      <c r="U266" s="336">
        <f>Gasto_o_ing_per_capita!U266-Gasto_o_ing_per_capita!$D266</f>
        <v>-56.768496363585605</v>
      </c>
      <c r="V266" s="336">
        <f>Gasto_o_ing_per_capita!V266-Gasto_o_ing_per_capita!$D266</f>
        <v>15.761994061499314</v>
      </c>
      <c r="W266" s="105"/>
    </row>
    <row r="267" spans="1:24" s="102" customFormat="1" ht="13.15">
      <c r="A267" s="355" t="str">
        <f>IF(B267="","",(IF(ISERROR(MATCH(B267,Tot_res!C:C,0)),"Eliminar!!!","")))</f>
        <v/>
      </c>
      <c r="B267" s="119" t="s">
        <v>291</v>
      </c>
      <c r="C267" s="333" t="str">
        <f>VLOOKUP(B267,Tot_res!C:D,2,FALSE)</f>
        <v>Infraestructuras de carreteras, SEITT + AF06/2</v>
      </c>
      <c r="D267" s="336">
        <f>Gasto_o_ing_per_capita!D267-Gasto_o_ing_per_capita!$D267</f>
        <v>0</v>
      </c>
      <c r="E267" s="336">
        <f>Gasto_o_ing_per_capita!E267-Gasto_o_ing_per_capita!$D267</f>
        <v>-1.2964492529730594</v>
      </c>
      <c r="F267" s="336">
        <f>Gasto_o_ing_per_capita!F267-Gasto_o_ing_per_capita!$D267</f>
        <v>-0.97058639804505198</v>
      </c>
      <c r="G267" s="336">
        <f>Gasto_o_ing_per_capita!G267-Gasto_o_ing_per_capita!$D267</f>
        <v>62.597242086180657</v>
      </c>
      <c r="H267" s="336">
        <f>Gasto_o_ing_per_capita!H267-Gasto_o_ing_per_capita!$D267</f>
        <v>-5.6964080601371094</v>
      </c>
      <c r="I267" s="336">
        <f>Gasto_o_ing_per_capita!I267-Gasto_o_ing_per_capita!$D267</f>
        <v>-5.6137938805813921</v>
      </c>
      <c r="J267" s="336">
        <f>Gasto_o_ing_per_capita!J267-Gasto_o_ing_per_capita!$D267</f>
        <v>8.3144666167601535</v>
      </c>
      <c r="K267" s="336">
        <f>Gasto_o_ing_per_capita!K267-Gasto_o_ing_per_capita!$D267</f>
        <v>-3.0950408530521747</v>
      </c>
      <c r="L267" s="336">
        <f>Gasto_o_ing_per_capita!L267-Gasto_o_ing_per_capita!$D267</f>
        <v>18.071262760507015</v>
      </c>
      <c r="M267" s="336">
        <f>Gasto_o_ing_per_capita!M267-Gasto_o_ing_per_capita!$D267</f>
        <v>-4.1297826007443685</v>
      </c>
      <c r="N267" s="336">
        <f>Gasto_o_ing_per_capita!N267-Gasto_o_ing_per_capita!$D267</f>
        <v>-1.7847221022583648</v>
      </c>
      <c r="O267" s="336">
        <f>Gasto_o_ing_per_capita!O267-Gasto_o_ing_per_capita!$D267</f>
        <v>-5.1451565168923459</v>
      </c>
      <c r="P267" s="336">
        <f>Gasto_o_ing_per_capita!P267-Gasto_o_ing_per_capita!$D267</f>
        <v>0.3369017509433343</v>
      </c>
      <c r="Q267" s="336">
        <f>Gasto_o_ing_per_capita!Q267-Gasto_o_ing_per_capita!$D267</f>
        <v>-2.6911110745944047</v>
      </c>
      <c r="R267" s="336">
        <f>Gasto_o_ing_per_capita!R267-Gasto_o_ing_per_capita!$D267</f>
        <v>-5.1807728962881141</v>
      </c>
      <c r="S267" s="336">
        <f>Gasto_o_ing_per_capita!S267-Gasto_o_ing_per_capita!$D267</f>
        <v>0.86305551886780485</v>
      </c>
      <c r="T267" s="336">
        <f>Gasto_o_ing_per_capita!T267-Gasto_o_ing_per_capita!$D267</f>
        <v>0.27945420742345028</v>
      </c>
      <c r="U267" s="336">
        <f>Gasto_o_ing_per_capita!U267-Gasto_o_ing_per_capita!$D267</f>
        <v>-4.6930816618691118</v>
      </c>
      <c r="V267" s="336">
        <f>Gasto_o_ing_per_capita!V267-Gasto_o_ing_per_capita!$D267</f>
        <v>-5.5124385518886552</v>
      </c>
      <c r="W267" s="105"/>
    </row>
    <row r="268" spans="1:24" s="102" customFormat="1" ht="13.15">
      <c r="A268" s="355" t="str">
        <f>IF(B268="","",(IF(ISERROR(MATCH(B268,Tot_res!C:C,0)),"Eliminar!!!","")))</f>
        <v/>
      </c>
      <c r="B268" s="119" t="s">
        <v>293</v>
      </c>
      <c r="C268" s="333" t="str">
        <f>VLOOKUP(B268,Tot_res!C:D,2,FALSE)</f>
        <v>"Y" ferroviaria vasca, parte financiada mediante descuento del cupo</v>
      </c>
      <c r="D268" s="336">
        <f>Gasto_o_ing_per_capita!D268-Gasto_o_ing_per_capita!$D268</f>
        <v>0</v>
      </c>
      <c r="E268" s="336">
        <f>Gasto_o_ing_per_capita!E268-Gasto_o_ing_per_capita!$D268</f>
        <v>-5.5051111302895208</v>
      </c>
      <c r="F268" s="336">
        <f>Gasto_o_ing_per_capita!F268-Gasto_o_ing_per_capita!$D268</f>
        <v>-4.9061290853612896</v>
      </c>
      <c r="G268" s="336">
        <f>Gasto_o_ing_per_capita!G268-Gasto_o_ing_per_capita!$D268</f>
        <v>-5.6059579936373254</v>
      </c>
      <c r="H268" s="336">
        <f>Gasto_o_ing_per_capita!H268-Gasto_o_ing_per_capita!$D268</f>
        <v>-6.8191048804225227</v>
      </c>
      <c r="I268" s="336">
        <f>Gasto_o_ing_per_capita!I268-Gasto_o_ing_per_capita!$D268</f>
        <v>-6.8576343986475594</v>
      </c>
      <c r="J268" s="336">
        <f>Gasto_o_ing_per_capita!J268-Gasto_o_ing_per_capita!$D268</f>
        <v>-5.3944828739972319</v>
      </c>
      <c r="K268" s="336">
        <f>Gasto_o_ing_per_capita!K268-Gasto_o_ing_per_capita!$D268</f>
        <v>-6.0228143498503517</v>
      </c>
      <c r="L268" s="336">
        <f>Gasto_o_ing_per_capita!L268-Gasto_o_ing_per_capita!$D268</f>
        <v>-4.7436801992219397</v>
      </c>
      <c r="M268" s="336">
        <f>Gasto_o_ing_per_capita!M268-Gasto_o_ing_per_capita!$D268</f>
        <v>-3.5663986079062382</v>
      </c>
      <c r="N268" s="336">
        <f>Gasto_o_ing_per_capita!N268-Gasto_o_ing_per_capita!$D268</f>
        <v>-5.267117229254997</v>
      </c>
      <c r="O268" s="336">
        <f>Gasto_o_ing_per_capita!O268-Gasto_o_ing_per_capita!$D268</f>
        <v>-6.3085983550860778</v>
      </c>
      <c r="P268" s="336">
        <f>Gasto_o_ing_per_capita!P268-Gasto_o_ing_per_capita!$D268</f>
        <v>-6.2832293929780194</v>
      </c>
      <c r="Q268" s="336">
        <f>Gasto_o_ing_per_capita!Q268-Gasto_o_ing_per_capita!$D268</f>
        <v>-1.5347282021501094</v>
      </c>
      <c r="R268" s="336">
        <f>Gasto_o_ing_per_capita!R268-Gasto_o_ing_per_capita!$D268</f>
        <v>-5.9884738260156505</v>
      </c>
      <c r="S268" s="336">
        <f>Gasto_o_ing_per_capita!S268-Gasto_o_ing_per_capita!$D268</f>
        <v>-3.9701813353996012</v>
      </c>
      <c r="T268" s="336">
        <f>Gasto_o_ing_per_capita!T268-Gasto_o_ing_per_capita!$D268</f>
        <v>96.435096699496057</v>
      </c>
      <c r="U268" s="336">
        <f>Gasto_o_ing_per_capita!U268-Gasto_o_ing_per_capita!$D268</f>
        <v>-6.0200440262693853</v>
      </c>
      <c r="V268" s="336">
        <f>Gasto_o_ing_per_capita!V268-Gasto_o_ing_per_capita!$D268</f>
        <v>-6.4431439585712038</v>
      </c>
      <c r="W268" s="105"/>
    </row>
    <row r="269" spans="1:24" s="102" customFormat="1" ht="13.15">
      <c r="A269" s="355" t="str">
        <f>IF(B269="","",(IF(ISERROR(MATCH(B269,Tot_res!C:C,0)),"Eliminar!!!","")))</f>
        <v/>
      </c>
      <c r="B269" s="115" t="s">
        <v>233</v>
      </c>
      <c r="C269" s="333" t="str">
        <f>VLOOKUP(B269,Tot_res!C:D,2,FALSE)</f>
        <v>Ajuste forales, ayudas al transporte colectivo urbano</v>
      </c>
      <c r="D269" s="336">
        <f>Gasto_o_ing_per_capita!D269-Gasto_o_ing_per_capita!$D269</f>
        <v>0</v>
      </c>
      <c r="E269" s="336">
        <f>Gasto_o_ing_per_capita!E269-Gasto_o_ing_per_capita!$D269</f>
        <v>-0.40751050125200428</v>
      </c>
      <c r="F269" s="336">
        <f>Gasto_o_ing_per_capita!F269-Gasto_o_ing_per_capita!$D269</f>
        <v>-0.40751050125200428</v>
      </c>
      <c r="G269" s="336">
        <f>Gasto_o_ing_per_capita!G269-Gasto_o_ing_per_capita!$D269</f>
        <v>-0.40751050125200428</v>
      </c>
      <c r="H269" s="336">
        <f>Gasto_o_ing_per_capita!H269-Gasto_o_ing_per_capita!$D269</f>
        <v>-0.40751050125200428</v>
      </c>
      <c r="I269" s="336">
        <f>Gasto_o_ing_per_capita!I269-Gasto_o_ing_per_capita!$D269</f>
        <v>-0.40751050125200428</v>
      </c>
      <c r="J269" s="336">
        <f>Gasto_o_ing_per_capita!J269-Gasto_o_ing_per_capita!$D269</f>
        <v>-0.40751050125200428</v>
      </c>
      <c r="K269" s="336">
        <f>Gasto_o_ing_per_capita!K269-Gasto_o_ing_per_capita!$D269</f>
        <v>-0.40751050125200428</v>
      </c>
      <c r="L269" s="336">
        <f>Gasto_o_ing_per_capita!L269-Gasto_o_ing_per_capita!$D269</f>
        <v>-0.40751050125200428</v>
      </c>
      <c r="M269" s="336">
        <f>Gasto_o_ing_per_capita!M269-Gasto_o_ing_per_capita!$D269</f>
        <v>-0.40751050125200428</v>
      </c>
      <c r="N269" s="336">
        <f>Gasto_o_ing_per_capita!N269-Gasto_o_ing_per_capita!$D269</f>
        <v>-0.40751050125200428</v>
      </c>
      <c r="O269" s="336">
        <f>Gasto_o_ing_per_capita!O269-Gasto_o_ing_per_capita!$D269</f>
        <v>-0.40751050125200428</v>
      </c>
      <c r="P269" s="336">
        <f>Gasto_o_ing_per_capita!P269-Gasto_o_ing_per_capita!$D269</f>
        <v>-0.40751050125200428</v>
      </c>
      <c r="Q269" s="336">
        <f>Gasto_o_ing_per_capita!Q269-Gasto_o_ing_per_capita!$D269</f>
        <v>-0.40751050125200428</v>
      </c>
      <c r="R269" s="336">
        <f>Gasto_o_ing_per_capita!R269-Gasto_o_ing_per_capita!$D269</f>
        <v>-0.40751050125200428</v>
      </c>
      <c r="S269" s="336">
        <f>Gasto_o_ing_per_capita!S269-Gasto_o_ing_per_capita!$D269</f>
        <v>6.3552451354607067</v>
      </c>
      <c r="T269" s="336">
        <f>Gasto_o_ing_per_capita!T269-Gasto_o_ing_per_capita!$D269</f>
        <v>6.3434585773005923</v>
      </c>
      <c r="U269" s="336">
        <f>Gasto_o_ing_per_capita!U269-Gasto_o_ing_per_capita!$D269</f>
        <v>-0.40751050125200428</v>
      </c>
      <c r="V269" s="336">
        <f>Gasto_o_ing_per_capita!V269-Gasto_o_ing_per_capita!$D269</f>
        <v>-0.40751050125200428</v>
      </c>
      <c r="W269" s="114"/>
    </row>
    <row r="270" spans="1:24" ht="13.15">
      <c r="A270" s="356"/>
      <c r="B270" s="9"/>
      <c r="C270" s="14"/>
      <c r="D270" s="19"/>
      <c r="E270" s="19"/>
      <c r="F270" s="19"/>
      <c r="G270" s="19"/>
      <c r="H270" s="19"/>
      <c r="I270" s="19"/>
      <c r="J270" s="19"/>
      <c r="K270" s="19"/>
      <c r="L270" s="19"/>
      <c r="M270" s="19"/>
      <c r="N270" s="19"/>
      <c r="O270" s="19"/>
      <c r="P270" s="19"/>
      <c r="Q270" s="19"/>
      <c r="R270" s="19"/>
      <c r="S270" s="19"/>
      <c r="T270" s="19"/>
      <c r="U270" s="19"/>
      <c r="V270" s="19"/>
    </row>
    <row r="271" spans="1:24" s="102" customFormat="1" ht="13.15">
      <c r="A271" s="356"/>
      <c r="B271" s="115"/>
      <c r="C271" s="117" t="s">
        <v>55</v>
      </c>
      <c r="D271" s="113">
        <f>Gasto_o_ing_per_capita!D271-Gasto_o_ing_per_capita!$D271</f>
        <v>0</v>
      </c>
      <c r="E271" s="113">
        <f>Gasto_o_ing_per_capita!E271-Gasto_o_ing_per_capita!$D271</f>
        <v>107.09695179901929</v>
      </c>
      <c r="F271" s="113">
        <f>Gasto_o_ing_per_capita!F271-Gasto_o_ing_per_capita!$D271</f>
        <v>-27.199787507982947</v>
      </c>
      <c r="G271" s="113">
        <f>Gasto_o_ing_per_capita!G271-Gasto_o_ing_per_capita!$D271</f>
        <v>32.81095209068333</v>
      </c>
      <c r="H271" s="113">
        <f>Gasto_o_ing_per_capita!H271-Gasto_o_ing_per_capita!$D271</f>
        <v>115.86696852191146</v>
      </c>
      <c r="I271" s="113">
        <f>Gasto_o_ing_per_capita!I271-Gasto_o_ing_per_capita!$D271</f>
        <v>332.29917888370056</v>
      </c>
      <c r="J271" s="113">
        <f>Gasto_o_ing_per_capita!J271-Gasto_o_ing_per_capita!$D271</f>
        <v>-61.275147631049805</v>
      </c>
      <c r="K271" s="113">
        <f>Gasto_o_ing_per_capita!K271-Gasto_o_ing_per_capita!$D271</f>
        <v>7.2260290628343</v>
      </c>
      <c r="L271" s="113">
        <f>Gasto_o_ing_per_capita!L271-Gasto_o_ing_per_capita!$D271</f>
        <v>-10.70181647765169</v>
      </c>
      <c r="M271" s="113">
        <f>Gasto_o_ing_per_capita!M271-Gasto_o_ing_per_capita!$D271</f>
        <v>-107.84232222927085</v>
      </c>
      <c r="N271" s="113">
        <f>Gasto_o_ing_per_capita!N271-Gasto_o_ing_per_capita!$D271</f>
        <v>-59.130006416242942</v>
      </c>
      <c r="O271" s="113">
        <f>Gasto_o_ing_per_capita!O271-Gasto_o_ing_per_capita!$D271</f>
        <v>204.55427817156203</v>
      </c>
      <c r="P271" s="113">
        <f>Gasto_o_ing_per_capita!P271-Gasto_o_ing_per_capita!$D271</f>
        <v>36.050672884863346</v>
      </c>
      <c r="Q271" s="113">
        <f>Gasto_o_ing_per_capita!Q271-Gasto_o_ing_per_capita!$D271</f>
        <v>-96.953576014048792</v>
      </c>
      <c r="R271" s="113">
        <f>Gasto_o_ing_per_capita!R271-Gasto_o_ing_per_capita!$D271</f>
        <v>-47.087034018896645</v>
      </c>
      <c r="S271" s="113">
        <f>Gasto_o_ing_per_capita!S271-Gasto_o_ing_per_capita!$D271</f>
        <v>-84.817762161969526</v>
      </c>
      <c r="T271" s="113">
        <f>Gasto_o_ing_per_capita!T271-Gasto_o_ing_per_capita!$D271</f>
        <v>-83.135015642439953</v>
      </c>
      <c r="U271" s="113">
        <f>Gasto_o_ing_per_capita!U271-Gasto_o_ing_per_capita!$D271</f>
        <v>-73.060686881300882</v>
      </c>
      <c r="V271" s="113">
        <f>Gasto_o_ing_per_capita!V271-Gasto_o_ing_per_capita!$D271</f>
        <v>319.85118891496597</v>
      </c>
      <c r="W271" s="114"/>
    </row>
    <row r="272" spans="1:24" s="102" customFormat="1" ht="13.15">
      <c r="A272" s="355" t="str">
        <f>IF(B272="","",(IF(ISERROR(MATCH(B272,Tot_res!C:C,0)),"Eliminar!!!","")))</f>
        <v/>
      </c>
      <c r="B272" s="115" t="s">
        <v>641</v>
      </c>
      <c r="C272" s="333" t="str">
        <f>VLOOKUP(B272,Tot_res!C:D,2,FALSE)</f>
        <v>Subsidio y renta para eventuales agrarios en Andalucía y Extremadura</v>
      </c>
      <c r="D272" s="336">
        <f>Gasto_o_ing_per_capita!D272-Gasto_o_ing_per_capita!$D272</f>
        <v>0</v>
      </c>
      <c r="E272" s="336">
        <f>Gasto_o_ing_per_capita!E272-Gasto_o_ing_per_capita!$D272</f>
        <v>84.880531179098696</v>
      </c>
      <c r="F272" s="336">
        <f>Gasto_o_ing_per_capita!F272-Gasto_o_ing_per_capita!$D272</f>
        <v>-21.964856364699653</v>
      </c>
      <c r="G272" s="336">
        <f>Gasto_o_ing_per_capita!G272-Gasto_o_ing_per_capita!$D272</f>
        <v>-21.964856364699653</v>
      </c>
      <c r="H272" s="336">
        <f>Gasto_o_ing_per_capita!H272-Gasto_o_ing_per_capita!$D272</f>
        <v>-21.964856364699653</v>
      </c>
      <c r="I272" s="336">
        <f>Gasto_o_ing_per_capita!I272-Gasto_o_ing_per_capita!$D272</f>
        <v>-21.964856364699653</v>
      </c>
      <c r="J272" s="336">
        <f>Gasto_o_ing_per_capita!J272-Gasto_o_ing_per_capita!$D272</f>
        <v>-21.964856364699653</v>
      </c>
      <c r="K272" s="336">
        <f>Gasto_o_ing_per_capita!K272-Gasto_o_ing_per_capita!$D272</f>
        <v>-21.964856364699653</v>
      </c>
      <c r="L272" s="336">
        <f>Gasto_o_ing_per_capita!L272-Gasto_o_ing_per_capita!$D272</f>
        <v>-21.964856364699653</v>
      </c>
      <c r="M272" s="336">
        <f>Gasto_o_ing_per_capita!M272-Gasto_o_ing_per_capita!$D272</f>
        <v>-21.964856364699653</v>
      </c>
      <c r="N272" s="336">
        <f>Gasto_o_ing_per_capita!N272-Gasto_o_ing_per_capita!$D272</f>
        <v>-21.964856364699653</v>
      </c>
      <c r="O272" s="336">
        <f>Gasto_o_ing_per_capita!O272-Gasto_o_ing_per_capita!$D272</f>
        <v>97.369753648812321</v>
      </c>
      <c r="P272" s="336">
        <f>Gasto_o_ing_per_capita!P272-Gasto_o_ing_per_capita!$D272</f>
        <v>-21.964856364699653</v>
      </c>
      <c r="Q272" s="336">
        <f>Gasto_o_ing_per_capita!Q272-Gasto_o_ing_per_capita!$D272</f>
        <v>-21.964856364699653</v>
      </c>
      <c r="R272" s="336">
        <f>Gasto_o_ing_per_capita!R272-Gasto_o_ing_per_capita!$D272</f>
        <v>-21.964856364699653</v>
      </c>
      <c r="S272" s="336">
        <f>Gasto_o_ing_per_capita!S272-Gasto_o_ing_per_capita!$D272</f>
        <v>-21.964856364699653</v>
      </c>
      <c r="T272" s="336">
        <f>Gasto_o_ing_per_capita!T272-Gasto_o_ing_per_capita!$D272</f>
        <v>-21.964856364699653</v>
      </c>
      <c r="U272" s="336">
        <f>Gasto_o_ing_per_capita!U272-Gasto_o_ing_per_capita!$D272</f>
        <v>-21.964856364699653</v>
      </c>
      <c r="V272" s="336">
        <f>Gasto_o_ing_per_capita!V272-Gasto_o_ing_per_capita!$D272</f>
        <v>-21.964856364699653</v>
      </c>
      <c r="W272" s="105"/>
    </row>
    <row r="273" spans="1:23" s="102" customFormat="1" ht="13.15">
      <c r="A273" s="355" t="str">
        <f>IF(B273="","",(IF(ISERROR(MATCH(B273,Tot_res!C:C,0)),"Eliminar!!!","")))</f>
        <v/>
      </c>
      <c r="B273" s="115" t="s">
        <v>295</v>
      </c>
      <c r="C273" s="333" t="str">
        <f>VLOOKUP(B273,Tot_res!C:D,2,FALSE)</f>
        <v>Incentivos regionales a la localización industrial</v>
      </c>
      <c r="D273" s="336">
        <f>Gasto_o_ing_per_capita!D273-Gasto_o_ing_per_capita!$D273</f>
        <v>0</v>
      </c>
      <c r="E273" s="336">
        <f>Gasto_o_ing_per_capita!E273-Gasto_o_ing_per_capita!$D273</f>
        <v>2.6312777091421324E-2</v>
      </c>
      <c r="F273" s="336">
        <f>Gasto_o_ing_per_capita!F273-Gasto_o_ing_per_capita!$D273</f>
        <v>-1.0815349165599062</v>
      </c>
      <c r="G273" s="336">
        <f>Gasto_o_ing_per_capita!G273-Gasto_o_ing_per_capita!$D273</f>
        <v>1.6387266192385397</v>
      </c>
      <c r="H273" s="336">
        <f>Gasto_o_ing_per_capita!H273-Gasto_o_ing_per_capita!$D273</f>
        <v>-1.7369637336822503</v>
      </c>
      <c r="I273" s="336">
        <f>Gasto_o_ing_per_capita!I273-Gasto_o_ing_per_capita!$D273</f>
        <v>1.3103528917849578</v>
      </c>
      <c r="J273" s="336">
        <f>Gasto_o_ing_per_capita!J273-Gasto_o_ing_per_capita!$D273</f>
        <v>-1.7369637336822503</v>
      </c>
      <c r="K273" s="336">
        <f>Gasto_o_ing_per_capita!K273-Gasto_o_ing_per_capita!$D273</f>
        <v>3.225378893782219</v>
      </c>
      <c r="L273" s="336">
        <f>Gasto_o_ing_per_capita!L273-Gasto_o_ing_per_capita!$D273</f>
        <v>2.5262952439868389</v>
      </c>
      <c r="M273" s="336">
        <f>Gasto_o_ing_per_capita!M273-Gasto_o_ing_per_capita!$D273</f>
        <v>-1.7369637336822503</v>
      </c>
      <c r="N273" s="336">
        <f>Gasto_o_ing_per_capita!N273-Gasto_o_ing_per_capita!$D273</f>
        <v>1.8740502950606324</v>
      </c>
      <c r="O273" s="336">
        <f>Gasto_o_ing_per_capita!O273-Gasto_o_ing_per_capita!$D273</f>
        <v>5.6460863774221046</v>
      </c>
      <c r="P273" s="336">
        <f>Gasto_o_ing_per_capita!P273-Gasto_o_ing_per_capita!$D273</f>
        <v>0.49160783560821608</v>
      </c>
      <c r="Q273" s="336">
        <f>Gasto_o_ing_per_capita!Q273-Gasto_o_ing_per_capita!$D273</f>
        <v>-1.7369637336822503</v>
      </c>
      <c r="R273" s="336">
        <f>Gasto_o_ing_per_capita!R273-Gasto_o_ing_per_capita!$D273</f>
        <v>-0.44681736860870847</v>
      </c>
      <c r="S273" s="336">
        <f>Gasto_o_ing_per_capita!S273-Gasto_o_ing_per_capita!$D273</f>
        <v>-1.7369637336822503</v>
      </c>
      <c r="T273" s="336">
        <f>Gasto_o_ing_per_capita!T273-Gasto_o_ing_per_capita!$D273</f>
        <v>-1.7369637336822503</v>
      </c>
      <c r="U273" s="336">
        <f>Gasto_o_ing_per_capita!U273-Gasto_o_ing_per_capita!$D273</f>
        <v>-1.7369637336822503</v>
      </c>
      <c r="V273" s="336">
        <f>Gasto_o_ing_per_capita!V273-Gasto_o_ing_per_capita!$D273</f>
        <v>-1.7369637336822503</v>
      </c>
      <c r="W273" s="105"/>
    </row>
    <row r="274" spans="1:23" s="102" customFormat="1" ht="13.15">
      <c r="A274" s="355" t="str">
        <f>IF(B274="","",(IF(ISERROR(MATCH(B274,Tot_res!C:C,0)),"Eliminar!!!","")))</f>
        <v/>
      </c>
      <c r="B274" s="115" t="s">
        <v>296</v>
      </c>
      <c r="C274" s="333" t="str">
        <f>VLOOKUP(B274,Tot_res!C:D,2,FALSE)</f>
        <v>Desarrollo alternativo de las comarcas mineras del carbón</v>
      </c>
      <c r="D274" s="336">
        <f>Gasto_o_ing_per_capita!D274-Gasto_o_ing_per_capita!$D274</f>
        <v>0</v>
      </c>
      <c r="E274" s="336">
        <f>Gasto_o_ing_per_capita!E274-Gasto_o_ing_per_capita!$D274</f>
        <v>-0.18907342326395626</v>
      </c>
      <c r="F274" s="336">
        <f>Gasto_o_ing_per_capita!F274-Gasto_o_ing_per_capita!$D274</f>
        <v>0.23854420854283054</v>
      </c>
      <c r="G274" s="336">
        <f>Gasto_o_ing_per_capita!G274-Gasto_o_ing_per_capita!$D274</f>
        <v>8.2550523577593626</v>
      </c>
      <c r="H274" s="336">
        <f>Gasto_o_ing_per_capita!H274-Gasto_o_ing_per_capita!$D274</f>
        <v>-0.4263771788290841</v>
      </c>
      <c r="I274" s="336">
        <f>Gasto_o_ing_per_capita!I274-Gasto_o_ing_per_capita!$D274</f>
        <v>-0.4263771788290841</v>
      </c>
      <c r="J274" s="336">
        <f>Gasto_o_ing_per_capita!J274-Gasto_o_ing_per_capita!$D274</f>
        <v>-0.4263771788290841</v>
      </c>
      <c r="K274" s="336">
        <f>Gasto_o_ing_per_capita!K274-Gasto_o_ing_per_capita!$D274</f>
        <v>0.31284034816424455</v>
      </c>
      <c r="L274" s="336">
        <f>Gasto_o_ing_per_capita!L274-Gasto_o_ing_per_capita!$D274</f>
        <v>0.13617498334685152</v>
      </c>
      <c r="M274" s="336">
        <f>Gasto_o_ing_per_capita!M274-Gasto_o_ing_per_capita!$D274</f>
        <v>-0.40925882999992425</v>
      </c>
      <c r="N274" s="336">
        <f>Gasto_o_ing_per_capita!N274-Gasto_o_ing_per_capita!$D274</f>
        <v>-0.4263771788290841</v>
      </c>
      <c r="O274" s="336">
        <f>Gasto_o_ing_per_capita!O274-Gasto_o_ing_per_capita!$D274</f>
        <v>-0.4263771788290841</v>
      </c>
      <c r="P274" s="336">
        <f>Gasto_o_ing_per_capita!P274-Gasto_o_ing_per_capita!$D274</f>
        <v>1.2884243628867322</v>
      </c>
      <c r="Q274" s="336">
        <f>Gasto_o_ing_per_capita!Q274-Gasto_o_ing_per_capita!$D274</f>
        <v>-0.4263771788290841</v>
      </c>
      <c r="R274" s="336">
        <f>Gasto_o_ing_per_capita!R274-Gasto_o_ing_per_capita!$D274</f>
        <v>-0.4263771788290841</v>
      </c>
      <c r="S274" s="336">
        <f>Gasto_o_ing_per_capita!S274-Gasto_o_ing_per_capita!$D274</f>
        <v>-0.4263771788290841</v>
      </c>
      <c r="T274" s="336">
        <f>Gasto_o_ing_per_capita!T274-Gasto_o_ing_per_capita!$D274</f>
        <v>-0.4263771788290841</v>
      </c>
      <c r="U274" s="336">
        <f>Gasto_o_ing_per_capita!U274-Gasto_o_ing_per_capita!$D274</f>
        <v>-0.4263771788290841</v>
      </c>
      <c r="V274" s="336">
        <f>Gasto_o_ing_per_capita!V274-Gasto_o_ing_per_capita!$D274</f>
        <v>-0.4263771788290841</v>
      </c>
      <c r="W274" s="105"/>
    </row>
    <row r="275" spans="1:23" s="102" customFormat="1" ht="13.15">
      <c r="A275" s="355" t="str">
        <f>IF(B275="","",(IF(ISERROR(MATCH(B275,Tot_res!C:C,0)),"Eliminar!!!","")))</f>
        <v/>
      </c>
      <c r="B275" s="115" t="s">
        <v>642</v>
      </c>
      <c r="C275" s="333" t="str">
        <f>VLOOKUP(B275,Tot_res!C:D,2,FALSE)</f>
        <v>Explotación minera</v>
      </c>
      <c r="D275" s="336">
        <f>Gasto_o_ing_per_capita!D275-Gasto_o_ing_per_capita!$D275</f>
        <v>0</v>
      </c>
      <c r="E275" s="336">
        <f>Gasto_o_ing_per_capita!E275-Gasto_o_ing_per_capita!$D275</f>
        <v>-5.5353720800782735</v>
      </c>
      <c r="F275" s="336">
        <f>Gasto_o_ing_per_capita!F275-Gasto_o_ing_per_capita!$D275</f>
        <v>21.291421587023304</v>
      </c>
      <c r="G275" s="336">
        <f>Gasto_o_ing_per_capita!G275-Gasto_o_ing_per_capita!$D275</f>
        <v>70.242404226153113</v>
      </c>
      <c r="H275" s="336">
        <f>Gasto_o_ing_per_capita!H275-Gasto_o_ing_per_capita!$D275</f>
        <v>-7.4940093142840523</v>
      </c>
      <c r="I275" s="336">
        <f>Gasto_o_ing_per_capita!I275-Gasto_o_ing_per_capita!$D275</f>
        <v>-7.4992535057877348</v>
      </c>
      <c r="J275" s="336">
        <f>Gasto_o_ing_per_capita!J275-Gasto_o_ing_per_capita!$D275</f>
        <v>-6.6235534046975344</v>
      </c>
      <c r="K275" s="336">
        <f>Gasto_o_ing_per_capita!K275-Gasto_o_ing_per_capita!$D275</f>
        <v>53.469925330425475</v>
      </c>
      <c r="L275" s="336">
        <f>Gasto_o_ing_per_capita!L275-Gasto_o_ing_per_capita!$D275</f>
        <v>-5.1929269958623916</v>
      </c>
      <c r="M275" s="336">
        <f>Gasto_o_ing_per_capita!M275-Gasto_o_ing_per_capita!$D275</f>
        <v>-6.9357055697738774</v>
      </c>
      <c r="N275" s="336">
        <f>Gasto_o_ing_per_capita!N275-Gasto_o_ing_per_capita!$D275</f>
        <v>-7.2594370690929031</v>
      </c>
      <c r="O275" s="336">
        <f>Gasto_o_ing_per_capita!O275-Gasto_o_ing_per_capita!$D275</f>
        <v>-7.3797249015062105</v>
      </c>
      <c r="P275" s="336">
        <f>Gasto_o_ing_per_capita!P275-Gasto_o_ing_per_capita!$D275</f>
        <v>10.11520050956231</v>
      </c>
      <c r="Q275" s="336">
        <f>Gasto_o_ing_per_capita!Q275-Gasto_o_ing_per_capita!$D275</f>
        <v>-7.1920482476470573</v>
      </c>
      <c r="R275" s="336">
        <f>Gasto_o_ing_per_capita!R275-Gasto_o_ing_per_capita!$D275</f>
        <v>-7.5238037715432897</v>
      </c>
      <c r="S275" s="336">
        <f>Gasto_o_ing_per_capita!S275-Gasto_o_ing_per_capita!$D275</f>
        <v>-7.4850755674045519</v>
      </c>
      <c r="T275" s="336">
        <f>Gasto_o_ing_per_capita!T275-Gasto_o_ing_per_capita!$D275</f>
        <v>-7.5170598437601805</v>
      </c>
      <c r="U275" s="336">
        <f>Gasto_o_ing_per_capita!U275-Gasto_o_ing_per_capita!$D275</f>
        <v>-7.4757811715337423</v>
      </c>
      <c r="V275" s="336">
        <f>Gasto_o_ing_per_capita!V275-Gasto_o_ing_per_capita!$D275</f>
        <v>-7.5704620928712218</v>
      </c>
      <c r="W275" s="105"/>
    </row>
    <row r="276" spans="1:23" s="102" customFormat="1" ht="13.15">
      <c r="A276" s="355" t="str">
        <f>IF(B276="","",(IF(ISERROR(MATCH(B276,Tot_res!C:C,0)),"Eliminar!!!","")))</f>
        <v/>
      </c>
      <c r="B276" s="115" t="s">
        <v>1188</v>
      </c>
      <c r="C276" s="333" t="str">
        <f>VLOOKUP(B276,Tot_res!C:D,2,FALSE)</f>
        <v>Sobrecostes sistemas eléctricos extrapeninsulares</v>
      </c>
      <c r="D276" s="336">
        <f>Gasto_o_ing_per_capita!D276-Gasto_o_ing_per_capita!$D276</f>
        <v>0</v>
      </c>
      <c r="E276" s="336">
        <f>Gasto_o_ing_per_capita!E276-Gasto_o_ing_per_capita!$D276</f>
        <v>-10.706197771129467</v>
      </c>
      <c r="F276" s="336">
        <f>Gasto_o_ing_per_capita!F276-Gasto_o_ing_per_capita!$D276</f>
        <v>-10.706197771129467</v>
      </c>
      <c r="G276" s="336">
        <f>Gasto_o_ing_per_capita!G276-Gasto_o_ing_per_capita!$D276</f>
        <v>-10.706197771129467</v>
      </c>
      <c r="H276" s="336">
        <f>Gasto_o_ing_per_capita!H276-Gasto_o_ing_per_capita!$D276</f>
        <v>86.953826256928579</v>
      </c>
      <c r="I276" s="336">
        <f>Gasto_o_ing_per_capita!I276-Gasto_o_ing_per_capita!$D276</f>
        <v>162.11108819459361</v>
      </c>
      <c r="J276" s="336">
        <f>Gasto_o_ing_per_capita!J276-Gasto_o_ing_per_capita!$D276</f>
        <v>-10.706197771129467</v>
      </c>
      <c r="K276" s="336">
        <f>Gasto_o_ing_per_capita!K276-Gasto_o_ing_per_capita!$D276</f>
        <v>-10.706197771129467</v>
      </c>
      <c r="L276" s="336">
        <f>Gasto_o_ing_per_capita!L276-Gasto_o_ing_per_capita!$D276</f>
        <v>-10.706197771129467</v>
      </c>
      <c r="M276" s="336">
        <f>Gasto_o_ing_per_capita!M276-Gasto_o_ing_per_capita!$D276</f>
        <v>-10.706197771129467</v>
      </c>
      <c r="N276" s="336">
        <f>Gasto_o_ing_per_capita!N276-Gasto_o_ing_per_capita!$D276</f>
        <v>-10.706197771129467</v>
      </c>
      <c r="O276" s="336">
        <f>Gasto_o_ing_per_capita!O276-Gasto_o_ing_per_capita!$D276</f>
        <v>-10.706197771129467</v>
      </c>
      <c r="P276" s="336">
        <f>Gasto_o_ing_per_capita!P276-Gasto_o_ing_per_capita!$D276</f>
        <v>-10.706197771129467</v>
      </c>
      <c r="Q276" s="336">
        <f>Gasto_o_ing_per_capita!Q276-Gasto_o_ing_per_capita!$D276</f>
        <v>-10.706197771129467</v>
      </c>
      <c r="R276" s="336">
        <f>Gasto_o_ing_per_capita!R276-Gasto_o_ing_per_capita!$D276</f>
        <v>-10.706197771129467</v>
      </c>
      <c r="S276" s="336">
        <f>Gasto_o_ing_per_capita!S276-Gasto_o_ing_per_capita!$D276</f>
        <v>-10.706197771129467</v>
      </c>
      <c r="T276" s="336">
        <f>Gasto_o_ing_per_capita!T276-Gasto_o_ing_per_capita!$D276</f>
        <v>-10.706197771129467</v>
      </c>
      <c r="U276" s="336">
        <f>Gasto_o_ing_per_capita!U276-Gasto_o_ing_per_capita!$D276</f>
        <v>-10.706197771129467</v>
      </c>
      <c r="V276" s="336">
        <f>Gasto_o_ing_per_capita!V276-Gasto_o_ing_per_capita!$D276</f>
        <v>164.50139452812627</v>
      </c>
      <c r="W276" s="105"/>
    </row>
    <row r="277" spans="1:23" s="102" customFormat="1" ht="13.15">
      <c r="A277" s="355" t="str">
        <f>IF(B277="","",(IF(ISERROR(MATCH(B277,Tot_res!C:C,0)),"Eliminar!!!","")))</f>
        <v/>
      </c>
      <c r="B277" s="115" t="s">
        <v>297</v>
      </c>
      <c r="C277" s="333" t="str">
        <f>VLOOKUP(B277,Tot_res!C:D,2,FALSE)</f>
        <v>Subvenciones y apoyo al transporte marítimo</v>
      </c>
      <c r="D277" s="336">
        <f>Gasto_o_ing_per_capita!D277-Gasto_o_ing_per_capita!$D277</f>
        <v>0</v>
      </c>
      <c r="E277" s="336">
        <f>Gasto_o_ing_per_capita!E277-Gasto_o_ing_per_capita!$D277</f>
        <v>-1.216085569513556</v>
      </c>
      <c r="F277" s="336">
        <f>Gasto_o_ing_per_capita!F277-Gasto_o_ing_per_capita!$D277</f>
        <v>-1.2507397168968633</v>
      </c>
      <c r="G277" s="336">
        <f>Gasto_o_ing_per_capita!G277-Gasto_o_ing_per_capita!$D277</f>
        <v>-1.2644647196476202</v>
      </c>
      <c r="H277" s="336">
        <f>Gasto_o_ing_per_capita!H277-Gasto_o_ing_per_capita!$D277</f>
        <v>10.471542620692606</v>
      </c>
      <c r="I277" s="336">
        <f>Gasto_o_ing_per_capita!I277-Gasto_o_ing_per_capita!$D277</f>
        <v>10.496832202705615</v>
      </c>
      <c r="J277" s="336">
        <f>Gasto_o_ing_per_capita!J277-Gasto_o_ing_per_capita!$D277</f>
        <v>-1.2464852773513775</v>
      </c>
      <c r="K277" s="336">
        <f>Gasto_o_ing_per_capita!K277-Gasto_o_ing_per_capita!$D277</f>
        <v>-1.2678281150940853</v>
      </c>
      <c r="L277" s="336">
        <f>Gasto_o_ing_per_capita!L277-Gasto_o_ing_per_capita!$D277</f>
        <v>-1.2614953600693102</v>
      </c>
      <c r="M277" s="336">
        <f>Gasto_o_ing_per_capita!M277-Gasto_o_ing_per_capita!$D277</f>
        <v>-1.2273247463742876</v>
      </c>
      <c r="N277" s="336">
        <f>Gasto_o_ing_per_capita!N277-Gasto_o_ing_per_capita!$D277</f>
        <v>-1.2292046428885617</v>
      </c>
      <c r="O277" s="336">
        <f>Gasto_o_ing_per_capita!O277-Gasto_o_ing_per_capita!$D277</f>
        <v>-1.2602299354171862</v>
      </c>
      <c r="P277" s="336">
        <f>Gasto_o_ing_per_capita!P277-Gasto_o_ing_per_capita!$D277</f>
        <v>-1.2670097336771093</v>
      </c>
      <c r="Q277" s="336">
        <f>Gasto_o_ing_per_capita!Q277-Gasto_o_ing_per_capita!$D277</f>
        <v>-1.2529027724957364</v>
      </c>
      <c r="R277" s="336">
        <f>Gasto_o_ing_per_capita!R277-Gasto_o_ing_per_capita!$D277</f>
        <v>-1.2492235844446609</v>
      </c>
      <c r="S277" s="336">
        <f>Gasto_o_ing_per_capita!S277-Gasto_o_ing_per_capita!$D277</f>
        <v>-1.246005283735502</v>
      </c>
      <c r="T277" s="336">
        <f>Gasto_o_ing_per_capita!T277-Gasto_o_ing_per_capita!$D277</f>
        <v>-1.2653323003233494</v>
      </c>
      <c r="U277" s="336">
        <f>Gasto_o_ing_per_capita!U277-Gasto_o_ing_per_capita!$D277</f>
        <v>-1.2457209159438469</v>
      </c>
      <c r="V277" s="336">
        <f>Gasto_o_ing_per_capita!V277-Gasto_o_ing_per_capita!$D277</f>
        <v>120.44880068362714</v>
      </c>
      <c r="W277" s="105"/>
    </row>
    <row r="278" spans="1:23" s="102" customFormat="1" ht="13.15">
      <c r="A278" s="355" t="str">
        <f>IF(B278="","",(IF(ISERROR(MATCH(B278,Tot_res!C:C,0)),"Eliminar!!!","")))</f>
        <v/>
      </c>
      <c r="B278" s="115" t="s">
        <v>298</v>
      </c>
      <c r="C278" s="333" t="str">
        <f>VLOOKUP(B278,Tot_res!C:D,2,FALSE)</f>
        <v>Subvenciones y apoyo al transporte aéreo</v>
      </c>
      <c r="D278" s="336">
        <f>Gasto_o_ing_per_capita!D278-Gasto_o_ing_per_capita!$D278</f>
        <v>0</v>
      </c>
      <c r="E278" s="336">
        <f>Gasto_o_ing_per_capita!E278-Gasto_o_ing_per_capita!$D278</f>
        <v>-5.6944329450142721</v>
      </c>
      <c r="F278" s="336">
        <f>Gasto_o_ing_per_capita!F278-Gasto_o_ing_per_capita!$D278</f>
        <v>-5.6944691346700331</v>
      </c>
      <c r="G278" s="336">
        <f>Gasto_o_ing_per_capita!G278-Gasto_o_ing_per_capita!$D278</f>
        <v>-5.6876384791190837</v>
      </c>
      <c r="H278" s="336">
        <f>Gasto_o_ing_per_capita!H278-Gasto_o_ing_per_capita!$D278</f>
        <v>82.049398522393076</v>
      </c>
      <c r="I278" s="336">
        <f>Gasto_o_ing_per_capita!I278-Gasto_o_ing_per_capita!$D278</f>
        <v>74.252559732054578</v>
      </c>
      <c r="J278" s="336">
        <f>Gasto_o_ing_per_capita!J278-Gasto_o_ing_per_capita!$D278</f>
        <v>-5.6792012510775534</v>
      </c>
      <c r="K278" s="336">
        <f>Gasto_o_ing_per_capita!K278-Gasto_o_ing_per_capita!$D278</f>
        <v>-5.6969990546006546</v>
      </c>
      <c r="L278" s="336">
        <f>Gasto_o_ing_per_capita!L278-Gasto_o_ing_per_capita!$D278</f>
        <v>-5.7003026371921584</v>
      </c>
      <c r="M278" s="336">
        <f>Gasto_o_ing_per_capita!M278-Gasto_o_ing_per_capita!$D278</f>
        <v>-5.681451481510587</v>
      </c>
      <c r="N278" s="336">
        <f>Gasto_o_ing_per_capita!N278-Gasto_o_ing_per_capita!$D278</f>
        <v>-5.6933746740048292</v>
      </c>
      <c r="O278" s="336">
        <f>Gasto_o_ing_per_capita!O278-Gasto_o_ing_per_capita!$D278</f>
        <v>-5.6978061442838381</v>
      </c>
      <c r="P278" s="336">
        <f>Gasto_o_ing_per_capita!P278-Gasto_o_ing_per_capita!$D278</f>
        <v>-5.6939634700884092</v>
      </c>
      <c r="Q278" s="336">
        <f>Gasto_o_ing_per_capita!Q278-Gasto_o_ing_per_capita!$D278</f>
        <v>-5.6848481668612987</v>
      </c>
      <c r="R278" s="336">
        <f>Gasto_o_ing_per_capita!R278-Gasto_o_ing_per_capita!$D278</f>
        <v>-5.7002666740973984</v>
      </c>
      <c r="S278" s="336">
        <f>Gasto_o_ing_per_capita!S278-Gasto_o_ing_per_capita!$D278</f>
        <v>-5.6935815202005555</v>
      </c>
      <c r="T278" s="336">
        <f>Gasto_o_ing_per_capita!T278-Gasto_o_ing_per_capita!$D278</f>
        <v>-5.684326293784876</v>
      </c>
      <c r="U278" s="336">
        <f>Gasto_o_ing_per_capita!U278-Gasto_o_ing_per_capita!$D278</f>
        <v>-5.6945552937318782</v>
      </c>
      <c r="V278" s="336">
        <f>Gasto_o_ing_per_capita!V278-Gasto_o_ing_per_capita!$D278</f>
        <v>1.2616250859391869</v>
      </c>
      <c r="W278" s="105"/>
    </row>
    <row r="279" spans="1:23" s="102" customFormat="1" ht="13.15">
      <c r="A279" s="355" t="str">
        <f>IF(B279="","",(IF(ISERROR(MATCH(B279,Tot_res!C:C,0)),"Eliminar!!!","")))</f>
        <v/>
      </c>
      <c r="B279" s="115" t="s">
        <v>299</v>
      </c>
      <c r="C279" s="333" t="str">
        <f>VLOOKUP(B279,Tot_res!C:D,2,FALSE)</f>
        <v>Subvenciones al transporte extrapeninsular de mercancías</v>
      </c>
      <c r="D279" s="336">
        <f>Gasto_o_ing_per_capita!D279-Gasto_o_ing_per_capita!$D279</f>
        <v>0</v>
      </c>
      <c r="E279" s="336">
        <f>Gasto_o_ing_per_capita!E279-Gasto_o_ing_per_capita!$D279</f>
        <v>-0.4222410698726034</v>
      </c>
      <c r="F279" s="336">
        <f>Gasto_o_ing_per_capita!F279-Gasto_o_ing_per_capita!$D279</f>
        <v>-0.4222410698726034</v>
      </c>
      <c r="G279" s="336">
        <f>Gasto_o_ing_per_capita!G279-Gasto_o_ing_per_capita!$D279</f>
        <v>-0.4222410698726034</v>
      </c>
      <c r="H279" s="336">
        <f>Gasto_o_ing_per_capita!H279-Gasto_o_ing_per_capita!$D279</f>
        <v>0.63354147153832052</v>
      </c>
      <c r="I279" s="336">
        <f>Gasto_o_ing_per_capita!I279-Gasto_o_ing_per_capita!$D279</f>
        <v>8.4117315272235444</v>
      </c>
      <c r="J279" s="336">
        <f>Gasto_o_ing_per_capita!J279-Gasto_o_ing_per_capita!$D279</f>
        <v>-0.4222410698726034</v>
      </c>
      <c r="K279" s="336">
        <f>Gasto_o_ing_per_capita!K279-Gasto_o_ing_per_capita!$D279</f>
        <v>-0.4222410698726034</v>
      </c>
      <c r="L279" s="336">
        <f>Gasto_o_ing_per_capita!L279-Gasto_o_ing_per_capita!$D279</f>
        <v>-0.4222410698726034</v>
      </c>
      <c r="M279" s="336">
        <f>Gasto_o_ing_per_capita!M279-Gasto_o_ing_per_capita!$D279</f>
        <v>-0.4222410698726034</v>
      </c>
      <c r="N279" s="336">
        <f>Gasto_o_ing_per_capita!N279-Gasto_o_ing_per_capita!$D279</f>
        <v>-0.4222410698726034</v>
      </c>
      <c r="O279" s="336">
        <f>Gasto_o_ing_per_capita!O279-Gasto_o_ing_per_capita!$D279</f>
        <v>-0.4222410698726034</v>
      </c>
      <c r="P279" s="336">
        <f>Gasto_o_ing_per_capita!P279-Gasto_o_ing_per_capita!$D279</f>
        <v>-0.4222410698726034</v>
      </c>
      <c r="Q279" s="336">
        <f>Gasto_o_ing_per_capita!Q279-Gasto_o_ing_per_capita!$D279</f>
        <v>-0.4222410698726034</v>
      </c>
      <c r="R279" s="336">
        <f>Gasto_o_ing_per_capita!R279-Gasto_o_ing_per_capita!$D279</f>
        <v>-0.4222410698726034</v>
      </c>
      <c r="S279" s="336">
        <f>Gasto_o_ing_per_capita!S279-Gasto_o_ing_per_capita!$D279</f>
        <v>-0.4222410698726034</v>
      </c>
      <c r="T279" s="336">
        <f>Gasto_o_ing_per_capita!T279-Gasto_o_ing_per_capita!$D279</f>
        <v>-0.4222410698726034</v>
      </c>
      <c r="U279" s="336">
        <f>Gasto_o_ing_per_capita!U279-Gasto_o_ing_per_capita!$D279</f>
        <v>-0.4222410698726034</v>
      </c>
      <c r="V279" s="336">
        <f>Gasto_o_ing_per_capita!V279-Gasto_o_ing_per_capita!$D279</f>
        <v>-0.4222410698726034</v>
      </c>
      <c r="W279" s="105"/>
    </row>
    <row r="280" spans="1:23" s="102" customFormat="1" ht="13.15">
      <c r="A280" s="355" t="str">
        <f>IF(B280="","",(IF(ISERROR(MATCH(B280,Tot_res!C:C,0)),"Eliminar!!!","")))</f>
        <v/>
      </c>
      <c r="B280" s="115" t="s">
        <v>300</v>
      </c>
      <c r="C280" s="333" t="str">
        <f>VLOOKUP(B280,Tot_res!C:D,2,FALSE)</f>
        <v>Infraestructuras en comarcas mineras del carbón</v>
      </c>
      <c r="D280" s="336">
        <f>Gasto_o_ing_per_capita!D280-Gasto_o_ing_per_capita!$D280</f>
        <v>0</v>
      </c>
      <c r="E280" s="336">
        <f>Gasto_o_ing_per_capita!E280-Gasto_o_ing_per_capita!$D280</f>
        <v>-0.16972066570561065</v>
      </c>
      <c r="F280" s="336">
        <f>Gasto_o_ing_per_capita!F280-Gasto_o_ing_per_capita!$D280</f>
        <v>0.30965587620352919</v>
      </c>
      <c r="G280" s="336">
        <f>Gasto_o_ing_per_capita!G280-Gasto_o_ing_per_capita!$D280</f>
        <v>-0.21720713588050342</v>
      </c>
      <c r="H280" s="336">
        <f>Gasto_o_ing_per_capita!H280-Gasto_o_ing_per_capita!$D280</f>
        <v>-0.21720713588050342</v>
      </c>
      <c r="I280" s="336">
        <f>Gasto_o_ing_per_capita!I280-Gasto_o_ing_per_capita!$D280</f>
        <v>-0.21720713588050342</v>
      </c>
      <c r="J280" s="336">
        <f>Gasto_o_ing_per_capita!J280-Gasto_o_ing_per_capita!$D280</f>
        <v>-0.21720713588050342</v>
      </c>
      <c r="K280" s="336">
        <f>Gasto_o_ing_per_capita!K280-Gasto_o_ing_per_capita!$D280</f>
        <v>3.40978260321473</v>
      </c>
      <c r="L280" s="336">
        <f>Gasto_o_ing_per_capita!L280-Gasto_o_ing_per_capita!$D280</f>
        <v>-0.21720713588050342</v>
      </c>
      <c r="M280" s="336">
        <f>Gasto_o_ing_per_capita!M280-Gasto_o_ing_per_capita!$D280</f>
        <v>-0.21720713588050342</v>
      </c>
      <c r="N280" s="336">
        <f>Gasto_o_ing_per_capita!N280-Gasto_o_ing_per_capita!$D280</f>
        <v>-0.21720713588050342</v>
      </c>
      <c r="O280" s="336">
        <f>Gasto_o_ing_per_capita!O280-Gasto_o_ing_per_capita!$D280</f>
        <v>-0.21720713588050342</v>
      </c>
      <c r="P280" s="336">
        <f>Gasto_o_ing_per_capita!P280-Gasto_o_ing_per_capita!$D280</f>
        <v>-0.21720713588050342</v>
      </c>
      <c r="Q280" s="336">
        <f>Gasto_o_ing_per_capita!Q280-Gasto_o_ing_per_capita!$D280</f>
        <v>-0.21720713588050342</v>
      </c>
      <c r="R280" s="336">
        <f>Gasto_o_ing_per_capita!R280-Gasto_o_ing_per_capita!$D280</f>
        <v>-0.21720713588050342</v>
      </c>
      <c r="S280" s="336">
        <f>Gasto_o_ing_per_capita!S280-Gasto_o_ing_per_capita!$D280</f>
        <v>-0.21720713588050342</v>
      </c>
      <c r="T280" s="336">
        <f>Gasto_o_ing_per_capita!T280-Gasto_o_ing_per_capita!$D280</f>
        <v>-0.21720713588050342</v>
      </c>
      <c r="U280" s="336">
        <f>Gasto_o_ing_per_capita!U280-Gasto_o_ing_per_capita!$D280</f>
        <v>-0.21720713588050342</v>
      </c>
      <c r="V280" s="336">
        <f>Gasto_o_ing_per_capita!V280-Gasto_o_ing_per_capita!$D280</f>
        <v>-0.21720713588050342</v>
      </c>
      <c r="W280" s="105"/>
    </row>
    <row r="281" spans="1:23" s="102" customFormat="1" ht="15.65">
      <c r="A281" s="355" t="str">
        <f>IF(B281="","",(IF(ISERROR(MATCH(B281,Tot_res!C:C,0)),"Eliminar!!!","")))</f>
        <v/>
      </c>
      <c r="B281" s="150" t="s">
        <v>643</v>
      </c>
      <c r="C281" s="333" t="str">
        <f>VLOOKUP(B281,Tot_res!C:D,2,FALSE)</f>
        <v>Direc. y serv. grales. de hacienda y admones. Públicas, transferencias a la ZEC</v>
      </c>
      <c r="D281" s="336">
        <f>Gasto_o_ing_per_capita!D281-Gasto_o_ing_per_capita!$D281</f>
        <v>0</v>
      </c>
      <c r="E281" s="336">
        <f>Gasto_o_ing_per_capita!E281-Gasto_o_ing_per_capita!$D281</f>
        <v>-1.911436118698643E-2</v>
      </c>
      <c r="F281" s="336">
        <f>Gasto_o_ing_per_capita!F281-Gasto_o_ing_per_capita!$D281</f>
        <v>-1.911436118698643E-2</v>
      </c>
      <c r="G281" s="336">
        <f>Gasto_o_ing_per_capita!G281-Gasto_o_ing_per_capita!$D281</f>
        <v>-1.911436118698643E-2</v>
      </c>
      <c r="H281" s="336">
        <f>Gasto_o_ing_per_capita!H281-Gasto_o_ing_per_capita!$D281</f>
        <v>-1.911436118698643E-2</v>
      </c>
      <c r="I281" s="336">
        <f>Gasto_o_ing_per_capita!I281-Gasto_o_ing_per_capita!$D281</f>
        <v>0.40585605430312671</v>
      </c>
      <c r="J281" s="336">
        <f>Gasto_o_ing_per_capita!J281-Gasto_o_ing_per_capita!$D281</f>
        <v>-1.911436118698643E-2</v>
      </c>
      <c r="K281" s="336">
        <f>Gasto_o_ing_per_capita!K281-Gasto_o_ing_per_capita!$D281</f>
        <v>-1.911436118698643E-2</v>
      </c>
      <c r="L281" s="336">
        <f>Gasto_o_ing_per_capita!L281-Gasto_o_ing_per_capita!$D281</f>
        <v>-1.911436118698643E-2</v>
      </c>
      <c r="M281" s="336">
        <f>Gasto_o_ing_per_capita!M281-Gasto_o_ing_per_capita!$D281</f>
        <v>-1.911436118698643E-2</v>
      </c>
      <c r="N281" s="336">
        <f>Gasto_o_ing_per_capita!N281-Gasto_o_ing_per_capita!$D281</f>
        <v>-1.911436118698643E-2</v>
      </c>
      <c r="O281" s="336">
        <f>Gasto_o_ing_per_capita!O281-Gasto_o_ing_per_capita!$D281</f>
        <v>-1.911436118698643E-2</v>
      </c>
      <c r="P281" s="336">
        <f>Gasto_o_ing_per_capita!P281-Gasto_o_ing_per_capita!$D281</f>
        <v>-1.911436118698643E-2</v>
      </c>
      <c r="Q281" s="336">
        <f>Gasto_o_ing_per_capita!Q281-Gasto_o_ing_per_capita!$D281</f>
        <v>-1.911436118698643E-2</v>
      </c>
      <c r="R281" s="336">
        <f>Gasto_o_ing_per_capita!R281-Gasto_o_ing_per_capita!$D281</f>
        <v>-1.911436118698643E-2</v>
      </c>
      <c r="S281" s="336">
        <f>Gasto_o_ing_per_capita!S281-Gasto_o_ing_per_capita!$D281</f>
        <v>-1.911436118698643E-2</v>
      </c>
      <c r="T281" s="336">
        <f>Gasto_o_ing_per_capita!T281-Gasto_o_ing_per_capita!$D281</f>
        <v>-1.911436118698643E-2</v>
      </c>
      <c r="U281" s="336">
        <f>Gasto_o_ing_per_capita!U281-Gasto_o_ing_per_capita!$D281</f>
        <v>-1.911436118698643E-2</v>
      </c>
      <c r="V281" s="336">
        <f>Gasto_o_ing_per_capita!V281-Gasto_o_ing_per_capita!$D281</f>
        <v>-1.911436118698643E-2</v>
      </c>
      <c r="W281" s="105"/>
    </row>
    <row r="282" spans="1:23" s="102" customFormat="1" ht="13.15">
      <c r="A282" s="355" t="str">
        <f>IF(B282="","",(IF(ISERROR(MATCH(B282,Tot_res!C:C,0)),"Eliminar!!!","")))</f>
        <v/>
      </c>
      <c r="B282" s="115" t="s">
        <v>301</v>
      </c>
      <c r="C282" s="333" t="str">
        <f>VLOOKUP(B282,Tot_res!C:D,2,FALSE)</f>
        <v>Transfer. a cc.aa. por fondos de compens. intert.</v>
      </c>
      <c r="D282" s="336">
        <f>Gasto_o_ing_per_capita!D282-Gasto_o_ing_per_capita!$D282</f>
        <v>0</v>
      </c>
      <c r="E282" s="336">
        <f>Gasto_o_ing_per_capita!E282-Gasto_o_ing_per_capita!$D282</f>
        <v>11.77554027277346</v>
      </c>
      <c r="F282" s="336">
        <f>Gasto_o_ing_per_capita!F282-Gasto_o_ing_per_capita!$D282</f>
        <v>-12.519023424469337</v>
      </c>
      <c r="G282" s="336">
        <f>Gasto_o_ing_per_capita!G282-Gasto_o_ing_per_capita!$D282</f>
        <v>2.7132786186580837</v>
      </c>
      <c r="H282" s="336">
        <f>Gasto_o_ing_per_capita!H282-Gasto_o_ing_per_capita!$D282</f>
        <v>-12.519023424469337</v>
      </c>
      <c r="I282" s="336">
        <f>Gasto_o_ing_per_capita!I282-Gasto_o_ing_per_capita!$D282</f>
        <v>23.713516941398353</v>
      </c>
      <c r="J282" s="336">
        <f>Gasto_o_ing_per_capita!J282-Gasto_o_ing_per_capita!$D282</f>
        <v>-6.4565429070129774</v>
      </c>
      <c r="K282" s="336">
        <f>Gasto_o_ing_per_capita!K282-Gasto_o_ing_per_capita!$D282</f>
        <v>-2.5332596695624794</v>
      </c>
      <c r="L282" s="336">
        <f>Gasto_o_ing_per_capita!L282-Gasto_o_ing_per_capita!$D282</f>
        <v>9.8187287432573545</v>
      </c>
      <c r="M282" s="336">
        <f>Gasto_o_ing_per_capita!M282-Gasto_o_ing_per_capita!$D282</f>
        <v>-12.519023424469337</v>
      </c>
      <c r="N282" s="336">
        <f>Gasto_o_ing_per_capita!N282-Gasto_o_ing_per_capita!$D282</f>
        <v>1.8768901051792071</v>
      </c>
      <c r="O282" s="336">
        <f>Gasto_o_ing_per_capita!O282-Gasto_o_ing_per_capita!$D282</f>
        <v>13.825906037565231</v>
      </c>
      <c r="P282" s="336">
        <f>Gasto_o_ing_per_capita!P282-Gasto_o_ing_per_capita!$D282</f>
        <v>14.086697309541163</v>
      </c>
      <c r="Q282" s="336">
        <f>Gasto_o_ing_per_capita!Q282-Gasto_o_ing_per_capita!$D282</f>
        <v>-12.519023424469337</v>
      </c>
      <c r="R282" s="336">
        <f>Gasto_o_ing_per_capita!R282-Gasto_o_ing_per_capita!$D282</f>
        <v>7.1966989950889495</v>
      </c>
      <c r="S282" s="336">
        <f>Gasto_o_ing_per_capita!S282-Gasto_o_ing_per_capita!$D282</f>
        <v>-12.519023424469337</v>
      </c>
      <c r="T282" s="336">
        <f>Gasto_o_ing_per_capita!T282-Gasto_o_ing_per_capita!$D282</f>
        <v>-12.519023424469337</v>
      </c>
      <c r="U282" s="336">
        <f>Gasto_o_ing_per_capita!U282-Gasto_o_ing_per_capita!$D282</f>
        <v>-12.519023424469337</v>
      </c>
      <c r="V282" s="336">
        <f>Gasto_o_ing_per_capita!V282-Gasto_o_ing_per_capita!$D282</f>
        <v>52.447016933517332</v>
      </c>
      <c r="W282" s="105"/>
    </row>
    <row r="283" spans="1:23" s="102" customFormat="1" ht="13.15">
      <c r="A283" s="355" t="str">
        <f>IF(B283="","",(IF(ISERROR(MATCH(B283,Tot_res!C:C,0)),"Eliminar!!!","")))</f>
        <v/>
      </c>
      <c r="B283" s="115" t="s">
        <v>644</v>
      </c>
      <c r="C283" s="333" t="str">
        <f>VLOOKUP(B283,Tot_res!C:D,2,FALSE)</f>
        <v>Otras transferencias a Comunidades Autónomas: Transferencias de capital a Aragón para proyectos de inversión en Teruel y a la CA de Extremadura para proyectos de inversión.</v>
      </c>
      <c r="D283" s="336">
        <f>Gasto_o_ing_per_capita!D283-Gasto_o_ing_per_capita!$D283</f>
        <v>0</v>
      </c>
      <c r="E283" s="336">
        <f>Gasto_o_ing_per_capita!E283-Gasto_o_ing_per_capita!$D283</f>
        <v>-1.0649499786605323</v>
      </c>
      <c r="F283" s="336">
        <f>Gasto_o_ing_per_capita!F283-Gasto_o_ing_per_capita!$D283</f>
        <v>21.385644681465529</v>
      </c>
      <c r="G283" s="336">
        <f>Gasto_o_ing_per_capita!G283-Gasto_o_ing_per_capita!$D283</f>
        <v>-1.0649499786605323</v>
      </c>
      <c r="H283" s="336">
        <f>Gasto_o_ing_per_capita!H283-Gasto_o_ing_per_capita!$D283</f>
        <v>-1.0649499786605323</v>
      </c>
      <c r="I283" s="336">
        <f>Gasto_o_ing_per_capita!I283-Gasto_o_ing_per_capita!$D283</f>
        <v>-1.0649499786605323</v>
      </c>
      <c r="J283" s="336">
        <f>Gasto_o_ing_per_capita!J283-Gasto_o_ing_per_capita!$D283</f>
        <v>-1.0649499786605323</v>
      </c>
      <c r="K283" s="336">
        <f>Gasto_o_ing_per_capita!K283-Gasto_o_ing_per_capita!$D283</f>
        <v>-1.0649499786605323</v>
      </c>
      <c r="L283" s="336">
        <f>Gasto_o_ing_per_capita!L283-Gasto_o_ing_per_capita!$D283</f>
        <v>-1.0649499786605323</v>
      </c>
      <c r="M283" s="336">
        <f>Gasto_o_ing_per_capita!M283-Gasto_o_ing_per_capita!$D283</f>
        <v>-1.0649499786605323</v>
      </c>
      <c r="N283" s="336">
        <f>Gasto_o_ing_per_capita!N283-Gasto_o_ing_per_capita!$D283</f>
        <v>-1.0649499786605323</v>
      </c>
      <c r="O283" s="336">
        <f>Gasto_o_ing_per_capita!O283-Gasto_o_ing_per_capita!$D283</f>
        <v>17.086868198207153</v>
      </c>
      <c r="P283" s="336">
        <f>Gasto_o_ing_per_capita!P283-Gasto_o_ing_per_capita!$D283</f>
        <v>-1.0649499786605323</v>
      </c>
      <c r="Q283" s="336">
        <f>Gasto_o_ing_per_capita!Q283-Gasto_o_ing_per_capita!$D283</f>
        <v>-1.0649499786605323</v>
      </c>
      <c r="R283" s="336">
        <f>Gasto_o_ing_per_capita!R283-Gasto_o_ing_per_capita!$D283</f>
        <v>-1.0649499786605323</v>
      </c>
      <c r="S283" s="336">
        <f>Gasto_o_ing_per_capita!S283-Gasto_o_ing_per_capita!$D283</f>
        <v>-1.0649499786605323</v>
      </c>
      <c r="T283" s="336">
        <f>Gasto_o_ing_per_capita!T283-Gasto_o_ing_per_capita!$D283</f>
        <v>-1.0649499786605323</v>
      </c>
      <c r="U283" s="336">
        <f>Gasto_o_ing_per_capita!U283-Gasto_o_ing_per_capita!$D283</f>
        <v>-1.0649499786605323</v>
      </c>
      <c r="V283" s="336">
        <f>Gasto_o_ing_per_capita!V283-Gasto_o_ing_per_capita!$D283</f>
        <v>-1.0649499786605323</v>
      </c>
      <c r="W283" s="105"/>
    </row>
    <row r="284" spans="1:23" s="102" customFormat="1" ht="13.15">
      <c r="A284" s="355" t="str">
        <f>IF(B284="","",(IF(ISERROR(MATCH(B284,Tot_res!C:C,0)),"Eliminar!!!","")))</f>
        <v/>
      </c>
      <c r="B284" s="115" t="s">
        <v>302</v>
      </c>
      <c r="C284" s="333" t="str">
        <f>VLOOKUP(B284,Tot_res!C:D,2,FALSE)</f>
        <v>Infraestructuras REF Canarias</v>
      </c>
      <c r="D284" s="336">
        <f>Gasto_o_ing_per_capita!D284-Gasto_o_ing_per_capita!$D284</f>
        <v>0</v>
      </c>
      <c r="E284" s="336">
        <f>Gasto_o_ing_per_capita!E284-Gasto_o_ing_per_capita!$D284</f>
        <v>-2.4553607342790413</v>
      </c>
      <c r="F284" s="336">
        <f>Gasto_o_ing_per_capita!F284-Gasto_o_ing_per_capita!$D284</f>
        <v>-2.4553607342790413</v>
      </c>
      <c r="G284" s="336">
        <f>Gasto_o_ing_per_capita!G284-Gasto_o_ing_per_capita!$D284</f>
        <v>-2.4553607342790413</v>
      </c>
      <c r="H284" s="336">
        <f>Gasto_o_ing_per_capita!H284-Gasto_o_ing_per_capita!$D284</f>
        <v>-2.4553607342790413</v>
      </c>
      <c r="I284" s="336">
        <f>Gasto_o_ing_per_capita!I284-Gasto_o_ing_per_capita!$D284</f>
        <v>52.134780218748787</v>
      </c>
      <c r="J284" s="336">
        <f>Gasto_o_ing_per_capita!J284-Gasto_o_ing_per_capita!$D284</f>
        <v>-2.4553607342790413</v>
      </c>
      <c r="K284" s="336">
        <f>Gasto_o_ing_per_capita!K284-Gasto_o_ing_per_capita!$D284</f>
        <v>-2.4553607342790413</v>
      </c>
      <c r="L284" s="336">
        <f>Gasto_o_ing_per_capita!L284-Gasto_o_ing_per_capita!$D284</f>
        <v>-2.4553607342790413</v>
      </c>
      <c r="M284" s="336">
        <f>Gasto_o_ing_per_capita!M284-Gasto_o_ing_per_capita!$D284</f>
        <v>-2.4553607342790413</v>
      </c>
      <c r="N284" s="336">
        <f>Gasto_o_ing_per_capita!N284-Gasto_o_ing_per_capita!$D284</f>
        <v>-2.4553607342790413</v>
      </c>
      <c r="O284" s="336">
        <f>Gasto_o_ing_per_capita!O284-Gasto_o_ing_per_capita!$D284</f>
        <v>-2.4553607342790413</v>
      </c>
      <c r="P284" s="336">
        <f>Gasto_o_ing_per_capita!P284-Gasto_o_ing_per_capita!$D284</f>
        <v>-2.4553607342790413</v>
      </c>
      <c r="Q284" s="336">
        <f>Gasto_o_ing_per_capita!Q284-Gasto_o_ing_per_capita!$D284</f>
        <v>-2.4553607342790413</v>
      </c>
      <c r="R284" s="336">
        <f>Gasto_o_ing_per_capita!R284-Gasto_o_ing_per_capita!$D284</f>
        <v>-2.4553607342790413</v>
      </c>
      <c r="S284" s="336">
        <f>Gasto_o_ing_per_capita!S284-Gasto_o_ing_per_capita!$D284</f>
        <v>-2.4553607342790413</v>
      </c>
      <c r="T284" s="336">
        <f>Gasto_o_ing_per_capita!T284-Gasto_o_ing_per_capita!$D284</f>
        <v>-2.4553607342790413</v>
      </c>
      <c r="U284" s="336">
        <f>Gasto_o_ing_per_capita!U284-Gasto_o_ing_per_capita!$D284</f>
        <v>-2.4553607342790413</v>
      </c>
      <c r="V284" s="336">
        <f>Gasto_o_ing_per_capita!V284-Gasto_o_ing_per_capita!$D284</f>
        <v>-2.4553607342790413</v>
      </c>
      <c r="W284" s="105"/>
    </row>
    <row r="285" spans="1:23" s="102" customFormat="1" ht="13.15">
      <c r="A285" s="355" t="str">
        <f>IF(B285="","",(IF(ISERROR(MATCH(B285,Tot_res!C:C,0)),"Eliminar!!!","")))</f>
        <v/>
      </c>
      <c r="B285" s="115" t="s">
        <v>303</v>
      </c>
      <c r="C285" s="333" t="str">
        <f>VLOOKUP(B285,Tot_res!C:D,2,FALSE)</f>
        <v>Transporte interinsular Canarias</v>
      </c>
      <c r="D285" s="336">
        <f>Gasto_o_ing_per_capita!D285-Gasto_o_ing_per_capita!$D285</f>
        <v>0</v>
      </c>
      <c r="E285" s="336">
        <f>Gasto_o_ing_per_capita!E285-Gasto_o_ing_per_capita!$D285</f>
        <v>-0.63565187397236556</v>
      </c>
      <c r="F285" s="336">
        <f>Gasto_o_ing_per_capita!F285-Gasto_o_ing_per_capita!$D285</f>
        <v>-0.63565187397236556</v>
      </c>
      <c r="G285" s="336">
        <f>Gasto_o_ing_per_capita!G285-Gasto_o_ing_per_capita!$D285</f>
        <v>-0.63565187397236556</v>
      </c>
      <c r="H285" s="336">
        <f>Gasto_o_ing_per_capita!H285-Gasto_o_ing_per_capita!$D285</f>
        <v>-0.63565187397236556</v>
      </c>
      <c r="I285" s="336">
        <f>Gasto_o_ing_per_capita!I285-Gasto_o_ing_per_capita!$D285</f>
        <v>13.49682361639449</v>
      </c>
      <c r="J285" s="336">
        <f>Gasto_o_ing_per_capita!J285-Gasto_o_ing_per_capita!$D285</f>
        <v>-0.63565187397236556</v>
      </c>
      <c r="K285" s="336">
        <f>Gasto_o_ing_per_capita!K285-Gasto_o_ing_per_capita!$D285</f>
        <v>-0.63565187397236556</v>
      </c>
      <c r="L285" s="336">
        <f>Gasto_o_ing_per_capita!L285-Gasto_o_ing_per_capita!$D285</f>
        <v>-0.63565187397236556</v>
      </c>
      <c r="M285" s="336">
        <f>Gasto_o_ing_per_capita!M285-Gasto_o_ing_per_capita!$D285</f>
        <v>-0.63565187397236556</v>
      </c>
      <c r="N285" s="336">
        <f>Gasto_o_ing_per_capita!N285-Gasto_o_ing_per_capita!$D285</f>
        <v>-0.63565187397236556</v>
      </c>
      <c r="O285" s="336">
        <f>Gasto_o_ing_per_capita!O285-Gasto_o_ing_per_capita!$D285</f>
        <v>-0.63565187397236556</v>
      </c>
      <c r="P285" s="336">
        <f>Gasto_o_ing_per_capita!P285-Gasto_o_ing_per_capita!$D285</f>
        <v>-0.63565187397236556</v>
      </c>
      <c r="Q285" s="336">
        <f>Gasto_o_ing_per_capita!Q285-Gasto_o_ing_per_capita!$D285</f>
        <v>-0.63565187397236556</v>
      </c>
      <c r="R285" s="336">
        <f>Gasto_o_ing_per_capita!R285-Gasto_o_ing_per_capita!$D285</f>
        <v>-0.63565187397236556</v>
      </c>
      <c r="S285" s="336">
        <f>Gasto_o_ing_per_capita!S285-Gasto_o_ing_per_capita!$D285</f>
        <v>-0.63565187397236556</v>
      </c>
      <c r="T285" s="336">
        <f>Gasto_o_ing_per_capita!T285-Gasto_o_ing_per_capita!$D285</f>
        <v>-0.63565187397236556</v>
      </c>
      <c r="U285" s="336">
        <f>Gasto_o_ing_per_capita!U285-Gasto_o_ing_per_capita!$D285</f>
        <v>-0.63565187397236556</v>
      </c>
      <c r="V285" s="336">
        <f>Gasto_o_ing_per_capita!V285-Gasto_o_ing_per_capita!$D285</f>
        <v>-0.63565187397236556</v>
      </c>
      <c r="W285" s="105"/>
    </row>
    <row r="286" spans="1:23" s="102" customFormat="1" ht="13.15">
      <c r="A286" s="355" t="str">
        <f>IF(B286="","",(IF(ISERROR(MATCH(B286,Tot_res!C:C,0)),"Eliminar!!!","")))</f>
        <v/>
      </c>
      <c r="B286" s="115" t="s">
        <v>304</v>
      </c>
      <c r="C286" s="333" t="str">
        <f>VLOOKUP(B286,Tot_res!C:D,2,FALSE)</f>
        <v>Ayudas de la UE gestionadas por las comunidades autónomas, excepto FEOGA Garantía</v>
      </c>
      <c r="D286" s="336">
        <f>Gasto_o_ing_per_capita!D286-Gasto_o_ing_per_capita!$D286</f>
        <v>0</v>
      </c>
      <c r="E286" s="336">
        <f>Gasto_o_ing_per_capita!E286-Gasto_o_ing_per_capita!$D286</f>
        <v>38.522768042732373</v>
      </c>
      <c r="F286" s="336">
        <f>Gasto_o_ing_per_capita!F286-Gasto_o_ing_per_capita!$D286</f>
        <v>-13.675864493481878</v>
      </c>
      <c r="G286" s="336">
        <f>Gasto_o_ing_per_capita!G286-Gasto_o_ing_per_capita!$D286</f>
        <v>-5.6008272426779229</v>
      </c>
      <c r="H286" s="336">
        <f>Gasto_o_ing_per_capita!H286-Gasto_o_ing_per_capita!$D286</f>
        <v>-15.707826249697302</v>
      </c>
      <c r="I286" s="336">
        <f>Gasto_o_ing_per_capita!I286-Gasto_o_ing_per_capita!$D286</f>
        <v>17.138281668350963</v>
      </c>
      <c r="J286" s="336">
        <f>Gasto_o_ing_per_capita!J286-Gasto_o_ing_per_capita!$D286</f>
        <v>-1.6204445887178807</v>
      </c>
      <c r="K286" s="336">
        <f>Gasto_o_ing_per_capita!K286-Gasto_o_ing_per_capita!$D286</f>
        <v>-6.4254391196945093</v>
      </c>
      <c r="L286" s="336">
        <f>Gasto_o_ing_per_capita!L286-Gasto_o_ing_per_capita!$D286</f>
        <v>26.45728883456227</v>
      </c>
      <c r="M286" s="336">
        <f>Gasto_o_ing_per_capita!M286-Gasto_o_ing_per_capita!$D286</f>
        <v>-41.847015153779438</v>
      </c>
      <c r="N286" s="336">
        <f>Gasto_o_ing_per_capita!N286-Gasto_o_ing_per_capita!$D286</f>
        <v>-10.786973961986245</v>
      </c>
      <c r="O286" s="336">
        <f>Gasto_o_ing_per_capita!O286-Gasto_o_ing_per_capita!$D286</f>
        <v>99.845575015912488</v>
      </c>
      <c r="P286" s="336">
        <f>Gasto_o_ing_per_capita!P286-Gasto_o_ing_per_capita!$D286</f>
        <v>54.515295360711583</v>
      </c>
      <c r="Q286" s="336">
        <f>Gasto_o_ing_per_capita!Q286-Gasto_o_ing_per_capita!$D286</f>
        <v>-30.655833200382887</v>
      </c>
      <c r="R286" s="336">
        <f>Gasto_o_ing_per_capita!R286-Gasto_o_ing_per_capita!$D286</f>
        <v>-1.451665146781302</v>
      </c>
      <c r="S286" s="336">
        <f>Gasto_o_ing_per_capita!S286-Gasto_o_ing_per_capita!$D286</f>
        <v>-18.225156163967096</v>
      </c>
      <c r="T286" s="336">
        <f>Gasto_o_ing_per_capita!T286-Gasto_o_ing_per_capita!$D286</f>
        <v>-16.500353577909717</v>
      </c>
      <c r="U286" s="336">
        <f>Gasto_o_ing_per_capita!U286-Gasto_o_ing_per_capita!$D286</f>
        <v>-6.4766858734295738</v>
      </c>
      <c r="V286" s="336">
        <f>Gasto_o_ing_per_capita!V286-Gasto_o_ing_per_capita!$D286</f>
        <v>17.705536207690336</v>
      </c>
      <c r="W286" s="105"/>
    </row>
    <row r="287" spans="1:23" s="102" customFormat="1" ht="13.15">
      <c r="A287" s="356"/>
      <c r="B287" s="115"/>
      <c r="C287" s="147"/>
      <c r="D287" s="110"/>
      <c r="E287" s="110"/>
      <c r="F287" s="110"/>
      <c r="G287" s="110"/>
      <c r="H287" s="110"/>
      <c r="I287" s="110"/>
      <c r="J287" s="110"/>
      <c r="K287" s="110"/>
      <c r="L287" s="110"/>
      <c r="M287" s="110"/>
      <c r="N287" s="110"/>
      <c r="O287" s="110"/>
      <c r="P287" s="110"/>
      <c r="Q287" s="110"/>
      <c r="R287" s="110"/>
      <c r="S287" s="110"/>
      <c r="T287" s="110"/>
      <c r="U287" s="110"/>
      <c r="V287" s="110"/>
      <c r="W287" s="105"/>
    </row>
    <row r="288" spans="1:23" s="102" customFormat="1" ht="13.15">
      <c r="A288" s="356"/>
      <c r="B288" s="115"/>
      <c r="C288" s="112" t="s">
        <v>22</v>
      </c>
      <c r="D288" s="113">
        <f>Gasto_o_ing_per_capita!D288-Gasto_o_ing_per_capita!$D288</f>
        <v>0</v>
      </c>
      <c r="E288" s="113">
        <f>Gasto_o_ing_per_capita!E288-Gasto_o_ing_per_capita!$D288</f>
        <v>-34.936221081455642</v>
      </c>
      <c r="F288" s="113">
        <f>Gasto_o_ing_per_capita!F288-Gasto_o_ing_per_capita!$D288</f>
        <v>41.11632815203609</v>
      </c>
      <c r="G288" s="113">
        <f>Gasto_o_ing_per_capita!G288-Gasto_o_ing_per_capita!$D288</f>
        <v>-14.633529663395109</v>
      </c>
      <c r="H288" s="113">
        <f>Gasto_o_ing_per_capita!H288-Gasto_o_ing_per_capita!$D288</f>
        <v>-7.7080140799690184</v>
      </c>
      <c r="I288" s="113">
        <f>Gasto_o_ing_per_capita!I288-Gasto_o_ing_per_capita!$D288</f>
        <v>-29.272968085553202</v>
      </c>
      <c r="J288" s="113">
        <f>Gasto_o_ing_per_capita!J288-Gasto_o_ing_per_capita!$D288</f>
        <v>-14.25268513674115</v>
      </c>
      <c r="K288" s="113">
        <f>Gasto_o_ing_per_capita!K288-Gasto_o_ing_per_capita!$D288</f>
        <v>43.932547252662175</v>
      </c>
      <c r="L288" s="113">
        <f>Gasto_o_ing_per_capita!L288-Gasto_o_ing_per_capita!$D288</f>
        <v>-21.274272393294211</v>
      </c>
      <c r="M288" s="113">
        <f>Gasto_o_ing_per_capita!M288-Gasto_o_ing_per_capita!$D288</f>
        <v>22.972831754005313</v>
      </c>
      <c r="N288" s="113">
        <f>Gasto_o_ing_per_capita!N288-Gasto_o_ing_per_capita!$D288</f>
        <v>-64.996279154592173</v>
      </c>
      <c r="O288" s="113">
        <f>Gasto_o_ing_per_capita!O288-Gasto_o_ing_per_capita!$D288</f>
        <v>-15.491250066796908</v>
      </c>
      <c r="P288" s="113">
        <f>Gasto_o_ing_per_capita!P288-Gasto_o_ing_per_capita!$D288</f>
        <v>-14.201213173411759</v>
      </c>
      <c r="Q288" s="113">
        <f>Gasto_o_ing_per_capita!Q288-Gasto_o_ing_per_capita!$D288</f>
        <v>26.711495345909384</v>
      </c>
      <c r="R288" s="113">
        <f>Gasto_o_ing_per_capita!R288-Gasto_o_ing_per_capita!$D288</f>
        <v>-54.142795004568313</v>
      </c>
      <c r="S288" s="113">
        <f>Gasto_o_ing_per_capita!S288-Gasto_o_ing_per_capita!$D288</f>
        <v>60.591088636028076</v>
      </c>
      <c r="T288" s="113">
        <f>Gasto_o_ing_per_capita!T288-Gasto_o_ing_per_capita!$D288</f>
        <v>103.69697162211031</v>
      </c>
      <c r="U288" s="113">
        <f>Gasto_o_ing_per_capita!U288-Gasto_o_ing_per_capita!$D288</f>
        <v>116.53644765006078</v>
      </c>
      <c r="V288" s="113">
        <f>Gasto_o_ing_per_capita!V288-Gasto_o_ing_per_capita!$D288</f>
        <v>492.32752503831642</v>
      </c>
      <c r="W288" s="105"/>
    </row>
    <row r="289" spans="1:23" s="102" customFormat="1" ht="13.15">
      <c r="A289" s="356"/>
      <c r="B289" s="115"/>
      <c r="D289" s="110"/>
      <c r="E289" s="110"/>
      <c r="F289" s="110"/>
      <c r="G289" s="110"/>
      <c r="H289" s="110"/>
      <c r="I289" s="110"/>
      <c r="J289" s="110"/>
      <c r="K289" s="110"/>
      <c r="L289" s="110"/>
      <c r="M289" s="110"/>
      <c r="N289" s="110"/>
      <c r="O289" s="110"/>
      <c r="P289" s="110"/>
      <c r="Q289" s="110"/>
      <c r="R289" s="110"/>
      <c r="S289" s="110"/>
      <c r="T289" s="110"/>
      <c r="U289" s="110"/>
      <c r="V289" s="110"/>
      <c r="W289" s="105"/>
    </row>
    <row r="290" spans="1:23" s="102" customFormat="1" ht="13.15">
      <c r="A290" s="356"/>
      <c r="B290" s="115"/>
      <c r="C290" s="117" t="s">
        <v>28</v>
      </c>
      <c r="D290" s="113">
        <f>Gasto_o_ing_per_capita!D290-Gasto_o_ing_per_capita!$D290</f>
        <v>0</v>
      </c>
      <c r="E290" s="113">
        <f>Gasto_o_ing_per_capita!E290-Gasto_o_ing_per_capita!$D290</f>
        <v>0.62856001726596844</v>
      </c>
      <c r="F290" s="113">
        <f>Gasto_o_ing_per_capita!F290-Gasto_o_ing_per_capita!$D290</f>
        <v>23.372756844183783</v>
      </c>
      <c r="G290" s="113">
        <f>Gasto_o_ing_per_capita!G290-Gasto_o_ing_per_capita!$D290</f>
        <v>0.81727968717852661</v>
      </c>
      <c r="H290" s="113">
        <f>Gasto_o_ing_per_capita!H290-Gasto_o_ing_per_capita!$D290</f>
        <v>-13.113898021875698</v>
      </c>
      <c r="I290" s="113">
        <f>Gasto_o_ing_per_capita!I290-Gasto_o_ing_per_capita!$D290</f>
        <v>-3.2591615487483807</v>
      </c>
      <c r="J290" s="113">
        <f>Gasto_o_ing_per_capita!J290-Gasto_o_ing_per_capita!$D290</f>
        <v>11.40265967174598</v>
      </c>
      <c r="K290" s="113">
        <f>Gasto_o_ing_per_capita!K290-Gasto_o_ing_per_capita!$D290</f>
        <v>12.108616459744738</v>
      </c>
      <c r="L290" s="113">
        <f>Gasto_o_ing_per_capita!L290-Gasto_o_ing_per_capita!$D290</f>
        <v>-3.0466100611384661</v>
      </c>
      <c r="M290" s="113">
        <f>Gasto_o_ing_per_capita!M290-Gasto_o_ing_per_capita!$D290</f>
        <v>-15.872622159693051</v>
      </c>
      <c r="N290" s="113">
        <f>Gasto_o_ing_per_capita!N290-Gasto_o_ing_per_capita!$D290</f>
        <v>-8.6368811761415998</v>
      </c>
      <c r="O290" s="113">
        <f>Gasto_o_ing_per_capita!O290-Gasto_o_ing_per_capita!$D290</f>
        <v>5.1441017621316689</v>
      </c>
      <c r="P290" s="113">
        <f>Gasto_o_ing_per_capita!P290-Gasto_o_ing_per_capita!$D290</f>
        <v>25.788942372426803</v>
      </c>
      <c r="Q290" s="113">
        <f>Gasto_o_ing_per_capita!Q290-Gasto_o_ing_per_capita!$D290</f>
        <v>9.2792734850375638</v>
      </c>
      <c r="R290" s="113">
        <f>Gasto_o_ing_per_capita!R290-Gasto_o_ing_per_capita!$D290</f>
        <v>4.6200042854467682</v>
      </c>
      <c r="S290" s="113">
        <f>Gasto_o_ing_per_capita!S290-Gasto_o_ing_per_capita!$D290</f>
        <v>-12.940490597436408</v>
      </c>
      <c r="T290" s="113">
        <f>Gasto_o_ing_per_capita!T290-Gasto_o_ing_per_capita!$D290</f>
        <v>-19.000365430275544</v>
      </c>
      <c r="U290" s="113">
        <f>Gasto_o_ing_per_capita!U290-Gasto_o_ing_per_capita!$D290</f>
        <v>0.53689636484358516</v>
      </c>
      <c r="V290" s="113">
        <f>Gasto_o_ing_per_capita!V290-Gasto_o_ing_per_capita!$D290</f>
        <v>134.68648279776801</v>
      </c>
    </row>
    <row r="291" spans="1:23" s="102" customFormat="1" ht="13.15">
      <c r="A291" s="355" t="str">
        <f>IF(B291="","",(IF(ISERROR(MATCH(B291,Tot_res!C:C,0)),"Eliminar!!!","")))</f>
        <v/>
      </c>
      <c r="B291" s="119" t="s">
        <v>305</v>
      </c>
      <c r="C291" s="333" t="str">
        <f>VLOOKUP(B291,Tot_res!C:D,2,FALSE)</f>
        <v>Plan nacional sobre drogas + AF 11/1</v>
      </c>
      <c r="D291" s="336">
        <f>Gasto_o_ing_per_capita!D291-Gasto_o_ing_per_capita!$D291</f>
        <v>0</v>
      </c>
      <c r="E291" s="336">
        <f>Gasto_o_ing_per_capita!E291-Gasto_o_ing_per_capita!$D291</f>
        <v>-0.12352000827915144</v>
      </c>
      <c r="F291" s="336">
        <f>Gasto_o_ing_per_capita!F291-Gasto_o_ing_per_capita!$D291</f>
        <v>-3.3432639950782828E-2</v>
      </c>
      <c r="G291" s="336">
        <f>Gasto_o_ing_per_capita!G291-Gasto_o_ing_per_capita!$D291</f>
        <v>0.20625799635499631</v>
      </c>
      <c r="H291" s="336">
        <f>Gasto_o_ing_per_capita!H291-Gasto_o_ing_per_capita!$D291</f>
        <v>1.2998681977213988E-2</v>
      </c>
      <c r="I291" s="336">
        <f>Gasto_o_ing_per_capita!I291-Gasto_o_ing_per_capita!$D291</f>
        <v>-0.12095754556002392</v>
      </c>
      <c r="J291" s="336">
        <f>Gasto_o_ing_per_capita!J291-Gasto_o_ing_per_capita!$D291</f>
        <v>0.42697128386559979</v>
      </c>
      <c r="K291" s="336">
        <f>Gasto_o_ing_per_capita!K291-Gasto_o_ing_per_capita!$D291</f>
        <v>0.28482581731319156</v>
      </c>
      <c r="L291" s="336">
        <f>Gasto_o_ing_per_capita!L291-Gasto_o_ing_per_capita!$D291</f>
        <v>4.0637804551169054E-2</v>
      </c>
      <c r="M291" s="336">
        <f>Gasto_o_ing_per_capita!M291-Gasto_o_ing_per_capita!$D291</f>
        <v>-0.10424091885082032</v>
      </c>
      <c r="N291" s="336">
        <f>Gasto_o_ing_per_capita!N291-Gasto_o_ing_per_capita!$D291</f>
        <v>-0.23336530961805269</v>
      </c>
      <c r="O291" s="336">
        <f>Gasto_o_ing_per_capita!O291-Gasto_o_ing_per_capita!$D291</f>
        <v>0.22739345812526657</v>
      </c>
      <c r="P291" s="336">
        <f>Gasto_o_ing_per_capita!P291-Gasto_o_ing_per_capita!$D291</f>
        <v>-1.3126436501781358E-2</v>
      </c>
      <c r="Q291" s="336">
        <f>Gasto_o_ing_per_capita!Q291-Gasto_o_ing_per_capita!$D291</f>
        <v>4.1317774151781617E-2</v>
      </c>
      <c r="R291" s="336">
        <f>Gasto_o_ing_per_capita!R291-Gasto_o_ing_per_capita!$D291</f>
        <v>-0.1310584759838288</v>
      </c>
      <c r="S291" s="336">
        <f>Gasto_o_ing_per_capita!S291-Gasto_o_ing_per_capita!$D291</f>
        <v>0.51785872126514676</v>
      </c>
      <c r="T291" s="336">
        <f>Gasto_o_ing_per_capita!T291-Gasto_o_ing_per_capita!$D291</f>
        <v>0.51785872126514654</v>
      </c>
      <c r="U291" s="336">
        <f>Gasto_o_ing_per_capita!U291-Gasto_o_ing_per_capita!$D291</f>
        <v>0.13275422074059462</v>
      </c>
      <c r="V291" s="336">
        <f>Gasto_o_ing_per_capita!V291-Gasto_o_ing_per_capita!$D291</f>
        <v>1.3190383290161085</v>
      </c>
      <c r="W291" s="114"/>
    </row>
    <row r="292" spans="1:23" s="102" customFormat="1" ht="13.15">
      <c r="A292" s="355" t="str">
        <f>IF(B292="","",(IF(ISERROR(MATCH(B292,Tot_res!C:C,0)),"Eliminar!!!","")))</f>
        <v/>
      </c>
      <c r="B292" s="119" t="s">
        <v>306</v>
      </c>
      <c r="C292" s="333" t="str">
        <f>VLOOKUP(B292,Tot_res!C:D,2,FALSE)</f>
        <v>Direc. y serv. grales. de sanidad, serv. soc. e igualdad</v>
      </c>
      <c r="D292" s="336">
        <f>Gasto_o_ing_per_capita!D292-Gasto_o_ing_per_capita!$D292</f>
        <v>0</v>
      </c>
      <c r="E292" s="336">
        <f>Gasto_o_ing_per_capita!E292-Gasto_o_ing_per_capita!$D292</f>
        <v>-0.32674438249012927</v>
      </c>
      <c r="F292" s="336">
        <f>Gasto_o_ing_per_capita!F292-Gasto_o_ing_per_capita!$D292</f>
        <v>-0.22839083769287338</v>
      </c>
      <c r="G292" s="336">
        <f>Gasto_o_ing_per_capita!G292-Gasto_o_ing_per_capita!$D292</f>
        <v>-0.16069980896823366</v>
      </c>
      <c r="H292" s="336">
        <f>Gasto_o_ing_per_capita!H292-Gasto_o_ing_per_capita!$D292</f>
        <v>-0.34541547654296489</v>
      </c>
      <c r="I292" s="336">
        <f>Gasto_o_ing_per_capita!I292-Gasto_o_ing_per_capita!$D292</f>
        <v>-0.34986799290704418</v>
      </c>
      <c r="J292" s="336">
        <f>Gasto_o_ing_per_capita!J292-Gasto_o_ing_per_capita!$D292</f>
        <v>-0.23640964075386517</v>
      </c>
      <c r="K292" s="336">
        <f>Gasto_o_ing_per_capita!K292-Gasto_o_ing_per_capita!$D292</f>
        <v>-0.16525786915698948</v>
      </c>
      <c r="L292" s="336">
        <f>Gasto_o_ing_per_capita!L292-Gasto_o_ing_per_capita!$D292</f>
        <v>-0.28576748863386947</v>
      </c>
      <c r="M292" s="336">
        <f>Gasto_o_ing_per_capita!M292-Gasto_o_ing_per_capita!$D292</f>
        <v>1.4715025413036982</v>
      </c>
      <c r="N292" s="336">
        <f>Gasto_o_ing_per_capita!N292-Gasto_o_ing_per_capita!$D292</f>
        <v>-0.28406783513175782</v>
      </c>
      <c r="O292" s="336">
        <f>Gasto_o_ing_per_capita!O292-Gasto_o_ing_per_capita!$D292</f>
        <v>-0.25114049555089935</v>
      </c>
      <c r="P292" s="336">
        <f>Gasto_o_ing_per_capita!P292-Gasto_o_ing_per_capita!$D292</f>
        <v>-0.17468061976059635</v>
      </c>
      <c r="Q292" s="336">
        <f>Gasto_o_ing_per_capita!Q292-Gasto_o_ing_per_capita!$D292</f>
        <v>-0.31839731212112377</v>
      </c>
      <c r="R292" s="336">
        <f>Gasto_o_ing_per_capita!R292-Gasto_o_ing_per_capita!$D292</f>
        <v>-0.35261979803925303</v>
      </c>
      <c r="S292" s="336">
        <f>Gasto_o_ing_per_capita!S292-Gasto_o_ing_per_capita!$D292</f>
        <v>-0.27074308442176398</v>
      </c>
      <c r="T292" s="336">
        <f>Gasto_o_ing_per_capita!T292-Gasto_o_ing_per_capita!$D292</f>
        <v>-0.22205221715858237</v>
      </c>
      <c r="U292" s="336">
        <f>Gasto_o_ing_per_capita!U292-Gasto_o_ing_per_capita!$D292</f>
        <v>-0.25321041356561347</v>
      </c>
      <c r="V292" s="336">
        <f>Gasto_o_ing_per_capita!V292-Gasto_o_ing_per_capita!$D292</f>
        <v>-0.42904236483356051</v>
      </c>
      <c r="W292" s="105"/>
    </row>
    <row r="293" spans="1:23" s="102" customFormat="1" ht="13.15">
      <c r="A293" s="355" t="str">
        <f>IF(B293="","",(IF(ISERROR(MATCH(B293,Tot_res!C:C,0)),"Eliminar!!!","")))</f>
        <v/>
      </c>
      <c r="B293" s="119" t="s">
        <v>307</v>
      </c>
      <c r="C293" s="333" t="str">
        <f>VLOOKUP(B293,Tot_res!C:D,2,FALSE)</f>
        <v>Políticas de salud y ordenación profesional</v>
      </c>
      <c r="D293" s="336">
        <f>Gasto_o_ing_per_capita!D293-Gasto_o_ing_per_capita!$D293</f>
        <v>0</v>
      </c>
      <c r="E293" s="336">
        <f>Gasto_o_ing_per_capita!E293-Gasto_o_ing_per_capita!$D293</f>
        <v>-7.6690380341192577E-2</v>
      </c>
      <c r="F293" s="336">
        <f>Gasto_o_ing_per_capita!F293-Gasto_o_ing_per_capita!$D293</f>
        <v>-4.5574542659617523E-2</v>
      </c>
      <c r="G293" s="336">
        <f>Gasto_o_ing_per_capita!G293-Gasto_o_ing_per_capita!$D293</f>
        <v>-3.3188824270758088E-2</v>
      </c>
      <c r="H293" s="336">
        <f>Gasto_o_ing_per_capita!H293-Gasto_o_ing_per_capita!$D293</f>
        <v>-0.10513770889873852</v>
      </c>
      <c r="I293" s="336">
        <f>Gasto_o_ing_per_capita!I293-Gasto_o_ing_per_capita!$D293</f>
        <v>-0.10720583599957173</v>
      </c>
      <c r="J293" s="336">
        <f>Gasto_o_ing_per_capita!J293-Gasto_o_ing_per_capita!$D293</f>
        <v>1.5913629080416147</v>
      </c>
      <c r="K293" s="336">
        <f>Gasto_o_ing_per_capita!K293-Gasto_o_ing_per_capita!$D293</f>
        <v>-3.6291142750714045E-2</v>
      </c>
      <c r="L293" s="336">
        <f>Gasto_o_ing_per_capita!L293-Gasto_o_ing_per_capita!$D293</f>
        <v>-4.4716890589042158E-3</v>
      </c>
      <c r="M293" s="336">
        <f>Gasto_o_ing_per_capita!M293-Gasto_o_ing_per_capita!$D293</f>
        <v>9.1982392935110124E-2</v>
      </c>
      <c r="N293" s="336">
        <f>Gasto_o_ing_per_capita!N293-Gasto_o_ing_per_capita!$D293</f>
        <v>-8.0355262316148979E-2</v>
      </c>
      <c r="O293" s="336">
        <f>Gasto_o_ing_per_capita!O293-Gasto_o_ing_per_capita!$D293</f>
        <v>-6.9821831792896416E-2</v>
      </c>
      <c r="P293" s="336">
        <f>Gasto_o_ing_per_capita!P293-Gasto_o_ing_per_capita!$D293</f>
        <v>-6.8026534268036398E-3</v>
      </c>
      <c r="Q293" s="336">
        <f>Gasto_o_ing_per_capita!Q293-Gasto_o_ing_per_capita!$D293</f>
        <v>-4.4869327352356492E-3</v>
      </c>
      <c r="R293" s="336">
        <f>Gasto_o_ing_per_capita!R293-Gasto_o_ing_per_capita!$D293</f>
        <v>-2.6210238723524237E-2</v>
      </c>
      <c r="S293" s="336">
        <f>Gasto_o_ing_per_capita!S293-Gasto_o_ing_per_capita!$D293</f>
        <v>0.18074939708794624</v>
      </c>
      <c r="T293" s="336">
        <f>Gasto_o_ing_per_capita!T293-Gasto_o_ing_per_capita!$D293</f>
        <v>2.5257790885150067E-2</v>
      </c>
      <c r="U293" s="336">
        <f>Gasto_o_ing_per_capita!U293-Gasto_o_ing_per_capita!$D293</f>
        <v>-5.3098312103790124E-2</v>
      </c>
      <c r="V293" s="336">
        <f>Gasto_o_ing_per_capita!V293-Gasto_o_ing_per_capita!$D293</f>
        <v>-0.18941988641758375</v>
      </c>
      <c r="W293" s="105"/>
    </row>
    <row r="294" spans="1:23" s="102" customFormat="1" ht="13.15">
      <c r="A294" s="355" t="str">
        <f>IF(B294="","",(IF(ISERROR(MATCH(B294,Tot_res!C:C,0)),"Eliminar!!!","")))</f>
        <v/>
      </c>
      <c r="B294" s="119" t="s">
        <v>308</v>
      </c>
      <c r="C294" s="333" t="str">
        <f>VLOOKUP(B294,Tot_res!C:D,2,FALSE)</f>
        <v>Asistencia sanitaria del mutualismo administrativo</v>
      </c>
      <c r="D294" s="336">
        <f>Gasto_o_ing_per_capita!D294-Gasto_o_ing_per_capita!$D294</f>
        <v>0</v>
      </c>
      <c r="E294" s="336">
        <f>Gasto_o_ing_per_capita!E294-Gasto_o_ing_per_capita!$D294</f>
        <v>10.58059739474097</v>
      </c>
      <c r="F294" s="336">
        <f>Gasto_o_ing_per_capita!F294-Gasto_o_ing_per_capita!$D294</f>
        <v>11.407375789977856</v>
      </c>
      <c r="G294" s="336">
        <f>Gasto_o_ing_per_capita!G294-Gasto_o_ing_per_capita!$D294</f>
        <v>-2.8477716400286042</v>
      </c>
      <c r="H294" s="336">
        <f>Gasto_o_ing_per_capita!H294-Gasto_o_ing_per_capita!$D294</f>
        <v>-12.207466775730023</v>
      </c>
      <c r="I294" s="336">
        <f>Gasto_o_ing_per_capita!I294-Gasto_o_ing_per_capita!$D294</f>
        <v>-1.2675076260243827</v>
      </c>
      <c r="J294" s="336">
        <f>Gasto_o_ing_per_capita!J294-Gasto_o_ing_per_capita!$D294</f>
        <v>-4.578446931480542</v>
      </c>
      <c r="K294" s="336">
        <f>Gasto_o_ing_per_capita!K294-Gasto_o_ing_per_capita!$D294</f>
        <v>18.518043495574226</v>
      </c>
      <c r="L294" s="336">
        <f>Gasto_o_ing_per_capita!L294-Gasto_o_ing_per_capita!$D294</f>
        <v>2.6316780935487003</v>
      </c>
      <c r="M294" s="336">
        <f>Gasto_o_ing_per_capita!M294-Gasto_o_ing_per_capita!$D294</f>
        <v>-21.969540480374803</v>
      </c>
      <c r="N294" s="336">
        <f>Gasto_o_ing_per_capita!N294-Gasto_o_ing_per_capita!$D294</f>
        <v>-7.6518826435364957</v>
      </c>
      <c r="O294" s="336">
        <f>Gasto_o_ing_per_capita!O294-Gasto_o_ing_per_capita!$D294</f>
        <v>17.844036776938083</v>
      </c>
      <c r="P294" s="336">
        <f>Gasto_o_ing_per_capita!P294-Gasto_o_ing_per_capita!$D294</f>
        <v>7.4983617453204587</v>
      </c>
      <c r="Q294" s="336">
        <f>Gasto_o_ing_per_capita!Q294-Gasto_o_ing_per_capita!$D294</f>
        <v>9.2568427829101623</v>
      </c>
      <c r="R294" s="336">
        <f>Gasto_o_ing_per_capita!R294-Gasto_o_ing_per_capita!$D294</f>
        <v>10.769423957936986</v>
      </c>
      <c r="S294" s="336">
        <f>Gasto_o_ing_per_capita!S294-Gasto_o_ing_per_capita!$D294</f>
        <v>-14.109173381647171</v>
      </c>
      <c r="T294" s="336">
        <f>Gasto_o_ing_per_capita!T294-Gasto_o_ing_per_capita!$D294</f>
        <v>-26.302037888131114</v>
      </c>
      <c r="U294" s="336">
        <f>Gasto_o_ing_per_capita!U294-Gasto_o_ing_per_capita!$D294</f>
        <v>-4.5237772561492307E-2</v>
      </c>
      <c r="V294" s="336">
        <f>Gasto_o_ing_per_capita!V294-Gasto_o_ing_per_capita!$D294</f>
        <v>121.72376984612325</v>
      </c>
      <c r="W294" s="105"/>
    </row>
    <row r="295" spans="1:23" s="102" customFormat="1" ht="13.15">
      <c r="A295" s="355" t="str">
        <f>IF(B295="","",(IF(ISERROR(MATCH(B295,Tot_res!C:C,0)),"Eliminar!!!","")))</f>
        <v/>
      </c>
      <c r="B295" s="119" t="s">
        <v>310</v>
      </c>
      <c r="C295" s="333" t="str">
        <f>VLOOKUP(B295,Tot_res!C:D,2,FALSE)</f>
        <v>Prestaciones y farmacia</v>
      </c>
      <c r="D295" s="336">
        <f>Gasto_o_ing_per_capita!D295-Gasto_o_ing_per_capita!$D295</f>
        <v>0</v>
      </c>
      <c r="E295" s="336">
        <f>Gasto_o_ing_per_capita!E295-Gasto_o_ing_per_capita!$D295</f>
        <v>-0.30158928124040285</v>
      </c>
      <c r="F295" s="336">
        <f>Gasto_o_ing_per_capita!F295-Gasto_o_ing_per_capita!$D295</f>
        <v>0.63002738922277413</v>
      </c>
      <c r="G295" s="336">
        <f>Gasto_o_ing_per_capita!G295-Gasto_o_ing_per_capita!$D295</f>
        <v>4.8834537740087836E-2</v>
      </c>
      <c r="H295" s="336">
        <f>Gasto_o_ing_per_capita!H295-Gasto_o_ing_per_capita!$D295</f>
        <v>-0.12816232608351141</v>
      </c>
      <c r="I295" s="336">
        <f>Gasto_o_ing_per_capita!I295-Gasto_o_ing_per_capita!$D295</f>
        <v>-0.20884308208568214</v>
      </c>
      <c r="J295" s="336">
        <f>Gasto_o_ing_per_capita!J295-Gasto_o_ing_per_capita!$D295</f>
        <v>4.2276840505512947E-2</v>
      </c>
      <c r="K295" s="336">
        <f>Gasto_o_ing_per_capita!K295-Gasto_o_ing_per_capita!$D295</f>
        <v>0.7061150123903821</v>
      </c>
      <c r="L295" s="336">
        <f>Gasto_o_ing_per_capita!L295-Gasto_o_ing_per_capita!$D295</f>
        <v>0.69647281267780725</v>
      </c>
      <c r="M295" s="336">
        <f>Gasto_o_ing_per_capita!M295-Gasto_o_ing_per_capita!$D295</f>
        <v>-0.22020178632179954</v>
      </c>
      <c r="N295" s="336">
        <f>Gasto_o_ing_per_capita!N295-Gasto_o_ing_per_capita!$D295</f>
        <v>-0.13746681866994948</v>
      </c>
      <c r="O295" s="336">
        <f>Gasto_o_ing_per_capita!O295-Gasto_o_ing_per_capita!$D295</f>
        <v>0.3772040442387592</v>
      </c>
      <c r="P295" s="336">
        <f>Gasto_o_ing_per_capita!P295-Gasto_o_ing_per_capita!$D295</f>
        <v>-0.168131694655409</v>
      </c>
      <c r="Q295" s="336">
        <f>Gasto_o_ing_per_capita!Q295-Gasto_o_ing_per_capita!$D295</f>
        <v>3.0845567871318202E-3</v>
      </c>
      <c r="R295" s="336">
        <f>Gasto_o_ing_per_capita!R295-Gasto_o_ing_per_capita!$D295</f>
        <v>-0.17532895597122611</v>
      </c>
      <c r="S295" s="336">
        <f>Gasto_o_ing_per_capita!S295-Gasto_o_ing_per_capita!$D295</f>
        <v>-0.10886209100838995</v>
      </c>
      <c r="T295" s="336">
        <f>Gasto_o_ing_per_capita!T295-Gasto_o_ing_per_capita!$D295</f>
        <v>0.22213319194780956</v>
      </c>
      <c r="U295" s="336">
        <f>Gasto_o_ing_per_capita!U295-Gasto_o_ing_per_capita!$D295</f>
        <v>0.34236019578538146</v>
      </c>
      <c r="V295" s="336">
        <f>Gasto_o_ing_per_capita!V295-Gasto_o_ing_per_capita!$D295</f>
        <v>6.475884599026978</v>
      </c>
      <c r="W295" s="105"/>
    </row>
    <row r="296" spans="1:23" s="102" customFormat="1" ht="13.15">
      <c r="A296" s="355" t="str">
        <f>IF(B296="","",(IF(ISERROR(MATCH(B296,Tot_res!C:C,0)),"Eliminar!!!","")))</f>
        <v/>
      </c>
      <c r="B296" s="119" t="s">
        <v>311</v>
      </c>
      <c r="C296" s="333" t="str">
        <f>VLOOKUP(B296,Tot_res!C:D,2,FALSE)</f>
        <v>Salud pública, sanidad exterior y calidad + AF11/2</v>
      </c>
      <c r="D296" s="336">
        <f>Gasto_o_ing_per_capita!D296-Gasto_o_ing_per_capita!$D296</f>
        <v>0</v>
      </c>
      <c r="E296" s="336">
        <f>Gasto_o_ing_per_capita!E296-Gasto_o_ing_per_capita!$D296</f>
        <v>-1.218261967095402E-2</v>
      </c>
      <c r="F296" s="336">
        <f>Gasto_o_ing_per_capita!F296-Gasto_o_ing_per_capita!$D296</f>
        <v>3.140588175859349E-2</v>
      </c>
      <c r="G296" s="336">
        <f>Gasto_o_ing_per_capita!G296-Gasto_o_ing_per_capita!$D296</f>
        <v>1.7481915529649394E-2</v>
      </c>
      <c r="H296" s="336">
        <f>Gasto_o_ing_per_capita!H296-Gasto_o_ing_per_capita!$D296</f>
        <v>1.6043382746732726E-2</v>
      </c>
      <c r="I296" s="336">
        <f>Gasto_o_ing_per_capita!I296-Gasto_o_ing_per_capita!$D296</f>
        <v>-9.8063893051308915E-4</v>
      </c>
      <c r="J296" s="336">
        <f>Gasto_o_ing_per_capita!J296-Gasto_o_ing_per_capita!$D296</f>
        <v>0.1004465748938001</v>
      </c>
      <c r="K296" s="336">
        <f>Gasto_o_ing_per_capita!K296-Gasto_o_ing_per_capita!$D296</f>
        <v>-3.6561300071379921E-3</v>
      </c>
      <c r="L296" s="336">
        <f>Gasto_o_ing_per_capita!L296-Gasto_o_ing_per_capita!$D296</f>
        <v>8.099435649375597E-3</v>
      </c>
      <c r="M296" s="336">
        <f>Gasto_o_ing_per_capita!M296-Gasto_o_ing_per_capita!$D296</f>
        <v>-8.7370767040187425E-3</v>
      </c>
      <c r="N296" s="336">
        <f>Gasto_o_ing_per_capita!N296-Gasto_o_ing_per_capita!$D296</f>
        <v>3.8525059068160172E-3</v>
      </c>
      <c r="O296" s="336">
        <f>Gasto_o_ing_per_capita!O296-Gasto_o_ing_per_capita!$D296</f>
        <v>1.6122902529272898E-2</v>
      </c>
      <c r="P296" s="336">
        <f>Gasto_o_ing_per_capita!P296-Gasto_o_ing_per_capita!$D296</f>
        <v>-5.2170295614976103E-3</v>
      </c>
      <c r="Q296" s="336">
        <f>Gasto_o_ing_per_capita!Q296-Gasto_o_ing_per_capita!$D296</f>
        <v>-7.8835296576426628E-3</v>
      </c>
      <c r="R296" s="336">
        <f>Gasto_o_ing_per_capita!R296-Gasto_o_ing_per_capita!$D296</f>
        <v>2.2127740282503139E-2</v>
      </c>
      <c r="S296" s="336">
        <f>Gasto_o_ing_per_capita!S296-Gasto_o_ing_per_capita!$D296</f>
        <v>-1.9131265473763537E-3</v>
      </c>
      <c r="T296" s="336">
        <f>Gasto_o_ing_per_capita!T296-Gasto_o_ing_per_capita!$D296</f>
        <v>-1.9131265473762982E-3</v>
      </c>
      <c r="U296" s="336">
        <f>Gasto_o_ing_per_capita!U296-Gasto_o_ing_per_capita!$D296</f>
        <v>0.10310693895612583</v>
      </c>
      <c r="V296" s="336">
        <f>Gasto_o_ing_per_capita!V296-Gasto_o_ing_per_capita!$D296</f>
        <v>-4.0678974005690205E-2</v>
      </c>
      <c r="W296" s="105"/>
    </row>
    <row r="297" spans="1:23" s="102" customFormat="1" ht="13.15">
      <c r="A297" s="355" t="str">
        <f>IF(B297="","",(IF(ISERROR(MATCH(B297,Tot_res!C:C,0)),"Eliminar!!!","")))</f>
        <v/>
      </c>
      <c r="B297" s="119" t="s">
        <v>312</v>
      </c>
      <c r="C297" s="333" t="str">
        <f>VLOOKUP(B297,Tot_res!C:D,2,FALSE)</f>
        <v>Seguridad alimentaria y nutrición</v>
      </c>
      <c r="D297" s="336">
        <f>Gasto_o_ing_per_capita!D297-Gasto_o_ing_per_capita!$D297</f>
        <v>0</v>
      </c>
      <c r="E297" s="336">
        <f>Gasto_o_ing_per_capita!E297-Gasto_o_ing_per_capita!$D297</f>
        <v>0</v>
      </c>
      <c r="F297" s="336">
        <f>Gasto_o_ing_per_capita!F297-Gasto_o_ing_per_capita!$D297</f>
        <v>0</v>
      </c>
      <c r="G297" s="336">
        <f>Gasto_o_ing_per_capita!G297-Gasto_o_ing_per_capita!$D297</f>
        <v>0</v>
      </c>
      <c r="H297" s="336">
        <f>Gasto_o_ing_per_capita!H297-Gasto_o_ing_per_capita!$D297</f>
        <v>0</v>
      </c>
      <c r="I297" s="336">
        <f>Gasto_o_ing_per_capita!I297-Gasto_o_ing_per_capita!$D297</f>
        <v>0</v>
      </c>
      <c r="J297" s="336">
        <f>Gasto_o_ing_per_capita!J297-Gasto_o_ing_per_capita!$D297</f>
        <v>0</v>
      </c>
      <c r="K297" s="336">
        <f>Gasto_o_ing_per_capita!K297-Gasto_o_ing_per_capita!$D297</f>
        <v>0</v>
      </c>
      <c r="L297" s="336">
        <f>Gasto_o_ing_per_capita!L297-Gasto_o_ing_per_capita!$D297</f>
        <v>0</v>
      </c>
      <c r="M297" s="336">
        <f>Gasto_o_ing_per_capita!M297-Gasto_o_ing_per_capita!$D297</f>
        <v>0</v>
      </c>
      <c r="N297" s="336">
        <f>Gasto_o_ing_per_capita!N297-Gasto_o_ing_per_capita!$D297</f>
        <v>0</v>
      </c>
      <c r="O297" s="336">
        <f>Gasto_o_ing_per_capita!O297-Gasto_o_ing_per_capita!$D297</f>
        <v>0</v>
      </c>
      <c r="P297" s="336">
        <f>Gasto_o_ing_per_capita!P297-Gasto_o_ing_per_capita!$D297</f>
        <v>0</v>
      </c>
      <c r="Q297" s="336">
        <f>Gasto_o_ing_per_capita!Q297-Gasto_o_ing_per_capita!$D297</f>
        <v>0</v>
      </c>
      <c r="R297" s="336">
        <f>Gasto_o_ing_per_capita!R297-Gasto_o_ing_per_capita!$D297</f>
        <v>0</v>
      </c>
      <c r="S297" s="336">
        <f>Gasto_o_ing_per_capita!S297-Gasto_o_ing_per_capita!$D297</f>
        <v>0</v>
      </c>
      <c r="T297" s="336">
        <f>Gasto_o_ing_per_capita!T297-Gasto_o_ing_per_capita!$D297</f>
        <v>0</v>
      </c>
      <c r="U297" s="336">
        <f>Gasto_o_ing_per_capita!U297-Gasto_o_ing_per_capita!$D297</f>
        <v>0</v>
      </c>
      <c r="V297" s="336">
        <f>Gasto_o_ing_per_capita!V297-Gasto_o_ing_per_capita!$D297</f>
        <v>0</v>
      </c>
      <c r="W297" s="105"/>
    </row>
    <row r="298" spans="1:23" s="102" customFormat="1" ht="13.15">
      <c r="A298" s="355" t="str">
        <f>IF(B298="","",(IF(ISERROR(MATCH(B298,Tot_res!C:C,0)),"Eliminar!!!","")))</f>
        <v/>
      </c>
      <c r="B298" s="119" t="s">
        <v>313</v>
      </c>
      <c r="C298" s="333" t="str">
        <f>VLOOKUP(B298,Tot_res!C:D,2,FALSE)</f>
        <v>Donación y trasplante de órganos, tejidos y células</v>
      </c>
      <c r="D298" s="336">
        <f>Gasto_o_ing_per_capita!D298-Gasto_o_ing_per_capita!$D298</f>
        <v>0</v>
      </c>
      <c r="E298" s="336">
        <f>Gasto_o_ing_per_capita!E298-Gasto_o_ing_per_capita!$D298</f>
        <v>-3.3521334897554239E-3</v>
      </c>
      <c r="F298" s="336">
        <f>Gasto_o_ing_per_capita!F298-Gasto_o_ing_per_capita!$D298</f>
        <v>4.1146122912434357E-3</v>
      </c>
      <c r="G298" s="336">
        <f>Gasto_o_ing_per_capita!G298-Gasto_o_ing_per_capita!$D298</f>
        <v>9.2535394563299789E-3</v>
      </c>
      <c r="H298" s="336">
        <f>Gasto_o_ing_per_capita!H298-Gasto_o_ing_per_capita!$D298</f>
        <v>-4.7695944773896021E-3</v>
      </c>
      <c r="I298" s="336">
        <f>Gasto_o_ing_per_capita!I298-Gasto_o_ing_per_capita!$D298</f>
        <v>-5.1076179603748995E-3</v>
      </c>
      <c r="J298" s="336">
        <f>Gasto_o_ing_per_capita!J298-Gasto_o_ing_per_capita!$D298</f>
        <v>3.505845580823938E-3</v>
      </c>
      <c r="K298" s="336">
        <f>Gasto_o_ing_per_capita!K298-Gasto_o_ing_per_capita!$D298</f>
        <v>8.9075033601822839E-3</v>
      </c>
      <c r="L298" s="336">
        <f>Gasto_o_ing_per_capita!L298-Gasto_o_ing_per_capita!$D298</f>
        <v>-2.4127409012345002E-4</v>
      </c>
      <c r="M298" s="336">
        <f>Gasto_o_ing_per_capita!M298-Gasto_o_ing_per_capita!$D298</f>
        <v>-4.8764572913992388E-4</v>
      </c>
      <c r="N298" s="336">
        <f>Gasto_o_ing_per_capita!N298-Gasto_o_ing_per_capita!$D298</f>
        <v>-1.1224080878914633E-4</v>
      </c>
      <c r="O298" s="336">
        <f>Gasto_o_ing_per_capita!O298-Gasto_o_ing_per_capita!$D298</f>
        <v>2.387517328059946E-3</v>
      </c>
      <c r="P298" s="336">
        <f>Gasto_o_ing_per_capita!P298-Gasto_o_ing_per_capita!$D298</f>
        <v>8.192152597178079E-3</v>
      </c>
      <c r="Q298" s="336">
        <f>Gasto_o_ing_per_capita!Q298-Gasto_o_ing_per_capita!$D298</f>
        <v>-2.71844557754089E-3</v>
      </c>
      <c r="R298" s="336">
        <f>Gasto_o_ing_per_capita!R298-Gasto_o_ing_per_capita!$D298</f>
        <v>-5.3165278619285994E-3</v>
      </c>
      <c r="S298" s="336">
        <f>Gasto_o_ing_per_capita!S298-Gasto_o_ing_per_capita!$D298</f>
        <v>8.9933967213606802E-4</v>
      </c>
      <c r="T298" s="336">
        <f>Gasto_o_ing_per_capita!T298-Gasto_o_ing_per_capita!$D298</f>
        <v>4.5958239062323381E-3</v>
      </c>
      <c r="U298" s="336">
        <f>Gasto_o_ing_per_capita!U298-Gasto_o_ing_per_capita!$D298</f>
        <v>2.2303745261889885E-3</v>
      </c>
      <c r="V298" s="336">
        <f>Gasto_o_ing_per_capita!V298-Gasto_o_ing_per_capita!$D298</f>
        <v>-1.1118330728930287E-2</v>
      </c>
      <c r="W298" s="105"/>
    </row>
    <row r="299" spans="1:23" s="102" customFormat="1" ht="13.15">
      <c r="A299" s="355" t="str">
        <f>IF(B299="","",(IF(ISERROR(MATCH(B299,Tot_res!C:C,0)),"Eliminar!!!","")))</f>
        <v/>
      </c>
      <c r="B299" s="115" t="s">
        <v>314</v>
      </c>
      <c r="C299" s="333" t="str">
        <f>VLOOKUP(B299,Tot_res!C:D,2,FALSE)</f>
        <v>Protec. y promoc. de derechos de consum. y usuar.</v>
      </c>
      <c r="D299" s="336">
        <f>Gasto_o_ing_per_capita!D299-Gasto_o_ing_per_capita!$D299</f>
        <v>0</v>
      </c>
      <c r="E299" s="336">
        <f>Gasto_o_ing_per_capita!E299-Gasto_o_ing_per_capita!$D299</f>
        <v>0</v>
      </c>
      <c r="F299" s="336">
        <f>Gasto_o_ing_per_capita!F299-Gasto_o_ing_per_capita!$D299</f>
        <v>0</v>
      </c>
      <c r="G299" s="336">
        <f>Gasto_o_ing_per_capita!G299-Gasto_o_ing_per_capita!$D299</f>
        <v>0</v>
      </c>
      <c r="H299" s="336">
        <f>Gasto_o_ing_per_capita!H299-Gasto_o_ing_per_capita!$D299</f>
        <v>0</v>
      </c>
      <c r="I299" s="336">
        <f>Gasto_o_ing_per_capita!I299-Gasto_o_ing_per_capita!$D299</f>
        <v>0</v>
      </c>
      <c r="J299" s="336">
        <f>Gasto_o_ing_per_capita!J299-Gasto_o_ing_per_capita!$D299</f>
        <v>0</v>
      </c>
      <c r="K299" s="336">
        <f>Gasto_o_ing_per_capita!K299-Gasto_o_ing_per_capita!$D299</f>
        <v>0</v>
      </c>
      <c r="L299" s="336">
        <f>Gasto_o_ing_per_capita!L299-Gasto_o_ing_per_capita!$D299</f>
        <v>0</v>
      </c>
      <c r="M299" s="336">
        <f>Gasto_o_ing_per_capita!M299-Gasto_o_ing_per_capita!$D299</f>
        <v>0</v>
      </c>
      <c r="N299" s="336">
        <f>Gasto_o_ing_per_capita!N299-Gasto_o_ing_per_capita!$D299</f>
        <v>0</v>
      </c>
      <c r="O299" s="336">
        <f>Gasto_o_ing_per_capita!O299-Gasto_o_ing_per_capita!$D299</f>
        <v>0</v>
      </c>
      <c r="P299" s="336">
        <f>Gasto_o_ing_per_capita!P299-Gasto_o_ing_per_capita!$D299</f>
        <v>0</v>
      </c>
      <c r="Q299" s="336">
        <f>Gasto_o_ing_per_capita!Q299-Gasto_o_ing_per_capita!$D299</f>
        <v>0</v>
      </c>
      <c r="R299" s="336">
        <f>Gasto_o_ing_per_capita!R299-Gasto_o_ing_per_capita!$D299</f>
        <v>0</v>
      </c>
      <c r="S299" s="336">
        <f>Gasto_o_ing_per_capita!S299-Gasto_o_ing_per_capita!$D299</f>
        <v>0</v>
      </c>
      <c r="T299" s="336">
        <f>Gasto_o_ing_per_capita!T299-Gasto_o_ing_per_capita!$D299</f>
        <v>0</v>
      </c>
      <c r="U299" s="336">
        <f>Gasto_o_ing_per_capita!U299-Gasto_o_ing_per_capita!$D299</f>
        <v>0</v>
      </c>
      <c r="V299" s="336">
        <f>Gasto_o_ing_per_capita!V299-Gasto_o_ing_per_capita!$D299</f>
        <v>0</v>
      </c>
      <c r="W299" s="105"/>
    </row>
    <row r="300" spans="1:23" s="102" customFormat="1" ht="13.15">
      <c r="A300" s="355" t="str">
        <f>IF(B300="","",(IF(ISERROR(MATCH(B300,Tot_res!C:C,0)),"Eliminar!!!","")))</f>
        <v/>
      </c>
      <c r="B300" s="115" t="s">
        <v>801</v>
      </c>
      <c r="C300" s="333" t="str">
        <f>VLOOKUP(B300,Tot_res!C:D,2,FALSE)</f>
        <v>Atención Primaria de Salud, ISM</v>
      </c>
      <c r="D300" s="336">
        <f>Gasto_o_ing_per_capita!D300-Gasto_o_ing_per_capita!$D300</f>
        <v>0</v>
      </c>
      <c r="E300" s="336">
        <f>Gasto_o_ing_per_capita!E300-Gasto_o_ing_per_capita!$D300</f>
        <v>-2.2799498118893657E-2</v>
      </c>
      <c r="F300" s="336">
        <f>Gasto_o_ing_per_capita!F300-Gasto_o_ing_per_capita!$D300</f>
        <v>-2.2799498118893657E-2</v>
      </c>
      <c r="G300" s="336">
        <f>Gasto_o_ing_per_capita!G300-Gasto_o_ing_per_capita!$D300</f>
        <v>-2.2799498118893657E-2</v>
      </c>
      <c r="H300" s="336">
        <f>Gasto_o_ing_per_capita!H300-Gasto_o_ing_per_capita!$D300</f>
        <v>-2.2799498118893657E-2</v>
      </c>
      <c r="I300" s="336">
        <f>Gasto_o_ing_per_capita!I300-Gasto_o_ing_per_capita!$D300</f>
        <v>-2.2799498118893657E-2</v>
      </c>
      <c r="J300" s="336">
        <f>Gasto_o_ing_per_capita!J300-Gasto_o_ing_per_capita!$D300</f>
        <v>-2.2799498118893657E-2</v>
      </c>
      <c r="K300" s="336">
        <f>Gasto_o_ing_per_capita!K300-Gasto_o_ing_per_capita!$D300</f>
        <v>-2.2799498118893657E-2</v>
      </c>
      <c r="L300" s="336">
        <f>Gasto_o_ing_per_capita!L300-Gasto_o_ing_per_capita!$D300</f>
        <v>-2.2799498118893657E-2</v>
      </c>
      <c r="M300" s="336">
        <f>Gasto_o_ing_per_capita!M300-Gasto_o_ing_per_capita!$D300</f>
        <v>-2.2799498118893657E-2</v>
      </c>
      <c r="N300" s="336">
        <f>Gasto_o_ing_per_capita!N300-Gasto_o_ing_per_capita!$D300</f>
        <v>-2.2799498118893657E-2</v>
      </c>
      <c r="O300" s="336">
        <f>Gasto_o_ing_per_capita!O300-Gasto_o_ing_per_capita!$D300</f>
        <v>-2.2799498118893657E-2</v>
      </c>
      <c r="P300" s="336">
        <f>Gasto_o_ing_per_capita!P300-Gasto_o_ing_per_capita!$D300</f>
        <v>-2.2799498118893657E-2</v>
      </c>
      <c r="Q300" s="336">
        <f>Gasto_o_ing_per_capita!Q300-Gasto_o_ing_per_capita!$D300</f>
        <v>0.14252096426598368</v>
      </c>
      <c r="R300" s="336">
        <f>Gasto_o_ing_per_capita!R300-Gasto_o_ing_per_capita!$D300</f>
        <v>-2.2799498118893657E-2</v>
      </c>
      <c r="S300" s="336">
        <f>Gasto_o_ing_per_capita!S300-Gasto_o_ing_per_capita!$D300</f>
        <v>-2.2799498118893657E-2</v>
      </c>
      <c r="T300" s="336">
        <f>Gasto_o_ing_per_capita!T300-Gasto_o_ing_per_capita!$D300</f>
        <v>-2.2799498118893657E-2</v>
      </c>
      <c r="U300" s="336">
        <f>Gasto_o_ing_per_capita!U300-Gasto_o_ing_per_capita!$D300</f>
        <v>-2.2799498118893657E-2</v>
      </c>
      <c r="V300" s="336">
        <f>Gasto_o_ing_per_capita!V300-Gasto_o_ing_per_capita!$D300</f>
        <v>-2.2799498118893657E-2</v>
      </c>
      <c r="W300" s="105"/>
    </row>
    <row r="301" spans="1:23" s="102" customFormat="1" ht="13.15">
      <c r="A301" s="355" t="str">
        <f>IF(B301="","",(IF(ISERROR(MATCH(B301,Tot_res!C:C,0)),"Eliminar!!!","")))</f>
        <v/>
      </c>
      <c r="B301" s="115" t="s">
        <v>802</v>
      </c>
      <c r="C301" s="333" t="str">
        <f>VLOOKUP(B301,Tot_res!C:D,2,FALSE)</f>
        <v xml:space="preserve">Medicina Ambulatoria de Mutuas de Accidentes de Trabajo, mutuas de enfermedades profesionales y accidentes de trabajo de la Seguridad Social </v>
      </c>
      <c r="D301" s="336">
        <f>Gasto_o_ing_per_capita!D301-Gasto_o_ing_per_capita!$D301</f>
        <v>0</v>
      </c>
      <c r="E301" s="336">
        <f>Gasto_o_ing_per_capita!E301-Gasto_o_ing_per_capita!$D301</f>
        <v>-4.3976792420207058</v>
      </c>
      <c r="F301" s="336">
        <f>Gasto_o_ing_per_capita!F301-Gasto_o_ing_per_capita!$D301</f>
        <v>-1.4294628179276216</v>
      </c>
      <c r="G301" s="336">
        <f>Gasto_o_ing_per_capita!G301-Gasto_o_ing_per_capita!$D301</f>
        <v>5.2809148990169774</v>
      </c>
      <c r="H301" s="336">
        <f>Gasto_o_ing_per_capita!H301-Gasto_o_ing_per_capita!$D301</f>
        <v>1.9238846868719826</v>
      </c>
      <c r="I301" s="336">
        <f>Gasto_o_ing_per_capita!I301-Gasto_o_ing_per_capita!$D301</f>
        <v>-0.3612424488996453</v>
      </c>
      <c r="J301" s="336">
        <f>Gasto_o_ing_per_capita!J301-Gasto_o_ing_per_capita!$D301</f>
        <v>1.0477587135803184</v>
      </c>
      <c r="K301" s="336">
        <f>Gasto_o_ing_per_capita!K301-Gasto_o_ing_per_capita!$D301</f>
        <v>-1.2342357392776417</v>
      </c>
      <c r="L301" s="336">
        <f>Gasto_o_ing_per_capita!L301-Gasto_o_ing_per_capita!$D301</f>
        <v>4.0646281512824345E-2</v>
      </c>
      <c r="M301" s="336">
        <f>Gasto_o_ing_per_capita!M301-Gasto_o_ing_per_capita!$D301</f>
        <v>5.1401985222874664</v>
      </c>
      <c r="N301" s="336">
        <f>Gasto_o_ing_per_capita!N301-Gasto_o_ing_per_capita!$D301</f>
        <v>1.8948437149117829</v>
      </c>
      <c r="O301" s="336">
        <f>Gasto_o_ing_per_capita!O301-Gasto_o_ing_per_capita!$D301</f>
        <v>-5.1990356197945431</v>
      </c>
      <c r="P301" s="336">
        <f>Gasto_o_ing_per_capita!P301-Gasto_o_ing_per_capita!$D301</f>
        <v>-0.22666571539387803</v>
      </c>
      <c r="Q301" s="336">
        <f>Gasto_o_ing_per_capita!Q301-Gasto_o_ing_per_capita!$D301</f>
        <v>-1.6748475792343882</v>
      </c>
      <c r="R301" s="336">
        <f>Gasto_o_ing_per_capita!R301-Gasto_o_ing_per_capita!$D301</f>
        <v>-2.0990601967171418</v>
      </c>
      <c r="S301" s="336">
        <f>Gasto_o_ing_per_capita!S301-Gasto_o_ing_per_capita!$D301</f>
        <v>6.1850604696327878</v>
      </c>
      <c r="T301" s="336">
        <f>Gasto_o_ing_per_capita!T301-Gasto_o_ing_per_capita!$D301</f>
        <v>0.44415635072441617</v>
      </c>
      <c r="U301" s="336">
        <f>Gasto_o_ing_per_capita!U301-Gasto_o_ing_per_capita!$D301</f>
        <v>6.3636479416403908</v>
      </c>
      <c r="V301" s="336">
        <f>Gasto_o_ing_per_capita!V301-Gasto_o_ing_per_capita!$D301</f>
        <v>-4.0656559933700436</v>
      </c>
      <c r="W301" s="105"/>
    </row>
    <row r="302" spans="1:23" s="102" customFormat="1" ht="13.15">
      <c r="A302" s="355" t="str">
        <f>IF(B302="","",(IF(ISERROR(MATCH(B302,Tot_res!C:C,0)),"Eliminar!!!","")))</f>
        <v/>
      </c>
      <c r="B302" s="115" t="s">
        <v>804</v>
      </c>
      <c r="C302" s="333" t="str">
        <f>VLOOKUP(B302,Tot_res!C:D,2,FALSE)</f>
        <v>Atenció Primaria de Salud INGESA neto de Ceuta y Melilla</v>
      </c>
      <c r="D302" s="336">
        <f>Gasto_o_ing_per_capita!D302-Gasto_o_ing_per_capita!$D302</f>
        <v>0</v>
      </c>
      <c r="E302" s="336">
        <f>Gasto_o_ing_per_capita!E302-Gasto_o_ing_per_capita!$D302</f>
        <v>-0.15323854909340595</v>
      </c>
      <c r="F302" s="336">
        <f>Gasto_o_ing_per_capita!F302-Gasto_o_ing_per_capita!$D302</f>
        <v>0.26750411045794747</v>
      </c>
      <c r="G302" s="336">
        <f>Gasto_o_ing_per_capita!G302-Gasto_o_ing_per_capita!$D302</f>
        <v>0.30229815197772403</v>
      </c>
      <c r="H302" s="336">
        <f>Gasto_o_ing_per_capita!H302-Gasto_o_ing_per_capita!$D302</f>
        <v>0.20808859412320119</v>
      </c>
      <c r="I302" s="336">
        <f>Gasto_o_ing_per_capita!I302-Gasto_o_ing_per_capita!$D302</f>
        <v>-0.15323854909340595</v>
      </c>
      <c r="J302" s="336">
        <f>Gasto_o_ing_per_capita!J302-Gasto_o_ing_per_capita!$D302</f>
        <v>0.26036250524577176</v>
      </c>
      <c r="K302" s="336">
        <f>Gasto_o_ing_per_capita!K302-Gasto_o_ing_per_capita!$D302</f>
        <v>0.28510081008984128</v>
      </c>
      <c r="L302" s="336">
        <f>Gasto_o_ing_per_capita!L302-Gasto_o_ing_per_capita!$D302</f>
        <v>0.2394182989240265</v>
      </c>
      <c r="M302" s="336">
        <f>Gasto_o_ing_per_capita!M302-Gasto_o_ing_per_capita!$D302</f>
        <v>-0.15323854909340595</v>
      </c>
      <c r="N302" s="336">
        <f>Gasto_o_ing_per_capita!N302-Gasto_o_ing_per_capita!$D302</f>
        <v>-0.15323854909340595</v>
      </c>
      <c r="O302" s="336">
        <f>Gasto_o_ing_per_capita!O302-Gasto_o_ing_per_capita!$D302</f>
        <v>0.25842099872064911</v>
      </c>
      <c r="P302" s="336">
        <f>Gasto_o_ing_per_capita!P302-Gasto_o_ing_per_capita!$D302</f>
        <v>-0.15323854909340595</v>
      </c>
      <c r="Q302" s="336">
        <f>Gasto_o_ing_per_capita!Q302-Gasto_o_ing_per_capita!$D302</f>
        <v>0.22156762829799226</v>
      </c>
      <c r="R302" s="336">
        <f>Gasto_o_ing_per_capita!R302-Gasto_o_ing_per_capita!$D302</f>
        <v>0.20235967356342666</v>
      </c>
      <c r="S302" s="336">
        <f>Gasto_o_ing_per_capita!S302-Gasto_o_ing_per_capita!$D302</f>
        <v>-0.15323854909340595</v>
      </c>
      <c r="T302" s="336">
        <f>Gasto_o_ing_per_capita!T302-Gasto_o_ing_per_capita!$D302</f>
        <v>-0.15323854909340595</v>
      </c>
      <c r="U302" s="336">
        <f>Gasto_o_ing_per_capita!U302-Gasto_o_ing_per_capita!$D302</f>
        <v>0.25675988426049118</v>
      </c>
      <c r="V302" s="336">
        <f>Gasto_o_ing_per_capita!V302-Gasto_o_ing_per_capita!$D302</f>
        <v>0.13689553841603508</v>
      </c>
      <c r="W302" s="105"/>
    </row>
    <row r="303" spans="1:23" s="102" customFormat="1" ht="13.15">
      <c r="A303" s="355" t="str">
        <f>IF(B303="","",(IF(ISERROR(MATCH(B303,Tot_res!C:C,0)),"Eliminar!!!","")))</f>
        <v/>
      </c>
      <c r="B303" s="115" t="s">
        <v>806</v>
      </c>
      <c r="C303" s="333" t="str">
        <f>VLOOKUP(B303,Tot_res!C:D,2,FALSE)</f>
        <v>Atención Especializada, INGESA neto de Ceuta y Melilla</v>
      </c>
      <c r="D303" s="336">
        <f>Gasto_o_ing_per_capita!D303-Gasto_o_ing_per_capita!$D303</f>
        <v>0</v>
      </c>
      <c r="E303" s="336">
        <f>Gasto_o_ing_per_capita!E303-Gasto_o_ing_per_capita!$D303</f>
        <v>-9.6509002166590876E-2</v>
      </c>
      <c r="F303" s="336">
        <f>Gasto_o_ing_per_capita!F303-Gasto_o_ing_per_capita!$D303</f>
        <v>0.16684294960698873</v>
      </c>
      <c r="G303" s="336">
        <f>Gasto_o_ing_per_capita!G303-Gasto_o_ing_per_capita!$D303</f>
        <v>0.19293034124677297</v>
      </c>
      <c r="H303" s="336">
        <f>Gasto_o_ing_per_capita!H303-Gasto_o_ing_per_capita!$D303</f>
        <v>0.12210254582940963</v>
      </c>
      <c r="I303" s="336">
        <f>Gasto_o_ing_per_capita!I303-Gasto_o_ing_per_capita!$D303</f>
        <v>-9.8157368767559802E-2</v>
      </c>
      <c r="J303" s="336">
        <f>Gasto_o_ing_per_capita!J303-Gasto_o_ing_per_capita!$D303</f>
        <v>0.1615007141254394</v>
      </c>
      <c r="K303" s="336">
        <f>Gasto_o_ing_per_capita!K303-Gasto_o_ing_per_capita!$D303</f>
        <v>0.18235054104834894</v>
      </c>
      <c r="L303" s="336">
        <f>Gasto_o_ing_per_capita!L303-Gasto_o_ing_per_capita!$D303</f>
        <v>0.14556187984439797</v>
      </c>
      <c r="M303" s="336">
        <f>Gasto_o_ing_per_capita!M303-Gasto_o_ing_per_capita!$D303</f>
        <v>-9.3723154107874518E-2</v>
      </c>
      <c r="N303" s="336">
        <f>Gasto_o_ing_per_capita!N303-Gasto_o_ing_per_capita!$D303</f>
        <v>-9.2622860225113027E-2</v>
      </c>
      <c r="O303" s="336">
        <f>Gasto_o_ing_per_capita!O303-Gasto_o_ing_per_capita!$D303</f>
        <v>0.15936574620996866</v>
      </c>
      <c r="P303" s="336">
        <f>Gasto_o_ing_per_capita!P303-Gasto_o_ing_per_capita!$D303</f>
        <v>-8.4890226253148016E-2</v>
      </c>
      <c r="Q303" s="336">
        <f>Gasto_o_ing_per_capita!Q303-Gasto_o_ing_per_capita!$D303</f>
        <v>0.13155480618865265</v>
      </c>
      <c r="R303" s="336">
        <f>Gasto_o_ing_per_capita!R303-Gasto_o_ing_per_capita!$D303</f>
        <v>0.11752941120858754</v>
      </c>
      <c r="S303" s="336">
        <f>Gasto_o_ing_per_capita!S303-Gasto_o_ing_per_capita!$D303</f>
        <v>-9.238336712713828E-2</v>
      </c>
      <c r="T303" s="336">
        <f>Gasto_o_ing_per_capita!T303-Gasto_o_ing_per_capita!$D303</f>
        <v>-8.8959238070031893E-2</v>
      </c>
      <c r="U303" s="336">
        <f>Gasto_o_ing_per_capita!U303-Gasto_o_ing_per_capita!$D303</f>
        <v>0.15821499466603225</v>
      </c>
      <c r="V303" s="336">
        <f>Gasto_o_ing_per_capita!V303-Gasto_o_ing_per_capita!$D303</f>
        <v>7.1333860835086443E-2</v>
      </c>
      <c r="W303" s="105"/>
    </row>
    <row r="304" spans="1:23" s="102" customFormat="1" ht="13.15">
      <c r="A304" s="355" t="str">
        <f>IF(B304="","",(IF(ISERROR(MATCH(B304,Tot_res!C:C,0)),"Eliminar!!!","")))</f>
        <v/>
      </c>
      <c r="B304" s="115" t="s">
        <v>808</v>
      </c>
      <c r="C304" s="333" t="str">
        <f>VLOOKUP(B304,Tot_res!C:D,2,FALSE)</f>
        <v>Atención Especializada, ISM</v>
      </c>
      <c r="D304" s="336">
        <f>Gasto_o_ing_per_capita!D304-Gasto_o_ing_per_capita!$D304</f>
        <v>0</v>
      </c>
      <c r="E304" s="336">
        <f>Gasto_o_ing_per_capita!E304-Gasto_o_ing_per_capita!$D304</f>
        <v>-4.1265578461020351E-3</v>
      </c>
      <c r="F304" s="336">
        <f>Gasto_o_ing_per_capita!F304-Gasto_o_ing_per_capita!$D304</f>
        <v>-4.1265578461020351E-3</v>
      </c>
      <c r="G304" s="336">
        <f>Gasto_o_ing_per_capita!G304-Gasto_o_ing_per_capita!$D304</f>
        <v>-4.0050509920919568E-3</v>
      </c>
      <c r="H304" s="336">
        <f>Gasto_o_ing_per_capita!H304-Gasto_o_ing_per_capita!$D304</f>
        <v>-4.1265578461020351E-3</v>
      </c>
      <c r="I304" s="336">
        <f>Gasto_o_ing_per_capita!I304-Gasto_o_ing_per_capita!$D304</f>
        <v>-4.0241023909741245E-3</v>
      </c>
      <c r="J304" s="336">
        <f>Gasto_o_ing_per_capita!J304-Gasto_o_ing_per_capita!$D304</f>
        <v>-4.1265578461020351E-3</v>
      </c>
      <c r="K304" s="336">
        <f>Gasto_o_ing_per_capita!K304-Gasto_o_ing_per_capita!$D304</f>
        <v>-4.1265578461020351E-3</v>
      </c>
      <c r="L304" s="336">
        <f>Gasto_o_ing_per_capita!L304-Gasto_o_ing_per_capita!$D304</f>
        <v>-4.1265578461020351E-3</v>
      </c>
      <c r="M304" s="336">
        <f>Gasto_o_ing_per_capita!M304-Gasto_o_ing_per_capita!$D304</f>
        <v>-4.1265578461020351E-3</v>
      </c>
      <c r="N304" s="336">
        <f>Gasto_o_ing_per_capita!N304-Gasto_o_ing_per_capita!$D304</f>
        <v>-4.1265578461020351E-3</v>
      </c>
      <c r="O304" s="336">
        <f>Gasto_o_ing_per_capita!O304-Gasto_o_ing_per_capita!$D304</f>
        <v>-4.1265578461020351E-3</v>
      </c>
      <c r="P304" s="336">
        <f>Gasto_o_ing_per_capita!P304-Gasto_o_ing_per_capita!$D304</f>
        <v>-4.1265578461020351E-3</v>
      </c>
      <c r="Q304" s="336">
        <f>Gasto_o_ing_per_capita!Q304-Gasto_o_ing_per_capita!$D304</f>
        <v>2.5741949398420377E-2</v>
      </c>
      <c r="R304" s="336">
        <f>Gasto_o_ing_per_capita!R304-Gasto_o_ing_per_capita!$D304</f>
        <v>-4.1265578461020351E-3</v>
      </c>
      <c r="S304" s="336">
        <f>Gasto_o_ing_per_capita!S304-Gasto_o_ing_per_capita!$D304</f>
        <v>-4.1265578461020351E-3</v>
      </c>
      <c r="T304" s="336">
        <f>Gasto_o_ing_per_capita!T304-Gasto_o_ing_per_capita!$D304</f>
        <v>-4.1265578461020351E-3</v>
      </c>
      <c r="U304" s="336">
        <f>Gasto_o_ing_per_capita!U304-Gasto_o_ing_per_capita!$D304</f>
        <v>-4.1265578461020351E-3</v>
      </c>
      <c r="V304" s="336">
        <f>Gasto_o_ing_per_capita!V304-Gasto_o_ing_per_capita!$D304</f>
        <v>-4.1265578461020351E-3</v>
      </c>
      <c r="W304" s="105"/>
    </row>
    <row r="305" spans="1:23" s="102" customFormat="1" ht="13.15">
      <c r="A305" s="355" t="str">
        <f>IF(B305="","",(IF(ISERROR(MATCH(B305,Tot_res!C:C,0)),"Eliminar!!!","")))</f>
        <v/>
      </c>
      <c r="B305" s="115" t="s">
        <v>810</v>
      </c>
      <c r="C305" s="333" t="str">
        <f>VLOOKUP(B305,Tot_res!C:D,2,FALSE)</f>
        <v>Atención Especializada, mutuas de la Seg. Social</v>
      </c>
      <c r="D305" s="336">
        <f>Gasto_o_ing_per_capita!D305-Gasto_o_ing_per_capita!$D305</f>
        <v>0</v>
      </c>
      <c r="E305" s="336">
        <f>Gasto_o_ing_per_capita!E305-Gasto_o_ing_per_capita!$D305</f>
        <v>-4.1873614433203636</v>
      </c>
      <c r="F305" s="336">
        <f>Gasto_o_ing_per_capita!F305-Gasto_o_ing_per_capita!$D305</f>
        <v>13.919963503110861</v>
      </c>
      <c r="G305" s="336">
        <f>Gasto_o_ing_per_capita!G305-Gasto_o_ing_per_capita!$D305</f>
        <v>-3.8531454899254562</v>
      </c>
      <c r="H305" s="336">
        <f>Gasto_o_ing_per_capita!H305-Gasto_o_ing_per_capita!$D305</f>
        <v>-0.83165393599498749</v>
      </c>
      <c r="I305" s="336">
        <f>Gasto_o_ing_per_capita!I305-Gasto_o_ing_per_capita!$D305</f>
        <v>-4.3776713676429004</v>
      </c>
      <c r="J305" s="336">
        <f>Gasto_o_ing_per_capita!J305-Gasto_o_ing_per_capita!$D305</f>
        <v>1.4063801872434709</v>
      </c>
      <c r="K305" s="336">
        <f>Gasto_o_ing_per_capita!K305-Gasto_o_ing_per_capita!$D305</f>
        <v>-5.1760790889660759</v>
      </c>
      <c r="L305" s="336">
        <f>Gasto_o_ing_per_capita!L305-Gasto_o_ing_per_capita!$D305</f>
        <v>-5.5423068356810248</v>
      </c>
      <c r="M305" s="336">
        <f>Gasto_o_ing_per_capita!M305-Gasto_o_ing_per_capita!$D305</f>
        <v>3.0153317333572502</v>
      </c>
      <c r="N305" s="336">
        <f>Gasto_o_ing_per_capita!N305-Gasto_o_ing_per_capita!$D305</f>
        <v>-0.36209051711210627</v>
      </c>
      <c r="O305" s="336">
        <f>Gasto_o_ing_per_capita!O305-Gasto_o_ing_per_capita!$D305</f>
        <v>-6.2918060005312979</v>
      </c>
      <c r="P305" s="336">
        <f>Gasto_o_ing_per_capita!P305-Gasto_o_ing_per_capita!$D305</f>
        <v>0.45376175990747214</v>
      </c>
      <c r="Q305" s="336">
        <f>Gasto_o_ing_per_capita!Q305-Gasto_o_ing_per_capita!$D305</f>
        <v>4.1852458695358141</v>
      </c>
      <c r="R305" s="336">
        <f>Gasto_o_ing_per_capita!R305-Gasto_o_ing_per_capita!$D305</f>
        <v>-1.9206035102049102</v>
      </c>
      <c r="S305" s="336">
        <f>Gasto_o_ing_per_capita!S305-Gasto_o_ing_per_capita!$D305</f>
        <v>-1.8415094531188672</v>
      </c>
      <c r="T305" s="336">
        <f>Gasto_o_ing_per_capita!T305-Gasto_o_ing_per_capita!$D305</f>
        <v>8.6505381229416969</v>
      </c>
      <c r="U305" s="336">
        <f>Gasto_o_ing_per_capita!U305-Gasto_o_ing_per_capita!$D305</f>
        <v>-4.4547813172488517</v>
      </c>
      <c r="V305" s="336">
        <f>Gasto_o_ing_per_capita!V305-Gasto_o_ing_per_capita!$D305</f>
        <v>-6.8957877702836816</v>
      </c>
      <c r="W305" s="105"/>
    </row>
    <row r="306" spans="1:23" s="102" customFormat="1" ht="13.15">
      <c r="A306" s="355" t="str">
        <f>IF(B306="","",(IF(ISERROR(MATCH(B306,Tot_res!C:C,0)),"Eliminar!!!","")))</f>
        <v/>
      </c>
      <c r="B306" s="115" t="s">
        <v>633</v>
      </c>
      <c r="C306" s="333" t="str">
        <f>VLOOKUP(B306,Tot_res!C:D,2,FALSE)</f>
        <v xml:space="preserve">Medicina Marítima </v>
      </c>
      <c r="D306" s="336">
        <f>Gasto_o_ing_per_capita!D306-Gasto_o_ing_per_capita!$D306</f>
        <v>0</v>
      </c>
      <c r="E306" s="336">
        <f>Gasto_o_ing_per_capita!E306-Gasto_o_ing_per_capita!$D306</f>
        <v>-0.23657427589154295</v>
      </c>
      <c r="F306" s="336">
        <f>Gasto_o_ing_per_capita!F306-Gasto_o_ing_per_capita!$D306</f>
        <v>-0.49724150330724487</v>
      </c>
      <c r="G306" s="336">
        <f>Gasto_o_ing_per_capita!G306-Gasto_o_ing_per_capita!$D306</f>
        <v>2.020863675641249E-3</v>
      </c>
      <c r="H306" s="336">
        <f>Gasto_o_ing_per_capita!H306-Gasto_o_ing_per_capita!$D306</f>
        <v>-0.22202214517765184</v>
      </c>
      <c r="I306" s="336">
        <f>Gasto_o_ing_per_capita!I306-Gasto_o_ing_per_capita!$D306</f>
        <v>2.6558599047110456</v>
      </c>
      <c r="J306" s="336">
        <f>Gasto_o_ing_per_capita!J306-Gasto_o_ing_per_capita!$D306</f>
        <v>10.726823688789464</v>
      </c>
      <c r="K306" s="336">
        <f>Gasto_o_ing_per_capita!K306-Gasto_o_ing_per_capita!$D306</f>
        <v>-0.49724150330724487</v>
      </c>
      <c r="L306" s="336">
        <f>Gasto_o_ing_per_capita!L306-Gasto_o_ing_per_capita!$D306</f>
        <v>-0.49724150330724487</v>
      </c>
      <c r="M306" s="336">
        <f>Gasto_o_ing_per_capita!M306-Gasto_o_ing_per_capita!$D306</f>
        <v>-0.36002395052215042</v>
      </c>
      <c r="N306" s="336">
        <f>Gasto_o_ing_per_capita!N306-Gasto_o_ing_per_capita!$D306</f>
        <v>-0.35758422268003581</v>
      </c>
      <c r="O306" s="336">
        <f>Gasto_o_ing_per_capita!O306-Gasto_o_ing_per_capita!$D306</f>
        <v>-0.49724150330724487</v>
      </c>
      <c r="P306" s="336">
        <f>Gasto_o_ing_per_capita!P306-Gasto_o_ing_per_capita!$D306</f>
        <v>0.83834277618739028</v>
      </c>
      <c r="Q306" s="336">
        <f>Gasto_o_ing_per_capita!Q306-Gasto_o_ing_per_capita!$D306</f>
        <v>-0.48361187922369853</v>
      </c>
      <c r="R306" s="336">
        <f>Gasto_o_ing_per_capita!R306-Gasto_o_ing_per_capita!$D306</f>
        <v>-0.30273575671439013</v>
      </c>
      <c r="S306" s="336">
        <f>Gasto_o_ing_per_capita!S306-Gasto_o_ing_per_capita!$D306</f>
        <v>-0.49724150330724487</v>
      </c>
      <c r="T306" s="336">
        <f>Gasto_o_ing_per_capita!T306-Gasto_o_ing_per_capita!$D306</f>
        <v>-0.10053973422574869</v>
      </c>
      <c r="U306" s="336">
        <f>Gasto_o_ing_per_capita!U306-Gasto_o_ing_per_capita!$D306</f>
        <v>-0.49724150330724487</v>
      </c>
      <c r="V306" s="336">
        <f>Gasto_o_ing_per_capita!V306-Gasto_o_ing_per_capita!$D306</f>
        <v>1.6609046049208451</v>
      </c>
      <c r="W306" s="105"/>
    </row>
    <row r="307" spans="1:23" s="102" customFormat="1" ht="13.15">
      <c r="A307" s="355" t="str">
        <f>IF(B307="","",(IF(ISERROR(MATCH(B307,Tot_res!C:C,0)),"Eliminar!!!","")))</f>
        <v/>
      </c>
      <c r="B307" s="115" t="s">
        <v>812</v>
      </c>
      <c r="C307" s="333" t="str">
        <f>VLOOKUP(B307,Tot_res!C:D,2,FALSE)</f>
        <v>Admón.,Ser.Grales.y Cont.Int.Asist.San., neto CyMel</v>
      </c>
      <c r="D307" s="336">
        <f>Gasto_o_ing_per_capita!D307-Gasto_o_ing_per_capita!$D307</f>
        <v>0</v>
      </c>
      <c r="E307" s="336">
        <f>Gasto_o_ing_per_capita!E307-Gasto_o_ing_per_capita!$D307</f>
        <v>-3.4155398286561542E-2</v>
      </c>
      <c r="F307" s="336">
        <f>Gasto_o_ing_per_capita!F307-Gasto_o_ing_per_capita!$D307</f>
        <v>5.9399921778522775E-2</v>
      </c>
      <c r="G307" s="336">
        <f>Gasto_o_ing_per_capita!G307-Gasto_o_ing_per_capita!$D307</f>
        <v>6.7728376053583617E-2</v>
      </c>
      <c r="H307" s="336">
        <f>Gasto_o_ing_per_capita!H307-Gasto_o_ing_per_capita!$D307</f>
        <v>4.5151616387946077E-2</v>
      </c>
      <c r="I307" s="336">
        <f>Gasto_o_ing_per_capita!I307-Gasto_o_ing_per_capita!$D307</f>
        <v>-3.4381854483338053E-2</v>
      </c>
      <c r="J307" s="336">
        <f>Gasto_o_ing_per_capita!J307-Gasto_o_ing_per_capita!$D307</f>
        <v>5.7692157570002227E-2</v>
      </c>
      <c r="K307" s="336">
        <f>Gasto_o_ing_per_capita!K307-Gasto_o_ing_per_capita!$D307</f>
        <v>6.392840876468972E-2</v>
      </c>
      <c r="L307" s="336">
        <f>Gasto_o_ing_per_capita!L307-Gasto_o_ing_per_capita!$D307</f>
        <v>5.2646645180612552E-2</v>
      </c>
      <c r="M307" s="336">
        <f>Gasto_o_ing_per_capita!M307-Gasto_o_ing_per_capita!$D307</f>
        <v>-3.3771967204724543E-2</v>
      </c>
      <c r="N307" s="336">
        <f>Gasto_o_ing_per_capita!N307-Gasto_o_ing_per_capita!$D307</f>
        <v>-3.3622955342775811E-2</v>
      </c>
      <c r="O307" s="336">
        <f>Gasto_o_ing_per_capita!O307-Gasto_o_ing_per_capita!$D307</f>
        <v>5.7134537058447864E-2</v>
      </c>
      <c r="P307" s="336">
        <f>Gasto_o_ing_per_capita!P307-Gasto_o_ing_per_capita!$D307</f>
        <v>-3.2559518559648302E-2</v>
      </c>
      <c r="Q307" s="336">
        <f>Gasto_o_ing_per_capita!Q307-Gasto_o_ing_per_capita!$D307</f>
        <v>4.8288601647232275E-2</v>
      </c>
      <c r="R307" s="336">
        <f>Gasto_o_ing_per_capita!R307-Gasto_o_ing_per_capita!$D307</f>
        <v>4.3742329923977676E-2</v>
      </c>
      <c r="S307" s="336">
        <f>Gasto_o_ing_per_capita!S307-Gasto_o_ing_per_capita!$D307</f>
        <v>-3.3589339256834071E-2</v>
      </c>
      <c r="T307" s="336">
        <f>Gasto_o_ing_per_capita!T307-Gasto_o_ing_per_capita!$D307</f>
        <v>-3.3116843836230196E-2</v>
      </c>
      <c r="U307" s="336">
        <f>Gasto_o_ing_per_capita!U307-Gasto_o_ing_per_capita!$D307</f>
        <v>5.6749875030168033E-2</v>
      </c>
      <c r="V307" s="336">
        <f>Gasto_o_ing_per_capita!V307-Gasto_o_ing_per_capita!$D307</f>
        <v>2.8467376349914371E-2</v>
      </c>
      <c r="W307" s="105"/>
    </row>
    <row r="308" spans="1:23" s="102" customFormat="1" ht="13.15">
      <c r="A308" s="355" t="str">
        <f>IF(B308="","",(IF(ISERROR(MATCH(B308,Tot_res!C:C,0)),"Eliminar!!!","")))</f>
        <v/>
      </c>
      <c r="B308" s="115" t="s">
        <v>814</v>
      </c>
      <c r="C308" s="333" t="str">
        <f>VLOOKUP(B308,Tot_res!C:D,2,FALSE)</f>
        <v>Formación del Personal Sanitario, neto de CyMel</v>
      </c>
      <c r="D308" s="336">
        <f>Gasto_o_ing_per_capita!D308-Gasto_o_ing_per_capita!$D308</f>
        <v>0</v>
      </c>
      <c r="E308" s="336">
        <f>Gasto_o_ing_per_capita!E308-Gasto_o_ing_per_capita!$D308</f>
        <v>-1.8262494779572791E-5</v>
      </c>
      <c r="F308" s="336">
        <f>Gasto_o_ing_per_capita!F308-Gasto_o_ing_per_capita!$D308</f>
        <v>2.263094288520209E-5</v>
      </c>
      <c r="G308" s="336">
        <f>Gasto_o_ing_per_capita!G308-Gasto_o_ing_per_capita!$D308</f>
        <v>4.4108119124908619E-5</v>
      </c>
      <c r="H308" s="336">
        <f>Gasto_o_ing_per_capita!H308-Gasto_o_ing_per_capita!$D308</f>
        <v>-1.4044230792716105E-5</v>
      </c>
      <c r="I308" s="336">
        <f>Gasto_o_ing_per_capita!I308-Gasto_o_ing_per_capita!$D308</f>
        <v>-2.5886428400638019E-5</v>
      </c>
      <c r="J308" s="336">
        <f>Gasto_o_ing_per_capita!J308-Gasto_o_ing_per_capita!$D308</f>
        <v>1.8222673334534264E-5</v>
      </c>
      <c r="K308" s="336">
        <f>Gasto_o_ing_per_capita!K308-Gasto_o_ing_per_capita!$D308</f>
        <v>3.3492785968781578E-5</v>
      </c>
      <c r="L308" s="336">
        <f>Gasto_o_ing_per_capita!L308-Gasto_o_ing_per_capita!$D308</f>
        <v>5.2945284360112648E-6</v>
      </c>
      <c r="M308" s="336">
        <f>Gasto_o_ing_per_capita!M308-Gasto_o_ing_per_capita!$D308</f>
        <v>-2.2065678309112369E-7</v>
      </c>
      <c r="N308" s="336">
        <f>Gasto_o_ing_per_capita!N308-Gasto_o_ing_per_capita!$D308</f>
        <v>-1.0845824617512968E-5</v>
      </c>
      <c r="O308" s="336">
        <f>Gasto_o_ing_per_capita!O308-Gasto_o_ing_per_capita!$D308</f>
        <v>1.7024247512489377E-5</v>
      </c>
      <c r="P308" s="336">
        <f>Gasto_o_ing_per_capita!P308-Gasto_o_ing_per_capita!$D308</f>
        <v>3.3040661066722923E-5</v>
      </c>
      <c r="Q308" s="336">
        <f>Gasto_o_ing_per_capita!Q308-Gasto_o_ing_per_capita!$D308</f>
        <v>-5.7240822883099837E-6</v>
      </c>
      <c r="R308" s="336">
        <f>Gasto_o_ing_per_capita!R308-Gasto_o_ing_per_capita!$D308</f>
        <v>-1.7580498244015793E-5</v>
      </c>
      <c r="S308" s="336">
        <f>Gasto_o_ing_per_capita!S308-Gasto_o_ing_per_capita!$D308</f>
        <v>-4.516900841975975E-6</v>
      </c>
      <c r="T308" s="336">
        <f>Gasto_o_ing_per_capita!T308-Gasto_o_ing_per_capita!$D308</f>
        <v>2.6538555855555482E-5</v>
      </c>
      <c r="U308" s="336">
        <f>Gasto_o_ing_per_capita!U308-Gasto_o_ing_per_capita!$D308</f>
        <v>1.5998898157920844E-5</v>
      </c>
      <c r="V308" s="336">
        <f>Gasto_o_ing_per_capita!V308-Gasto_o_ing_per_capita!$D308</f>
        <v>-5.7989278211164599E-5</v>
      </c>
      <c r="W308" s="105"/>
    </row>
    <row r="309" spans="1:23" s="102" customFormat="1" ht="13.15">
      <c r="A309" s="355" t="str">
        <f>IF(B309="","",(IF(ISERROR(MATCH(B309,Tot_res!C:C,0)),"Eliminar!!!","")))</f>
        <v/>
      </c>
      <c r="B309" s="115" t="s">
        <v>317</v>
      </c>
      <c r="C309" s="333" t="str">
        <f>VLOOKUP(B309,Tot_res!C:D,2,FALSE)</f>
        <v>ISM sanidad transferida</v>
      </c>
      <c r="D309" s="336">
        <f>Gasto_o_ing_per_capita!D309-Gasto_o_ing_per_capita!$D309</f>
        <v>0</v>
      </c>
      <c r="E309" s="336">
        <f>Gasto_o_ing_per_capita!E309-Gasto_o_ing_per_capita!$D309</f>
        <v>2.3447164280776978</v>
      </c>
      <c r="F309" s="336">
        <f>Gasto_o_ing_per_capita!F309-Gasto_o_ing_per_capita!$D309</f>
        <v>-0.74332282280379913</v>
      </c>
      <c r="G309" s="336">
        <f>Gasto_o_ing_per_capita!G309-Gasto_o_ing_per_capita!$D309</f>
        <v>3.4011861628374378</v>
      </c>
      <c r="H309" s="336">
        <f>Gasto_o_ing_per_capita!H309-Gasto_o_ing_per_capita!$D309</f>
        <v>0.2517193340890479</v>
      </c>
      <c r="I309" s="336">
        <f>Gasto_o_ing_per_capita!I309-Gasto_o_ing_per_capita!$D309</f>
        <v>-0.74332282280379913</v>
      </c>
      <c r="J309" s="336">
        <f>Gasto_o_ing_per_capita!J309-Gasto_o_ing_per_capita!$D309</f>
        <v>2.0497693766485803</v>
      </c>
      <c r="K309" s="336">
        <f>Gasto_o_ing_per_capita!K309-Gasto_o_ing_per_capita!$D309</f>
        <v>-0.74332282280379913</v>
      </c>
      <c r="L309" s="336">
        <f>Gasto_o_ing_per_capita!L309-Gasto_o_ing_per_capita!$D309</f>
        <v>-0.74332282280379913</v>
      </c>
      <c r="M309" s="336">
        <f>Gasto_o_ing_per_capita!M309-Gasto_o_ing_per_capita!$D309</f>
        <v>-0.74332282280379913</v>
      </c>
      <c r="N309" s="336">
        <f>Gasto_o_ing_per_capita!N309-Gasto_o_ing_per_capita!$D309</f>
        <v>-0.74332282280379913</v>
      </c>
      <c r="O309" s="336">
        <f>Gasto_o_ing_per_capita!O309-Gasto_o_ing_per_capita!$D309</f>
        <v>-0.74332282280379913</v>
      </c>
      <c r="P309" s="336">
        <f>Gasto_o_ing_per_capita!P309-Gasto_o_ing_per_capita!$D309</f>
        <v>-0.74332282280379913</v>
      </c>
      <c r="Q309" s="336">
        <f>Gasto_o_ing_per_capita!Q309-Gasto_o_ing_per_capita!$D309</f>
        <v>-0.74332282280379913</v>
      </c>
      <c r="R309" s="336">
        <f>Gasto_o_ing_per_capita!R309-Gasto_o_ing_per_capita!$D309</f>
        <v>0.43374455245084098</v>
      </c>
      <c r="S309" s="336">
        <f>Gasto_o_ing_per_capita!S309-Gasto_o_ing_per_capita!$D309</f>
        <v>-0.74332282280379913</v>
      </c>
      <c r="T309" s="336">
        <f>Gasto_o_ing_per_capita!T309-Gasto_o_ing_per_capita!$D309</f>
        <v>-0.74332282280379913</v>
      </c>
      <c r="U309" s="336">
        <f>Gasto_o_ing_per_capita!U309-Gasto_o_ing_per_capita!$D309</f>
        <v>-0.74332282280379913</v>
      </c>
      <c r="V309" s="336">
        <f>Gasto_o_ing_per_capita!V309-Gasto_o_ing_per_capita!$D309</f>
        <v>-0.74332282280379913</v>
      </c>
      <c r="W309" s="105"/>
    </row>
    <row r="310" spans="1:23" s="102" customFormat="1" ht="13.15">
      <c r="A310" s="355" t="str">
        <f>IF(B310="","",(IF(ISERROR(MATCH(B310,Tot_res!C:C,0)),"Eliminar!!!","")))</f>
        <v/>
      </c>
      <c r="B310" s="115" t="s">
        <v>816</v>
      </c>
      <c r="C310" s="333" t="str">
        <f>VLOOKUP(B310,Tot_res!C:D,2,FALSE)</f>
        <v>ISM transf. antes de 2002, sanidad</v>
      </c>
      <c r="D310" s="336">
        <f>Gasto_o_ing_per_capita!D310-Gasto_o_ing_per_capita!$D310</f>
        <v>0</v>
      </c>
      <c r="E310" s="336">
        <f>Gasto_o_ing_per_capita!E310-Gasto_o_ing_per_capita!$D310</f>
        <v>-1.6333226734300488</v>
      </c>
      <c r="F310" s="336">
        <f>Gasto_o_ing_per_capita!F310-Gasto_o_ing_per_capita!$D310</f>
        <v>-1.6333226734300488</v>
      </c>
      <c r="G310" s="336">
        <f>Gasto_o_ing_per_capita!G310-Gasto_o_ing_per_capita!$D310</f>
        <v>-1.6333226734300488</v>
      </c>
      <c r="H310" s="336">
        <f>Gasto_o_ing_per_capita!H310-Gasto_o_ing_per_capita!$D310</f>
        <v>-1.6333226734300488</v>
      </c>
      <c r="I310" s="336">
        <f>Gasto_o_ing_per_capita!I310-Gasto_o_ing_per_capita!$D310</f>
        <v>2.3302527560206014</v>
      </c>
      <c r="J310" s="336">
        <f>Gasto_o_ing_per_capita!J310-Gasto_o_ing_per_capita!$D310</f>
        <v>-1.6333226734300488</v>
      </c>
      <c r="K310" s="336">
        <f>Gasto_o_ing_per_capita!K310-Gasto_o_ing_per_capita!$D310</f>
        <v>-1.6333226734300488</v>
      </c>
      <c r="L310" s="336">
        <f>Gasto_o_ing_per_capita!L310-Gasto_o_ing_per_capita!$D310</f>
        <v>-1.6333226734300488</v>
      </c>
      <c r="M310" s="336">
        <f>Gasto_o_ing_per_capita!M310-Gasto_o_ing_per_capita!$D310</f>
        <v>-1.3156080437738584</v>
      </c>
      <c r="N310" s="336">
        <f>Gasto_o_ing_per_capita!N310-Gasto_o_ing_per_capita!$D310</f>
        <v>-2.2268668451431051E-2</v>
      </c>
      <c r="O310" s="336">
        <f>Gasto_o_ing_per_capita!O310-Gasto_o_ing_per_capita!$D310</f>
        <v>-1.6333226734300488</v>
      </c>
      <c r="P310" s="336">
        <f>Gasto_o_ing_per_capita!P310-Gasto_o_ing_per_capita!$D310</f>
        <v>19.318240058029613</v>
      </c>
      <c r="Q310" s="336">
        <f>Gasto_o_ing_per_capita!Q310-Gasto_o_ing_per_capita!$D310</f>
        <v>-1.6333226734300488</v>
      </c>
      <c r="R310" s="336">
        <f>Gasto_o_ing_per_capita!R310-Gasto_o_ing_per_capita!$D310</f>
        <v>-1.6333226734300488</v>
      </c>
      <c r="S310" s="336">
        <f>Gasto_o_ing_per_capita!S310-Gasto_o_ing_per_capita!$D310</f>
        <v>-1.6333226734300488</v>
      </c>
      <c r="T310" s="336">
        <f>Gasto_o_ing_per_capita!T310-Gasto_o_ing_per_capita!$D310</f>
        <v>-1.6333226734300488</v>
      </c>
      <c r="U310" s="336">
        <f>Gasto_o_ing_per_capita!U310-Gasto_o_ing_per_capita!$D310</f>
        <v>-1.6333226734300488</v>
      </c>
      <c r="V310" s="336">
        <f>Gasto_o_ing_per_capita!V310-Gasto_o_ing_per_capita!$D310</f>
        <v>-1.6333226734300488</v>
      </c>
      <c r="W310" s="105"/>
    </row>
    <row r="311" spans="1:23" s="102" customFormat="1" ht="13.15">
      <c r="A311" s="355" t="str">
        <f>IF(B311="","",(IF(ISERROR(MATCH(B311,Tot_res!C:C,0)),"Eliminar!!!","")))</f>
        <v/>
      </c>
      <c r="B311" s="102" t="s">
        <v>634</v>
      </c>
      <c r="C311" s="333" t="str">
        <f>VLOOKUP(B311,Tot_res!C:D,2,FALSE)</f>
        <v>Compensación Fondo Cohesión Sanitaria, extrapresupuestario</v>
      </c>
      <c r="D311" s="336">
        <f>Gasto_o_ing_per_capita!D311-Gasto_o_ing_per_capita!$D311</f>
        <v>0</v>
      </c>
      <c r="E311" s="336">
        <f>Gasto_o_ing_per_capita!E311-Gasto_o_ing_per_capita!$D311</f>
        <v>-0.68689009737214923</v>
      </c>
      <c r="F311" s="336">
        <f>Gasto_o_ing_per_capita!F311-Gasto_o_ing_per_capita!$D311</f>
        <v>1.5237739487731081</v>
      </c>
      <c r="G311" s="336">
        <f>Gasto_o_ing_per_capita!G311-Gasto_o_ing_per_capita!$D311</f>
        <v>-0.15673821909573538</v>
      </c>
      <c r="H311" s="336">
        <f>Gasto_o_ing_per_capita!H311-Gasto_o_ing_per_capita!$D311</f>
        <v>-0.18899612737012084</v>
      </c>
      <c r="I311" s="336">
        <f>Gasto_o_ing_per_capita!I311-Gasto_o_ing_per_capita!$D311</f>
        <v>-0.38993997138350356</v>
      </c>
      <c r="J311" s="336">
        <f>Gasto_o_ing_per_capita!J311-Gasto_o_ing_per_capita!$D311</f>
        <v>2.8959546116745782E-3</v>
      </c>
      <c r="K311" s="336">
        <f>Gasto_o_ing_per_capita!K311-Gasto_o_ing_per_capita!$D311</f>
        <v>1.5756444040825317</v>
      </c>
      <c r="L311" s="336">
        <f>Gasto_o_ing_per_capita!L311-Gasto_o_ing_per_capita!$D311</f>
        <v>1.8318237354141915</v>
      </c>
      <c r="M311" s="336">
        <f>Gasto_o_ing_per_capita!M311-Gasto_o_ing_per_capita!$D311</f>
        <v>-0.56181467746842084</v>
      </c>
      <c r="N311" s="336">
        <f>Gasto_o_ing_per_capita!N311-Gasto_o_ing_per_capita!$D311</f>
        <v>-0.35663978938073582</v>
      </c>
      <c r="O311" s="336">
        <f>Gasto_o_ing_per_capita!O311-Gasto_o_ing_per_capita!$D311</f>
        <v>0.91463575991134705</v>
      </c>
      <c r="P311" s="336">
        <f>Gasto_o_ing_per_capita!P311-Gasto_o_ing_per_capita!$D311</f>
        <v>-0.69242783830143162</v>
      </c>
      <c r="Q311" s="336">
        <f>Gasto_o_ing_per_capita!Q311-Gasto_o_ing_per_capita!$D311</f>
        <v>9.1705450720146464E-2</v>
      </c>
      <c r="R311" s="336">
        <f>Gasto_o_ing_per_capita!R311-Gasto_o_ing_per_capita!$D311</f>
        <v>-0.29572360981008017</v>
      </c>
      <c r="S311" s="336">
        <f>Gasto_o_ing_per_capita!S311-Gasto_o_ing_per_capita!$D311</f>
        <v>-0.31282856046654894</v>
      </c>
      <c r="T311" s="336">
        <f>Gasto_o_ing_per_capita!T311-Gasto_o_ing_per_capita!$D311</f>
        <v>0.44049717875946559</v>
      </c>
      <c r="U311" s="336">
        <f>Gasto_o_ing_per_capita!U311-Gasto_o_ing_per_capita!$D311</f>
        <v>0.82819681132589262</v>
      </c>
      <c r="V311" s="336">
        <f>Gasto_o_ing_per_capita!V311-Gasto_o_ing_per_capita!$D311</f>
        <v>17.305521504196243</v>
      </c>
      <c r="W311" s="105"/>
    </row>
    <row r="312" spans="1:23" s="102" customFormat="1" ht="13.15">
      <c r="A312" s="356"/>
      <c r="B312" s="115"/>
      <c r="C312" s="148"/>
      <c r="D312" s="110"/>
      <c r="E312" s="110"/>
      <c r="F312" s="110"/>
      <c r="G312" s="110"/>
      <c r="H312" s="110"/>
      <c r="I312" s="110"/>
      <c r="J312" s="110"/>
      <c r="K312" s="110"/>
      <c r="L312" s="110"/>
      <c r="M312" s="110"/>
      <c r="N312" s="110"/>
      <c r="O312" s="110"/>
      <c r="P312" s="110"/>
      <c r="Q312" s="110"/>
      <c r="R312" s="110"/>
      <c r="S312" s="110"/>
      <c r="T312" s="110"/>
      <c r="U312" s="110"/>
      <c r="V312" s="110"/>
      <c r="W312" s="105"/>
    </row>
    <row r="313" spans="1:23" s="102" customFormat="1" ht="13.15">
      <c r="A313" s="356"/>
      <c r="B313" s="115"/>
      <c r="C313" s="105"/>
      <c r="D313" s="110"/>
      <c r="E313" s="110"/>
      <c r="F313" s="110"/>
      <c r="G313" s="110"/>
      <c r="H313" s="110"/>
      <c r="I313" s="110"/>
      <c r="J313" s="110"/>
      <c r="K313" s="110"/>
      <c r="L313" s="110"/>
      <c r="M313" s="110"/>
      <c r="N313" s="110"/>
      <c r="O313" s="110"/>
      <c r="P313" s="110"/>
      <c r="Q313" s="110"/>
      <c r="R313" s="110"/>
      <c r="S313" s="110"/>
      <c r="T313" s="110"/>
      <c r="U313" s="110"/>
      <c r="V313" s="110"/>
    </row>
    <row r="314" spans="1:23" s="102" customFormat="1" ht="13.15">
      <c r="A314" s="364"/>
      <c r="B314" s="115"/>
      <c r="C314" s="117" t="s">
        <v>58</v>
      </c>
      <c r="D314" s="113">
        <f>Gasto_o_ing_per_capita!D314-Gasto_o_ing_per_capita!$D314</f>
        <v>0</v>
      </c>
      <c r="E314" s="113">
        <f>Gasto_o_ing_per_capita!E314-Gasto_o_ing_per_capita!$D314</f>
        <v>1.7214175663816711</v>
      </c>
      <c r="F314" s="113">
        <f>Gasto_o_ing_per_capita!F314-Gasto_o_ing_per_capita!$D314</f>
        <v>1.6204663416830325</v>
      </c>
      <c r="G314" s="113">
        <f>Gasto_o_ing_per_capita!G314-Gasto_o_ing_per_capita!$D314</f>
        <v>1.1506096701339601</v>
      </c>
      <c r="H314" s="113">
        <f>Gasto_o_ing_per_capita!H314-Gasto_o_ing_per_capita!$D314</f>
        <v>-2.893411968128353</v>
      </c>
      <c r="I314" s="113">
        <f>Gasto_o_ing_per_capita!I314-Gasto_o_ing_per_capita!$D314</f>
        <v>2.924792597658584</v>
      </c>
      <c r="J314" s="113">
        <f>Gasto_o_ing_per_capita!J314-Gasto_o_ing_per_capita!$D314</f>
        <v>1.491006997765286</v>
      </c>
      <c r="K314" s="113">
        <f>Gasto_o_ing_per_capita!K314-Gasto_o_ing_per_capita!$D314</f>
        <v>-0.37600215319489472</v>
      </c>
      <c r="L314" s="113">
        <f>Gasto_o_ing_per_capita!L314-Gasto_o_ing_per_capita!$D314</f>
        <v>1.8211606461646213</v>
      </c>
      <c r="M314" s="113">
        <f>Gasto_o_ing_per_capita!M314-Gasto_o_ing_per_capita!$D314</f>
        <v>-5.7597897940376281</v>
      </c>
      <c r="N314" s="113">
        <f>Gasto_o_ing_per_capita!N314-Gasto_o_ing_per_capita!$D314</f>
        <v>-0.89936322240200894</v>
      </c>
      <c r="O314" s="113">
        <f>Gasto_o_ing_per_capita!O314-Gasto_o_ing_per_capita!$D314</f>
        <v>1.3990235716985797</v>
      </c>
      <c r="P314" s="113">
        <f>Gasto_o_ing_per_capita!P314-Gasto_o_ing_per_capita!$D314</f>
        <v>0.20992991826925689</v>
      </c>
      <c r="Q314" s="113">
        <f>Gasto_o_ing_per_capita!Q314-Gasto_o_ing_per_capita!$D314</f>
        <v>2.6012314365625322</v>
      </c>
      <c r="R314" s="113">
        <f>Gasto_o_ing_per_capita!R314-Gasto_o_ing_per_capita!$D314</f>
        <v>4.6593336360948001</v>
      </c>
      <c r="S314" s="113">
        <f>Gasto_o_ing_per_capita!S314-Gasto_o_ing_per_capita!$D314</f>
        <v>1.9471423112513175</v>
      </c>
      <c r="T314" s="113">
        <f>Gasto_o_ing_per_capita!T314-Gasto_o_ing_per_capita!$D314</f>
        <v>-1.4880338952120322</v>
      </c>
      <c r="U314" s="113">
        <f>Gasto_o_ing_per_capita!U314-Gasto_o_ing_per_capita!$D314</f>
        <v>-0.6830338158974083</v>
      </c>
      <c r="V314" s="113">
        <f>Gasto_o_ing_per_capita!V314-Gasto_o_ing_per_capita!$D314</f>
        <v>-1.3500933812033367</v>
      </c>
      <c r="W314" s="114"/>
    </row>
    <row r="315" spans="1:23" s="102" customFormat="1" ht="13.15">
      <c r="A315" s="355" t="str">
        <f>IF(B315="","",(IF(ISERROR(MATCH(B315,Tot_res!C:C,0)),"Eliminar!!!","")))</f>
        <v/>
      </c>
      <c r="B315" s="119" t="s">
        <v>649</v>
      </c>
      <c r="C315" s="333" t="str">
        <f>VLOOKUP(B315,Tot_res!C:D,2,FALSE)</f>
        <v xml:space="preserve">Dirección y servicios generales de la educación,cultura y deporte, neto del gasto directo del Estado en Ceuta y Melilla </v>
      </c>
      <c r="D315" s="336">
        <f>Gasto_o_ing_per_capita!D315-Gasto_o_ing_per_capita!$D315</f>
        <v>0</v>
      </c>
      <c r="E315" s="336">
        <f>Gasto_o_ing_per_capita!E315-Gasto_o_ing_per_capita!$D315</f>
        <v>0.11538076416069143</v>
      </c>
      <c r="F315" s="336">
        <f>Gasto_o_ing_per_capita!F315-Gasto_o_ing_per_capita!$D315</f>
        <v>-9.3445675301895292E-2</v>
      </c>
      <c r="G315" s="336">
        <f>Gasto_o_ing_per_capita!G315-Gasto_o_ing_per_capita!$D315</f>
        <v>-0.31322098937999143</v>
      </c>
      <c r="H315" s="336">
        <f>Gasto_o_ing_per_capita!H315-Gasto_o_ing_per_capita!$D315</f>
        <v>-0.16463213979036384</v>
      </c>
      <c r="I315" s="336">
        <f>Gasto_o_ing_per_capita!I315-Gasto_o_ing_per_capita!$D315</f>
        <v>-7.1556930393455564E-2</v>
      </c>
      <c r="J315" s="336">
        <f>Gasto_o_ing_per_capita!J315-Gasto_o_ing_per_capita!$D315</f>
        <v>-0.1563350774315917</v>
      </c>
      <c r="K315" s="336">
        <f>Gasto_o_ing_per_capita!K315-Gasto_o_ing_per_capita!$D315</f>
        <v>-0.24071166630963359</v>
      </c>
      <c r="L315" s="336">
        <f>Gasto_o_ing_per_capita!L315-Gasto_o_ing_per_capita!$D315</f>
        <v>0.11117182969113659</v>
      </c>
      <c r="M315" s="336">
        <f>Gasto_o_ing_per_capita!M315-Gasto_o_ing_per_capita!$D315</f>
        <v>3.9942214322679082E-3</v>
      </c>
      <c r="N315" s="336">
        <f>Gasto_o_ing_per_capita!N315-Gasto_o_ing_per_capita!$D315</f>
        <v>-1.800306520102124E-2</v>
      </c>
      <c r="O315" s="336">
        <f>Gasto_o_ing_per_capita!O315-Gasto_o_ing_per_capita!$D315</f>
        <v>-4.288028654821141E-2</v>
      </c>
      <c r="P315" s="336">
        <f>Gasto_o_ing_per_capita!P315-Gasto_o_ing_per_capita!$D315</f>
        <v>-0.18579763299801777</v>
      </c>
      <c r="Q315" s="336">
        <f>Gasto_o_ing_per_capita!Q315-Gasto_o_ing_per_capita!$D315</f>
        <v>0.12013471517230845</v>
      </c>
      <c r="R315" s="336">
        <f>Gasto_o_ing_per_capita!R315-Gasto_o_ing_per_capita!$D315</f>
        <v>0.15950847348202246</v>
      </c>
      <c r="S315" s="336">
        <f>Gasto_o_ing_per_capita!S315-Gasto_o_ing_per_capita!$D315</f>
        <v>-4.0831046843588625E-2</v>
      </c>
      <c r="T315" s="336">
        <f>Gasto_o_ing_per_capita!T315-Gasto_o_ing_per_capita!$D315</f>
        <v>-6.7342018858943975E-2</v>
      </c>
      <c r="U315" s="336">
        <f>Gasto_o_ing_per_capita!U315-Gasto_o_ing_per_capita!$D315</f>
        <v>5.3657746140567175E-2</v>
      </c>
      <c r="V315" s="336">
        <f>Gasto_o_ing_per_capita!V315-Gasto_o_ing_per_capita!$D315</f>
        <v>0.28780069763271499</v>
      </c>
      <c r="W315" s="105"/>
    </row>
    <row r="316" spans="1:23" s="102" customFormat="1" ht="13.15">
      <c r="A316" s="355" t="str">
        <f>IF(B316="","",(IF(ISERROR(MATCH(B316,Tot_res!C:C,0)),"Eliminar!!!","")))</f>
        <v/>
      </c>
      <c r="B316" s="115" t="s">
        <v>650</v>
      </c>
      <c r="C316" s="333" t="str">
        <f>VLOOKUP(B316,Tot_res!C:D,2,FALSE)</f>
        <v xml:space="preserve">Formac. permanente del profesorado de educación, neto del gasto directo del Estado en Ceuta y Melilla </v>
      </c>
      <c r="D316" s="336">
        <f>Gasto_o_ing_per_capita!D316-Gasto_o_ing_per_capita!$D316</f>
        <v>0</v>
      </c>
      <c r="E316" s="336">
        <f>Gasto_o_ing_per_capita!E316-Gasto_o_ing_per_capita!$D316</f>
        <v>7.4793264717789298E-3</v>
      </c>
      <c r="F316" s="336">
        <f>Gasto_o_ing_per_capita!F316-Gasto_o_ing_per_capita!$D316</f>
        <v>2.1520416745701015E-4</v>
      </c>
      <c r="G316" s="336">
        <f>Gasto_o_ing_per_capita!G316-Gasto_o_ing_per_capita!$D316</f>
        <v>-2.4115294621936262E-3</v>
      </c>
      <c r="H316" s="336">
        <f>Gasto_o_ing_per_capita!H316-Gasto_o_ing_per_capita!$D316</f>
        <v>-3.1810820614123908E-3</v>
      </c>
      <c r="I316" s="336">
        <f>Gasto_o_ing_per_capita!I316-Gasto_o_ing_per_capita!$D316</f>
        <v>-4.6600496546251452E-4</v>
      </c>
      <c r="J316" s="336">
        <f>Gasto_o_ing_per_capita!J316-Gasto_o_ing_per_capita!$D316</f>
        <v>9.1201379918541547E-4</v>
      </c>
      <c r="K316" s="336">
        <f>Gasto_o_ing_per_capita!K316-Gasto_o_ing_per_capita!$D316</f>
        <v>3.2186202547233866E-3</v>
      </c>
      <c r="L316" s="336">
        <f>Gasto_o_ing_per_capita!L316-Gasto_o_ing_per_capita!$D316</f>
        <v>9.4404269468227678E-3</v>
      </c>
      <c r="M316" s="336">
        <f>Gasto_o_ing_per_capita!M316-Gasto_o_ing_per_capita!$D316</f>
        <v>-3.3224840956152177E-3</v>
      </c>
      <c r="N316" s="336">
        <f>Gasto_o_ing_per_capita!N316-Gasto_o_ing_per_capita!$D316</f>
        <v>-3.4359400923503827E-3</v>
      </c>
      <c r="O316" s="336">
        <f>Gasto_o_ing_per_capita!O316-Gasto_o_ing_per_capita!$D316</f>
        <v>1.0322686666252523E-2</v>
      </c>
      <c r="P316" s="336">
        <f>Gasto_o_ing_per_capita!P316-Gasto_o_ing_per_capita!$D316</f>
        <v>2.7178255461488485E-3</v>
      </c>
      <c r="Q316" s="336">
        <f>Gasto_o_ing_per_capita!Q316-Gasto_o_ing_per_capita!$D316</f>
        <v>-1.0853817256533289E-2</v>
      </c>
      <c r="R316" s="336">
        <f>Gasto_o_ing_per_capita!R316-Gasto_o_ing_per_capita!$D316</f>
        <v>6.9107215817529044E-3</v>
      </c>
      <c r="S316" s="336">
        <f>Gasto_o_ing_per_capita!S316-Gasto_o_ing_per_capita!$D316</f>
        <v>5.5071962104069547E-3</v>
      </c>
      <c r="T316" s="336">
        <f>Gasto_o_ing_per_capita!T316-Gasto_o_ing_per_capita!$D316</f>
        <v>-3.1616804651357355E-3</v>
      </c>
      <c r="U316" s="336">
        <f>Gasto_o_ing_per_capita!U316-Gasto_o_ing_per_capita!$D316</f>
        <v>1.1036826725501631E-4</v>
      </c>
      <c r="V316" s="336">
        <f>Gasto_o_ing_per_capita!V316-Gasto_o_ing_per_capita!$D316</f>
        <v>1.4789220320290876E-2</v>
      </c>
      <c r="W316" s="105"/>
    </row>
    <row r="317" spans="1:23" s="102" customFormat="1" ht="13.15">
      <c r="A317" s="355" t="str">
        <f>IF(B317="","",(IF(ISERROR(MATCH(B317,Tot_res!C:C,0)),"Eliminar!!!","")))</f>
        <v/>
      </c>
      <c r="B317" s="115" t="s">
        <v>651</v>
      </c>
      <c r="C317" s="333" t="str">
        <f>VLOOKUP(B317,Tot_res!C:D,2,FALSE)</f>
        <v>Educación infantil y primaria +AF12/1</v>
      </c>
      <c r="D317" s="336">
        <f>Gasto_o_ing_per_capita!D317-Gasto_o_ing_per_capita!$D317</f>
        <v>0</v>
      </c>
      <c r="E317" s="336">
        <f>Gasto_o_ing_per_capita!E317-Gasto_o_ing_per_capita!$D317</f>
        <v>5.4252875528888964</v>
      </c>
      <c r="F317" s="336">
        <f>Gasto_o_ing_per_capita!F317-Gasto_o_ing_per_capita!$D317</f>
        <v>3.2474670818942708</v>
      </c>
      <c r="G317" s="336">
        <f>Gasto_o_ing_per_capita!G317-Gasto_o_ing_per_capita!$D317</f>
        <v>-2.3290543745391217</v>
      </c>
      <c r="H317" s="336">
        <f>Gasto_o_ing_per_capita!H317-Gasto_o_ing_per_capita!$D317</f>
        <v>-2.2888430117278422</v>
      </c>
      <c r="I317" s="336">
        <f>Gasto_o_ing_per_capita!I317-Gasto_o_ing_per_capita!$D317</f>
        <v>6.2143694360472104</v>
      </c>
      <c r="J317" s="336">
        <f>Gasto_o_ing_per_capita!J317-Gasto_o_ing_per_capita!$D317</f>
        <v>3.3632005461790198</v>
      </c>
      <c r="K317" s="336">
        <f>Gasto_o_ing_per_capita!K317-Gasto_o_ing_per_capita!$D317</f>
        <v>-2.316186419134612</v>
      </c>
      <c r="L317" s="336">
        <f>Gasto_o_ing_per_capita!L317-Gasto_o_ing_per_capita!$D317</f>
        <v>-2.2787366421454713</v>
      </c>
      <c r="M317" s="336">
        <f>Gasto_o_ing_per_capita!M317-Gasto_o_ing_per_capita!$D317</f>
        <v>-2.2774893811761339</v>
      </c>
      <c r="N317" s="336">
        <f>Gasto_o_ing_per_capita!N317-Gasto_o_ing_per_capita!$D317</f>
        <v>-2.2874636427297173</v>
      </c>
      <c r="O317" s="336">
        <f>Gasto_o_ing_per_capita!O317-Gasto_o_ing_per_capita!$D317</f>
        <v>-2.2960380670353464</v>
      </c>
      <c r="P317" s="336">
        <f>Gasto_o_ing_per_capita!P317-Gasto_o_ing_per_capita!$D317</f>
        <v>-2.3121828820656156</v>
      </c>
      <c r="Q317" s="336">
        <f>Gasto_o_ing_per_capita!Q317-Gasto_o_ing_per_capita!$D317</f>
        <v>-2.2739105110065805</v>
      </c>
      <c r="R317" s="336">
        <f>Gasto_o_ing_per_capita!R317-Gasto_o_ing_per_capita!$D317</f>
        <v>-2.2651917838554669</v>
      </c>
      <c r="S317" s="336">
        <f>Gasto_o_ing_per_capita!S317-Gasto_o_ing_per_capita!$D317</f>
        <v>2.5587249556672611</v>
      </c>
      <c r="T317" s="336">
        <f>Gasto_o_ing_per_capita!T317-Gasto_o_ing_per_capita!$D317</f>
        <v>2.561166998729465</v>
      </c>
      <c r="U317" s="336">
        <f>Gasto_o_ing_per_capita!U317-Gasto_o_ing_per_capita!$D317</f>
        <v>-2.2872910462464171</v>
      </c>
      <c r="V317" s="336">
        <f>Gasto_o_ing_per_capita!V317-Gasto_o_ing_per_capita!$D317</f>
        <v>-2.2397200722376498</v>
      </c>
      <c r="W317" s="105"/>
    </row>
    <row r="318" spans="1:23" s="102" customFormat="1" ht="13.15">
      <c r="A318" s="355" t="str">
        <f>IF(B318="","",(IF(ISERROR(MATCH(B318,Tot_res!C:C,0)),"Eliminar!!!","")))</f>
        <v/>
      </c>
      <c r="B318" s="115" t="s">
        <v>652</v>
      </c>
      <c r="C318" s="333" t="str">
        <f>VLOOKUP(B318,Tot_res!C:D,2,FALSE)</f>
        <v xml:space="preserve">Educ. secund., formac. profesional y EEOO Idiomas, neto del gasto directo del Estado en Ceuta y Melilla </v>
      </c>
      <c r="D318" s="336">
        <f>Gasto_o_ing_per_capita!D318-Gasto_o_ing_per_capita!$D318</f>
        <v>0</v>
      </c>
      <c r="E318" s="336">
        <f>Gasto_o_ing_per_capita!E318-Gasto_o_ing_per_capita!$D318</f>
        <v>6.2183959520800358E-2</v>
      </c>
      <c r="F318" s="336">
        <f>Gasto_o_ing_per_capita!F318-Gasto_o_ing_per_capita!$D318</f>
        <v>9.5993196285282689E-2</v>
      </c>
      <c r="G318" s="336">
        <f>Gasto_o_ing_per_capita!G318-Gasto_o_ing_per_capita!$D318</f>
        <v>-8.8526145580312132E-2</v>
      </c>
      <c r="H318" s="336">
        <f>Gasto_o_ing_per_capita!H318-Gasto_o_ing_per_capita!$D318</f>
        <v>-0.19057932691454893</v>
      </c>
      <c r="I318" s="336">
        <f>Gasto_o_ing_per_capita!I318-Gasto_o_ing_per_capita!$D318</f>
        <v>3.9455882309976764E-2</v>
      </c>
      <c r="J318" s="336">
        <f>Gasto_o_ing_per_capita!J318-Gasto_o_ing_per_capita!$D318</f>
        <v>4.2221765623463914E-2</v>
      </c>
      <c r="K318" s="336">
        <f>Gasto_o_ing_per_capita!K318-Gasto_o_ing_per_capita!$D318</f>
        <v>0.27032253355021962</v>
      </c>
      <c r="L318" s="336">
        <f>Gasto_o_ing_per_capita!L318-Gasto_o_ing_per_capita!$D318</f>
        <v>0.19866559858778909</v>
      </c>
      <c r="M318" s="336">
        <f>Gasto_o_ing_per_capita!M318-Gasto_o_ing_per_capita!$D318</f>
        <v>-6.7796015885770444E-2</v>
      </c>
      <c r="N318" s="336">
        <f>Gasto_o_ing_per_capita!N318-Gasto_o_ing_per_capita!$D318</f>
        <v>3.8043100967829813E-2</v>
      </c>
      <c r="O318" s="336">
        <f>Gasto_o_ing_per_capita!O318-Gasto_o_ing_per_capita!$D318</f>
        <v>0.21305407633639706</v>
      </c>
      <c r="P318" s="336">
        <f>Gasto_o_ing_per_capita!P318-Gasto_o_ing_per_capita!$D318</f>
        <v>-5.4795216766427846E-3</v>
      </c>
      <c r="Q318" s="336">
        <f>Gasto_o_ing_per_capita!Q318-Gasto_o_ing_per_capita!$D318</f>
        <v>-0.19517530281040185</v>
      </c>
      <c r="R318" s="336">
        <f>Gasto_o_ing_per_capita!R318-Gasto_o_ing_per_capita!$D318</f>
        <v>-3.5817577699736258E-2</v>
      </c>
      <c r="S318" s="336">
        <f>Gasto_o_ing_per_capita!S318-Gasto_o_ing_per_capita!$D318</f>
        <v>-1.0771811957999922E-2</v>
      </c>
      <c r="T318" s="336">
        <f>Gasto_o_ing_per_capita!T318-Gasto_o_ing_per_capita!$D318</f>
        <v>-5.788544456537037E-2</v>
      </c>
      <c r="U318" s="336">
        <f>Gasto_o_ing_per_capita!U318-Gasto_o_ing_per_capita!$D318</f>
        <v>0.15083204291198871</v>
      </c>
      <c r="V318" s="336">
        <f>Gasto_o_ing_per_capita!V318-Gasto_o_ing_per_capita!$D318</f>
        <v>-0.27993490592411086</v>
      </c>
      <c r="W318" s="105"/>
    </row>
    <row r="319" spans="1:23" s="102" customFormat="1" ht="13.15">
      <c r="A319" s="355" t="str">
        <f>IF(B319="","",(IF(ISERROR(MATCH(B319,Tot_res!C:C,0)),"Eliminar!!!","")))</f>
        <v/>
      </c>
      <c r="B319" s="115" t="s">
        <v>653</v>
      </c>
      <c r="C319" s="333" t="str">
        <f>VLOOKUP(B319,Tot_res!C:D,2,FALSE)</f>
        <v>Enseñanzas universitarias, neto del gasto directo del Estado en Ceuta y Melilla</v>
      </c>
      <c r="D319" s="336">
        <f>Gasto_o_ing_per_capita!D319-Gasto_o_ing_per_capita!$D319</f>
        <v>0</v>
      </c>
      <c r="E319" s="336">
        <f>Gasto_o_ing_per_capita!E319-Gasto_o_ing_per_capita!$D319</f>
        <v>-0.73820127072729491</v>
      </c>
      <c r="F319" s="336">
        <f>Gasto_o_ing_per_capita!F319-Gasto_o_ing_per_capita!$D319</f>
        <v>1.507276251726231</v>
      </c>
      <c r="G319" s="336">
        <f>Gasto_o_ing_per_capita!G319-Gasto_o_ing_per_capita!$D319</f>
        <v>0.16817072419932266</v>
      </c>
      <c r="H319" s="336">
        <f>Gasto_o_ing_per_capita!H319-Gasto_o_ing_per_capita!$D319</f>
        <v>-0.15922795768527553</v>
      </c>
      <c r="I319" s="336">
        <f>Gasto_o_ing_per_capita!I319-Gasto_o_ing_per_capita!$D319</f>
        <v>0.11432852039944308</v>
      </c>
      <c r="J319" s="336">
        <f>Gasto_o_ing_per_capita!J319-Gasto_o_ing_per_capita!$D319</f>
        <v>1.1877066224241339</v>
      </c>
      <c r="K319" s="336">
        <f>Gasto_o_ing_per_capita!K319-Gasto_o_ing_per_capita!$D319</f>
        <v>0.15498528618874996</v>
      </c>
      <c r="L319" s="336">
        <f>Gasto_o_ing_per_capita!L319-Gasto_o_ing_per_capita!$D319</f>
        <v>1.4054051351142434</v>
      </c>
      <c r="M319" s="336">
        <f>Gasto_o_ing_per_capita!M319-Gasto_o_ing_per_capita!$D319</f>
        <v>-2.3188627576717451</v>
      </c>
      <c r="N319" s="336">
        <f>Gasto_o_ing_per_capita!N319-Gasto_o_ing_per_capita!$D319</f>
        <v>-0.82822684847399941</v>
      </c>
      <c r="O319" s="336">
        <f>Gasto_o_ing_per_capita!O319-Gasto_o_ing_per_capita!$D319</f>
        <v>-0.10877143523599653</v>
      </c>
      <c r="P319" s="336">
        <f>Gasto_o_ing_per_capita!P319-Gasto_o_ing_per_capita!$D319</f>
        <v>0.66107929676137989</v>
      </c>
      <c r="Q319" s="336">
        <f>Gasto_o_ing_per_capita!Q319-Gasto_o_ing_per_capita!$D319</f>
        <v>3.1119288471826936</v>
      </c>
      <c r="R319" s="336">
        <f>Gasto_o_ing_per_capita!R319-Gasto_o_ing_per_capita!$D319</f>
        <v>-0.10584411691092566</v>
      </c>
      <c r="S319" s="336">
        <f>Gasto_o_ing_per_capita!S319-Gasto_o_ing_per_capita!$D319</f>
        <v>2.5679931090992776</v>
      </c>
      <c r="T319" s="336">
        <f>Gasto_o_ing_per_capita!T319-Gasto_o_ing_per_capita!$D319</f>
        <v>-1.0864343763337474</v>
      </c>
      <c r="U319" s="336">
        <f>Gasto_o_ing_per_capita!U319-Gasto_o_ing_per_capita!$D319</f>
        <v>0.33537827211145821</v>
      </c>
      <c r="V319" s="336">
        <f>Gasto_o_ing_per_capita!V319-Gasto_o_ing_per_capita!$D319</f>
        <v>3.0961751517819325</v>
      </c>
      <c r="W319" s="105"/>
    </row>
    <row r="320" spans="1:23" s="102" customFormat="1" ht="13.15">
      <c r="A320" s="355" t="str">
        <f>IF(B320="","",(IF(ISERROR(MATCH(B320,Tot_res!C:C,0)),"Eliminar!!!","")))</f>
        <v/>
      </c>
      <c r="B320" s="115" t="s">
        <v>654</v>
      </c>
      <c r="C320" s="333" t="str">
        <f>VLOOKUP(B320,Tot_res!C:D,2,FALSE)</f>
        <v xml:space="preserve">Enseñanzas artísticas, neto del gasto directo del Estado en Ceuta y Melilla </v>
      </c>
      <c r="D320" s="336">
        <f>Gasto_o_ing_per_capita!D320-Gasto_o_ing_per_capita!$D320</f>
        <v>0</v>
      </c>
      <c r="E320" s="336">
        <f>Gasto_o_ing_per_capita!E320-Gasto_o_ing_per_capita!$D320</f>
        <v>-4.1692809398559539E-7</v>
      </c>
      <c r="F320" s="336">
        <f>Gasto_o_ing_per_capita!F320-Gasto_o_ing_per_capita!$D320</f>
        <v>3.8258275903146238E-7</v>
      </c>
      <c r="G320" s="336">
        <f>Gasto_o_ing_per_capita!G320-Gasto_o_ing_per_capita!$D320</f>
        <v>-1.4858740791503777E-6</v>
      </c>
      <c r="H320" s="336">
        <f>Gasto_o_ing_per_capita!H320-Gasto_o_ing_per_capita!$D320</f>
        <v>-1.7165916597307863E-6</v>
      </c>
      <c r="I320" s="336">
        <f>Gasto_o_ing_per_capita!I320-Gasto_o_ing_per_capita!$D320</f>
        <v>9.1228865655778524E-7</v>
      </c>
      <c r="J320" s="336">
        <f>Gasto_o_ing_per_capita!J320-Gasto_o_ing_per_capita!$D320</f>
        <v>-1.3425187588683677E-6</v>
      </c>
      <c r="K320" s="336">
        <f>Gasto_o_ing_per_capita!K320-Gasto_o_ing_per_capita!$D320</f>
        <v>1.4905921914211981E-7</v>
      </c>
      <c r="L320" s="336">
        <f>Gasto_o_ing_per_capita!L320-Gasto_o_ing_per_capita!$D320</f>
        <v>7.6590970239198185E-8</v>
      </c>
      <c r="M320" s="336">
        <f>Gasto_o_ing_per_capita!M320-Gasto_o_ing_per_capita!$D320</f>
        <v>5.5073379432728597E-7</v>
      </c>
      <c r="N320" s="336">
        <f>Gasto_o_ing_per_capita!N320-Gasto_o_ing_per_capita!$D320</f>
        <v>-9.7094693116070373E-7</v>
      </c>
      <c r="O320" s="336">
        <f>Gasto_o_ing_per_capita!O320-Gasto_o_ing_per_capita!$D320</f>
        <v>-1.6527432819181715E-6</v>
      </c>
      <c r="P320" s="336">
        <f>Gasto_o_ing_per_capita!P320-Gasto_o_ing_per_capita!$D320</f>
        <v>1.7191307864611949E-7</v>
      </c>
      <c r="Q320" s="336">
        <f>Gasto_o_ing_per_capita!Q320-Gasto_o_ing_per_capita!$D320</f>
        <v>6.193495825893306E-8</v>
      </c>
      <c r="R320" s="336">
        <f>Gasto_o_ing_per_capita!R320-Gasto_o_ing_per_capita!$D320</f>
        <v>-1.3290807539881775E-6</v>
      </c>
      <c r="S320" s="336">
        <f>Gasto_o_ing_per_capita!S320-Gasto_o_ing_per_capita!$D320</f>
        <v>4.1204706725340552E-6</v>
      </c>
      <c r="T320" s="336">
        <f>Gasto_o_ing_per_capita!T320-Gasto_o_ing_per_capita!$D320</f>
        <v>2.6394721172909811E-6</v>
      </c>
      <c r="U320" s="336">
        <f>Gasto_o_ing_per_capita!U320-Gasto_o_ing_per_capita!$D320</f>
        <v>6.9850761634374615E-7</v>
      </c>
      <c r="V320" s="336">
        <f>Gasto_o_ing_per_capita!V320-Gasto_o_ing_per_capita!$D320</f>
        <v>-1.0478473886280138E-6</v>
      </c>
      <c r="W320" s="105"/>
    </row>
    <row r="321" spans="1:23" s="102" customFormat="1" ht="13.15">
      <c r="A321" s="355" t="str">
        <f>IF(B321="","",(IF(ISERROR(MATCH(B321,Tot_res!C:C,0)),"Eliminar!!!","")))</f>
        <v/>
      </c>
      <c r="B321" s="115" t="s">
        <v>655</v>
      </c>
      <c r="C321" s="333" t="str">
        <f>VLOOKUP(B321,Tot_res!C:D,2,FALSE)</f>
        <v>Educación compensatoria,neto del gasto directo del Estado en Ceuta y Melilla  +AF12/2</v>
      </c>
      <c r="D321" s="336">
        <f>Gasto_o_ing_per_capita!D321-Gasto_o_ing_per_capita!$D321</f>
        <v>0</v>
      </c>
      <c r="E321" s="336">
        <f>Gasto_o_ing_per_capita!E321-Gasto_o_ing_per_capita!$D321</f>
        <v>1.5465367360686516E-3</v>
      </c>
      <c r="F321" s="336">
        <f>Gasto_o_ing_per_capita!F321-Gasto_o_ing_per_capita!$D321</f>
        <v>-1.3779094353571775E-3</v>
      </c>
      <c r="G321" s="336">
        <f>Gasto_o_ing_per_capita!G321-Gasto_o_ing_per_capita!$D321</f>
        <v>-4.5329841839069109E-3</v>
      </c>
      <c r="H321" s="336">
        <f>Gasto_o_ing_per_capita!H321-Gasto_o_ing_per_capita!$D321</f>
        <v>-4.4253253830990758E-3</v>
      </c>
      <c r="I321" s="336">
        <f>Gasto_o_ing_per_capita!I321-Gasto_o_ing_per_capita!$D321</f>
        <v>1.0690348629136849E-3</v>
      </c>
      <c r="J321" s="336">
        <f>Gasto_o_ing_per_capita!J321-Gasto_o_ing_per_capita!$D321</f>
        <v>-4.5262968744576165E-3</v>
      </c>
      <c r="K321" s="336">
        <f>Gasto_o_ing_per_capita!K321-Gasto_o_ing_per_capita!$D321</f>
        <v>-6.2134260246700188E-3</v>
      </c>
      <c r="L321" s="336">
        <f>Gasto_o_ing_per_capita!L321-Gasto_o_ing_per_capita!$D321</f>
        <v>-2.5168640881061931E-3</v>
      </c>
      <c r="M321" s="336">
        <f>Gasto_o_ing_per_capita!M321-Gasto_o_ing_per_capita!$D321</f>
        <v>5.9349991336726249E-3</v>
      </c>
      <c r="N321" s="336">
        <f>Gasto_o_ing_per_capita!N321-Gasto_o_ing_per_capita!$D321</f>
        <v>-3.1620086034724604E-3</v>
      </c>
      <c r="O321" s="336">
        <f>Gasto_o_ing_per_capita!O321-Gasto_o_ing_per_capita!$D321</f>
        <v>-2.9497690439586402E-3</v>
      </c>
      <c r="P321" s="336">
        <f>Gasto_o_ing_per_capita!P321-Gasto_o_ing_per_capita!$D321</f>
        <v>-6.1170332107749557E-3</v>
      </c>
      <c r="Q321" s="336">
        <f>Gasto_o_ing_per_capita!Q321-Gasto_o_ing_per_capita!$D321</f>
        <v>6.3524967523605202E-4</v>
      </c>
      <c r="R321" s="336">
        <f>Gasto_o_ing_per_capita!R321-Gasto_o_ing_per_capita!$D321</f>
        <v>7.5777598891329026E-3</v>
      </c>
      <c r="S321" s="336">
        <f>Gasto_o_ing_per_capita!S321-Gasto_o_ing_per_capita!$D321</f>
        <v>3.0617969002832146E-3</v>
      </c>
      <c r="T321" s="336">
        <f>Gasto_o_ing_per_capita!T321-Gasto_o_ing_per_capita!$D321</f>
        <v>-4.3688713351600472E-3</v>
      </c>
      <c r="U321" s="336">
        <f>Gasto_o_ing_per_capita!U321-Gasto_o_ing_per_capita!$D321</f>
        <v>5.5374792885879848E-3</v>
      </c>
      <c r="V321" s="336">
        <f>Gasto_o_ing_per_capita!V321-Gasto_o_ing_per_capita!$D321</f>
        <v>1.0460861341288725E-2</v>
      </c>
      <c r="W321" s="105"/>
    </row>
    <row r="322" spans="1:23" s="102" customFormat="1" ht="13.15">
      <c r="A322" s="355" t="str">
        <f>IF(B322="","",(IF(ISERROR(MATCH(B322,Tot_res!C:C,0)),"Eliminar!!!","")))</f>
        <v/>
      </c>
      <c r="B322" s="119" t="s">
        <v>656</v>
      </c>
      <c r="C322" s="333" t="str">
        <f>VLOOKUP(B322,Tot_res!C:D,2,FALSE)</f>
        <v xml:space="preserve">Deporte en edad escolar y en la universidad, neto del gasto directo del Estado en Ceuta y Melilla  </v>
      </c>
      <c r="D322" s="336">
        <f>Gasto_o_ing_per_capita!D322-Gasto_o_ing_per_capita!$D322</f>
        <v>0</v>
      </c>
      <c r="E322" s="336">
        <f>Gasto_o_ing_per_capita!E322-Gasto_o_ing_per_capita!$D322</f>
        <v>2.1205748693006073E-3</v>
      </c>
      <c r="F322" s="336">
        <f>Gasto_o_ing_per_capita!F322-Gasto_o_ing_per_capita!$D322</f>
        <v>-1.606657356678573E-3</v>
      </c>
      <c r="G322" s="336">
        <f>Gasto_o_ing_per_capita!G322-Gasto_o_ing_per_capita!$D322</f>
        <v>-5.5293102315475892E-3</v>
      </c>
      <c r="H322" s="336">
        <f>Gasto_o_ing_per_capita!H322-Gasto_o_ing_per_capita!$D322</f>
        <v>-2.87722675956531E-3</v>
      </c>
      <c r="I322" s="336">
        <f>Gasto_o_ing_per_capita!I322-Gasto_o_ing_per_capita!$D322</f>
        <v>-1.2159767722711018E-3</v>
      </c>
      <c r="J322" s="336">
        <f>Gasto_o_ing_per_capita!J322-Gasto_o_ing_per_capita!$D322</f>
        <v>-2.7291368994682881E-3</v>
      </c>
      <c r="K322" s="336">
        <f>Gasto_o_ing_per_capita!K322-Gasto_o_ing_per_capita!$D322</f>
        <v>-4.2351298283032322E-3</v>
      </c>
      <c r="L322" s="336">
        <f>Gasto_o_ing_per_capita!L322-Gasto_o_ing_per_capita!$D322</f>
        <v>2.0454518330015117E-3</v>
      </c>
      <c r="M322" s="336">
        <f>Gasto_o_ing_per_capita!M322-Gasto_o_ing_per_capita!$D322</f>
        <v>1.3249561714169869E-4</v>
      </c>
      <c r="N322" s="336">
        <f>Gasto_o_ing_per_capita!N322-Gasto_o_ing_per_capita!$D322</f>
        <v>-2.6012227087427592E-4</v>
      </c>
      <c r="O322" s="336">
        <f>Gasto_o_ing_per_capita!O322-Gasto_o_ing_per_capita!$D322</f>
        <v>-7.0414258428232179E-4</v>
      </c>
      <c r="P322" s="336">
        <f>Gasto_o_ing_per_capita!P322-Gasto_o_ing_per_capita!$D322</f>
        <v>-3.2549984084299377E-3</v>
      </c>
      <c r="Q322" s="336">
        <f>Gasto_o_ing_per_capita!Q322-Gasto_o_ing_per_capita!$D322</f>
        <v>1.7616255388926381E-3</v>
      </c>
      <c r="R322" s="336">
        <f>Gasto_o_ing_per_capita!R322-Gasto_o_ing_per_capita!$D322</f>
        <v>2.9081869200753077E-3</v>
      </c>
      <c r="S322" s="336">
        <f>Gasto_o_ing_per_capita!S322-Gasto_o_ing_per_capita!$D322</f>
        <v>-6.6756679299131982E-4</v>
      </c>
      <c r="T322" s="336">
        <f>Gasto_o_ing_per_capita!T322-Gasto_o_ing_per_capita!$D322</f>
        <v>-1.1407470545135613E-3</v>
      </c>
      <c r="U322" s="336">
        <f>Gasto_o_ing_per_capita!U322-Gasto_o_ing_per_capita!$D322</f>
        <v>1.0189134971039203E-3</v>
      </c>
      <c r="V322" s="336">
        <f>Gasto_o_ing_per_capita!V322-Gasto_o_ing_per_capita!$D322</f>
        <v>5.1980067026066133E-3</v>
      </c>
      <c r="W322" s="105"/>
    </row>
    <row r="323" spans="1:23" s="102" customFormat="1" ht="13.15">
      <c r="A323" s="355" t="str">
        <f>IF(B323="","",(IF(ISERROR(MATCH(B323,Tot_res!C:C,0)),"Eliminar!!!","")))</f>
        <v/>
      </c>
      <c r="B323" s="102" t="s">
        <v>657</v>
      </c>
      <c r="C323" s="333" t="str">
        <f>VLOOKUP(B323,Tot_res!C:D,2,FALSE)</f>
        <v xml:space="preserve">Otras enseñanzas y actividades educativas, neto del gasto directo del Estado en Ceuta y Melilla  </v>
      </c>
      <c r="D323" s="336">
        <f>Gasto_o_ing_per_capita!D323-Gasto_o_ing_per_capita!$D323</f>
        <v>0</v>
      </c>
      <c r="E323" s="336">
        <f>Gasto_o_ing_per_capita!E323-Gasto_o_ing_per_capita!$D323</f>
        <v>2.9075407147569288E-2</v>
      </c>
      <c r="F323" s="336">
        <f>Gasto_o_ing_per_capita!F323-Gasto_o_ing_per_capita!$D323</f>
        <v>0.12767119778503261</v>
      </c>
      <c r="G323" s="336">
        <f>Gasto_o_ing_per_capita!G323-Gasto_o_ing_per_capita!$D323</f>
        <v>0.18157090648564972</v>
      </c>
      <c r="H323" s="336">
        <f>Gasto_o_ing_per_capita!H323-Gasto_o_ing_per_capita!$D323</f>
        <v>-5.9933498901897919E-2</v>
      </c>
      <c r="I323" s="336">
        <f>Gasto_o_ing_per_capita!I323-Gasto_o_ing_per_capita!$D323</f>
        <v>-0.11877945029190337</v>
      </c>
      <c r="J323" s="336">
        <f>Gasto_o_ing_per_capita!J323-Gasto_o_ing_per_capita!$D323</f>
        <v>0.37378755566393806</v>
      </c>
      <c r="K323" s="336">
        <f>Gasto_o_ing_per_capita!K323-Gasto_o_ing_per_capita!$D323</f>
        <v>6.7460398591173143E-2</v>
      </c>
      <c r="L323" s="336">
        <f>Gasto_o_ing_per_capita!L323-Gasto_o_ing_per_capita!$D323</f>
        <v>0.123167760319151</v>
      </c>
      <c r="M323" s="336">
        <f>Gasto_o_ing_per_capita!M323-Gasto_o_ing_per_capita!$D323</f>
        <v>-0.12878663359712098</v>
      </c>
      <c r="N323" s="336">
        <f>Gasto_o_ing_per_capita!N323-Gasto_o_ing_per_capita!$D323</f>
        <v>-0.1096636333831609</v>
      </c>
      <c r="O323" s="336">
        <f>Gasto_o_ing_per_capita!O323-Gasto_o_ing_per_capita!$D323</f>
        <v>-8.286509450945001E-3</v>
      </c>
      <c r="P323" s="336">
        <f>Gasto_o_ing_per_capita!P323-Gasto_o_ing_per_capita!$D323</f>
        <v>-0.1275237988899752</v>
      </c>
      <c r="Q323" s="336">
        <f>Gasto_o_ing_per_capita!Q323-Gasto_o_ing_per_capita!$D323</f>
        <v>-1.8848521239358484E-2</v>
      </c>
      <c r="R323" s="336">
        <f>Gasto_o_ing_per_capita!R323-Gasto_o_ing_per_capita!$D323</f>
        <v>-8.2449838839208117E-2</v>
      </c>
      <c r="S323" s="336">
        <f>Gasto_o_ing_per_capita!S323-Gasto_o_ing_per_capita!$D323</f>
        <v>4.6690575834960502E-2</v>
      </c>
      <c r="T323" s="336">
        <f>Gasto_o_ing_per_capita!T323-Gasto_o_ing_per_capita!$D323</f>
        <v>0.4275849551984654</v>
      </c>
      <c r="U323" s="336">
        <f>Gasto_o_ing_per_capita!U323-Gasto_o_ing_per_capita!$D323</f>
        <v>-4.783958395269805E-2</v>
      </c>
      <c r="V323" s="336">
        <f>Gasto_o_ing_per_capita!V323-Gasto_o_ing_per_capita!$D323</f>
        <v>1.4189935185144187</v>
      </c>
      <c r="W323" s="105"/>
    </row>
    <row r="324" spans="1:23" s="102" customFormat="1" ht="13.15">
      <c r="A324" s="355" t="str">
        <f>IF(B324="","",(IF(ISERROR(MATCH(B324,Tot_res!C:C,0)),"Eliminar!!!","")))</f>
        <v/>
      </c>
      <c r="B324" s="115" t="s">
        <v>658</v>
      </c>
      <c r="C324" s="333" t="str">
        <f>VLOOKUP(B324,Tot_res!C:D,2,FALSE)</f>
        <v xml:space="preserve">Servicios complementarios de la enseñanza, neto del gasto directo del Estado en Ceuta y Melilla  </v>
      </c>
      <c r="D324" s="336">
        <f>Gasto_o_ing_per_capita!D324-Gasto_o_ing_per_capita!$D324</f>
        <v>0</v>
      </c>
      <c r="E324" s="336">
        <f>Gasto_o_ing_per_capita!E324-Gasto_o_ing_per_capita!$D324</f>
        <v>4.3987110775646487E-3</v>
      </c>
      <c r="F324" s="336">
        <f>Gasto_o_ing_per_capita!F324-Gasto_o_ing_per_capita!$D324</f>
        <v>-4.6422929314129391E-3</v>
      </c>
      <c r="G324" s="336">
        <f>Gasto_o_ing_per_capita!G324-Gasto_o_ing_per_capita!$D324</f>
        <v>-1.1046337599252345E-2</v>
      </c>
      <c r="H324" s="336">
        <f>Gasto_o_ing_per_capita!H324-Gasto_o_ing_per_capita!$D324</f>
        <v>-1.3373117035760357E-2</v>
      </c>
      <c r="I324" s="336">
        <f>Gasto_o_ing_per_capita!I324-Gasto_o_ing_per_capita!$D324</f>
        <v>2.9024929055329607E-4</v>
      </c>
      <c r="J324" s="336">
        <f>Gasto_o_ing_per_capita!J324-Gasto_o_ing_per_capita!$D324</f>
        <v>-6.7000039037817538E-3</v>
      </c>
      <c r="K324" s="336">
        <f>Gasto_o_ing_per_capita!K324-Gasto_o_ing_per_capita!$D324</f>
        <v>-9.4288012564663903E-3</v>
      </c>
      <c r="L324" s="336">
        <f>Gasto_o_ing_per_capita!L324-Gasto_o_ing_per_capita!$D324</f>
        <v>8.6092461000747272E-3</v>
      </c>
      <c r="M324" s="336">
        <f>Gasto_o_ing_per_capita!M324-Gasto_o_ing_per_capita!$D324</f>
        <v>-2.0421162395756753E-3</v>
      </c>
      <c r="N324" s="336">
        <f>Gasto_o_ing_per_capita!N324-Gasto_o_ing_per_capita!$D324</f>
        <v>-5.869687404351509E-5</v>
      </c>
      <c r="O324" s="336">
        <f>Gasto_o_ing_per_capita!O324-Gasto_o_ing_per_capita!$D324</f>
        <v>1.0816442240535601E-3</v>
      </c>
      <c r="P324" s="336">
        <f>Gasto_o_ing_per_capita!P324-Gasto_o_ing_per_capita!$D324</f>
        <v>-5.8635879333484436E-3</v>
      </c>
      <c r="Q324" s="336">
        <f>Gasto_o_ing_per_capita!Q324-Gasto_o_ing_per_capita!$D324</f>
        <v>5.137345833360632E-3</v>
      </c>
      <c r="R324" s="336">
        <f>Gasto_o_ing_per_capita!R324-Gasto_o_ing_per_capita!$D324</f>
        <v>7.6632571579369063E-3</v>
      </c>
      <c r="S324" s="336">
        <f>Gasto_o_ing_per_capita!S324-Gasto_o_ing_per_capita!$D324</f>
        <v>-1.8288121046460548E-3</v>
      </c>
      <c r="T324" s="336">
        <f>Gasto_o_ing_per_capita!T324-Gasto_o_ing_per_capita!$D324</f>
        <v>-5.333041711184261E-3</v>
      </c>
      <c r="U324" s="336">
        <f>Gasto_o_ing_per_capita!U324-Gasto_o_ing_per_capita!$D324</f>
        <v>6.6527571375615685E-3</v>
      </c>
      <c r="V324" s="336">
        <f>Gasto_o_ing_per_capita!V324-Gasto_o_ing_per_capita!$D324</f>
        <v>9.4230624434352844E-3</v>
      </c>
      <c r="W324" s="105"/>
    </row>
    <row r="325" spans="1:23" s="102" customFormat="1" ht="13.15">
      <c r="A325" s="355" t="str">
        <f>IF(B325="","",(IF(ISERROR(MATCH(B325,Tot_res!C:C,0)),"Eliminar!!!","")))</f>
        <v/>
      </c>
      <c r="B325" s="115" t="s">
        <v>319</v>
      </c>
      <c r="C325" s="333" t="str">
        <f>VLOOKUP(B325,Tot_res!C:D,2,FALSE)</f>
        <v>Investigación y evaluación educativa</v>
      </c>
      <c r="D325" s="336">
        <f>Gasto_o_ing_per_capita!D325-Gasto_o_ing_per_capita!$D325</f>
        <v>0</v>
      </c>
      <c r="E325" s="336">
        <f>Gasto_o_ing_per_capita!E325-Gasto_o_ing_per_capita!$D325</f>
        <v>5.4297708075245338E-4</v>
      </c>
      <c r="F325" s="336">
        <f>Gasto_o_ing_per_capita!F325-Gasto_o_ing_per_capita!$D325</f>
        <v>-3.3242096971161563E-4</v>
      </c>
      <c r="G325" s="336">
        <f>Gasto_o_ing_per_capita!G325-Gasto_o_ing_per_capita!$D325</f>
        <v>-1.2131737839459283E-3</v>
      </c>
      <c r="H325" s="336">
        <f>Gasto_o_ing_per_capita!H325-Gasto_o_ing_per_capita!$D325</f>
        <v>-3.2601739325273816E-4</v>
      </c>
      <c r="I325" s="336">
        <f>Gasto_o_ing_per_capita!I325-Gasto_o_ing_per_capita!$D325</f>
        <v>-1.0421280279484472E-4</v>
      </c>
      <c r="J325" s="336">
        <f>Gasto_o_ing_per_capita!J325-Gasto_o_ing_per_capita!$D325</f>
        <v>-4.7086461304161626E-4</v>
      </c>
      <c r="K325" s="336">
        <f>Gasto_o_ing_per_capita!K325-Gasto_o_ing_per_capita!$D325</f>
        <v>-7.1729766922274361E-4</v>
      </c>
      <c r="L325" s="336">
        <f>Gasto_o_ing_per_capita!L325-Gasto_o_ing_per_capita!$D325</f>
        <v>2.6070417356922806E-4</v>
      </c>
      <c r="M325" s="336">
        <f>Gasto_o_ing_per_capita!M325-Gasto_o_ing_per_capita!$D325</f>
        <v>5.549014437705637E-5</v>
      </c>
      <c r="N325" s="336">
        <f>Gasto_o_ing_per_capita!N325-Gasto_o_ing_per_capita!$D325</f>
        <v>-6.8064782997217035E-5</v>
      </c>
      <c r="O325" s="336">
        <f>Gasto_o_ing_per_capita!O325-Gasto_o_ing_per_capita!$D325</f>
        <v>-6.8579320243500157E-5</v>
      </c>
      <c r="P325" s="336">
        <f>Gasto_o_ing_per_capita!P325-Gasto_o_ing_per_capita!$D325</f>
        <v>-6.956136048081752E-4</v>
      </c>
      <c r="Q325" s="336">
        <f>Gasto_o_ing_per_capita!Q325-Gasto_o_ing_per_capita!$D325</f>
        <v>8.8923204037050577E-5</v>
      </c>
      <c r="R325" s="336">
        <f>Gasto_o_ing_per_capita!R325-Gasto_o_ing_per_capita!$D325</f>
        <v>6.1328928861260901E-4</v>
      </c>
      <c r="S325" s="336">
        <f>Gasto_o_ing_per_capita!S325-Gasto_o_ing_per_capita!$D325</f>
        <v>-1.7284207948014933E-4</v>
      </c>
      <c r="T325" s="336">
        <f>Gasto_o_ing_per_capita!T325-Gasto_o_ing_per_capita!$D325</f>
        <v>-1.8282865017262961E-4</v>
      </c>
      <c r="U325" s="336">
        <f>Gasto_o_ing_per_capita!U325-Gasto_o_ing_per_capita!$D325</f>
        <v>-1.0731495795870093E-4</v>
      </c>
      <c r="V325" s="336">
        <f>Gasto_o_ing_per_capita!V325-Gasto_o_ing_per_capita!$D325</f>
        <v>1.5718089381754601E-3</v>
      </c>
      <c r="W325" s="105"/>
    </row>
    <row r="326" spans="1:23" s="102" customFormat="1" ht="13.15">
      <c r="A326" s="355" t="str">
        <f>IF(B326="","",(IF(ISERROR(MATCH(B326,Tot_res!C:C,0)),"Eliminar!!!","")))</f>
        <v/>
      </c>
      <c r="B326" s="115" t="s">
        <v>659</v>
      </c>
      <c r="C326" s="333" t="str">
        <f>VLOOKUP(B326,Tot_res!C:D,2,FALSE)</f>
        <v>Formación del personal de las administraciones públicas + AF12/3</v>
      </c>
      <c r="D326" s="336">
        <f>Gasto_o_ing_per_capita!D326-Gasto_o_ing_per_capita!$D326</f>
        <v>0</v>
      </c>
      <c r="E326" s="336">
        <f>Gasto_o_ing_per_capita!E326-Gasto_o_ing_per_capita!$D326</f>
        <v>6.2542923721494836E-2</v>
      </c>
      <c r="F326" s="336">
        <f>Gasto_o_ing_per_capita!F326-Gasto_o_ing_per_capita!$D326</f>
        <v>-5.8125371250846714E-3</v>
      </c>
      <c r="G326" s="336">
        <f>Gasto_o_ing_per_capita!G326-Gasto_o_ing_per_capita!$D326</f>
        <v>-9.0810220883090764E-3</v>
      </c>
      <c r="H326" s="336">
        <f>Gasto_o_ing_per_capita!H326-Gasto_o_ing_per_capita!$D326</f>
        <v>-9.3817069739408843E-2</v>
      </c>
      <c r="I326" s="336">
        <f>Gasto_o_ing_per_capita!I326-Gasto_o_ing_per_capita!$D326</f>
        <v>-1.6593826764264019E-3</v>
      </c>
      <c r="J326" s="336">
        <f>Gasto_o_ing_per_capita!J326-Gasto_o_ing_per_capita!$D326</f>
        <v>-5.5119304045497031E-2</v>
      </c>
      <c r="K326" s="336">
        <f>Gasto_o_ing_per_capita!K326-Gasto_o_ing_per_capita!$D326</f>
        <v>7.9233098267685764E-2</v>
      </c>
      <c r="L326" s="336">
        <f>Gasto_o_ing_per_capita!L326-Gasto_o_ing_per_capita!$D326</f>
        <v>6.3786945026650832E-2</v>
      </c>
      <c r="M326" s="336">
        <f>Gasto_o_ing_per_capita!M326-Gasto_o_ing_per_capita!$D326</f>
        <v>-7.9488311088815822E-2</v>
      </c>
      <c r="N326" s="336">
        <f>Gasto_o_ing_per_capita!N326-Gasto_o_ing_per_capita!$D326</f>
        <v>-2.1221860108746271E-2</v>
      </c>
      <c r="O326" s="336">
        <f>Gasto_o_ing_per_capita!O326-Gasto_o_ing_per_capita!$D326</f>
        <v>0.48200464341058513</v>
      </c>
      <c r="P326" s="336">
        <f>Gasto_o_ing_per_capita!P326-Gasto_o_ing_per_capita!$D326</f>
        <v>4.3489205821353627E-2</v>
      </c>
      <c r="Q326" s="336">
        <f>Gasto_o_ing_per_capita!Q326-Gasto_o_ing_per_capita!$D326</f>
        <v>-9.3035578018224041E-2</v>
      </c>
      <c r="R326" s="336">
        <f>Gasto_o_ing_per_capita!R326-Gasto_o_ing_per_capita!$D326</f>
        <v>3.3205337930323209E-3</v>
      </c>
      <c r="S326" s="336">
        <f>Gasto_o_ing_per_capita!S326-Gasto_o_ing_per_capita!$D326</f>
        <v>7.0372116485019509E-2</v>
      </c>
      <c r="T326" s="336">
        <f>Gasto_o_ing_per_capita!T326-Gasto_o_ing_per_capita!$D326</f>
        <v>0</v>
      </c>
      <c r="U326" s="336">
        <f>Gasto_o_ing_per_capita!U326-Gasto_o_ing_per_capita!$D326</f>
        <v>-6.8804571384229796E-2</v>
      </c>
      <c r="V326" s="336">
        <f>Gasto_o_ing_per_capita!V326-Gasto_o_ing_per_capita!$D326</f>
        <v>-0.42391020323119744</v>
      </c>
      <c r="W326" s="105"/>
    </row>
    <row r="327" spans="1:23" s="102" customFormat="1" ht="13.15">
      <c r="A327" s="355" t="str">
        <f>IF(B327="","",(IF(ISERROR(MATCH(B327,Tot_res!C:C,0)),"Eliminar!!!","")))</f>
        <v/>
      </c>
      <c r="B327" s="115" t="s">
        <v>320</v>
      </c>
      <c r="C327" s="333" t="str">
        <f>VLOOKUP(B327,Tot_res!C:D,2,FALSE)</f>
        <v>Profesores de religión</v>
      </c>
      <c r="D327" s="336">
        <f>Gasto_o_ing_per_capita!D327-Gasto_o_ing_per_capita!$D327</f>
        <v>0</v>
      </c>
      <c r="E327" s="336">
        <f>Gasto_o_ing_per_capita!E327-Gasto_o_ing_per_capita!$D327</f>
        <v>-3.2509394796378528</v>
      </c>
      <c r="F327" s="336">
        <f>Gasto_o_ing_per_capita!F327-Gasto_o_ing_per_capita!$D327</f>
        <v>-3.2509394796378528</v>
      </c>
      <c r="G327" s="336">
        <f>Gasto_o_ing_per_capita!G327-Gasto_o_ing_per_capita!$D327</f>
        <v>3.5654853921716514</v>
      </c>
      <c r="H327" s="336">
        <f>Gasto_o_ing_per_capita!H327-Gasto_o_ing_per_capita!$D327</f>
        <v>8.7805521855734092E-2</v>
      </c>
      <c r="I327" s="336">
        <f>Gasto_o_ing_per_capita!I327-Gasto_o_ing_per_capita!$D327</f>
        <v>-3.2509394796378528</v>
      </c>
      <c r="J327" s="336">
        <f>Gasto_o_ing_per_capita!J327-Gasto_o_ing_per_capita!$D327</f>
        <v>-3.2509394796378528</v>
      </c>
      <c r="K327" s="336">
        <f>Gasto_o_ing_per_capita!K327-Gasto_o_ing_per_capita!$D327</f>
        <v>1.6262705011162435</v>
      </c>
      <c r="L327" s="336">
        <f>Gasto_o_ing_per_capita!L327-Gasto_o_ing_per_capita!$D327</f>
        <v>2.1798609780147906</v>
      </c>
      <c r="M327" s="336">
        <f>Gasto_o_ing_per_capita!M327-Gasto_o_ing_per_capita!$D327</f>
        <v>-0.89211985134410021</v>
      </c>
      <c r="N327" s="336">
        <f>Gasto_o_ing_per_capita!N327-Gasto_o_ing_per_capita!$D327</f>
        <v>2.3341585300974801</v>
      </c>
      <c r="O327" s="336">
        <f>Gasto_o_ing_per_capita!O327-Gasto_o_ing_per_capita!$D327</f>
        <v>3.1522609630235596</v>
      </c>
      <c r="P327" s="336">
        <f>Gasto_o_ing_per_capita!P327-Gasto_o_ing_per_capita!$D327</f>
        <v>2.1495584870149127</v>
      </c>
      <c r="Q327" s="336">
        <f>Gasto_o_ing_per_capita!Q327-Gasto_o_ing_per_capita!$D327</f>
        <v>1.9533683983521524</v>
      </c>
      <c r="R327" s="336">
        <f>Gasto_o_ing_per_capita!R327-Gasto_o_ing_per_capita!$D327</f>
        <v>6.9601360603683231</v>
      </c>
      <c r="S327" s="336">
        <f>Gasto_o_ing_per_capita!S327-Gasto_o_ing_per_capita!$D327</f>
        <v>-3.2509394796378528</v>
      </c>
      <c r="T327" s="336">
        <f>Gasto_o_ing_per_capita!T327-Gasto_o_ing_per_capita!$D327</f>
        <v>-3.2509394796378528</v>
      </c>
      <c r="U327" s="336">
        <f>Gasto_o_ing_per_capita!U327-Gasto_o_ing_per_capita!$D327</f>
        <v>1.1678204227817561</v>
      </c>
      <c r="V327" s="336">
        <f>Gasto_o_ing_per_capita!V327-Gasto_o_ing_per_capita!$D327</f>
        <v>-3.2509394796378528</v>
      </c>
      <c r="W327" s="105"/>
    </row>
    <row r="328" spans="1:23" s="102" customFormat="1" ht="13.15">
      <c r="A328" s="356"/>
      <c r="B328" s="115"/>
      <c r="D328" s="110"/>
      <c r="E328" s="110"/>
      <c r="F328" s="110"/>
      <c r="G328" s="110"/>
      <c r="H328" s="110"/>
      <c r="I328" s="110"/>
      <c r="J328" s="110"/>
      <c r="K328" s="110"/>
      <c r="L328" s="110"/>
      <c r="M328" s="110"/>
      <c r="N328" s="110"/>
      <c r="O328" s="110"/>
      <c r="P328" s="110"/>
      <c r="Q328" s="110"/>
      <c r="R328" s="110"/>
      <c r="S328" s="110"/>
      <c r="T328" s="110"/>
      <c r="U328" s="110"/>
      <c r="V328" s="110"/>
      <c r="W328" s="105"/>
    </row>
    <row r="329" spans="1:23" s="102" customFormat="1" ht="13.15">
      <c r="A329" s="356"/>
      <c r="B329" s="115"/>
      <c r="C329" s="117" t="s">
        <v>76</v>
      </c>
      <c r="D329" s="113">
        <f>Gasto_o_ing_per_capita!D329-Gasto_o_ing_per_capita!$D329</f>
        <v>0</v>
      </c>
      <c r="E329" s="113">
        <f>Gasto_o_ing_per_capita!E329-Gasto_o_ing_per_capita!$D329</f>
        <v>-25.658835673662168</v>
      </c>
      <c r="F329" s="113">
        <f>Gasto_o_ing_per_capita!F329-Gasto_o_ing_per_capita!$D329</f>
        <v>4.979966642698173</v>
      </c>
      <c r="G329" s="113">
        <f>Gasto_o_ing_per_capita!G329-Gasto_o_ing_per_capita!$D329</f>
        <v>-10.844881745334987</v>
      </c>
      <c r="H329" s="113">
        <f>Gasto_o_ing_per_capita!H329-Gasto_o_ing_per_capita!$D329</f>
        <v>-0.95489802302415683</v>
      </c>
      <c r="I329" s="113">
        <f>Gasto_o_ing_per_capita!I329-Gasto_o_ing_per_capita!$D329</f>
        <v>-17.594070175384957</v>
      </c>
      <c r="J329" s="113">
        <f>Gasto_o_ing_per_capita!J329-Gasto_o_ing_per_capita!$D329</f>
        <v>-27.066433845574636</v>
      </c>
      <c r="K329" s="113">
        <f>Gasto_o_ing_per_capita!K329-Gasto_o_ing_per_capita!$D329</f>
        <v>33.726655624576097</v>
      </c>
      <c r="L329" s="113">
        <f>Gasto_o_ing_per_capita!L329-Gasto_o_ing_per_capita!$D329</f>
        <v>-17.721947287618832</v>
      </c>
      <c r="M329" s="113">
        <f>Gasto_o_ing_per_capita!M329-Gasto_o_ing_per_capita!$D329</f>
        <v>47.334991010209876</v>
      </c>
      <c r="N329" s="113">
        <f>Gasto_o_ing_per_capita!N329-Gasto_o_ing_per_capita!$D329</f>
        <v>-52.844290928911107</v>
      </c>
      <c r="O329" s="113">
        <f>Gasto_o_ing_per_capita!O329-Gasto_o_ing_per_capita!$D329</f>
        <v>-16.689702042145655</v>
      </c>
      <c r="P329" s="113">
        <f>Gasto_o_ing_per_capita!P329-Gasto_o_ing_per_capita!$D329</f>
        <v>-35.461968247308732</v>
      </c>
      <c r="Q329" s="113">
        <f>Gasto_o_ing_per_capita!Q329-Gasto_o_ing_per_capita!$D329</f>
        <v>-12.13957213521644</v>
      </c>
      <c r="R329" s="113">
        <f>Gasto_o_ing_per_capita!R329-Gasto_o_ing_per_capita!$D329</f>
        <v>-52.986494051518122</v>
      </c>
      <c r="S329" s="113">
        <f>Gasto_o_ing_per_capita!S329-Gasto_o_ing_per_capita!$D329</f>
        <v>71.093656885455346</v>
      </c>
      <c r="T329" s="113">
        <f>Gasto_o_ing_per_capita!T329-Gasto_o_ing_per_capita!$D329</f>
        <v>123.7324319903181</v>
      </c>
      <c r="U329" s="113">
        <f>Gasto_o_ing_per_capita!U329-Gasto_o_ing_per_capita!$D329</f>
        <v>97.558284145853861</v>
      </c>
      <c r="V329" s="113">
        <f>Gasto_o_ing_per_capita!V329-Gasto_o_ing_per_capita!$D329</f>
        <v>373.06975127013538</v>
      </c>
      <c r="W329" s="105"/>
    </row>
    <row r="330" spans="1:23" s="102" customFormat="1" ht="13.15">
      <c r="A330" s="355" t="str">
        <f>IF(B330="","",(IF(ISERROR(MATCH(B330,Tot_res!C:C,0)),"Eliminar!!!","")))</f>
        <v/>
      </c>
      <c r="B330" s="115" t="s">
        <v>322</v>
      </c>
      <c r="C330" s="333" t="str">
        <f>VLOOKUP(B330,Tot_res!C:D,2,FALSE)</f>
        <v>Dirección y servicios generales de justicia</v>
      </c>
      <c r="D330" s="336">
        <f>Gasto_o_ing_per_capita!D330-Gasto_o_ing_per_capita!$D330</f>
        <v>0</v>
      </c>
      <c r="E330" s="336">
        <f>Gasto_o_ing_per_capita!E330-Gasto_o_ing_per_capita!$D330</f>
        <v>-0.17013755150522636</v>
      </c>
      <c r="F330" s="336">
        <f>Gasto_o_ing_per_capita!F330-Gasto_o_ing_per_capita!$D330</f>
        <v>-0.14650799512301393</v>
      </c>
      <c r="G330" s="336">
        <f>Gasto_o_ing_per_capita!G330-Gasto_o_ing_per_capita!$D330</f>
        <v>-0.10353667559244784</v>
      </c>
      <c r="H330" s="336">
        <f>Gasto_o_ing_per_capita!H330-Gasto_o_ing_per_capita!$D330</f>
        <v>0.65731158720937732</v>
      </c>
      <c r="I330" s="336">
        <f>Gasto_o_ing_per_capita!I330-Gasto_o_ing_per_capita!$D330</f>
        <v>-0.1167896388738523</v>
      </c>
      <c r="J330" s="336">
        <f>Gasto_o_ing_per_capita!J330-Gasto_o_ing_per_capita!$D330</f>
        <v>-0.12379592544540996</v>
      </c>
      <c r="K330" s="336">
        <f>Gasto_o_ing_per_capita!K330-Gasto_o_ing_per_capita!$D330</f>
        <v>0.67182951570653704</v>
      </c>
      <c r="L330" s="336">
        <f>Gasto_o_ing_per_capita!L330-Gasto_o_ing_per_capita!$D330</f>
        <v>0.71799445802970063</v>
      </c>
      <c r="M330" s="336">
        <f>Gasto_o_ing_per_capita!M330-Gasto_o_ing_per_capita!$D330</f>
        <v>-0.13855325316877742</v>
      </c>
      <c r="N330" s="336">
        <f>Gasto_o_ing_per_capita!N330-Gasto_o_ing_per_capita!$D330</f>
        <v>-0.17222201693132422</v>
      </c>
      <c r="O330" s="336">
        <f>Gasto_o_ing_per_capita!O330-Gasto_o_ing_per_capita!$D330</f>
        <v>0.52292835056088194</v>
      </c>
      <c r="P330" s="336">
        <f>Gasto_o_ing_per_capita!P330-Gasto_o_ing_per_capita!$D330</f>
        <v>-0.13077339034705093</v>
      </c>
      <c r="Q330" s="336">
        <f>Gasto_o_ing_per_capita!Q330-Gasto_o_ing_per_capita!$D330</f>
        <v>-0.102506867251283</v>
      </c>
      <c r="R330" s="336">
        <f>Gasto_o_ing_per_capita!R330-Gasto_o_ing_per_capita!$D330</f>
        <v>0.46795545863284516</v>
      </c>
      <c r="S330" s="336">
        <f>Gasto_o_ing_per_capita!S330-Gasto_o_ing_per_capita!$D330</f>
        <v>-0.17028764916999717</v>
      </c>
      <c r="T330" s="336">
        <f>Gasto_o_ing_per_capita!T330-Gasto_o_ing_per_capita!$D330</f>
        <v>-0.12760630532321526</v>
      </c>
      <c r="U330" s="336">
        <f>Gasto_o_ing_per_capita!U330-Gasto_o_ing_per_capita!$D330</f>
        <v>0.64396674875658011</v>
      </c>
      <c r="V330" s="336">
        <f>Gasto_o_ing_per_capita!V330-Gasto_o_ing_per_capita!$D330</f>
        <v>2.4252661227684325E-2</v>
      </c>
      <c r="W330" s="105"/>
    </row>
    <row r="331" spans="1:23" s="102" customFormat="1" ht="13.15">
      <c r="A331" s="355" t="str">
        <f>IF(B331="","",(IF(ISERROR(MATCH(B331,Tot_res!C:C,0)),"Eliminar!!!","")))</f>
        <v/>
      </c>
      <c r="B331" s="115" t="s">
        <v>323</v>
      </c>
      <c r="C331" s="333" t="str">
        <f>VLOOKUP(B331,Tot_res!C:D,2,FALSE)</f>
        <v>Formación del personal de la administración de justicia</v>
      </c>
      <c r="D331" s="336">
        <f>Gasto_o_ing_per_capita!D331-Gasto_o_ing_per_capita!$D331</f>
        <v>0</v>
      </c>
      <c r="E331" s="336">
        <f>Gasto_o_ing_per_capita!E331-Gasto_o_ing_per_capita!$D331</f>
        <v>-1.5697688443900251E-2</v>
      </c>
      <c r="F331" s="336">
        <f>Gasto_o_ing_per_capita!F331-Gasto_o_ing_per_capita!$D331</f>
        <v>-3.997910100826868E-3</v>
      </c>
      <c r="G331" s="336">
        <f>Gasto_o_ing_per_capita!G331-Gasto_o_ing_per_capita!$D331</f>
        <v>1.5426830726124136E-2</v>
      </c>
      <c r="H331" s="336">
        <f>Gasto_o_ing_per_capita!H331-Gasto_o_ing_per_capita!$D331</f>
        <v>4.7267140476844327E-3</v>
      </c>
      <c r="I331" s="336">
        <f>Gasto_o_ing_per_capita!I331-Gasto_o_ing_per_capita!$D331</f>
        <v>1.5066873345567777E-3</v>
      </c>
      <c r="J331" s="336">
        <f>Gasto_o_ing_per_capita!J331-Gasto_o_ing_per_capita!$D331</f>
        <v>8.4094753980273607E-3</v>
      </c>
      <c r="K331" s="336">
        <f>Gasto_o_ing_per_capita!K331-Gasto_o_ing_per_capita!$D331</f>
        <v>5.0656732997573506E-3</v>
      </c>
      <c r="L331" s="336">
        <f>Gasto_o_ing_per_capita!L331-Gasto_o_ing_per_capita!$D331</f>
        <v>0.11271049930302229</v>
      </c>
      <c r="M331" s="336">
        <f>Gasto_o_ing_per_capita!M331-Gasto_o_ing_per_capita!$D331</f>
        <v>-4.2153743078675587E-3</v>
      </c>
      <c r="N331" s="336">
        <f>Gasto_o_ing_per_capita!N331-Gasto_o_ing_per_capita!$D331</f>
        <v>-1.4135458430123649E-2</v>
      </c>
      <c r="O331" s="336">
        <f>Gasto_o_ing_per_capita!O331-Gasto_o_ing_per_capita!$D331</f>
        <v>-1.4758173692196883E-2</v>
      </c>
      <c r="P331" s="336">
        <f>Gasto_o_ing_per_capita!P331-Gasto_o_ing_per_capita!$D331</f>
        <v>1.1323887144770728E-3</v>
      </c>
      <c r="Q331" s="336">
        <f>Gasto_o_ing_per_capita!Q331-Gasto_o_ing_per_capita!$D331</f>
        <v>-1.399082909149918E-3</v>
      </c>
      <c r="R331" s="336">
        <f>Gasto_o_ing_per_capita!R331-Gasto_o_ing_per_capita!$D331</f>
        <v>-1.3984372421621247E-2</v>
      </c>
      <c r="S331" s="336">
        <f>Gasto_o_ing_per_capita!S331-Gasto_o_ing_per_capita!$D331</f>
        <v>-1.0754588936882747E-2</v>
      </c>
      <c r="T331" s="336">
        <f>Gasto_o_ing_per_capita!T331-Gasto_o_ing_per_capita!$D331</f>
        <v>1.3128125209649621E-3</v>
      </c>
      <c r="U331" s="336">
        <f>Gasto_o_ing_per_capita!U331-Gasto_o_ing_per_capita!$D331</f>
        <v>3.0771532166657678E-3</v>
      </c>
      <c r="V331" s="336">
        <f>Gasto_o_ing_per_capita!V331-Gasto_o_ing_per_capita!$D331</f>
        <v>5.0772763692933959E-2</v>
      </c>
      <c r="W331" s="105"/>
    </row>
    <row r="332" spans="1:23" s="102" customFormat="1" ht="13.15">
      <c r="A332" s="355" t="str">
        <f>IF(B332="","",(IF(ISERROR(MATCH(B332,Tot_res!C:C,0)),"Eliminar!!!","")))</f>
        <v/>
      </c>
      <c r="B332" s="115" t="s">
        <v>324</v>
      </c>
      <c r="C332" s="333" t="str">
        <f>VLOOKUP(B332,Tot_res!C:D,2,FALSE)</f>
        <v>Formación de la carrera fiscal</v>
      </c>
      <c r="D332" s="336">
        <f>Gasto_o_ing_per_capita!D332-Gasto_o_ing_per_capita!$D332</f>
        <v>0</v>
      </c>
      <c r="E332" s="336">
        <f>Gasto_o_ing_per_capita!E332-Gasto_o_ing_per_capita!$D332</f>
        <v>-1.0835782351140133E-4</v>
      </c>
      <c r="F332" s="336">
        <f>Gasto_o_ing_per_capita!F332-Gasto_o_ing_per_capita!$D332</f>
        <v>-1.7776282629989315E-3</v>
      </c>
      <c r="G332" s="336">
        <f>Gasto_o_ing_per_capita!G332-Gasto_o_ing_per_capita!$D332</f>
        <v>-2.0466477449412462E-3</v>
      </c>
      <c r="H332" s="336">
        <f>Gasto_o_ing_per_capita!H332-Gasto_o_ing_per_capita!$D332</f>
        <v>4.2879181234744476E-3</v>
      </c>
      <c r="I332" s="336">
        <f>Gasto_o_ing_per_capita!I332-Gasto_o_ing_per_capita!$D332</f>
        <v>5.9541302658543474E-3</v>
      </c>
      <c r="J332" s="336">
        <f>Gasto_o_ing_per_capita!J332-Gasto_o_ing_per_capita!$D332</f>
        <v>-1.4311167297481817E-3</v>
      </c>
      <c r="K332" s="336">
        <f>Gasto_o_ing_per_capita!K332-Gasto_o_ing_per_capita!$D332</f>
        <v>1.7363624959181589E-3</v>
      </c>
      <c r="L332" s="336">
        <f>Gasto_o_ing_per_capita!L332-Gasto_o_ing_per_capita!$D332</f>
        <v>-9.5415225073326726E-3</v>
      </c>
      <c r="M332" s="336">
        <f>Gasto_o_ing_per_capita!M332-Gasto_o_ing_per_capita!$D332</f>
        <v>3.0205394827751766E-3</v>
      </c>
      <c r="N332" s="336">
        <f>Gasto_o_ing_per_capita!N332-Gasto_o_ing_per_capita!$D332</f>
        <v>-7.9268255175170277E-4</v>
      </c>
      <c r="O332" s="336">
        <f>Gasto_o_ing_per_capita!O332-Gasto_o_ing_per_capita!$D332</f>
        <v>-3.8356606279652677E-4</v>
      </c>
      <c r="P332" s="336">
        <f>Gasto_o_ing_per_capita!P332-Gasto_o_ing_per_capita!$D332</f>
        <v>2.600813520823135E-3</v>
      </c>
      <c r="Q332" s="336">
        <f>Gasto_o_ing_per_capita!Q332-Gasto_o_ing_per_capita!$D332</f>
        <v>5.2882782134881096E-4</v>
      </c>
      <c r="R332" s="336">
        <f>Gasto_o_ing_per_capita!R332-Gasto_o_ing_per_capita!$D332</f>
        <v>-8.531833378904348E-3</v>
      </c>
      <c r="S332" s="336">
        <f>Gasto_o_ing_per_capita!S332-Gasto_o_ing_per_capita!$D332</f>
        <v>-1.1335714022025802E-2</v>
      </c>
      <c r="T332" s="336">
        <f>Gasto_o_ing_per_capita!T332-Gasto_o_ing_per_capita!$D332</f>
        <v>-1.8176935519485238E-3</v>
      </c>
      <c r="U332" s="336">
        <f>Gasto_o_ing_per_capita!U332-Gasto_o_ing_per_capita!$D332</f>
        <v>-5.902435812578502E-3</v>
      </c>
      <c r="V332" s="336">
        <f>Gasto_o_ing_per_capita!V332-Gasto_o_ing_per_capita!$D332</f>
        <v>7.9722861277451915E-3</v>
      </c>
      <c r="W332" s="105"/>
    </row>
    <row r="333" spans="1:23" s="102" customFormat="1" ht="13.15">
      <c r="A333" s="355" t="str">
        <f>IF(B333="","",(IF(ISERROR(MATCH(B333,Tot_res!C:C,0)),"Eliminar!!!","")))</f>
        <v/>
      </c>
      <c r="B333" s="115" t="s">
        <v>326</v>
      </c>
      <c r="C333" s="333" t="str">
        <f>VLOOKUP(B333,Tot_res!C:D,2,FALSE)</f>
        <v>Tribunales de justicia y ministerio fiscal</v>
      </c>
      <c r="D333" s="336">
        <f>Gasto_o_ing_per_capita!D333-Gasto_o_ing_per_capita!$D333</f>
        <v>0</v>
      </c>
      <c r="E333" s="336">
        <f>Gasto_o_ing_per_capita!E333-Gasto_o_ing_per_capita!$D333</f>
        <v>-8.6321498607104026</v>
      </c>
      <c r="F333" s="336">
        <f>Gasto_o_ing_per_capita!F333-Gasto_o_ing_per_capita!$D333</f>
        <v>-7.4411088832955876</v>
      </c>
      <c r="G333" s="336">
        <f>Gasto_o_ing_per_capita!G333-Gasto_o_ing_per_capita!$D333</f>
        <v>-5.2760667407517623</v>
      </c>
      <c r="H333" s="336">
        <f>Gasto_o_ing_per_capita!H333-Gasto_o_ing_per_capita!$D333</f>
        <v>33.401608555019138</v>
      </c>
      <c r="I333" s="336">
        <f>Gasto_o_ing_per_capita!I333-Gasto_o_ing_per_capita!$D333</f>
        <v>-5.9437849179382063</v>
      </c>
      <c r="J333" s="336">
        <f>Gasto_o_ing_per_capita!J333-Gasto_o_ing_per_capita!$D333</f>
        <v>-6.2994264116927852</v>
      </c>
      <c r="K333" s="336">
        <f>Gasto_o_ing_per_capita!K333-Gasto_o_ing_per_capita!$D333</f>
        <v>34.141755865943722</v>
      </c>
      <c r="L333" s="336">
        <f>Gasto_o_ing_per_capita!L333-Gasto_o_ing_per_capita!$D333</f>
        <v>36.391916085625382</v>
      </c>
      <c r="M333" s="336">
        <f>Gasto_o_ing_per_capita!M333-Gasto_o_ing_per_capita!$D333</f>
        <v>-7.0413564042828476</v>
      </c>
      <c r="N333" s="336">
        <f>Gasto_o_ing_per_capita!N333-Gasto_o_ing_per_capita!$D333</f>
        <v>-8.7389794793892186</v>
      </c>
      <c r="O333" s="336">
        <f>Gasto_o_ing_per_capita!O333-Gasto_o_ing_per_capita!$D333</f>
        <v>26.595172298265926</v>
      </c>
      <c r="P333" s="336">
        <f>Gasto_o_ing_per_capita!P333-Gasto_o_ing_per_capita!$D333</f>
        <v>-6.6508402254755765</v>
      </c>
      <c r="Q333" s="336">
        <f>Gasto_o_ing_per_capita!Q333-Gasto_o_ing_per_capita!$D333</f>
        <v>-5.2094719668895273</v>
      </c>
      <c r="R333" s="336">
        <f>Gasto_o_ing_per_capita!R333-Gasto_o_ing_per_capita!$D333</f>
        <v>23.808318557388464</v>
      </c>
      <c r="S333" s="336">
        <f>Gasto_o_ing_per_capita!S333-Gasto_o_ing_per_capita!$D333</f>
        <v>-8.6334949484828094</v>
      </c>
      <c r="T333" s="336">
        <f>Gasto_o_ing_per_capita!T333-Gasto_o_ing_per_capita!$D333</f>
        <v>-6.4856217390151265</v>
      </c>
      <c r="U333" s="336">
        <f>Gasto_o_ing_per_capita!U333-Gasto_o_ing_per_capita!$D333</f>
        <v>32.735140985609263</v>
      </c>
      <c r="V333" s="336">
        <f>Gasto_o_ing_per_capita!V333-Gasto_o_ing_per_capita!$D333</f>
        <v>1.1739983573127084</v>
      </c>
    </row>
    <row r="334" spans="1:23" s="102" customFormat="1" ht="13.15">
      <c r="A334" s="355" t="str">
        <f>IF(B334="","",(IF(ISERROR(MATCH(B334,Tot_res!C:C,0)),"Eliminar!!!","")))</f>
        <v/>
      </c>
      <c r="B334" s="115" t="s">
        <v>327</v>
      </c>
      <c r="C334" s="333" t="str">
        <f>VLOOKUP(B334,Tot_res!C:D,2,FALSE)</f>
        <v>Dirección y serv. grales. seguridad y protecc. civil</v>
      </c>
      <c r="D334" s="336">
        <f>Gasto_o_ing_per_capita!D334-Gasto_o_ing_per_capita!$D334</f>
        <v>0</v>
      </c>
      <c r="E334" s="336">
        <f>Gasto_o_ing_per_capita!E334-Gasto_o_ing_per_capita!$D334</f>
        <v>6.1557865522209099E-2</v>
      </c>
      <c r="F334" s="336">
        <f>Gasto_o_ing_per_capita!F334-Gasto_o_ing_per_capita!$D334</f>
        <v>6.9289398906515087E-2</v>
      </c>
      <c r="G334" s="336">
        <f>Gasto_o_ing_per_capita!G334-Gasto_o_ing_per_capita!$D334</f>
        <v>0.11327316664932963</v>
      </c>
      <c r="H334" s="336">
        <f>Gasto_o_ing_per_capita!H334-Gasto_o_ing_per_capita!$D334</f>
        <v>4.1727878156452958E-2</v>
      </c>
      <c r="I334" s="336">
        <f>Gasto_o_ing_per_capita!I334-Gasto_o_ing_per_capita!$D334</f>
        <v>4.1257749328373894E-2</v>
      </c>
      <c r="J334" s="336">
        <f>Gasto_o_ing_per_capita!J334-Gasto_o_ing_per_capita!$D334</f>
        <v>-2.9204557378491591E-2</v>
      </c>
      <c r="K334" s="336">
        <f>Gasto_o_ing_per_capita!K334-Gasto_o_ing_per_capita!$D334</f>
        <v>0.1210577933809216</v>
      </c>
      <c r="L334" s="336">
        <f>Gasto_o_ing_per_capita!L334-Gasto_o_ing_per_capita!$D334</f>
        <v>-2.3944188438886238E-2</v>
      </c>
      <c r="M334" s="336">
        <f>Gasto_o_ing_per_capita!M334-Gasto_o_ing_per_capita!$D334</f>
        <v>-0.24279928295608788</v>
      </c>
      <c r="N334" s="336">
        <f>Gasto_o_ing_per_capita!N334-Gasto_o_ing_per_capita!$D334</f>
        <v>-4.9055186559072927E-2</v>
      </c>
      <c r="O334" s="336">
        <f>Gasto_o_ing_per_capita!O334-Gasto_o_ing_per_capita!$D334</f>
        <v>3.452689215255389E-2</v>
      </c>
      <c r="P334" s="336">
        <f>Gasto_o_ing_per_capita!P334-Gasto_o_ing_per_capita!$D334</f>
        <v>-3.5639835131660025E-3</v>
      </c>
      <c r="Q334" s="336">
        <f>Gasto_o_ing_per_capita!Q334-Gasto_o_ing_per_capita!$D334</f>
        <v>0.13240703841112977</v>
      </c>
      <c r="R334" s="336">
        <f>Gasto_o_ing_per_capita!R334-Gasto_o_ing_per_capita!$D334</f>
        <v>-7.1461898296263149E-2</v>
      </c>
      <c r="S334" s="336">
        <f>Gasto_o_ing_per_capita!S334-Gasto_o_ing_per_capita!$D334</f>
        <v>0.18122410638504172</v>
      </c>
      <c r="T334" s="336">
        <f>Gasto_o_ing_per_capita!T334-Gasto_o_ing_per_capita!$D334</f>
        <v>-7.5900327458835681E-2</v>
      </c>
      <c r="U334" s="336">
        <f>Gasto_o_ing_per_capita!U334-Gasto_o_ing_per_capita!$D334</f>
        <v>0.17888261958948215</v>
      </c>
      <c r="V334" s="336">
        <f>Gasto_o_ing_per_capita!V334-Gasto_o_ing_per_capita!$D334</f>
        <v>1.1186883796987113</v>
      </c>
      <c r="W334" s="114"/>
    </row>
    <row r="335" spans="1:23" s="102" customFormat="1" ht="13.15">
      <c r="A335" s="355" t="str">
        <f>IF(B335="","",(IF(ISERROR(MATCH(B335,Tot_res!C:C,0)),"Eliminar!!!","")))</f>
        <v/>
      </c>
      <c r="B335" s="115" t="s">
        <v>328</v>
      </c>
      <c r="C335" s="333" t="str">
        <f>VLOOKUP(B335,Tot_res!C:D,2,FALSE)</f>
        <v>Formac. fuerzas y cuerpos de segur. del estado</v>
      </c>
      <c r="D335" s="336">
        <f>Gasto_o_ing_per_capita!D335-Gasto_o_ing_per_capita!$D335</f>
        <v>0</v>
      </c>
      <c r="E335" s="336">
        <f>Gasto_o_ing_per_capita!E335-Gasto_o_ing_per_capita!$D335</f>
        <v>7.1203976152274473E-2</v>
      </c>
      <c r="F335" s="336">
        <f>Gasto_o_ing_per_capita!F335-Gasto_o_ing_per_capita!$D335</f>
        <v>0.37732924284473679</v>
      </c>
      <c r="G335" s="336">
        <f>Gasto_o_ing_per_capita!G335-Gasto_o_ing_per_capita!$D335</f>
        <v>0.14148516064857652</v>
      </c>
      <c r="H335" s="336">
        <f>Gasto_o_ing_per_capita!H335-Gasto_o_ing_per_capita!$D335</f>
        <v>0.2094570752735474</v>
      </c>
      <c r="I335" s="336">
        <f>Gasto_o_ing_per_capita!I335-Gasto_o_ing_per_capita!$D335</f>
        <v>0.21107497260651242</v>
      </c>
      <c r="J335" s="336">
        <f>Gasto_o_ing_per_capita!J335-Gasto_o_ing_per_capita!$D335</f>
        <v>7.9877415987548162E-3</v>
      </c>
      <c r="K335" s="336">
        <f>Gasto_o_ing_per_capita!K335-Gasto_o_ing_per_capita!$D335</f>
        <v>0.38466745678249947</v>
      </c>
      <c r="L335" s="336">
        <f>Gasto_o_ing_per_capita!L335-Gasto_o_ing_per_capita!$D335</f>
        <v>8.0808805638313386E-2</v>
      </c>
      <c r="M335" s="336">
        <f>Gasto_o_ing_per_capita!M335-Gasto_o_ing_per_capita!$D335</f>
        <v>-0.63922102814961046</v>
      </c>
      <c r="N335" s="336">
        <f>Gasto_o_ing_per_capita!N335-Gasto_o_ing_per_capita!$D335</f>
        <v>-6.9089525962153564E-2</v>
      </c>
      <c r="O335" s="336">
        <f>Gasto_o_ing_per_capita!O335-Gasto_o_ing_per_capita!$D335</f>
        <v>0.20422924507460305</v>
      </c>
      <c r="P335" s="336">
        <f>Gasto_o_ing_per_capita!P335-Gasto_o_ing_per_capita!$D335</f>
        <v>5.3309714003703101E-2</v>
      </c>
      <c r="Q335" s="336">
        <f>Gasto_o_ing_per_capita!Q335-Gasto_o_ing_per_capita!$D335</f>
        <v>0.21449582102528697</v>
      </c>
      <c r="R335" s="336">
        <f>Gasto_o_ing_per_capita!R335-Gasto_o_ing_per_capita!$D335</f>
        <v>-0.19094999479681762</v>
      </c>
      <c r="S335" s="336">
        <f>Gasto_o_ing_per_capita!S335-Gasto_o_ing_per_capita!$D335</f>
        <v>0.36984350947931355</v>
      </c>
      <c r="T335" s="336">
        <f>Gasto_o_ing_per_capita!T335-Gasto_o_ing_per_capita!$D335</f>
        <v>-0.22865997345433065</v>
      </c>
      <c r="U335" s="336">
        <f>Gasto_o_ing_per_capita!U335-Gasto_o_ing_per_capita!$D335</f>
        <v>0.83819173190564422</v>
      </c>
      <c r="V335" s="336">
        <f>Gasto_o_ing_per_capita!V335-Gasto_o_ing_per_capita!$D335</f>
        <v>3.6213756755455178</v>
      </c>
      <c r="W335" s="105"/>
    </row>
    <row r="336" spans="1:23" s="102" customFormat="1" ht="13.15">
      <c r="A336" s="355" t="str">
        <f>IF(B336="","",(IF(ISERROR(MATCH(B336,Tot_res!C:C,0)),"Eliminar!!!","")))</f>
        <v/>
      </c>
      <c r="B336" s="115" t="s">
        <v>329</v>
      </c>
      <c r="C336" s="333" t="str">
        <f>VLOOKUP(B336,Tot_res!C:D,2,FALSE)</f>
        <v>Fuerzas y cuerpos en reserva</v>
      </c>
      <c r="D336" s="336">
        <f>Gasto_o_ing_per_capita!D336-Gasto_o_ing_per_capita!$D336</f>
        <v>0</v>
      </c>
      <c r="E336" s="336">
        <f>Gasto_o_ing_per_capita!E336-Gasto_o_ing_per_capita!$D336</f>
        <v>5.516510796691044</v>
      </c>
      <c r="F336" s="336">
        <f>Gasto_o_ing_per_capita!F336-Gasto_o_ing_per_capita!$D336</f>
        <v>0.34395528692649613</v>
      </c>
      <c r="G336" s="336">
        <f>Gasto_o_ing_per_capita!G336-Gasto_o_ing_per_capita!$D336</f>
        <v>2.4956201903974335</v>
      </c>
      <c r="H336" s="336">
        <f>Gasto_o_ing_per_capita!H336-Gasto_o_ing_per_capita!$D336</f>
        <v>-2.0581566016329234</v>
      </c>
      <c r="I336" s="336">
        <f>Gasto_o_ing_per_capita!I336-Gasto_o_ing_per_capita!$D336</f>
        <v>0.18856516446914995</v>
      </c>
      <c r="J336" s="336">
        <f>Gasto_o_ing_per_capita!J336-Gasto_o_ing_per_capita!$D336</f>
        <v>0.55582896009927474</v>
      </c>
      <c r="K336" s="336">
        <f>Gasto_o_ing_per_capita!K336-Gasto_o_ing_per_capita!$D336</f>
        <v>1.5114463363247843</v>
      </c>
      <c r="L336" s="336">
        <f>Gasto_o_ing_per_capita!L336-Gasto_o_ing_per_capita!$D336</f>
        <v>-2.8220363773397334</v>
      </c>
      <c r="M336" s="336">
        <f>Gasto_o_ing_per_capita!M336-Gasto_o_ing_per_capita!$D336</f>
        <v>-5.891244180524347</v>
      </c>
      <c r="N336" s="336">
        <f>Gasto_o_ing_per_capita!N336-Gasto_o_ing_per_capita!$D336</f>
        <v>-0.99529770154888908</v>
      </c>
      <c r="O336" s="336">
        <f>Gasto_o_ing_per_capita!O336-Gasto_o_ing_per_capita!$D336</f>
        <v>-0.67239906138457606</v>
      </c>
      <c r="P336" s="336">
        <f>Gasto_o_ing_per_capita!P336-Gasto_o_ing_per_capita!$D336</f>
        <v>1.6943965795677585</v>
      </c>
      <c r="Q336" s="336">
        <f>Gasto_o_ing_per_capita!Q336-Gasto_o_ing_per_capita!$D336</f>
        <v>-0.54465851285283762</v>
      </c>
      <c r="R336" s="336">
        <f>Gasto_o_ing_per_capita!R336-Gasto_o_ing_per_capita!$D336</f>
        <v>-1.5656327279674862</v>
      </c>
      <c r="S336" s="336">
        <f>Gasto_o_ing_per_capita!S336-Gasto_o_ing_per_capita!$D336</f>
        <v>-0.69896505926785224</v>
      </c>
      <c r="T336" s="336">
        <f>Gasto_o_ing_per_capita!T336-Gasto_o_ing_per_capita!$D336</f>
        <v>-3.176785619369964</v>
      </c>
      <c r="U336" s="336">
        <f>Gasto_o_ing_per_capita!U336-Gasto_o_ing_per_capita!$D336</f>
        <v>7.7724674462273065</v>
      </c>
      <c r="V336" s="336">
        <f>Gasto_o_ing_per_capita!V336-Gasto_o_ing_per_capita!$D336</f>
        <v>61.265656632948946</v>
      </c>
      <c r="W336" s="105"/>
    </row>
    <row r="337" spans="1:23" s="102" customFormat="1" ht="13.15">
      <c r="A337" s="355" t="str">
        <f>IF(B337="","",(IF(ISERROR(MATCH(B337,Tot_res!C:C,0)),"Eliminar!!!","")))</f>
        <v/>
      </c>
      <c r="B337" s="115" t="s">
        <v>330</v>
      </c>
      <c r="C337" s="333" t="str">
        <f>VLOOKUP(B337,Tot_res!C:D,2,FALSE)</f>
        <v>Seguridad ciudadana</v>
      </c>
      <c r="D337" s="336">
        <f>Gasto_o_ing_per_capita!D337-Gasto_o_ing_per_capita!$D337</f>
        <v>0</v>
      </c>
      <c r="E337" s="336">
        <f>Gasto_o_ing_per_capita!E337-Gasto_o_ing_per_capita!$D337</f>
        <v>5.2161785730959593</v>
      </c>
      <c r="F337" s="336">
        <f>Gasto_o_ing_per_capita!F337-Gasto_o_ing_per_capita!$D337</f>
        <v>21.815567565917107</v>
      </c>
      <c r="G337" s="336">
        <f>Gasto_o_ing_per_capita!G337-Gasto_o_ing_per_capita!$D337</f>
        <v>7.7427623905586813</v>
      </c>
      <c r="H337" s="336">
        <f>Gasto_o_ing_per_capita!H337-Gasto_o_ing_per_capita!$D337</f>
        <v>16.465528641348655</v>
      </c>
      <c r="I337" s="336">
        <f>Gasto_o_ing_per_capita!I337-Gasto_o_ing_per_capita!$D337</f>
        <v>15.752544826139896</v>
      </c>
      <c r="J337" s="336">
        <f>Gasto_o_ing_per_capita!J337-Gasto_o_ing_per_capita!$D337</f>
        <v>-2.3187832078638166</v>
      </c>
      <c r="K337" s="336">
        <f>Gasto_o_ing_per_capita!K337-Gasto_o_ing_per_capita!$D337</f>
        <v>19.76369689778717</v>
      </c>
      <c r="L337" s="336">
        <f>Gasto_o_ing_per_capita!L337-Gasto_o_ing_per_capita!$D337</f>
        <v>0.94998551818133592</v>
      </c>
      <c r="M337" s="336">
        <f>Gasto_o_ing_per_capita!M337-Gasto_o_ing_per_capita!$D337</f>
        <v>-43.836974587797883</v>
      </c>
      <c r="N337" s="336">
        <f>Gasto_o_ing_per_capita!N337-Gasto_o_ing_per_capita!$D337</f>
        <v>-4.8144038148695643</v>
      </c>
      <c r="O337" s="336">
        <f>Gasto_o_ing_per_capita!O337-Gasto_o_ing_per_capita!$D337</f>
        <v>10.317831624659817</v>
      </c>
      <c r="P337" s="336">
        <f>Gasto_o_ing_per_capita!P337-Gasto_o_ing_per_capita!$D337</f>
        <v>-7.5590989763298921E-3</v>
      </c>
      <c r="Q337" s="336">
        <f>Gasto_o_ing_per_capita!Q337-Gasto_o_ing_per_capita!$D337</f>
        <v>18.539798542907974</v>
      </c>
      <c r="R337" s="336">
        <f>Gasto_o_ing_per_capita!R337-Gasto_o_ing_per_capita!$D337</f>
        <v>-14.470658649583115</v>
      </c>
      <c r="S337" s="336">
        <f>Gasto_o_ing_per_capita!S337-Gasto_o_ing_per_capita!$D337</f>
        <v>25.638778743370878</v>
      </c>
      <c r="T337" s="336">
        <f>Gasto_o_ing_per_capita!T337-Gasto_o_ing_per_capita!$D337</f>
        <v>-11.710198988467383</v>
      </c>
      <c r="U337" s="336">
        <f>Gasto_o_ing_per_capita!U337-Gasto_o_ing_per_capita!$D337</f>
        <v>60.085432619144015</v>
      </c>
      <c r="V337" s="336">
        <f>Gasto_o_ing_per_capita!V337-Gasto_o_ing_per_capita!$D337</f>
        <v>305.42144219765783</v>
      </c>
      <c r="W337" s="105"/>
    </row>
    <row r="338" spans="1:23" s="102" customFormat="1" ht="13.15">
      <c r="A338" s="355" t="str">
        <f>IF(B338="","",(IF(ISERROR(MATCH(B338,Tot_res!C:C,0)),"Eliminar!!!","")))</f>
        <v/>
      </c>
      <c r="B338" s="115" t="s">
        <v>332</v>
      </c>
      <c r="C338" s="333" t="str">
        <f>VLOOKUP(B338,Tot_res!C:D,2,FALSE)</f>
        <v>Seguridad vial</v>
      </c>
      <c r="D338" s="336">
        <f>Gasto_o_ing_per_capita!D338-Gasto_o_ing_per_capita!$D338</f>
        <v>0</v>
      </c>
      <c r="E338" s="336">
        <f>Gasto_o_ing_per_capita!E338-Gasto_o_ing_per_capita!$D338</f>
        <v>-8.6168286629909829E-2</v>
      </c>
      <c r="F338" s="336">
        <f>Gasto_o_ing_per_capita!F338-Gasto_o_ing_per_capita!$D338</f>
        <v>11.45025812805709</v>
      </c>
      <c r="G338" s="336">
        <f>Gasto_o_ing_per_capita!G338-Gasto_o_ing_per_capita!$D338</f>
        <v>3.7569768863257984</v>
      </c>
      <c r="H338" s="336">
        <f>Gasto_o_ing_per_capita!H338-Gasto_o_ing_per_capita!$D338</f>
        <v>0.8268008140939731</v>
      </c>
      <c r="I338" s="336">
        <f>Gasto_o_ing_per_capita!I338-Gasto_o_ing_per_capita!$D338</f>
        <v>-0.48206869811239095</v>
      </c>
      <c r="J338" s="336">
        <f>Gasto_o_ing_per_capita!J338-Gasto_o_ing_per_capita!$D338</f>
        <v>4.3574990532992004</v>
      </c>
      <c r="K338" s="336">
        <f>Gasto_o_ing_per_capita!K338-Gasto_o_ing_per_capita!$D338</f>
        <v>15.703161209458095</v>
      </c>
      <c r="L338" s="336">
        <f>Gasto_o_ing_per_capita!L338-Gasto_o_ing_per_capita!$D338</f>
        <v>7.1704216286128997</v>
      </c>
      <c r="M338" s="336">
        <f>Gasto_o_ing_per_capita!M338-Gasto_o_ing_per_capita!$D338</f>
        <v>-8.4286928704252411</v>
      </c>
      <c r="N338" s="336">
        <f>Gasto_o_ing_per_capita!N338-Gasto_o_ing_per_capita!$D338</f>
        <v>-1.3370786311083638</v>
      </c>
      <c r="O338" s="336">
        <f>Gasto_o_ing_per_capita!O338-Gasto_o_ing_per_capita!$D338</f>
        <v>6.4217825252408183</v>
      </c>
      <c r="P338" s="336">
        <f>Gasto_o_ing_per_capita!P338-Gasto_o_ing_per_capita!$D338</f>
        <v>6.3081906868911481</v>
      </c>
      <c r="Q338" s="336">
        <f>Gasto_o_ing_per_capita!Q338-Gasto_o_ing_per_capita!$D338</f>
        <v>-2.058547590608752</v>
      </c>
      <c r="R338" s="336">
        <f>Gasto_o_ing_per_capita!R338-Gasto_o_ing_per_capita!$D338</f>
        <v>-2.001890728107</v>
      </c>
      <c r="S338" s="336">
        <f>Gasto_o_ing_per_capita!S338-Gasto_o_ing_per_capita!$D338</f>
        <v>3.2387480606727301</v>
      </c>
      <c r="T338" s="336">
        <f>Gasto_o_ing_per_capita!T338-Gasto_o_ing_per_capita!$D338</f>
        <v>-8.0913720446481356</v>
      </c>
      <c r="U338" s="336">
        <f>Gasto_o_ing_per_capita!U338-Gasto_o_ing_per_capita!$D338</f>
        <v>9.7146570719020353</v>
      </c>
      <c r="V338" s="336">
        <f>Gasto_o_ing_per_capita!V338-Gasto_o_ing_per_capita!$D338</f>
        <v>-4.67652919352415</v>
      </c>
      <c r="W338" s="105"/>
    </row>
    <row r="339" spans="1:23" s="102" customFormat="1" ht="13.15">
      <c r="A339" s="355" t="str">
        <f>IF(B339="","",(IF(ISERROR(MATCH(B339,Tot_res!C:C,0)),"Eliminar!!!","")))</f>
        <v/>
      </c>
      <c r="B339" s="115" t="s">
        <v>333</v>
      </c>
      <c r="C339" s="333" t="str">
        <f>VLOOKUP(B339,Tot_res!C:D,2,FALSE)</f>
        <v>Actuaciones policiales en materia de droga</v>
      </c>
      <c r="D339" s="336">
        <f>Gasto_o_ing_per_capita!D339-Gasto_o_ing_per_capita!$D339</f>
        <v>0</v>
      </c>
      <c r="E339" s="336">
        <f>Gasto_o_ing_per_capita!E339-Gasto_o_ing_per_capita!$D339</f>
        <v>0.12547870790545446</v>
      </c>
      <c r="F339" s="336">
        <f>Gasto_o_ing_per_capita!F339-Gasto_o_ing_per_capita!$D339</f>
        <v>0.24245339283314093</v>
      </c>
      <c r="G339" s="336">
        <f>Gasto_o_ing_per_capita!G339-Gasto_o_ing_per_capita!$D339</f>
        <v>0.11909233007431985</v>
      </c>
      <c r="H339" s="336">
        <f>Gasto_o_ing_per_capita!H339-Gasto_o_ing_per_capita!$D339</f>
        <v>0.17579507104939585</v>
      </c>
      <c r="I339" s="336">
        <f>Gasto_o_ing_per_capita!I339-Gasto_o_ing_per_capita!$D339</f>
        <v>0.22893952773168458</v>
      </c>
      <c r="J339" s="336">
        <f>Gasto_o_ing_per_capita!J339-Gasto_o_ing_per_capita!$D339</f>
        <v>-1.9825323719847576E-2</v>
      </c>
      <c r="K339" s="336">
        <f>Gasto_o_ing_per_capita!K339-Gasto_o_ing_per_capita!$D339</f>
        <v>0.24927257669350489</v>
      </c>
      <c r="L339" s="336">
        <f>Gasto_o_ing_per_capita!L339-Gasto_o_ing_per_capita!$D339</f>
        <v>5.6372069676807746E-2</v>
      </c>
      <c r="M339" s="336">
        <f>Gasto_o_ing_per_capita!M339-Gasto_o_ing_per_capita!$D339</f>
        <v>-0.57549354258405505</v>
      </c>
      <c r="N339" s="336">
        <f>Gasto_o_ing_per_capita!N339-Gasto_o_ing_per_capita!$D339</f>
        <v>-2.4234517113433052E-2</v>
      </c>
      <c r="O339" s="336">
        <f>Gasto_o_ing_per_capita!O339-Gasto_o_ing_per_capita!$D339</f>
        <v>0.20466281565046818</v>
      </c>
      <c r="P339" s="336">
        <f>Gasto_o_ing_per_capita!P339-Gasto_o_ing_per_capita!$D339</f>
        <v>2.829779951735456E-2</v>
      </c>
      <c r="Q339" s="336">
        <f>Gasto_o_ing_per_capita!Q339-Gasto_o_ing_per_capita!$D339</f>
        <v>0.1427188389792815</v>
      </c>
      <c r="R339" s="336">
        <f>Gasto_o_ing_per_capita!R339-Gasto_o_ing_per_capita!$D339</f>
        <v>-0.12659039014342732</v>
      </c>
      <c r="S339" s="336">
        <f>Gasto_o_ing_per_capita!S339-Gasto_o_ing_per_capita!$D339</f>
        <v>0.25612545882766424</v>
      </c>
      <c r="T339" s="336">
        <f>Gasto_o_ing_per_capita!T339-Gasto_o_ing_per_capita!$D339</f>
        <v>-0.21972266254448392</v>
      </c>
      <c r="U339" s="336">
        <f>Gasto_o_ing_per_capita!U339-Gasto_o_ing_per_capita!$D339</f>
        <v>0.69860002994269621</v>
      </c>
      <c r="V339" s="336">
        <f>Gasto_o_ing_per_capita!V339-Gasto_o_ing_per_capita!$D339</f>
        <v>3.5220551309206329</v>
      </c>
      <c r="W339" s="105"/>
    </row>
    <row r="340" spans="1:23" s="102" customFormat="1" ht="13.15">
      <c r="A340" s="355" t="str">
        <f>IF(B340="","",(IF(ISERROR(MATCH(B340,Tot_res!C:C,0)),"Eliminar!!!","")))</f>
        <v/>
      </c>
      <c r="B340" s="115" t="s">
        <v>335</v>
      </c>
      <c r="C340" s="333" t="str">
        <f>VLOOKUP(B340,Tot_res!C:D,2,FALSE)</f>
        <v>Centros e instituciones penitenciarias</v>
      </c>
      <c r="D340" s="336">
        <f>Gasto_o_ing_per_capita!D340-Gasto_o_ing_per_capita!$D340</f>
        <v>0</v>
      </c>
      <c r="E340" s="336">
        <f>Gasto_o_ing_per_capita!E340-Gasto_o_ing_per_capita!$D340</f>
        <v>5.353876744779722</v>
      </c>
      <c r="F340" s="336">
        <f>Gasto_o_ing_per_capita!F340-Gasto_o_ing_per_capita!$D340</f>
        <v>5.4898881729975564</v>
      </c>
      <c r="G340" s="336">
        <f>Gasto_o_ing_per_capita!G340-Gasto_o_ing_per_capita!$D340</f>
        <v>-1.9430543822428845</v>
      </c>
      <c r="H340" s="336">
        <f>Gasto_o_ing_per_capita!H340-Gasto_o_ing_per_capita!$D340</f>
        <v>5.1576153636838491</v>
      </c>
      <c r="I340" s="336">
        <f>Gasto_o_ing_per_capita!I340-Gasto_o_ing_per_capita!$D340</f>
        <v>5.8037210252339158</v>
      </c>
      <c r="J340" s="336">
        <f>Gasto_o_ing_per_capita!J340-Gasto_o_ing_per_capita!$D340</f>
        <v>0.9027159850795492</v>
      </c>
      <c r="K340" s="336">
        <f>Gasto_o_ing_per_capita!K340-Gasto_o_ing_per_capita!$D340</f>
        <v>17.433457066274322</v>
      </c>
      <c r="L340" s="336">
        <f>Gasto_o_ing_per_capita!L340-Gasto_o_ing_per_capita!$D340</f>
        <v>-2.7444734880253243</v>
      </c>
      <c r="M340" s="336">
        <f>Gasto_o_ing_per_capita!M340-Gasto_o_ing_per_capita!$D340</f>
        <v>-16.789063004544523</v>
      </c>
      <c r="N340" s="336">
        <f>Gasto_o_ing_per_capita!N340-Gasto_o_ing_per_capita!$D340</f>
        <v>1.0814421133332814</v>
      </c>
      <c r="O340" s="336">
        <f>Gasto_o_ing_per_capita!O340-Gasto_o_ing_per_capita!$D340</f>
        <v>-1.9022174662678957</v>
      </c>
      <c r="P340" s="336">
        <f>Gasto_o_ing_per_capita!P340-Gasto_o_ing_per_capita!$D340</f>
        <v>2.5877818233164369</v>
      </c>
      <c r="Q340" s="336">
        <f>Gasto_o_ing_per_capita!Q340-Gasto_o_ing_per_capita!$D340</f>
        <v>3.131912446552775</v>
      </c>
      <c r="R340" s="336">
        <f>Gasto_o_ing_per_capita!R340-Gasto_o_ing_per_capita!$D340</f>
        <v>-2.1614593484084814</v>
      </c>
      <c r="S340" s="336">
        <f>Gasto_o_ing_per_capita!S340-Gasto_o_ing_per_capita!$D340</f>
        <v>-5.5311091336138425</v>
      </c>
      <c r="T340" s="336">
        <f>Gasto_o_ing_per_capita!T340-Gasto_o_ing_per_capita!$D340</f>
        <v>-6.7011874140292704</v>
      </c>
      <c r="U340" s="336">
        <f>Gasto_o_ing_per_capita!U340-Gasto_o_ing_per_capita!$D340</f>
        <v>1.3018708326842727</v>
      </c>
      <c r="V340" s="336">
        <f>Gasto_o_ing_per_capita!V340-Gasto_o_ing_per_capita!$D340</f>
        <v>58.682417582415766</v>
      </c>
      <c r="W340" s="114"/>
    </row>
    <row r="341" spans="1:23" s="102" customFormat="1" ht="13.15">
      <c r="A341" s="355" t="str">
        <f>IF(B341="","",(IF(ISERROR(MATCH(B341,Tot_res!C:C,0)),"Eliminar!!!","")))</f>
        <v/>
      </c>
      <c r="B341" s="115" t="s">
        <v>336</v>
      </c>
      <c r="C341" s="333" t="str">
        <f>VLOOKUP(B341,Tot_res!C:D,2,FALSE)</f>
        <v>Trabajo, formación y asistencia a reclusos</v>
      </c>
      <c r="D341" s="336">
        <f>Gasto_o_ing_per_capita!D341-Gasto_o_ing_per_capita!$D341</f>
        <v>0</v>
      </c>
      <c r="E341" s="336">
        <f>Gasto_o_ing_per_capita!E341-Gasto_o_ing_per_capita!$D341</f>
        <v>3.4428253254973396E-2</v>
      </c>
      <c r="F341" s="336">
        <f>Gasto_o_ing_per_capita!F341-Gasto_o_ing_per_capita!$D341</f>
        <v>0.18621482960985886</v>
      </c>
      <c r="G341" s="336">
        <f>Gasto_o_ing_per_capita!G341-Gasto_o_ing_per_capita!$D341</f>
        <v>-0.12237876247916379</v>
      </c>
      <c r="H341" s="336">
        <f>Gasto_o_ing_per_capita!H341-Gasto_o_ing_per_capita!$D341</f>
        <v>-4.9634761610921563E-2</v>
      </c>
      <c r="I341" s="336">
        <f>Gasto_o_ing_per_capita!I341-Gasto_o_ing_per_capita!$D341</f>
        <v>-6.9893412155479784E-2</v>
      </c>
      <c r="J341" s="336">
        <f>Gasto_o_ing_per_capita!J341-Gasto_o_ing_per_capita!$D341</f>
        <v>0.15009157689186331</v>
      </c>
      <c r="K341" s="336">
        <f>Gasto_o_ing_per_capita!K341-Gasto_o_ing_per_capita!$D341</f>
        <v>0.54982034766358412</v>
      </c>
      <c r="L341" s="336">
        <f>Gasto_o_ing_per_capita!L341-Gasto_o_ing_per_capita!$D341</f>
        <v>0.20075703504029924</v>
      </c>
      <c r="M341" s="336">
        <f>Gasto_o_ing_per_capita!M341-Gasto_o_ing_per_capita!$D341</f>
        <v>-0.35756301286206638</v>
      </c>
      <c r="N341" s="336">
        <f>Gasto_o_ing_per_capita!N341-Gasto_o_ing_per_capita!$D341</f>
        <v>-1.7552164229013956E-2</v>
      </c>
      <c r="O341" s="336">
        <f>Gasto_o_ing_per_capita!O341-Gasto_o_ing_per_capita!$D341</f>
        <v>0.1235330064469658</v>
      </c>
      <c r="P341" s="336">
        <f>Gasto_o_ing_per_capita!P341-Gasto_o_ing_per_capita!$D341</f>
        <v>0.17894498614138726</v>
      </c>
      <c r="Q341" s="336">
        <f>Gasto_o_ing_per_capita!Q341-Gasto_o_ing_per_capita!$D341</f>
        <v>2.8581244761646307E-2</v>
      </c>
      <c r="R341" s="336">
        <f>Gasto_o_ing_per_capita!R341-Gasto_o_ing_per_capita!$D341</f>
        <v>-3.0861605290675942E-2</v>
      </c>
      <c r="S341" s="336">
        <f>Gasto_o_ing_per_capita!S341-Gasto_o_ing_per_capita!$D341</f>
        <v>-0.13108102444641068</v>
      </c>
      <c r="T341" s="336">
        <f>Gasto_o_ing_per_capita!T341-Gasto_o_ing_per_capita!$D341</f>
        <v>-9.4886348713519586E-2</v>
      </c>
      <c r="U341" s="336">
        <f>Gasto_o_ing_per_capita!U341-Gasto_o_ing_per_capita!$D341</f>
        <v>9.2553880168259994E-2</v>
      </c>
      <c r="V341" s="336">
        <f>Gasto_o_ing_per_capita!V341-Gasto_o_ing_per_capita!$D341</f>
        <v>1.0914075700784258</v>
      </c>
      <c r="W341" s="105"/>
    </row>
    <row r="342" spans="1:23" s="102" customFormat="1" ht="13.15">
      <c r="A342" s="355" t="str">
        <f>IF(B342="","",(IF(ISERROR(MATCH(B342,Tot_res!C:C,0)),"Eliminar!!!","")))</f>
        <v/>
      </c>
      <c r="B342" s="115" t="s">
        <v>337</v>
      </c>
      <c r="C342" s="333" t="str">
        <f>VLOOKUP(B342,Tot_res!C:D,2,FALSE)</f>
        <v>Protección civil</v>
      </c>
      <c r="D342" s="336">
        <f>Gasto_o_ing_per_capita!D342-Gasto_o_ing_per_capita!$D342</f>
        <v>0</v>
      </c>
      <c r="E342" s="336">
        <f>Gasto_o_ing_per_capita!E342-Gasto_o_ing_per_capita!$D342</f>
        <v>0.21763124798025735</v>
      </c>
      <c r="F342" s="336">
        <f>Gasto_o_ing_per_capita!F342-Gasto_o_ing_per_capita!$D342</f>
        <v>-1.4183534530232911E-2</v>
      </c>
      <c r="G342" s="336">
        <f>Gasto_o_ing_per_capita!G342-Gasto_o_ing_per_capita!$D342</f>
        <v>-0.1917856314157742</v>
      </c>
      <c r="H342" s="336">
        <f>Gasto_o_ing_per_capita!H342-Gasto_o_ing_per_capita!$D342</f>
        <v>-0.1917856314157742</v>
      </c>
      <c r="I342" s="336">
        <f>Gasto_o_ing_per_capita!I342-Gasto_o_ing_per_capita!$D342</f>
        <v>-8.4226354665292269E-2</v>
      </c>
      <c r="J342" s="336">
        <f>Gasto_o_ing_per_capita!J342-Gasto_o_ing_per_capita!$D342</f>
        <v>-0.19117066069041372</v>
      </c>
      <c r="K342" s="336">
        <f>Gasto_o_ing_per_capita!K342-Gasto_o_ing_per_capita!$D342</f>
        <v>-0.12368643436073662</v>
      </c>
      <c r="L342" s="336">
        <f>Gasto_o_ing_per_capita!L342-Gasto_o_ing_per_capita!$D342</f>
        <v>0.23037578607567055</v>
      </c>
      <c r="M342" s="336">
        <f>Gasto_o_ing_per_capita!M342-Gasto_o_ing_per_capita!$D342</f>
        <v>-0.15363469706510385</v>
      </c>
      <c r="N342" s="336">
        <f>Gasto_o_ing_per_capita!N342-Gasto_o_ing_per_capita!$D342</f>
        <v>-0.13282793158618211</v>
      </c>
      <c r="O342" s="336">
        <f>Gasto_o_ing_per_capita!O342-Gasto_o_ing_per_capita!$D342</f>
        <v>0.50820331412695618</v>
      </c>
      <c r="P342" s="336">
        <f>Gasto_o_ing_per_capita!P342-Gasto_o_ing_per_capita!$D342</f>
        <v>-0.18724293729367908</v>
      </c>
      <c r="Q342" s="336">
        <f>Gasto_o_ing_per_capita!Q342-Gasto_o_ing_per_capita!$D342</f>
        <v>-0.11566032159965917</v>
      </c>
      <c r="R342" s="336">
        <f>Gasto_o_ing_per_capita!R342-Gasto_o_ing_per_capita!$D342</f>
        <v>1.1941395703711728</v>
      </c>
      <c r="S342" s="336">
        <f>Gasto_o_ing_per_capita!S342-Gasto_o_ing_per_capita!$D342</f>
        <v>-0.17764653035739486</v>
      </c>
      <c r="T342" s="336">
        <f>Gasto_o_ing_per_capita!T342-Gasto_o_ing_per_capita!$D342</f>
        <v>-0.13211342624701794</v>
      </c>
      <c r="U342" s="336">
        <f>Gasto_o_ing_per_capita!U342-Gasto_o_ing_per_capita!$D342</f>
        <v>-0.1917856314157742</v>
      </c>
      <c r="V342" s="336">
        <f>Gasto_o_ing_per_capita!V342-Gasto_o_ing_per_capita!$D342</f>
        <v>-0.1917856314157742</v>
      </c>
      <c r="W342" s="105"/>
    </row>
    <row r="343" spans="1:23" s="102" customFormat="1" ht="13.15">
      <c r="A343" s="355" t="str">
        <f>IF(B343="","",(IF(ISERROR(MATCH(B343,Tot_res!C:C,0)),"Eliminar!!!","")))</f>
        <v/>
      </c>
      <c r="B343" s="115" t="s">
        <v>839</v>
      </c>
      <c r="C343" s="333" t="str">
        <f>VLOOKUP(B343,Tot_res!C:D,2,FALSE)</f>
        <v>Otras transferencias a Comunidades Autónomas: Transferencias a PV para prejubilaciones policía autónoma</v>
      </c>
      <c r="D343" s="336">
        <f>Gasto_o_ing_per_capita!D343-Gasto_o_ing_per_capita!$D343</f>
        <v>0</v>
      </c>
      <c r="E343" s="336">
        <f>Gasto_o_ing_per_capita!E343-Gasto_o_ing_per_capita!$D343</f>
        <v>-0.23961519136717224</v>
      </c>
      <c r="F343" s="336">
        <f>Gasto_o_ing_per_capita!F343-Gasto_o_ing_per_capita!$D343</f>
        <v>-0.22566873337812893</v>
      </c>
      <c r="G343" s="336">
        <f>Gasto_o_ing_per_capita!G343-Gasto_o_ing_per_capita!$D343</f>
        <v>-0.2343763839759152</v>
      </c>
      <c r="H343" s="336">
        <f>Gasto_o_ing_per_capita!H343-Gasto_o_ing_per_capita!$D343</f>
        <v>-0.22761000747515073</v>
      </c>
      <c r="I343" s="336">
        <f>Gasto_o_ing_per_capita!I343-Gasto_o_ing_per_capita!$D343</f>
        <v>-0.23528524589035849</v>
      </c>
      <c r="J343" s="336">
        <f>Gasto_o_ing_per_capita!J343-Gasto_o_ing_per_capita!$D343</f>
        <v>-0.23356834708707053</v>
      </c>
      <c r="K343" s="336">
        <f>Gasto_o_ing_per_capita!K343-Gasto_o_ing_per_capita!$D343</f>
        <v>-0.23205757606818062</v>
      </c>
      <c r="L343" s="336">
        <f>Gasto_o_ing_per_capita!L343-Gasto_o_ing_per_capita!$D343</f>
        <v>-0.23757042218162105</v>
      </c>
      <c r="M343" s="336">
        <f>Gasto_o_ing_per_capita!M343-Gasto_o_ing_per_capita!$D343</f>
        <v>-0.2233319552693725</v>
      </c>
      <c r="N343" s="336">
        <f>Gasto_o_ing_per_capita!N343-Gasto_o_ing_per_capita!$D343</f>
        <v>-0.23525582009647761</v>
      </c>
      <c r="O343" s="336">
        <f>Gasto_o_ing_per_capita!O343-Gasto_o_ing_per_capita!$D343</f>
        <v>-0.24166215010046369</v>
      </c>
      <c r="P343" s="336">
        <f>Gasto_o_ing_per_capita!P343-Gasto_o_ing_per_capita!$D343</f>
        <v>-0.23421544283055334</v>
      </c>
      <c r="Q343" s="336">
        <f>Gasto_o_ing_per_capita!Q343-Gasto_o_ing_per_capita!$D343</f>
        <v>-0.21606834653548057</v>
      </c>
      <c r="R343" s="336">
        <f>Gasto_o_ing_per_capita!R343-Gasto_o_ing_per_capita!$D343</f>
        <v>-0.23667632914190945</v>
      </c>
      <c r="S343" s="336">
        <f>Gasto_o_ing_per_capita!S343-Gasto_o_ing_per_capita!$D343</f>
        <v>-0.22091818385263995</v>
      </c>
      <c r="T343" s="336">
        <f>Gasto_o_ing_per_capita!T343-Gasto_o_ing_per_capita!$D343</f>
        <v>4.7121679751812255</v>
      </c>
      <c r="U343" s="336">
        <f>Gasto_o_ing_per_capita!U343-Gasto_o_ing_per_capita!$D343</f>
        <v>-0.22706776927136035</v>
      </c>
      <c r="V343" s="336">
        <f>Gasto_o_ing_per_capita!V343-Gasto_o_ing_per_capita!$D343</f>
        <v>-0.23760595356466924</v>
      </c>
      <c r="W343" s="105"/>
    </row>
    <row r="344" spans="1:23" s="102" customFormat="1" ht="13.15">
      <c r="A344" s="355" t="str">
        <f>IF(B344="","",(IF(ISERROR(MATCH(B344,Tot_res!C:C,0)),"Eliminar!!!","")))</f>
        <v/>
      </c>
      <c r="B344" s="115" t="s">
        <v>339</v>
      </c>
      <c r="C344" s="333" t="str">
        <f>VLOOKUP(B344,Tot_res!C:D,2,FALSE)</f>
        <v>Administración de Justicia + AF13</v>
      </c>
      <c r="D344" s="336">
        <f>Gasto_o_ing_per_capita!D344-Gasto_o_ing_per_capita!$D344</f>
        <v>0</v>
      </c>
      <c r="E344" s="336">
        <f>Gasto_o_ing_per_capita!E344-Gasto_o_ing_per_capita!$D344</f>
        <v>3.5150397093433554</v>
      </c>
      <c r="F344" s="336">
        <f>Gasto_o_ing_per_capita!F344-Gasto_o_ing_per_capita!$D344</f>
        <v>7.3333058835971414</v>
      </c>
      <c r="G344" s="336">
        <f>Gasto_o_ing_per_capita!G344-Gasto_o_ing_per_capita!$D344</f>
        <v>18.469802638001987</v>
      </c>
      <c r="H344" s="336">
        <f>Gasto_o_ing_per_capita!H344-Gasto_o_ing_per_capita!$D344</f>
        <v>-20.580782686965861</v>
      </c>
      <c r="I344" s="336">
        <f>Gasto_o_ing_per_capita!I344-Gasto_o_ing_per_capita!$D344</f>
        <v>3.069416049433439</v>
      </c>
      <c r="J344" s="336">
        <f>Gasto_o_ing_per_capita!J344-Gasto_o_ing_per_capita!$D344</f>
        <v>11.870800914572591</v>
      </c>
      <c r="K344" s="336">
        <f>Gasto_o_ing_per_capita!K344-Gasto_o_ing_per_capita!$D344</f>
        <v>-20.982937423982495</v>
      </c>
      <c r="L344" s="336">
        <f>Gasto_o_ing_per_capita!L344-Gasto_o_ing_per_capita!$D344</f>
        <v>-21.481415892069137</v>
      </c>
      <c r="M344" s="336">
        <f>Gasto_o_ing_per_capita!M344-Gasto_o_ing_per_capita!$D344</f>
        <v>7.4913920239873022</v>
      </c>
      <c r="N344" s="336">
        <f>Gasto_o_ing_per_capita!N344-Gasto_o_ing_per_capita!$D344</f>
        <v>-1.3643040108028082</v>
      </c>
      <c r="O344" s="336">
        <f>Gasto_o_ing_per_capita!O344-Gasto_o_ing_per_capita!$D344</f>
        <v>-21.851395068494782</v>
      </c>
      <c r="P344" s="336">
        <f>Gasto_o_ing_per_capita!P344-Gasto_o_ing_per_capita!$D344</f>
        <v>-3.3009528302508429</v>
      </c>
      <c r="Q344" s="336">
        <f>Gasto_o_ing_per_capita!Q344-Gasto_o_ing_per_capita!$D344</f>
        <v>6.9458618231115921</v>
      </c>
      <c r="R344" s="336">
        <f>Gasto_o_ing_per_capita!R344-Gasto_o_ing_per_capita!$D344</f>
        <v>-21.40057087670116</v>
      </c>
      <c r="S344" s="336">
        <f>Gasto_o_ing_per_capita!S344-Gasto_o_ing_per_capita!$D344</f>
        <v>5.3371208467866325</v>
      </c>
      <c r="T344" s="336">
        <f>Gasto_o_ing_per_capita!T344-Gasto_o_ing_per_capita!$D344</f>
        <v>5.5050493455011633</v>
      </c>
      <c r="U344" s="336">
        <f>Gasto_o_ing_per_capita!U344-Gasto_o_ing_per_capita!$D344</f>
        <v>18.627101898014402</v>
      </c>
      <c r="V344" s="336">
        <f>Gasto_o_ing_per_capita!V344-Gasto_o_ing_per_capita!$D344</f>
        <v>-21.484628684341292</v>
      </c>
      <c r="W344" s="105"/>
    </row>
    <row r="345" spans="1:23" s="102" customFormat="1" ht="13.15">
      <c r="A345" s="355" t="str">
        <f>IF(B345="","",(IF(ISERROR(MATCH(B345,Tot_res!C:C,0)),"Eliminar!!!","")))</f>
        <v/>
      </c>
      <c r="B345" s="115" t="s">
        <v>341</v>
      </c>
      <c r="C345" s="333" t="str">
        <f>VLOOKUP(B345,Tot_res!C:D,2,FALSE)</f>
        <v>Instituciones Penitenciarias transferidas, Cataluña</v>
      </c>
      <c r="D345" s="336">
        <f>Gasto_o_ing_per_capita!D345-Gasto_o_ing_per_capita!$D345</f>
        <v>0</v>
      </c>
      <c r="E345" s="336">
        <f>Gasto_o_ing_per_capita!E345-Gasto_o_ing_per_capita!$D345</f>
        <v>-6.9122485454647986</v>
      </c>
      <c r="F345" s="336">
        <f>Gasto_o_ing_per_capita!F345-Gasto_o_ing_per_capita!$D345</f>
        <v>-6.5099310488189754</v>
      </c>
      <c r="G345" s="336">
        <f>Gasto_o_ing_per_capita!G345-Gasto_o_ing_per_capita!$D345</f>
        <v>-6.7611231574475674</v>
      </c>
      <c r="H345" s="336">
        <f>Gasto_o_ing_per_capita!H345-Gasto_o_ing_per_capita!$D345</f>
        <v>-6.5659315426813425</v>
      </c>
      <c r="I345" s="336">
        <f>Gasto_o_ing_per_capita!I345-Gasto_o_ing_per_capita!$D345</f>
        <v>-6.7873413592664686</v>
      </c>
      <c r="J345" s="336">
        <f>Gasto_o_ing_per_capita!J345-Gasto_o_ing_per_capita!$D345</f>
        <v>-6.7378134842263915</v>
      </c>
      <c r="K345" s="336">
        <f>Gasto_o_ing_per_capita!K345-Gasto_o_ing_per_capita!$D345</f>
        <v>-6.6942318368430662</v>
      </c>
      <c r="L345" s="336">
        <f>Gasto_o_ing_per_capita!L345-Gasto_o_ing_per_capita!$D345</f>
        <v>-6.8532624989291282</v>
      </c>
      <c r="M345" s="336">
        <f>Gasto_o_ing_per_capita!M345-Gasto_o_ing_per_capita!$D345</f>
        <v>34.896902241765517</v>
      </c>
      <c r="N345" s="336">
        <f>Gasto_o_ing_per_capita!N345-Gasto_o_ing_per_capita!$D345</f>
        <v>-6.786492504902137</v>
      </c>
      <c r="O345" s="336">
        <f>Gasto_o_ing_per_capita!O345-Gasto_o_ing_per_capita!$D345</f>
        <v>-6.9712977545157342</v>
      </c>
      <c r="P345" s="336">
        <f>Gasto_o_ing_per_capita!P345-Gasto_o_ing_per_capita!$D345</f>
        <v>-6.756480441801763</v>
      </c>
      <c r="Q345" s="336">
        <f>Gasto_o_ing_per_capita!Q345-Gasto_o_ing_per_capita!$D345</f>
        <v>-6.2329859202135474</v>
      </c>
      <c r="R345" s="336">
        <f>Gasto_o_ing_per_capita!R345-Gasto_o_ing_per_capita!$D345</f>
        <v>-6.8274703390998859</v>
      </c>
      <c r="S345" s="336">
        <f>Gasto_o_ing_per_capita!S345-Gasto_o_ing_per_capita!$D345</f>
        <v>-6.3728905762998433</v>
      </c>
      <c r="T345" s="336">
        <f>Gasto_o_ing_per_capita!T345-Gasto_o_ing_per_capita!$D345</f>
        <v>-6.3032108472684847</v>
      </c>
      <c r="U345" s="336">
        <f>Gasto_o_ing_per_capita!U345-Gasto_o_ing_per_capita!$D345</f>
        <v>-6.5502894408009897</v>
      </c>
      <c r="V345" s="336">
        <f>Gasto_o_ing_per_capita!V345-Gasto_o_ing_per_capita!$D345</f>
        <v>-6.8542874829854057</v>
      </c>
      <c r="W345" s="105"/>
    </row>
    <row r="346" spans="1:23" s="102" customFormat="1" ht="13.15">
      <c r="A346" s="355" t="str">
        <f>IF(B346="","",(IF(ISERROR(MATCH(B346,Tot_res!C:C,0)),"Eliminar!!!","")))</f>
        <v/>
      </c>
      <c r="B346" s="115" t="s">
        <v>342</v>
      </c>
      <c r="C346" s="333" t="str">
        <f>VLOOKUP(B346,Tot_res!C:D,2,FALSE)</f>
        <v>Policía áutonómica catalana y tráfico</v>
      </c>
      <c r="D346" s="336">
        <f>Gasto_o_ing_per_capita!D346-Gasto_o_ing_per_capita!$D346</f>
        <v>0</v>
      </c>
      <c r="E346" s="336">
        <f>Gasto_o_ing_per_capita!E346-Gasto_o_ing_per_capita!$D346</f>
        <v>-19.556745313215057</v>
      </c>
      <c r="F346" s="336">
        <f>Gasto_o_ing_per_capita!F346-Gasto_o_ing_per_capita!$D346</f>
        <v>-18.418473046932775</v>
      </c>
      <c r="G346" s="336">
        <f>Gasto_o_ing_per_capita!G346-Gasto_o_ing_per_capita!$D346</f>
        <v>-19.129167990962525</v>
      </c>
      <c r="H346" s="336">
        <f>Gasto_o_ing_per_capita!H346-Gasto_o_ing_per_capita!$D346</f>
        <v>-18.576914600166436</v>
      </c>
      <c r="I346" s="336">
        <f>Gasto_o_ing_per_capita!I346-Gasto_o_ing_per_capita!$D346</f>
        <v>-19.203346847838141</v>
      </c>
      <c r="J346" s="336">
        <f>Gasto_o_ing_per_capita!J346-Gasto_o_ing_per_capita!$D346</f>
        <v>-19.063218200598012</v>
      </c>
      <c r="K346" s="336">
        <f>Gasto_o_ing_per_capita!K346-Gasto_o_ing_per_capita!$D346</f>
        <v>-18.939913146880684</v>
      </c>
      <c r="L346" s="336">
        <f>Gasto_o_ing_per_capita!L346-Gasto_o_ing_per_capita!$D346</f>
        <v>-19.38985677013909</v>
      </c>
      <c r="M346" s="336">
        <f>Gasto_o_ing_per_capita!M346-Gasto_o_ing_per_capita!$D346</f>
        <v>98.733404169927795</v>
      </c>
      <c r="N346" s="336">
        <f>Gasto_o_ing_per_capita!N346-Gasto_o_ing_per_capita!$D346</f>
        <v>-19.20094519394765</v>
      </c>
      <c r="O346" s="336">
        <f>Gasto_o_ing_per_capita!O346-Gasto_o_ing_per_capita!$D346</f>
        <v>-19.723812561269035</v>
      </c>
      <c r="P346" s="336">
        <f>Gasto_o_ing_per_capita!P346-Gasto_o_ing_per_capita!$D346</f>
        <v>-19.116032408980846</v>
      </c>
      <c r="Q346" s="336">
        <f>Gasto_o_ing_per_capita!Q346-Gasto_o_ing_per_capita!$D346</f>
        <v>-17.634915379663191</v>
      </c>
      <c r="R346" s="336">
        <f>Gasto_o_ing_per_capita!R346-Gasto_o_ing_per_capita!$D346</f>
        <v>-19.316883308964986</v>
      </c>
      <c r="S346" s="336">
        <f>Gasto_o_ing_per_capita!S346-Gasto_o_ing_per_capita!$D346</f>
        <v>-18.030746014111052</v>
      </c>
      <c r="T346" s="336">
        <f>Gasto_o_ing_per_capita!T346-Gasto_o_ing_per_capita!$D346</f>
        <v>-17.833601958136068</v>
      </c>
      <c r="U346" s="336">
        <f>Gasto_o_ing_per_capita!U346-Gasto_o_ing_per_capita!$D346</f>
        <v>-18.532658581213223</v>
      </c>
      <c r="V346" s="336">
        <f>Gasto_o_ing_per_capita!V346-Gasto_o_ing_per_capita!$D346</f>
        <v>-19.392756745741369</v>
      </c>
      <c r="W346" s="105"/>
    </row>
    <row r="347" spans="1:23" s="102" customFormat="1" ht="13.15">
      <c r="A347" s="355" t="str">
        <f>IF(B347="","",(IF(ISERROR(MATCH(B347,Tot_res!C:C,0)),"Eliminar!!!","")))</f>
        <v/>
      </c>
      <c r="B347" s="115" t="s">
        <v>232</v>
      </c>
      <c r="C347" s="333" t="str">
        <f>VLOOKUP(B347,Tot_res!C:D,2,FALSE)</f>
        <v>Ajuste forales, seguridad ciudadana y vial</v>
      </c>
      <c r="D347" s="336">
        <f>Gasto_o_ing_per_capita!D347-Gasto_o_ing_per_capita!$D347</f>
        <v>0</v>
      </c>
      <c r="E347" s="336">
        <f>Gasto_o_ing_per_capita!E347-Gasto_o_ing_per_capita!$D347</f>
        <v>-10.157870753227522</v>
      </c>
      <c r="F347" s="336">
        <f>Gasto_o_ing_per_capita!F347-Gasto_o_ing_per_capita!$D347</f>
        <v>-9.566646478548968</v>
      </c>
      <c r="G347" s="336">
        <f>Gasto_o_ing_per_capita!G347-Gasto_o_ing_per_capita!$D347</f>
        <v>-9.9357849661043733</v>
      </c>
      <c r="H347" s="336">
        <f>Gasto_o_ing_per_capita!H347-Gasto_o_ing_per_capita!$D347</f>
        <v>-9.6489418090813253</v>
      </c>
      <c r="I347" s="336">
        <f>Gasto_o_ing_per_capita!I347-Gasto_o_ing_per_capita!$D347</f>
        <v>-9.9743138331881784</v>
      </c>
      <c r="J347" s="336">
        <f>Gasto_o_ing_per_capita!J347-Gasto_o_ing_per_capita!$D347</f>
        <v>-9.9015303170819458</v>
      </c>
      <c r="K347" s="336">
        <f>Gasto_o_ing_per_capita!K347-Gasto_o_ing_per_capita!$D347</f>
        <v>-9.8374850590995759</v>
      </c>
      <c r="L347" s="336">
        <f>Gasto_o_ing_per_capita!L347-Gasto_o_ing_per_capita!$D347</f>
        <v>-10.071188014172034</v>
      </c>
      <c r="M347" s="336">
        <f>Gasto_o_ing_per_capita!M347-Gasto_o_ing_per_capita!$D347</f>
        <v>-9.4675847710157974</v>
      </c>
      <c r="N347" s="336">
        <f>Gasto_o_ing_per_capita!N347-Gasto_o_ing_per_capita!$D347</f>
        <v>-9.9730664022162614</v>
      </c>
      <c r="O347" s="336">
        <f>Gasto_o_ing_per_capita!O347-Gasto_o_ing_per_capita!$D347</f>
        <v>-10.244646312537128</v>
      </c>
      <c r="P347" s="336">
        <f>Gasto_o_ing_per_capita!P347-Gasto_o_ing_per_capita!$D347</f>
        <v>-9.9289622795120316</v>
      </c>
      <c r="Q347" s="336">
        <f>Gasto_o_ing_per_capita!Q347-Gasto_o_ing_per_capita!$D347</f>
        <v>-9.1596627302640972</v>
      </c>
      <c r="R347" s="336">
        <f>Gasto_o_ing_per_capita!R347-Gasto_o_ing_per_capita!$D347</f>
        <v>-10.033285235608908</v>
      </c>
      <c r="S347" s="336">
        <f>Gasto_o_ing_per_capita!S347-Gasto_o_ing_per_capita!$D347</f>
        <v>76.061045582493762</v>
      </c>
      <c r="T347" s="336">
        <f>Gasto_o_ing_per_capita!T347-Gasto_o_ing_per_capita!$D347</f>
        <v>174.69658720534252</v>
      </c>
      <c r="U347" s="336">
        <f>Gasto_o_ing_per_capita!U347-Gasto_o_ing_per_capita!$D347</f>
        <v>-9.6259550127929181</v>
      </c>
      <c r="V347" s="336">
        <f>Gasto_o_ing_per_capita!V347-Gasto_o_ing_per_capita!$D347</f>
        <v>-10.072694275918742</v>
      </c>
      <c r="W347" s="105"/>
    </row>
    <row r="348" spans="1:23" s="102" customFormat="1" ht="13.15">
      <c r="A348" s="356"/>
      <c r="B348" s="115"/>
      <c r="D348" s="110"/>
      <c r="E348" s="110"/>
      <c r="F348" s="110"/>
      <c r="G348" s="110"/>
      <c r="H348" s="110"/>
      <c r="I348" s="110"/>
      <c r="J348" s="110"/>
      <c r="K348" s="110"/>
      <c r="L348" s="110"/>
      <c r="M348" s="110"/>
      <c r="N348" s="110"/>
      <c r="O348" s="110"/>
      <c r="P348" s="110"/>
      <c r="Q348" s="110"/>
      <c r="R348" s="110"/>
      <c r="S348" s="110"/>
      <c r="T348" s="110"/>
      <c r="U348" s="110"/>
      <c r="V348" s="110"/>
      <c r="W348" s="105"/>
    </row>
    <row r="349" spans="1:23" s="102" customFormat="1" ht="13.15">
      <c r="A349" s="356"/>
      <c r="B349" s="115"/>
      <c r="C349" s="117" t="s">
        <v>6</v>
      </c>
      <c r="D349" s="113">
        <f>Gasto_o_ing_per_capita!D349-Gasto_o_ing_per_capita!$D349</f>
        <v>0</v>
      </c>
      <c r="E349" s="113">
        <f>Gasto_o_ing_per_capita!E349-Gasto_o_ing_per_capita!$D349</f>
        <v>-0.6640167324646562</v>
      </c>
      <c r="F349" s="113">
        <f>Gasto_o_ing_per_capita!F349-Gasto_o_ing_per_capita!$D349</f>
        <v>19.452142492986724</v>
      </c>
      <c r="G349" s="113">
        <f>Gasto_o_ing_per_capita!G349-Gasto_o_ing_per_capita!$D349</f>
        <v>4.4291930307636278</v>
      </c>
      <c r="H349" s="113">
        <f>Gasto_o_ing_per_capita!H349-Gasto_o_ing_per_capita!$D349</f>
        <v>-3.766101795744154</v>
      </c>
      <c r="I349" s="113">
        <f>Gasto_o_ing_per_capita!I349-Gasto_o_ing_per_capita!$D349</f>
        <v>-1.1790056328998233</v>
      </c>
      <c r="J349" s="113">
        <f>Gasto_o_ing_per_capita!J349-Gasto_o_ing_per_capita!$D349</f>
        <v>0.53913532831548139</v>
      </c>
      <c r="K349" s="113">
        <f>Gasto_o_ing_per_capita!K349-Gasto_o_ing_per_capita!$D349</f>
        <v>0.11883264415506289</v>
      </c>
      <c r="L349" s="113">
        <f>Gasto_o_ing_per_capita!L349-Gasto_o_ing_per_capita!$D349</f>
        <v>4.0561287993990014</v>
      </c>
      <c r="M349" s="113">
        <f>Gasto_o_ing_per_capita!M349-Gasto_o_ing_per_capita!$D349</f>
        <v>-2.6027166756197939</v>
      </c>
      <c r="N349" s="113">
        <f>Gasto_o_ing_per_capita!N349-Gasto_o_ing_per_capita!$D349</f>
        <v>1.4893349614791163E-2</v>
      </c>
      <c r="O349" s="113">
        <f>Gasto_o_ing_per_capita!O349-Gasto_o_ing_per_capita!$D349</f>
        <v>0.91737306989228884</v>
      </c>
      <c r="P349" s="113">
        <f>Gasto_o_ing_per_capita!P349-Gasto_o_ing_per_capita!$D349</f>
        <v>-7.6175544485050075</v>
      </c>
      <c r="Q349" s="113">
        <f>Gasto_o_ing_per_capita!Q349-Gasto_o_ing_per_capita!$D349</f>
        <v>1.6066756854823581</v>
      </c>
      <c r="R349" s="113">
        <f>Gasto_o_ing_per_capita!R349-Gasto_o_ing_per_capita!$D349</f>
        <v>-2.2919442314776042</v>
      </c>
      <c r="S349" s="113">
        <f>Gasto_o_ing_per_capita!S349-Gasto_o_ing_per_capita!$D349</f>
        <v>-0.28161740451301043</v>
      </c>
      <c r="T349" s="113">
        <f>Gasto_o_ing_per_capita!T349-Gasto_o_ing_per_capita!$D349</f>
        <v>-0.22957885179146231</v>
      </c>
      <c r="U349" s="113">
        <f>Gasto_o_ing_per_capita!U349-Gasto_o_ing_per_capita!$D349</f>
        <v>23.444193308719633</v>
      </c>
      <c r="V349" s="113">
        <f>Gasto_o_ing_per_capita!V349-Gasto_o_ing_per_capita!$D349</f>
        <v>-11.164787316618538</v>
      </c>
      <c r="W349" s="105"/>
    </row>
    <row r="350" spans="1:23" s="102" customFormat="1" ht="13.15">
      <c r="A350" s="355" t="str">
        <f>IF(B350="","",(IF(ISERROR(MATCH(B350,Tot_res!C:C,0)),"Eliminar!!!","")))</f>
        <v/>
      </c>
      <c r="B350" s="119" t="s">
        <v>343</v>
      </c>
      <c r="C350" s="333" t="str">
        <f>VLOOKUP(B350,Tot_res!C:D,2,FALSE)</f>
        <v>Promoción, administración y ayudas para rehabilitación y acceso a vivienda+AF15</v>
      </c>
      <c r="D350" s="336">
        <f>Gasto_o_ing_per_capita!D350-Gasto_o_ing_per_capita!$D350</f>
        <v>0</v>
      </c>
      <c r="E350" s="336">
        <f>Gasto_o_ing_per_capita!E350-Gasto_o_ing_per_capita!$D350</f>
        <v>-0.48729595667747816</v>
      </c>
      <c r="F350" s="336">
        <f>Gasto_o_ing_per_capita!F350-Gasto_o_ing_per_capita!$D350</f>
        <v>19.844415542267413</v>
      </c>
      <c r="G350" s="336">
        <f>Gasto_o_ing_per_capita!G350-Gasto_o_ing_per_capita!$D350</f>
        <v>4.822306799883215</v>
      </c>
      <c r="H350" s="336">
        <f>Gasto_o_ing_per_capita!H350-Gasto_o_ing_per_capita!$D350</f>
        <v>-6.67032794174016</v>
      </c>
      <c r="I350" s="336">
        <f>Gasto_o_ing_per_capita!I350-Gasto_o_ing_per_capita!$D350</f>
        <v>-1.390936436015453</v>
      </c>
      <c r="J350" s="336">
        <f>Gasto_o_ing_per_capita!J350-Gasto_o_ing_per_capita!$D350</f>
        <v>0.88244985059019854</v>
      </c>
      <c r="K350" s="336">
        <f>Gasto_o_ing_per_capita!K350-Gasto_o_ing_per_capita!$D350</f>
        <v>-1.5871934514563506</v>
      </c>
      <c r="L350" s="336">
        <f>Gasto_o_ing_per_capita!L350-Gasto_o_ing_per_capita!$D350</f>
        <v>4.4031142671409143</v>
      </c>
      <c r="M350" s="336">
        <f>Gasto_o_ing_per_capita!M350-Gasto_o_ing_per_capita!$D350</f>
        <v>-2.4167812949418312</v>
      </c>
      <c r="N350" s="336">
        <f>Gasto_o_ing_per_capita!N350-Gasto_o_ing_per_capita!$D350</f>
        <v>0.39548127069540939</v>
      </c>
      <c r="O350" s="336">
        <f>Gasto_o_ing_per_capita!O350-Gasto_o_ing_per_capita!$D350</f>
        <v>0.49731071586869646</v>
      </c>
      <c r="P350" s="336">
        <f>Gasto_o_ing_per_capita!P350-Gasto_o_ing_per_capita!$D350</f>
        <v>-7.7033869395895671</v>
      </c>
      <c r="Q350" s="336">
        <f>Gasto_o_ing_per_capita!Q350-Gasto_o_ing_per_capita!$D350</f>
        <v>1.8076336220849569</v>
      </c>
      <c r="R350" s="336">
        <f>Gasto_o_ing_per_capita!R350-Gasto_o_ing_per_capita!$D350</f>
        <v>-2.2646154514066836</v>
      </c>
      <c r="S350" s="336">
        <f>Gasto_o_ing_per_capita!S350-Gasto_o_ing_per_capita!$D350</f>
        <v>0</v>
      </c>
      <c r="T350" s="336">
        <f>Gasto_o_ing_per_capita!T350-Gasto_o_ing_per_capita!$D350</f>
        <v>0</v>
      </c>
      <c r="U350" s="336">
        <f>Gasto_o_ing_per_capita!U350-Gasto_o_ing_per_capita!$D350</f>
        <v>23.016954660547682</v>
      </c>
      <c r="V350" s="336">
        <f>Gasto_o_ing_per_capita!V350-Gasto_o_ing_per_capita!$D350</f>
        <v>-10.765471815134232</v>
      </c>
      <c r="W350" s="105"/>
    </row>
    <row r="351" spans="1:23" s="102" customFormat="1" ht="13.15">
      <c r="A351" s="355" t="str">
        <f>IF(B351="","",(IF(ISERROR(MATCH(B351,Tot_res!C:C,0)),"Eliminar!!!","")))</f>
        <v/>
      </c>
      <c r="B351" s="119" t="s">
        <v>844</v>
      </c>
      <c r="C351" s="333" t="str">
        <f>VLOOKUP(B351,Tot_res!C:D,2,FALSE)</f>
        <v>Ordenación y fomento de la edificación, neto de actuaciones relacionadas con el 1% cultural</v>
      </c>
      <c r="D351" s="336">
        <f>Gasto_o_ing_per_capita!D351-Gasto_o_ing_per_capita!$D351</f>
        <v>0</v>
      </c>
      <c r="E351" s="336">
        <f>Gasto_o_ing_per_capita!E351-Gasto_o_ing_per_capita!$D351</f>
        <v>-0.17672077578718254</v>
      </c>
      <c r="F351" s="336">
        <f>Gasto_o_ing_per_capita!F351-Gasto_o_ing_per_capita!$D351</f>
        <v>-0.39227304928068663</v>
      </c>
      <c r="G351" s="336">
        <f>Gasto_o_ing_per_capita!G351-Gasto_o_ing_per_capita!$D351</f>
        <v>-0.39311376911958451</v>
      </c>
      <c r="H351" s="336">
        <f>Gasto_o_ing_per_capita!H351-Gasto_o_ing_per_capita!$D351</f>
        <v>2.9042261459960059</v>
      </c>
      <c r="I351" s="336">
        <f>Gasto_o_ing_per_capita!I351-Gasto_o_ing_per_capita!$D351</f>
        <v>0.21193080311562951</v>
      </c>
      <c r="J351" s="336">
        <f>Gasto_o_ing_per_capita!J351-Gasto_o_ing_per_capita!$D351</f>
        <v>-0.34331452227472126</v>
      </c>
      <c r="K351" s="336">
        <f>Gasto_o_ing_per_capita!K351-Gasto_o_ing_per_capita!$D351</f>
        <v>1.7060260956114122</v>
      </c>
      <c r="L351" s="336">
        <f>Gasto_o_ing_per_capita!L351-Gasto_o_ing_per_capita!$D351</f>
        <v>-0.34698546774191524</v>
      </c>
      <c r="M351" s="336">
        <f>Gasto_o_ing_per_capita!M351-Gasto_o_ing_per_capita!$D351</f>
        <v>-0.18593538067796345</v>
      </c>
      <c r="N351" s="336">
        <f>Gasto_o_ing_per_capita!N351-Gasto_o_ing_per_capita!$D351</f>
        <v>-0.38058792108061812</v>
      </c>
      <c r="O351" s="336">
        <f>Gasto_o_ing_per_capita!O351-Gasto_o_ing_per_capita!$D351</f>
        <v>0.42006235402359104</v>
      </c>
      <c r="P351" s="336">
        <f>Gasto_o_ing_per_capita!P351-Gasto_o_ing_per_capita!$D351</f>
        <v>8.5832491084558482E-2</v>
      </c>
      <c r="Q351" s="336">
        <f>Gasto_o_ing_per_capita!Q351-Gasto_o_ing_per_capita!$D351</f>
        <v>-0.20095793660260058</v>
      </c>
      <c r="R351" s="336">
        <f>Gasto_o_ing_per_capita!R351-Gasto_o_ing_per_capita!$D351</f>
        <v>-2.7328780070917824E-2</v>
      </c>
      <c r="S351" s="336">
        <f>Gasto_o_ing_per_capita!S351-Gasto_o_ing_per_capita!$D351</f>
        <v>-0.2816174045130152</v>
      </c>
      <c r="T351" s="336">
        <f>Gasto_o_ing_per_capita!T351-Gasto_o_ing_per_capita!$D351</f>
        <v>-0.22957885179146242</v>
      </c>
      <c r="U351" s="336">
        <f>Gasto_o_ing_per_capita!U351-Gasto_o_ing_per_capita!$D351</f>
        <v>0.4272386481719499</v>
      </c>
      <c r="V351" s="336">
        <f>Gasto_o_ing_per_capita!V351-Gasto_o_ing_per_capita!$D351</f>
        <v>-0.399315501484306</v>
      </c>
      <c r="W351" s="105"/>
    </row>
    <row r="352" spans="1:23" s="102" customFormat="1" ht="13.15">
      <c r="A352" s="355" t="str">
        <f>IF(B352="","",(IF(ISERROR(MATCH(B352,Tot_res!C:C,0)),"Eliminar!!!","")))</f>
        <v/>
      </c>
      <c r="B352" s="119" t="s">
        <v>344</v>
      </c>
      <c r="C352" s="333" t="str">
        <f>VLOOKUP(B352,Tot_res!C:D,2,FALSE)</f>
        <v>Suelo y políticas urbanas</v>
      </c>
      <c r="D352" s="336">
        <f>Gasto_o_ing_per_capita!D352-Gasto_o_ing_per_capita!$D352</f>
        <v>0</v>
      </c>
      <c r="E352" s="336">
        <f>Gasto_o_ing_per_capita!E352-Gasto_o_ing_per_capita!$D352</f>
        <v>0</v>
      </c>
      <c r="F352" s="336">
        <f>Gasto_o_ing_per_capita!F352-Gasto_o_ing_per_capita!$D352</f>
        <v>0</v>
      </c>
      <c r="G352" s="336">
        <f>Gasto_o_ing_per_capita!G352-Gasto_o_ing_per_capita!$D352</f>
        <v>0</v>
      </c>
      <c r="H352" s="336">
        <f>Gasto_o_ing_per_capita!H352-Gasto_o_ing_per_capita!$D352</f>
        <v>0</v>
      </c>
      <c r="I352" s="336">
        <f>Gasto_o_ing_per_capita!I352-Gasto_o_ing_per_capita!$D352</f>
        <v>0</v>
      </c>
      <c r="J352" s="336">
        <f>Gasto_o_ing_per_capita!J352-Gasto_o_ing_per_capita!$D352</f>
        <v>0</v>
      </c>
      <c r="K352" s="336">
        <f>Gasto_o_ing_per_capita!K352-Gasto_o_ing_per_capita!$D352</f>
        <v>0</v>
      </c>
      <c r="L352" s="336">
        <f>Gasto_o_ing_per_capita!L352-Gasto_o_ing_per_capita!$D352</f>
        <v>0</v>
      </c>
      <c r="M352" s="336">
        <f>Gasto_o_ing_per_capita!M352-Gasto_o_ing_per_capita!$D352</f>
        <v>0</v>
      </c>
      <c r="N352" s="336">
        <f>Gasto_o_ing_per_capita!N352-Gasto_o_ing_per_capita!$D352</f>
        <v>0</v>
      </c>
      <c r="O352" s="336">
        <f>Gasto_o_ing_per_capita!O352-Gasto_o_ing_per_capita!$D352</f>
        <v>0</v>
      </c>
      <c r="P352" s="336">
        <f>Gasto_o_ing_per_capita!P352-Gasto_o_ing_per_capita!$D352</f>
        <v>0</v>
      </c>
      <c r="Q352" s="336">
        <f>Gasto_o_ing_per_capita!Q352-Gasto_o_ing_per_capita!$D352</f>
        <v>0</v>
      </c>
      <c r="R352" s="336">
        <f>Gasto_o_ing_per_capita!R352-Gasto_o_ing_per_capita!$D352</f>
        <v>0</v>
      </c>
      <c r="S352" s="336">
        <f>Gasto_o_ing_per_capita!S352-Gasto_o_ing_per_capita!$D352</f>
        <v>0</v>
      </c>
      <c r="T352" s="336">
        <f>Gasto_o_ing_per_capita!T352-Gasto_o_ing_per_capita!$D352</f>
        <v>0</v>
      </c>
      <c r="U352" s="336">
        <f>Gasto_o_ing_per_capita!U352-Gasto_o_ing_per_capita!$D352</f>
        <v>0</v>
      </c>
      <c r="V352" s="336">
        <f>Gasto_o_ing_per_capita!V352-Gasto_o_ing_per_capita!$D352</f>
        <v>0</v>
      </c>
      <c r="W352" s="105"/>
    </row>
    <row r="353" spans="1:23" ht="13.15">
      <c r="A353" s="356"/>
      <c r="B353" s="9"/>
      <c r="D353" s="19"/>
      <c r="E353" s="19"/>
      <c r="F353" s="19"/>
      <c r="G353" s="19"/>
      <c r="H353" s="19"/>
      <c r="I353" s="19"/>
      <c r="J353" s="19"/>
      <c r="K353" s="19"/>
      <c r="L353" s="19"/>
      <c r="M353" s="19"/>
      <c r="N353" s="19"/>
      <c r="O353" s="19"/>
      <c r="P353" s="19"/>
      <c r="Q353" s="19"/>
      <c r="R353" s="19"/>
      <c r="S353" s="19"/>
      <c r="T353" s="19"/>
      <c r="U353" s="19"/>
      <c r="V353" s="19"/>
      <c r="W353" s="2"/>
    </row>
    <row r="354" spans="1:23" s="104" customFormat="1" ht="13.15">
      <c r="A354" s="356"/>
      <c r="B354" s="119"/>
      <c r="C354" s="182" t="s">
        <v>45</v>
      </c>
      <c r="D354" s="183">
        <f>Gasto_o_ing_per_capita!D354-Gasto_o_ing_per_capita!$D354</f>
        <v>0</v>
      </c>
      <c r="E354" s="183">
        <f>Gasto_o_ing_per_capita!E354-Gasto_o_ing_per_capita!$D354</f>
        <v>-10.963346258976479</v>
      </c>
      <c r="F354" s="183">
        <f>Gasto_o_ing_per_capita!F354-Gasto_o_ing_per_capita!$D354</f>
        <v>-8.3090041695156422</v>
      </c>
      <c r="G354" s="183">
        <f>Gasto_o_ing_per_capita!G354-Gasto_o_ing_per_capita!$D354</f>
        <v>-10.185730306136147</v>
      </c>
      <c r="H354" s="183">
        <f>Gasto_o_ing_per_capita!H354-Gasto_o_ing_per_capita!$D354</f>
        <v>13.020295728803305</v>
      </c>
      <c r="I354" s="183">
        <f>Gasto_o_ing_per_capita!I354-Gasto_o_ing_per_capita!$D354</f>
        <v>-10.165523326178633</v>
      </c>
      <c r="J354" s="183">
        <f>Gasto_o_ing_per_capita!J354-Gasto_o_ing_per_capita!$D354</f>
        <v>-0.61905328899327117</v>
      </c>
      <c r="K354" s="183">
        <f>Gasto_o_ing_per_capita!K354-Gasto_o_ing_per_capita!$D354</f>
        <v>-1.6455553226188897</v>
      </c>
      <c r="L354" s="183">
        <f>Gasto_o_ing_per_capita!L354-Gasto_o_ing_per_capita!$D354</f>
        <v>-6.3830044901005465</v>
      </c>
      <c r="M354" s="183">
        <f>Gasto_o_ing_per_capita!M354-Gasto_o_ing_per_capita!$D354</f>
        <v>-0.12703062685406863</v>
      </c>
      <c r="N354" s="183">
        <f>Gasto_o_ing_per_capita!N354-Gasto_o_ing_per_capita!$D354</f>
        <v>-2.6306371767522982</v>
      </c>
      <c r="O354" s="183">
        <f>Gasto_o_ing_per_capita!O354-Gasto_o_ing_per_capita!$D354</f>
        <v>-6.2620464283738428</v>
      </c>
      <c r="P354" s="183">
        <f>Gasto_o_ing_per_capita!P354-Gasto_o_ing_per_capita!$D354</f>
        <v>2.8794372317059</v>
      </c>
      <c r="Q354" s="183">
        <f>Gasto_o_ing_per_capita!Q354-Gasto_o_ing_per_capita!$D354</f>
        <v>25.363886874043381</v>
      </c>
      <c r="R354" s="183">
        <f>Gasto_o_ing_per_capita!R354-Gasto_o_ing_per_capita!$D354</f>
        <v>-8.1436946431141806</v>
      </c>
      <c r="S354" s="183">
        <f>Gasto_o_ing_per_capita!S354-Gasto_o_ing_per_capita!$D354</f>
        <v>0.77239744127082588</v>
      </c>
      <c r="T354" s="183">
        <f>Gasto_o_ing_per_capita!T354-Gasto_o_ing_per_capita!$D354</f>
        <v>0.68251780907112192</v>
      </c>
      <c r="U354" s="183">
        <f>Gasto_o_ing_per_capita!U354-Gasto_o_ing_per_capita!$D354</f>
        <v>-4.3198923534589539</v>
      </c>
      <c r="V354" s="183">
        <f>Gasto_o_ing_per_capita!V354-Gasto_o_ing_per_capita!$D354</f>
        <v>-2.9138283317651634</v>
      </c>
      <c r="W354" s="122"/>
    </row>
    <row r="355" spans="1:23" s="104" customFormat="1" ht="13.15">
      <c r="A355" s="355" t="str">
        <f>IF(B355="","",(IF(ISERROR(MATCH(B355,Tot_res!C:C,0)),"Eliminar!!!","")))</f>
        <v/>
      </c>
      <c r="B355" s="119" t="s">
        <v>660</v>
      </c>
      <c r="C355" s="333" t="str">
        <f>VLOOKUP(B355,Tot_res!C:D,2,FALSE)</f>
        <v>Dirección y servicios generales de Cultura</v>
      </c>
      <c r="D355" s="336">
        <f>Gasto_o_ing_per_capita!D355-Gasto_o_ing_per_capita!$D355</f>
        <v>0</v>
      </c>
      <c r="E355" s="336">
        <f>Gasto_o_ing_per_capita!E355-Gasto_o_ing_per_capita!$D355</f>
        <v>-0.13115477818196547</v>
      </c>
      <c r="F355" s="336">
        <f>Gasto_o_ing_per_capita!F355-Gasto_o_ing_per_capita!$D355</f>
        <v>-9.1313253325419785E-2</v>
      </c>
      <c r="G355" s="336">
        <f>Gasto_o_ing_per_capita!G355-Gasto_o_ing_per_capita!$D355</f>
        <v>-0.12322087439767859</v>
      </c>
      <c r="H355" s="336">
        <f>Gasto_o_ing_per_capita!H355-Gasto_o_ing_per_capita!$D355</f>
        <v>-2.8422071552795636E-2</v>
      </c>
      <c r="I355" s="336">
        <f>Gasto_o_ing_per_capita!I355-Gasto_o_ing_per_capita!$D355</f>
        <v>-0.11639094647278431</v>
      </c>
      <c r="J355" s="336">
        <f>Gasto_o_ing_per_capita!J355-Gasto_o_ing_per_capita!$D355</f>
        <v>5.4067154618175572E-2</v>
      </c>
      <c r="K355" s="336">
        <f>Gasto_o_ing_per_capita!K355-Gasto_o_ing_per_capita!$D355</f>
        <v>1.2997813946992398E-2</v>
      </c>
      <c r="L355" s="336">
        <f>Gasto_o_ing_per_capita!L355-Gasto_o_ing_per_capita!$D355</f>
        <v>-6.3396166541572374E-2</v>
      </c>
      <c r="M355" s="336">
        <f>Gasto_o_ing_per_capita!M355-Gasto_o_ing_per_capita!$D355</f>
        <v>-6.7952698966752823E-2</v>
      </c>
      <c r="N355" s="336">
        <f>Gasto_o_ing_per_capita!N355-Gasto_o_ing_per_capita!$D355</f>
        <v>-0.11953969687152188</v>
      </c>
      <c r="O355" s="336">
        <f>Gasto_o_ing_per_capita!O355-Gasto_o_ing_per_capita!$D355</f>
        <v>-6.0839977915950472E-2</v>
      </c>
      <c r="P355" s="336">
        <f>Gasto_o_ing_per_capita!P355-Gasto_o_ing_per_capita!$D355</f>
        <v>-0.10819982741625389</v>
      </c>
      <c r="Q355" s="336">
        <f>Gasto_o_ing_per_capita!Q355-Gasto_o_ing_per_capita!$D355</f>
        <v>0.55368412725095917</v>
      </c>
      <c r="R355" s="336">
        <f>Gasto_o_ing_per_capita!R355-Gasto_o_ing_per_capita!$D355</f>
        <v>-9.6812576357497571E-2</v>
      </c>
      <c r="S355" s="336">
        <f>Gasto_o_ing_per_capita!S355-Gasto_o_ing_per_capita!$D355</f>
        <v>-9.9362793771652913E-2</v>
      </c>
      <c r="T355" s="336">
        <f>Gasto_o_ing_per_capita!T355-Gasto_o_ing_per_capita!$D355</f>
        <v>-8.2132743707565958E-2</v>
      </c>
      <c r="U355" s="336">
        <f>Gasto_o_ing_per_capita!U355-Gasto_o_ing_per_capita!$D355</f>
        <v>-1.6911408913300785E-2</v>
      </c>
      <c r="V355" s="336">
        <f>Gasto_o_ing_per_capita!V355-Gasto_o_ing_per_capita!$D355</f>
        <v>-4.9839866506941832E-2</v>
      </c>
      <c r="W355" s="122"/>
    </row>
    <row r="356" spans="1:23" s="104" customFormat="1" ht="13.15">
      <c r="A356" s="355" t="str">
        <f>IF(B356="","",(IF(ISERROR(MATCH(B356,Tot_res!C:C,0)),"Eliminar!!!","")))</f>
        <v/>
      </c>
      <c r="B356" s="119" t="s">
        <v>345</v>
      </c>
      <c r="C356" s="333" t="str">
        <f>VLOOKUP(B356,Tot_res!C:D,2,FALSE)</f>
        <v>Archivos</v>
      </c>
      <c r="D356" s="336">
        <f>Gasto_o_ing_per_capita!D356-Gasto_o_ing_per_capita!$D356</f>
        <v>0</v>
      </c>
      <c r="E356" s="336">
        <f>Gasto_o_ing_per_capita!E356-Gasto_o_ing_per_capita!$D356</f>
        <v>-0.18261118910085744</v>
      </c>
      <c r="F356" s="336">
        <f>Gasto_o_ing_per_capita!F356-Gasto_o_ing_per_capita!$D356</f>
        <v>-0.29763063821418634</v>
      </c>
      <c r="G356" s="336">
        <f>Gasto_o_ing_per_capita!G356-Gasto_o_ing_per_capita!$D356</f>
        <v>-0.34154126788108541</v>
      </c>
      <c r="H356" s="336">
        <f>Gasto_o_ing_per_capita!H356-Gasto_o_ing_per_capita!$D356</f>
        <v>1.38150354107839</v>
      </c>
      <c r="I356" s="336">
        <f>Gasto_o_ing_per_capita!I356-Gasto_o_ing_per_capita!$D356</f>
        <v>-0.33070665092620949</v>
      </c>
      <c r="J356" s="336">
        <f>Gasto_o_ing_per_capita!J356-Gasto_o_ing_per_capita!$D356</f>
        <v>-0.31436504040888191</v>
      </c>
      <c r="K356" s="336">
        <f>Gasto_o_ing_per_capita!K356-Gasto_o_ing_per_capita!$D356</f>
        <v>1.9120168654908758</v>
      </c>
      <c r="L356" s="336">
        <f>Gasto_o_ing_per_capita!L356-Gasto_o_ing_per_capita!$D356</f>
        <v>-0.17057585562117639</v>
      </c>
      <c r="M356" s="336">
        <f>Gasto_o_ing_per_capita!M356-Gasto_o_ing_per_capita!$D356</f>
        <v>-0.16098747360371651</v>
      </c>
      <c r="N356" s="336">
        <f>Gasto_o_ing_per_capita!N356-Gasto_o_ing_per_capita!$D356</f>
        <v>-0.34612878077260906</v>
      </c>
      <c r="O356" s="336">
        <f>Gasto_o_ing_per_capita!O356-Gasto_o_ing_per_capita!$D356</f>
        <v>-0.33852173292475657</v>
      </c>
      <c r="P356" s="336">
        <f>Gasto_o_ing_per_capita!P356-Gasto_o_ing_per_capita!$D356</f>
        <v>-0.31554028371613507</v>
      </c>
      <c r="Q356" s="336">
        <f>Gasto_o_ing_per_capita!Q356-Gasto_o_ing_per_capita!$D356</f>
        <v>0.44233697279399242</v>
      </c>
      <c r="R356" s="336">
        <f>Gasto_o_ing_per_capita!R356-Gasto_o_ing_per_capita!$D356</f>
        <v>-0.35290393674867981</v>
      </c>
      <c r="S356" s="336">
        <f>Gasto_o_ing_per_capita!S356-Gasto_o_ing_per_capita!$D356</f>
        <v>-0.27960938458369722</v>
      </c>
      <c r="T356" s="336">
        <f>Gasto_o_ing_per_capita!T356-Gasto_o_ing_per_capita!$D356</f>
        <v>-0.27035491596620009</v>
      </c>
      <c r="U356" s="336">
        <f>Gasto_o_ing_per_capita!U356-Gasto_o_ing_per_capita!$D356</f>
        <v>-0.31210265622027039</v>
      </c>
      <c r="V356" s="336">
        <f>Gasto_o_ing_per_capita!V356-Gasto_o_ing_per_capita!$D356</f>
        <v>-0.30062687599142313</v>
      </c>
      <c r="W356" s="122"/>
    </row>
    <row r="357" spans="1:23" s="104" customFormat="1" ht="13.15">
      <c r="A357" s="355" t="str">
        <f>IF(B357="","",(IF(ISERROR(MATCH(B357,Tot_res!C:C,0)),"Eliminar!!!","")))</f>
        <v/>
      </c>
      <c r="B357" s="119" t="s">
        <v>347</v>
      </c>
      <c r="C357" s="333" t="str">
        <f>VLOOKUP(B357,Tot_res!C:D,2,FALSE)</f>
        <v>Bibliotecas</v>
      </c>
      <c r="D357" s="336">
        <f>Gasto_o_ing_per_capita!D357-Gasto_o_ing_per_capita!$D357</f>
        <v>0</v>
      </c>
      <c r="E357" s="336">
        <f>Gasto_o_ing_per_capita!E357-Gasto_o_ing_per_capita!$D357</f>
        <v>-0.7564622262846239</v>
      </c>
      <c r="F357" s="336">
        <f>Gasto_o_ing_per_capita!F357-Gasto_o_ing_per_capita!$D357</f>
        <v>-0.73663031756857844</v>
      </c>
      <c r="G357" s="336">
        <f>Gasto_o_ing_per_capita!G357-Gasto_o_ing_per_capita!$D357</f>
        <v>-0.67966813745372523</v>
      </c>
      <c r="H357" s="336">
        <f>Gasto_o_ing_per_capita!H357-Gasto_o_ing_per_capita!$D357</f>
        <v>-0.75518522146085265</v>
      </c>
      <c r="I357" s="336">
        <f>Gasto_o_ing_per_capita!I357-Gasto_o_ing_per_capita!$D357</f>
        <v>-0.61607578507768779</v>
      </c>
      <c r="J357" s="336">
        <f>Gasto_o_ing_per_capita!J357-Gasto_o_ing_per_capita!$D357</f>
        <v>-0.72146204527445978</v>
      </c>
      <c r="K357" s="336">
        <f>Gasto_o_ing_per_capita!K357-Gasto_o_ing_per_capita!$D357</f>
        <v>1.5849024874511726</v>
      </c>
      <c r="L357" s="336">
        <f>Gasto_o_ing_per_capita!L357-Gasto_o_ing_per_capita!$D357</f>
        <v>-0.57734260201970566</v>
      </c>
      <c r="M357" s="336">
        <f>Gasto_o_ing_per_capita!M357-Gasto_o_ing_per_capita!$D357</f>
        <v>-0.1295209995502421</v>
      </c>
      <c r="N357" s="336">
        <f>Gasto_o_ing_per_capita!N357-Gasto_o_ing_per_capita!$D357</f>
        <v>-0.75719795471904705</v>
      </c>
      <c r="O357" s="336">
        <f>Gasto_o_ing_per_capita!O357-Gasto_o_ing_per_capita!$D357</f>
        <v>-0.69210990633814673</v>
      </c>
      <c r="P357" s="336">
        <f>Gasto_o_ing_per_capita!P357-Gasto_o_ing_per_capita!$D357</f>
        <v>-0.69659231226954399</v>
      </c>
      <c r="Q357" s="336">
        <f>Gasto_o_ing_per_capita!Q357-Gasto_o_ing_per_capita!$D357</f>
        <v>2.772053322066081</v>
      </c>
      <c r="R357" s="336">
        <f>Gasto_o_ing_per_capita!R357-Gasto_o_ing_per_capita!$D357</f>
        <v>-0.73172417793557154</v>
      </c>
      <c r="S357" s="336">
        <f>Gasto_o_ing_per_capita!S357-Gasto_o_ing_per_capita!$D357</f>
        <v>-0.74241686229985171</v>
      </c>
      <c r="T357" s="336">
        <f>Gasto_o_ing_per_capita!T357-Gasto_o_ing_per_capita!$D357</f>
        <v>-0.69291671285275203</v>
      </c>
      <c r="U357" s="336">
        <f>Gasto_o_ing_per_capita!U357-Gasto_o_ing_per_capita!$D357</f>
        <v>-0.53991355547829389</v>
      </c>
      <c r="V357" s="336">
        <f>Gasto_o_ing_per_capita!V357-Gasto_o_ing_per_capita!$D357</f>
        <v>3.9062971578184724</v>
      </c>
      <c r="W357" s="122"/>
    </row>
    <row r="358" spans="1:23" s="104" customFormat="1" ht="13.15">
      <c r="A358" s="355" t="str">
        <f>IF(B358="","",(IF(ISERROR(MATCH(B358,Tot_res!C:C,0)),"Eliminar!!!","")))</f>
        <v/>
      </c>
      <c r="B358" s="119" t="s">
        <v>348</v>
      </c>
      <c r="C358" s="333" t="str">
        <f>VLOOKUP(B358,Tot_res!C:D,2,FALSE)</f>
        <v>Museos</v>
      </c>
      <c r="D358" s="336">
        <f>Gasto_o_ing_per_capita!D358-Gasto_o_ing_per_capita!$D358</f>
        <v>0</v>
      </c>
      <c r="E358" s="336">
        <f>Gasto_o_ing_per_capita!E358-Gasto_o_ing_per_capita!$D358</f>
        <v>-2.0103998644796572</v>
      </c>
      <c r="F358" s="336">
        <f>Gasto_o_ing_per_capita!F358-Gasto_o_ing_per_capita!$D358</f>
        <v>-2.0091191619629178</v>
      </c>
      <c r="G358" s="336">
        <f>Gasto_o_ing_per_capita!G358-Gasto_o_ing_per_capita!$D358</f>
        <v>-2.132240208344653</v>
      </c>
      <c r="H358" s="336">
        <f>Gasto_o_ing_per_capita!H358-Gasto_o_ing_per_capita!$D358</f>
        <v>-0.95551640605896071</v>
      </c>
      <c r="I358" s="336">
        <f>Gasto_o_ing_per_capita!I358-Gasto_o_ing_per_capita!$D358</f>
        <v>-2.1329084154535258</v>
      </c>
      <c r="J358" s="336">
        <f>Gasto_o_ing_per_capita!J358-Gasto_o_ing_per_capita!$D358</f>
        <v>6.12339039876748</v>
      </c>
      <c r="K358" s="336">
        <f>Gasto_o_ing_per_capita!K358-Gasto_o_ing_per_capita!$D358</f>
        <v>-0.5282824216583748</v>
      </c>
      <c r="L358" s="336">
        <f>Gasto_o_ing_per_capita!L358-Gasto_o_ing_per_capita!$D358</f>
        <v>0.22837100305790559</v>
      </c>
      <c r="M358" s="336">
        <f>Gasto_o_ing_per_capita!M358-Gasto_o_ing_per_capita!$D358</f>
        <v>-1.5850414880418002</v>
      </c>
      <c r="N358" s="336">
        <f>Gasto_o_ing_per_capita!N358-Gasto_o_ing_per_capita!$D358</f>
        <v>-1.6294403696010791</v>
      </c>
      <c r="O358" s="336">
        <f>Gasto_o_ing_per_capita!O358-Gasto_o_ing_per_capita!$D358</f>
        <v>0.94738910199301429</v>
      </c>
      <c r="P358" s="336">
        <f>Gasto_o_ing_per_capita!P358-Gasto_o_ing_per_capita!$D358</f>
        <v>-2.1051656856494314</v>
      </c>
      <c r="Q358" s="336">
        <f>Gasto_o_ing_per_capita!Q358-Gasto_o_ing_per_capita!$D358</f>
        <v>8.4220994111511516</v>
      </c>
      <c r="R358" s="336">
        <f>Gasto_o_ing_per_capita!R358-Gasto_o_ing_per_capita!$D358</f>
        <v>-5.7200044010166096E-3</v>
      </c>
      <c r="S358" s="336">
        <f>Gasto_o_ing_per_capita!S358-Gasto_o_ing_per_capita!$D358</f>
        <v>-2.0098041721365631</v>
      </c>
      <c r="T358" s="336">
        <f>Gasto_o_ing_per_capita!T358-Gasto_o_ing_per_capita!$D358</f>
        <v>-1.7927802920307487</v>
      </c>
      <c r="U358" s="336">
        <f>Gasto_o_ing_per_capita!U358-Gasto_o_ing_per_capita!$D358</f>
        <v>2.1503378520569543</v>
      </c>
      <c r="V358" s="336">
        <f>Gasto_o_ing_per_capita!V358-Gasto_o_ing_per_capita!$D358</f>
        <v>-2.1616212322173318</v>
      </c>
      <c r="W358" s="122"/>
    </row>
    <row r="359" spans="1:23" s="104" customFormat="1" ht="13.15">
      <c r="A359" s="355" t="str">
        <f>IF(B359="","",(IF(ISERROR(MATCH(B359,Tot_res!C:C,0)),"Eliminar!!!","")))</f>
        <v/>
      </c>
      <c r="B359" s="119" t="s">
        <v>350</v>
      </c>
      <c r="C359" s="333" t="str">
        <f>VLOOKUP(B359,Tot_res!C:D,2,FALSE)</f>
        <v>Exposiciones</v>
      </c>
      <c r="D359" s="336">
        <f>Gasto_o_ing_per_capita!D359-Gasto_o_ing_per_capita!$D359</f>
        <v>0</v>
      </c>
      <c r="E359" s="336">
        <f>Gasto_o_ing_per_capita!E359-Gasto_o_ing_per_capita!$D359</f>
        <v>-2.400591623274163E-2</v>
      </c>
      <c r="F359" s="336">
        <f>Gasto_o_ing_per_capita!F359-Gasto_o_ing_per_capita!$D359</f>
        <v>-3.6568078619165847E-2</v>
      </c>
      <c r="G359" s="336">
        <f>Gasto_o_ing_per_capita!G359-Gasto_o_ing_per_capita!$D359</f>
        <v>-4.3106168569580355E-2</v>
      </c>
      <c r="H359" s="336">
        <f>Gasto_o_ing_per_capita!H359-Gasto_o_ing_per_capita!$D359</f>
        <v>-4.3106168569580355E-2</v>
      </c>
      <c r="I359" s="336">
        <f>Gasto_o_ing_per_capita!I359-Gasto_o_ing_per_capita!$D359</f>
        <v>-4.3106168569580355E-2</v>
      </c>
      <c r="J359" s="336">
        <f>Gasto_o_ing_per_capita!J359-Gasto_o_ing_per_capita!$D359</f>
        <v>-4.3106168569580355E-2</v>
      </c>
      <c r="K359" s="336">
        <f>Gasto_o_ing_per_capita!K359-Gasto_o_ing_per_capita!$D359</f>
        <v>0.13073786854067404</v>
      </c>
      <c r="L359" s="336">
        <f>Gasto_o_ing_per_capita!L359-Gasto_o_ing_per_capita!$D359</f>
        <v>-4.3106168569580355E-2</v>
      </c>
      <c r="M359" s="336">
        <f>Gasto_o_ing_per_capita!M359-Gasto_o_ing_per_capita!$D359</f>
        <v>8.50661251909339E-3</v>
      </c>
      <c r="N359" s="336">
        <f>Gasto_o_ing_per_capita!N359-Gasto_o_ing_per_capita!$D359</f>
        <v>6.0694207596430294E-2</v>
      </c>
      <c r="O359" s="336">
        <f>Gasto_o_ing_per_capita!O359-Gasto_o_ing_per_capita!$D359</f>
        <v>4.4695859351501221E-3</v>
      </c>
      <c r="P359" s="336">
        <f>Gasto_o_ing_per_capita!P359-Gasto_o_ing_per_capita!$D359</f>
        <v>-3.3600585212405651E-2</v>
      </c>
      <c r="Q359" s="336">
        <f>Gasto_o_ing_per_capita!Q359-Gasto_o_ing_per_capita!$D359</f>
        <v>1.4532534778534341E-2</v>
      </c>
      <c r="R359" s="336">
        <f>Gasto_o_ing_per_capita!R359-Gasto_o_ing_per_capita!$D359</f>
        <v>-4.3106168569580355E-2</v>
      </c>
      <c r="S359" s="336">
        <f>Gasto_o_ing_per_capita!S359-Gasto_o_ing_per_capita!$D359</f>
        <v>-4.3106168569580355E-2</v>
      </c>
      <c r="T359" s="336">
        <f>Gasto_o_ing_per_capita!T359-Gasto_o_ing_per_capita!$D359</f>
        <v>-1.9173820971877475E-2</v>
      </c>
      <c r="U359" s="336">
        <f>Gasto_o_ing_per_capita!U359-Gasto_o_ing_per_capita!$D359</f>
        <v>-4.3106168569580355E-2</v>
      </c>
      <c r="V359" s="336">
        <f>Gasto_o_ing_per_capita!V359-Gasto_o_ing_per_capita!$D359</f>
        <v>-4.3106168569580355E-2</v>
      </c>
      <c r="W359" s="125"/>
    </row>
    <row r="360" spans="1:23" s="104" customFormat="1" ht="13.15">
      <c r="A360" s="355" t="str">
        <f>IF(B360="","",(IF(ISERROR(MATCH(B360,Tot_res!C:C,0)),"Eliminar!!!","")))</f>
        <v/>
      </c>
      <c r="B360" s="119" t="s">
        <v>351</v>
      </c>
      <c r="C360" s="333" t="str">
        <f>VLOOKUP(B360,Tot_res!C:D,2,FALSE)</f>
        <v>Promoción y cooperación cultural</v>
      </c>
      <c r="D360" s="336">
        <f>Gasto_o_ing_per_capita!D360-Gasto_o_ing_per_capita!$D360</f>
        <v>0</v>
      </c>
      <c r="E360" s="336">
        <f>Gasto_o_ing_per_capita!E360-Gasto_o_ing_per_capita!$D360</f>
        <v>-4.7280206860115664E-2</v>
      </c>
      <c r="F360" s="336">
        <f>Gasto_o_ing_per_capita!F360-Gasto_o_ing_per_capita!$D360</f>
        <v>3.5098103112654544E-2</v>
      </c>
      <c r="G360" s="336">
        <f>Gasto_o_ing_per_capita!G360-Gasto_o_ing_per_capita!$D360</f>
        <v>0.12199701580645411</v>
      </c>
      <c r="H360" s="336">
        <f>Gasto_o_ing_per_capita!H360-Gasto_o_ing_per_capita!$D360</f>
        <v>-0.10906830806343047</v>
      </c>
      <c r="I360" s="336">
        <f>Gasto_o_ing_per_capita!I360-Gasto_o_ing_per_capita!$D360</f>
        <v>6.6583201162156158E-3</v>
      </c>
      <c r="J360" s="336">
        <f>Gasto_o_ing_per_capita!J360-Gasto_o_ing_per_capita!$D360</f>
        <v>1.0949244185264773E-2</v>
      </c>
      <c r="K360" s="336">
        <f>Gasto_o_ing_per_capita!K360-Gasto_o_ing_per_capita!$D360</f>
        <v>4.5080278824241704E-2</v>
      </c>
      <c r="L360" s="336">
        <f>Gasto_o_ing_per_capita!L360-Gasto_o_ing_per_capita!$D360</f>
        <v>-6.4875074326824822E-2</v>
      </c>
      <c r="M360" s="336">
        <f>Gasto_o_ing_per_capita!M360-Gasto_o_ing_per_capita!$D360</f>
        <v>-4.9996939197522572E-2</v>
      </c>
      <c r="N360" s="336">
        <f>Gasto_o_ing_per_capita!N360-Gasto_o_ing_per_capita!$D360</f>
        <v>-7.801930154928638E-2</v>
      </c>
      <c r="O360" s="336">
        <f>Gasto_o_ing_per_capita!O360-Gasto_o_ing_per_capita!$D360</f>
        <v>-8.4589653339931931E-2</v>
      </c>
      <c r="P360" s="336">
        <f>Gasto_o_ing_per_capita!P360-Gasto_o_ing_per_capita!$D360</f>
        <v>-2.8913633136888939E-2</v>
      </c>
      <c r="Q360" s="336">
        <f>Gasto_o_ing_per_capita!Q360-Gasto_o_ing_per_capita!$D360</f>
        <v>0.25013795305412134</v>
      </c>
      <c r="R360" s="336">
        <f>Gasto_o_ing_per_capita!R360-Gasto_o_ing_per_capita!$D360</f>
        <v>-0.11067124284389629</v>
      </c>
      <c r="S360" s="336">
        <f>Gasto_o_ing_per_capita!S360-Gasto_o_ing_per_capita!$D360</f>
        <v>-9.7015172043473305E-2</v>
      </c>
      <c r="T360" s="336">
        <f>Gasto_o_ing_per_capita!T360-Gasto_o_ing_per_capita!$D360</f>
        <v>-4.6125499032050848E-2</v>
      </c>
      <c r="U360" s="336">
        <f>Gasto_o_ing_per_capita!U360-Gasto_o_ing_per_capita!$D360</f>
        <v>3.463099305836348E-2</v>
      </c>
      <c r="V360" s="336">
        <f>Gasto_o_ing_per_capita!V360-Gasto_o_ing_per_capita!$D360</f>
        <v>-9.5696034328805288E-2</v>
      </c>
      <c r="W360" s="122"/>
    </row>
    <row r="361" spans="1:23" s="104" customFormat="1" ht="13.15">
      <c r="A361" s="355" t="str">
        <f>IF(B361="","",(IF(ISERROR(MATCH(B361,Tot_res!C:C,0)),"Eliminar!!!","")))</f>
        <v/>
      </c>
      <c r="B361" s="119" t="s">
        <v>353</v>
      </c>
      <c r="C361" s="333" t="str">
        <f>VLOOKUP(B361,Tot_res!C:D,2,FALSE)</f>
        <v>Promoción del libro y publicaciones culturales</v>
      </c>
      <c r="D361" s="336">
        <f>Gasto_o_ing_per_capita!D361-Gasto_o_ing_per_capita!$D361</f>
        <v>0</v>
      </c>
      <c r="E361" s="336">
        <f>Gasto_o_ing_per_capita!E361-Gasto_o_ing_per_capita!$D361</f>
        <v>0</v>
      </c>
      <c r="F361" s="336">
        <f>Gasto_o_ing_per_capita!F361-Gasto_o_ing_per_capita!$D361</f>
        <v>0</v>
      </c>
      <c r="G361" s="336">
        <f>Gasto_o_ing_per_capita!G361-Gasto_o_ing_per_capita!$D361</f>
        <v>0</v>
      </c>
      <c r="H361" s="336">
        <f>Gasto_o_ing_per_capita!H361-Gasto_o_ing_per_capita!$D361</f>
        <v>0</v>
      </c>
      <c r="I361" s="336">
        <f>Gasto_o_ing_per_capita!I361-Gasto_o_ing_per_capita!$D361</f>
        <v>0</v>
      </c>
      <c r="J361" s="336">
        <f>Gasto_o_ing_per_capita!J361-Gasto_o_ing_per_capita!$D361</f>
        <v>0</v>
      </c>
      <c r="K361" s="336">
        <f>Gasto_o_ing_per_capita!K361-Gasto_o_ing_per_capita!$D361</f>
        <v>0</v>
      </c>
      <c r="L361" s="336">
        <f>Gasto_o_ing_per_capita!L361-Gasto_o_ing_per_capita!$D361</f>
        <v>0</v>
      </c>
      <c r="M361" s="336">
        <f>Gasto_o_ing_per_capita!M361-Gasto_o_ing_per_capita!$D361</f>
        <v>0</v>
      </c>
      <c r="N361" s="336">
        <f>Gasto_o_ing_per_capita!N361-Gasto_o_ing_per_capita!$D361</f>
        <v>0</v>
      </c>
      <c r="O361" s="336">
        <f>Gasto_o_ing_per_capita!O361-Gasto_o_ing_per_capita!$D361</f>
        <v>0</v>
      </c>
      <c r="P361" s="336">
        <f>Gasto_o_ing_per_capita!P361-Gasto_o_ing_per_capita!$D361</f>
        <v>0</v>
      </c>
      <c r="Q361" s="336">
        <f>Gasto_o_ing_per_capita!Q361-Gasto_o_ing_per_capita!$D361</f>
        <v>0</v>
      </c>
      <c r="R361" s="336">
        <f>Gasto_o_ing_per_capita!R361-Gasto_o_ing_per_capita!$D361</f>
        <v>0</v>
      </c>
      <c r="S361" s="336">
        <f>Gasto_o_ing_per_capita!S361-Gasto_o_ing_per_capita!$D361</f>
        <v>0</v>
      </c>
      <c r="T361" s="336">
        <f>Gasto_o_ing_per_capita!T361-Gasto_o_ing_per_capita!$D361</f>
        <v>0</v>
      </c>
      <c r="U361" s="336">
        <f>Gasto_o_ing_per_capita!U361-Gasto_o_ing_per_capita!$D361</f>
        <v>0</v>
      </c>
      <c r="V361" s="336">
        <f>Gasto_o_ing_per_capita!V361-Gasto_o_ing_per_capita!$D361</f>
        <v>0</v>
      </c>
      <c r="W361" s="126"/>
    </row>
    <row r="362" spans="1:23" s="104" customFormat="1" ht="13.15">
      <c r="A362" s="355" t="str">
        <f>IF(B362="","",(IF(ISERROR(MATCH(B362,Tot_res!C:C,0)),"Eliminar!!!","")))</f>
        <v/>
      </c>
      <c r="B362" s="119" t="s">
        <v>355</v>
      </c>
      <c r="C362" s="333" t="str">
        <f>VLOOKUP(B362,Tot_res!C:D,2,FALSE)</f>
        <v>Fomento de las industrias culturales</v>
      </c>
      <c r="D362" s="336">
        <f>Gasto_o_ing_per_capita!D362-Gasto_o_ing_per_capita!$D362</f>
        <v>0</v>
      </c>
      <c r="E362" s="336">
        <f>Gasto_o_ing_per_capita!E362-Gasto_o_ing_per_capita!$D362</f>
        <v>-2.8209403118849723E-2</v>
      </c>
      <c r="F362" s="336">
        <f>Gasto_o_ing_per_capita!F362-Gasto_o_ing_per_capita!$D362</f>
        <v>2.8929774331971497E-3</v>
      </c>
      <c r="G362" s="336">
        <f>Gasto_o_ing_per_capita!G362-Gasto_o_ing_per_capita!$D362</f>
        <v>-5.2564898812274087E-2</v>
      </c>
      <c r="H362" s="336">
        <f>Gasto_o_ing_per_capita!H362-Gasto_o_ing_per_capita!$D362</f>
        <v>-3.7000824946582536E-2</v>
      </c>
      <c r="I362" s="336">
        <f>Gasto_o_ing_per_capita!I362-Gasto_o_ing_per_capita!$D362</f>
        <v>-3.8709343990438065E-2</v>
      </c>
      <c r="J362" s="336">
        <f>Gasto_o_ing_per_capita!J362-Gasto_o_ing_per_capita!$D362</f>
        <v>3.6072099828581464E-2</v>
      </c>
      <c r="K362" s="336">
        <f>Gasto_o_ing_per_capita!K362-Gasto_o_ing_per_capita!$D362</f>
        <v>-4.457568540772601E-2</v>
      </c>
      <c r="L362" s="336">
        <f>Gasto_o_ing_per_capita!L362-Gasto_o_ing_per_capita!$D362</f>
        <v>-6.2195504107741349E-2</v>
      </c>
      <c r="M362" s="336">
        <f>Gasto_o_ing_per_capita!M362-Gasto_o_ing_per_capita!$D362</f>
        <v>5.8464302726309994E-2</v>
      </c>
      <c r="N362" s="336">
        <f>Gasto_o_ing_per_capita!N362-Gasto_o_ing_per_capita!$D362</f>
        <v>-5.0850227229423811E-2</v>
      </c>
      <c r="O362" s="336">
        <f>Gasto_o_ing_per_capita!O362-Gasto_o_ing_per_capita!$D362</f>
        <v>-6.1328506042237461E-2</v>
      </c>
      <c r="P362" s="336">
        <f>Gasto_o_ing_per_capita!P362-Gasto_o_ing_per_capita!$D362</f>
        <v>-5.447082674496441E-2</v>
      </c>
      <c r="Q362" s="336">
        <f>Gasto_o_ing_per_capita!Q362-Gasto_o_ing_per_capita!$D362</f>
        <v>0.10674710736245248</v>
      </c>
      <c r="R362" s="336">
        <f>Gasto_o_ing_per_capita!R362-Gasto_o_ing_per_capita!$D362</f>
        <v>-5.9757851711933326E-2</v>
      </c>
      <c r="S362" s="336">
        <f>Gasto_o_ing_per_capita!S362-Gasto_o_ing_per_capita!$D362</f>
        <v>-4.7585536714184459E-2</v>
      </c>
      <c r="T362" s="336">
        <f>Gasto_o_ing_per_capita!T362-Gasto_o_ing_per_capita!$D362</f>
        <v>5.6650730827021947E-2</v>
      </c>
      <c r="U362" s="336">
        <f>Gasto_o_ing_per_capita!U362-Gasto_o_ing_per_capita!$D362</f>
        <v>-5.7109430857064949E-2</v>
      </c>
      <c r="V362" s="336">
        <f>Gasto_o_ing_per_capita!V362-Gasto_o_ing_per_capita!$D362</f>
        <v>-6.697598664445753E-2</v>
      </c>
      <c r="W362" s="122"/>
    </row>
    <row r="363" spans="1:23" s="104" customFormat="1" ht="13.15">
      <c r="A363" s="355" t="str">
        <f>IF(B363="","",(IF(ISERROR(MATCH(B363,Tot_res!C:C,0)),"Eliminar!!!","")))</f>
        <v/>
      </c>
      <c r="B363" s="119" t="s">
        <v>357</v>
      </c>
      <c r="C363" s="333" t="str">
        <f>VLOOKUP(B363,Tot_res!C:D,2,FALSE)</f>
        <v>Música y danza</v>
      </c>
      <c r="D363" s="336">
        <f>Gasto_o_ing_per_capita!D363-Gasto_o_ing_per_capita!$D363</f>
        <v>0</v>
      </c>
      <c r="E363" s="336">
        <f>Gasto_o_ing_per_capita!E363-Gasto_o_ing_per_capita!$D363</f>
        <v>-0.90578900906051651</v>
      </c>
      <c r="F363" s="336">
        <f>Gasto_o_ing_per_capita!F363-Gasto_o_ing_per_capita!$D363</f>
        <v>-0.93290956070097253</v>
      </c>
      <c r="G363" s="336">
        <f>Gasto_o_ing_per_capita!G363-Gasto_o_ing_per_capita!$D363</f>
        <v>-0.85704460065933019</v>
      </c>
      <c r="H363" s="336">
        <f>Gasto_o_ing_per_capita!H363-Gasto_o_ing_per_capita!$D363</f>
        <v>-1.0009583082054319</v>
      </c>
      <c r="I363" s="336">
        <f>Gasto_o_ing_per_capita!I363-Gasto_o_ing_per_capita!$D363</f>
        <v>-0.99260886547230265</v>
      </c>
      <c r="J363" s="336">
        <f>Gasto_o_ing_per_capita!J363-Gasto_o_ing_per_capita!$D363</f>
        <v>-0.9234305853378032</v>
      </c>
      <c r="K363" s="336">
        <f>Gasto_o_ing_per_capita!K363-Gasto_o_ing_per_capita!$D363</f>
        <v>-1.0043026608441457</v>
      </c>
      <c r="L363" s="336">
        <f>Gasto_o_ing_per_capita!L363-Gasto_o_ing_per_capita!$D363</f>
        <v>-1.042967587989396</v>
      </c>
      <c r="M363" s="336">
        <f>Gasto_o_ing_per_capita!M363-Gasto_o_ing_per_capita!$D363</f>
        <v>-0.20791236312061678</v>
      </c>
      <c r="N363" s="336">
        <f>Gasto_o_ing_per_capita!N363-Gasto_o_ing_per_capita!$D363</f>
        <v>-0.97599420226729672</v>
      </c>
      <c r="O363" s="336">
        <f>Gasto_o_ing_per_capita!O363-Gasto_o_ing_per_capita!$D363</f>
        <v>-1.0541992047469022</v>
      </c>
      <c r="P363" s="336">
        <f>Gasto_o_ing_per_capita!P363-Gasto_o_ing_per_capita!$D363</f>
        <v>-1.045584479311805</v>
      </c>
      <c r="Q363" s="336">
        <f>Gasto_o_ing_per_capita!Q363-Gasto_o_ing_per_capita!$D363</f>
        <v>5.0848511108963237</v>
      </c>
      <c r="R363" s="336">
        <f>Gasto_o_ing_per_capita!R363-Gasto_o_ing_per_capita!$D363</f>
        <v>-1.0245955733244165</v>
      </c>
      <c r="S363" s="336">
        <f>Gasto_o_ing_per_capita!S363-Gasto_o_ing_per_capita!$D363</f>
        <v>-0.91475535557484311</v>
      </c>
      <c r="T363" s="336">
        <f>Gasto_o_ing_per_capita!T363-Gasto_o_ing_per_capita!$D363</f>
        <v>-0.70060757055216782</v>
      </c>
      <c r="U363" s="336">
        <f>Gasto_o_ing_per_capita!U363-Gasto_o_ing_per_capita!$D363</f>
        <v>-1.025742471528714</v>
      </c>
      <c r="V363" s="336">
        <f>Gasto_o_ing_per_capita!V363-Gasto_o_ing_per_capita!$D363</f>
        <v>-1.0880385576504905</v>
      </c>
      <c r="W363" s="122"/>
    </row>
    <row r="364" spans="1:23" s="104" customFormat="1" ht="13.15">
      <c r="A364" s="355" t="str">
        <f>IF(B364="","",(IF(ISERROR(MATCH(B364,Tot_res!C:C,0)),"Eliminar!!!","")))</f>
        <v/>
      </c>
      <c r="B364" s="119" t="s">
        <v>358</v>
      </c>
      <c r="C364" s="333" t="str">
        <f>VLOOKUP(B364,Tot_res!C:D,2,FALSE)</f>
        <v>Teatro</v>
      </c>
      <c r="D364" s="336">
        <f>Gasto_o_ing_per_capita!D364-Gasto_o_ing_per_capita!$D364</f>
        <v>0</v>
      </c>
      <c r="E364" s="336">
        <f>Gasto_o_ing_per_capita!E364-Gasto_o_ing_per_capita!$D364</f>
        <v>-0.42352630422532944</v>
      </c>
      <c r="F364" s="336">
        <f>Gasto_o_ing_per_capita!F364-Gasto_o_ing_per_capita!$D364</f>
        <v>-0.2576606640360572</v>
      </c>
      <c r="G364" s="336">
        <f>Gasto_o_ing_per_capita!G364-Gasto_o_ing_per_capita!$D364</f>
        <v>-0.41329762422181637</v>
      </c>
      <c r="H364" s="336">
        <f>Gasto_o_ing_per_capita!H364-Gasto_o_ing_per_capita!$D364</f>
        <v>-0.26640938969063377</v>
      </c>
      <c r="I364" s="336">
        <f>Gasto_o_ing_per_capita!I364-Gasto_o_ing_per_capita!$D364</f>
        <v>-0.46070032737852684</v>
      </c>
      <c r="J364" s="336">
        <f>Gasto_o_ing_per_capita!J364-Gasto_o_ing_per_capita!$D364</f>
        <v>-0.38784673788137025</v>
      </c>
      <c r="K364" s="336">
        <f>Gasto_o_ing_per_capita!K364-Gasto_o_ing_per_capita!$D364</f>
        <v>-0.30610252787616066</v>
      </c>
      <c r="L364" s="336">
        <f>Gasto_o_ing_per_capita!L364-Gasto_o_ing_per_capita!$D364</f>
        <v>-0.2178121775943942</v>
      </c>
      <c r="M364" s="336">
        <f>Gasto_o_ing_per_capita!M364-Gasto_o_ing_per_capita!$D364</f>
        <v>-0.16607190703365626</v>
      </c>
      <c r="N364" s="336">
        <f>Gasto_o_ing_per_capita!N364-Gasto_o_ing_per_capita!$D364</f>
        <v>-0.33938125620009485</v>
      </c>
      <c r="O364" s="336">
        <f>Gasto_o_ing_per_capita!O364-Gasto_o_ing_per_capita!$D364</f>
        <v>-0.25573971601675038</v>
      </c>
      <c r="P364" s="336">
        <f>Gasto_o_ing_per_capita!P364-Gasto_o_ing_per_capita!$D364</f>
        <v>-0.41297387316340606</v>
      </c>
      <c r="Q364" s="336">
        <f>Gasto_o_ing_per_capita!Q364-Gasto_o_ing_per_capita!$D364</f>
        <v>1.9895628688439</v>
      </c>
      <c r="R364" s="336">
        <f>Gasto_o_ing_per_capita!R364-Gasto_o_ing_per_capita!$D364</f>
        <v>-0.37167604886798628</v>
      </c>
      <c r="S364" s="336">
        <f>Gasto_o_ing_per_capita!S364-Gasto_o_ing_per_capita!$D364</f>
        <v>-0.41008106985036274</v>
      </c>
      <c r="T364" s="336">
        <f>Gasto_o_ing_per_capita!T364-Gasto_o_ing_per_capita!$D364</f>
        <v>-0.18841987406314231</v>
      </c>
      <c r="U364" s="336">
        <f>Gasto_o_ing_per_capita!U364-Gasto_o_ing_per_capita!$D364</f>
        <v>-0.36753234421689029</v>
      </c>
      <c r="V364" s="336">
        <f>Gasto_o_ing_per_capita!V364-Gasto_o_ing_per_capita!$D364</f>
        <v>-0.48901608411779818</v>
      </c>
      <c r="W364" s="122"/>
    </row>
    <row r="365" spans="1:23" s="104" customFormat="1" ht="13.15">
      <c r="A365" s="355" t="str">
        <f>IF(B365="","",(IF(ISERROR(MATCH(B365,Tot_res!C:C,0)),"Eliminar!!!","")))</f>
        <v/>
      </c>
      <c r="B365" s="119" t="s">
        <v>360</v>
      </c>
      <c r="C365" s="333" t="str">
        <f>VLOOKUP(B365,Tot_res!C:D,2,FALSE)</f>
        <v>Cinematografía</v>
      </c>
      <c r="D365" s="336">
        <f>Gasto_o_ing_per_capita!D365-Gasto_o_ing_per_capita!$D365</f>
        <v>0</v>
      </c>
      <c r="E365" s="336">
        <f>Gasto_o_ing_per_capita!E365-Gasto_o_ing_per_capita!$D365</f>
        <v>-0.24783514004511042</v>
      </c>
      <c r="F365" s="336">
        <f>Gasto_o_ing_per_capita!F365-Gasto_o_ing_per_capita!$D365</f>
        <v>-3.5098833001000029E-2</v>
      </c>
      <c r="G365" s="336">
        <f>Gasto_o_ing_per_capita!G365-Gasto_o_ing_per_capita!$D365</f>
        <v>-0.20343766357241322</v>
      </c>
      <c r="H365" s="336">
        <f>Gasto_o_ing_per_capita!H365-Gasto_o_ing_per_capita!$D365</f>
        <v>0.17751822154597141</v>
      </c>
      <c r="I365" s="336">
        <f>Gasto_o_ing_per_capita!I365-Gasto_o_ing_per_capita!$D365</f>
        <v>2.1150119366702969E-2</v>
      </c>
      <c r="J365" s="336">
        <f>Gasto_o_ing_per_capita!J365-Gasto_o_ing_per_capita!$D365</f>
        <v>-0.28776389292958893</v>
      </c>
      <c r="K365" s="336">
        <f>Gasto_o_ing_per_capita!K365-Gasto_o_ing_per_capita!$D365</f>
        <v>-0.15017027888614864</v>
      </c>
      <c r="L365" s="336">
        <f>Gasto_o_ing_per_capita!L365-Gasto_o_ing_per_capita!$D365</f>
        <v>-0.40635980140781691</v>
      </c>
      <c r="M365" s="336">
        <f>Gasto_o_ing_per_capita!M365-Gasto_o_ing_per_capita!$D365</f>
        <v>0.21322643088582027</v>
      </c>
      <c r="N365" s="336">
        <f>Gasto_o_ing_per_capita!N365-Gasto_o_ing_per_capita!$D365</f>
        <v>2.3052437402924619E-2</v>
      </c>
      <c r="O365" s="336">
        <f>Gasto_o_ing_per_capita!O365-Gasto_o_ing_per_capita!$D365</f>
        <v>-0.64848800242221394</v>
      </c>
      <c r="P365" s="336">
        <f>Gasto_o_ing_per_capita!P365-Gasto_o_ing_per_capita!$D365</f>
        <v>-0.39941431498497271</v>
      </c>
      <c r="Q365" s="336">
        <f>Gasto_o_ing_per_capita!Q365-Gasto_o_ing_per_capita!$D365</f>
        <v>0.42268875186456589</v>
      </c>
      <c r="R365" s="336">
        <f>Gasto_o_ing_per_capita!R365-Gasto_o_ing_per_capita!$D365</f>
        <v>-0.12840788765954803</v>
      </c>
      <c r="S365" s="336">
        <f>Gasto_o_ing_per_capita!S365-Gasto_o_ing_per_capita!$D365</f>
        <v>0.36258589119057505</v>
      </c>
      <c r="T365" s="336">
        <f>Gasto_o_ing_per_capita!T365-Gasto_o_ing_per_capita!$D365</f>
        <v>0.40095700197839812</v>
      </c>
      <c r="U365" s="336">
        <f>Gasto_o_ing_per_capita!U365-Gasto_o_ing_per_capita!$D365</f>
        <v>0.36615846492534998</v>
      </c>
      <c r="V365" s="336">
        <f>Gasto_o_ing_per_capita!V365-Gasto_o_ing_per_capita!$D365</f>
        <v>-1.0647268969858128</v>
      </c>
      <c r="W365" s="122"/>
    </row>
    <row r="366" spans="1:23" s="104" customFormat="1" ht="13.15">
      <c r="A366" s="355" t="str">
        <f>IF(B366="","",(IF(ISERROR(MATCH(B366,Tot_res!C:C,0)),"Eliminar!!!","")))</f>
        <v/>
      </c>
      <c r="B366" s="119" t="s">
        <v>851</v>
      </c>
      <c r="C366" s="333" t="str">
        <f>VLOOKUP(B366,Tot_res!C:D,2,FALSE)</f>
        <v>Fomento y apoyo de las actividades deportivas</v>
      </c>
      <c r="D366" s="336">
        <f>Gasto_o_ing_per_capita!D366-Gasto_o_ing_per_capita!$D366</f>
        <v>0</v>
      </c>
      <c r="E366" s="336">
        <f>Gasto_o_ing_per_capita!E366-Gasto_o_ing_per_capita!$D366</f>
        <v>-0.21647061353938168</v>
      </c>
      <c r="F366" s="336">
        <f>Gasto_o_ing_per_capita!F366-Gasto_o_ing_per_capita!$D366</f>
        <v>0.91105972720194073</v>
      </c>
      <c r="G366" s="336">
        <f>Gasto_o_ing_per_capita!G366-Gasto_o_ing_per_capita!$D366</f>
        <v>0.23745945519547051</v>
      </c>
      <c r="H366" s="336">
        <f>Gasto_o_ing_per_capita!H366-Gasto_o_ing_per_capita!$D366</f>
        <v>0.1852408882668195</v>
      </c>
      <c r="I366" s="336">
        <f>Gasto_o_ing_per_capita!I366-Gasto_o_ing_per_capita!$D366</f>
        <v>0.18745215255409597</v>
      </c>
      <c r="J366" s="336">
        <f>Gasto_o_ing_per_capita!J366-Gasto_o_ing_per_capita!$D366</f>
        <v>0.95655683602461306</v>
      </c>
      <c r="K366" s="336">
        <f>Gasto_o_ing_per_capita!K366-Gasto_o_ing_per_capita!$D366</f>
        <v>-0.21096783600257041</v>
      </c>
      <c r="L366" s="336">
        <f>Gasto_o_ing_per_capita!L366-Gasto_o_ing_per_capita!$D366</f>
        <v>-0.38524173720191102</v>
      </c>
      <c r="M366" s="336">
        <f>Gasto_o_ing_per_capita!M366-Gasto_o_ing_per_capita!$D366</f>
        <v>0.23216261869072463</v>
      </c>
      <c r="N366" s="336">
        <f>Gasto_o_ing_per_capita!N366-Gasto_o_ing_per_capita!$D366</f>
        <v>-0.20025765773360416</v>
      </c>
      <c r="O366" s="336">
        <f>Gasto_o_ing_per_capita!O366-Gasto_o_ing_per_capita!$D366</f>
        <v>-0.14687019816221225</v>
      </c>
      <c r="P366" s="336">
        <f>Gasto_o_ing_per_capita!P366-Gasto_o_ing_per_capita!$D366</f>
        <v>-9.5081581204591092E-2</v>
      </c>
      <c r="Q366" s="336">
        <f>Gasto_o_ing_per_capita!Q366-Gasto_o_ing_per_capita!$D366</f>
        <v>-0.25041174387538545</v>
      </c>
      <c r="R366" s="336">
        <f>Gasto_o_ing_per_capita!R366-Gasto_o_ing_per_capita!$D366</f>
        <v>-0.3720586630281939</v>
      </c>
      <c r="S366" s="336">
        <f>Gasto_o_ing_per_capita!S366-Gasto_o_ing_per_capita!$D366</f>
        <v>1.1836429194889777</v>
      </c>
      <c r="T366" s="336">
        <f>Gasto_o_ing_per_capita!T366-Gasto_o_ing_per_capita!$D366</f>
        <v>0.55393828331264006</v>
      </c>
      <c r="U366" s="336">
        <f>Gasto_o_ing_per_capita!U366-Gasto_o_ing_per_capita!$D366</f>
        <v>0.91691660054754287</v>
      </c>
      <c r="V366" s="336">
        <f>Gasto_o_ing_per_capita!V366-Gasto_o_ing_per_capita!$D366</f>
        <v>0.64548175171684807</v>
      </c>
      <c r="W366" s="122"/>
    </row>
    <row r="367" spans="1:23" s="104" customFormat="1" ht="13.15">
      <c r="A367" s="355" t="str">
        <f>IF(B367="","",(IF(ISERROR(MATCH(B367,Tot_res!C:C,0)),"Eliminar!!!","")))</f>
        <v/>
      </c>
      <c r="B367" s="119" t="s">
        <v>363</v>
      </c>
      <c r="C367" s="333" t="str">
        <f>VLOOKUP(B367,Tot_res!C:D,2,FALSE)</f>
        <v>Administración del patrimonio histórico-nacional</v>
      </c>
      <c r="D367" s="336">
        <f>Gasto_o_ing_per_capita!D367-Gasto_o_ing_per_capita!$D367</f>
        <v>0</v>
      </c>
      <c r="E367" s="336">
        <f>Gasto_o_ing_per_capita!E367-Gasto_o_ing_per_capita!$D367</f>
        <v>-1.7641665978550949</v>
      </c>
      <c r="F367" s="336">
        <f>Gasto_o_ing_per_capita!F367-Gasto_o_ing_per_capita!$D367</f>
        <v>-1.6906709324412055</v>
      </c>
      <c r="G367" s="336">
        <f>Gasto_o_ing_per_capita!G367-Gasto_o_ing_per_capita!$D367</f>
        <v>-1.7559071374535491</v>
      </c>
      <c r="H367" s="336">
        <f>Gasto_o_ing_per_capita!H367-Gasto_o_ing_per_capita!$D367</f>
        <v>-0.5118319038017638</v>
      </c>
      <c r="I367" s="336">
        <f>Gasto_o_ing_per_capita!I367-Gasto_o_ing_per_capita!$D367</f>
        <v>-1.7527497386794022</v>
      </c>
      <c r="J367" s="336">
        <f>Gasto_o_ing_per_capita!J367-Gasto_o_ing_per_capita!$D367</f>
        <v>-1.7498534655076847</v>
      </c>
      <c r="K367" s="336">
        <f>Gasto_o_ing_per_capita!K367-Gasto_o_ing_per_capita!$D367</f>
        <v>-0.8760687425293201</v>
      </c>
      <c r="L367" s="336">
        <f>Gasto_o_ing_per_capita!L367-Gasto_o_ing_per_capita!$D367</f>
        <v>-1.7798363166121223</v>
      </c>
      <c r="M367" s="336">
        <f>Gasto_o_ing_per_capita!M367-Gasto_o_ing_per_capita!$D367</f>
        <v>-1.6711811687397504</v>
      </c>
      <c r="N367" s="336">
        <f>Gasto_o_ing_per_capita!N367-Gasto_o_ing_per_capita!$D367</f>
        <v>-1.7624957200352682</v>
      </c>
      <c r="O367" s="336">
        <f>Gasto_o_ing_per_capita!O367-Gasto_o_ing_per_capita!$D367</f>
        <v>-0.96795442162914491</v>
      </c>
      <c r="P367" s="336">
        <f>Gasto_o_ing_per_capita!P367-Gasto_o_ing_per_capita!$D367</f>
        <v>-1.7547013943617884</v>
      </c>
      <c r="Q367" s="336">
        <f>Gasto_o_ing_per_capita!Q367-Gasto_o_ing_per_capita!$D367</f>
        <v>10.14972721659877</v>
      </c>
      <c r="R367" s="336">
        <f>Gasto_o_ing_per_capita!R367-Gasto_o_ing_per_capita!$D367</f>
        <v>-1.7731379269393024</v>
      </c>
      <c r="S367" s="336">
        <f>Gasto_o_ing_per_capita!S367-Gasto_o_ing_per_capita!$D367</f>
        <v>-1.6550806409744259</v>
      </c>
      <c r="T367" s="336">
        <f>Gasto_o_ing_per_capita!T367-Gasto_o_ing_per_capita!$D367</f>
        <v>-1.6369843675161886</v>
      </c>
      <c r="U367" s="336">
        <f>Gasto_o_ing_per_capita!U367-Gasto_o_ing_per_capita!$D367</f>
        <v>-1.7011522662206837</v>
      </c>
      <c r="V367" s="336">
        <f>Gasto_o_ing_per_capita!V367-Gasto_o_ing_per_capita!$D367</f>
        <v>-1.7801025115590685</v>
      </c>
      <c r="W367" s="122"/>
    </row>
    <row r="368" spans="1:23" s="104" customFormat="1" ht="13.15">
      <c r="A368" s="355" t="str">
        <f>IF(B368="","",(IF(ISERROR(MATCH(B368,Tot_res!C:C,0)),"Eliminar!!!","")))</f>
        <v/>
      </c>
      <c r="B368" s="119" t="s">
        <v>364</v>
      </c>
      <c r="C368" s="333" t="str">
        <f>VLOOKUP(B368,Tot_res!C:D,2,FALSE)</f>
        <v>Conservación y restauración de bienes culturales + AF17/1</v>
      </c>
      <c r="D368" s="336">
        <f>Gasto_o_ing_per_capita!D368-Gasto_o_ing_per_capita!$D368</f>
        <v>0</v>
      </c>
      <c r="E368" s="336">
        <f>Gasto_o_ing_per_capita!E368-Gasto_o_ing_per_capita!$D368</f>
        <v>-0.39585885260292131</v>
      </c>
      <c r="F368" s="336">
        <f>Gasto_o_ing_per_capita!F368-Gasto_o_ing_per_capita!$D368</f>
        <v>2.047602357946654E-3</v>
      </c>
      <c r="G368" s="336">
        <f>Gasto_o_ing_per_capita!G368-Gasto_o_ing_per_capita!$D368</f>
        <v>-0.3867051715779426</v>
      </c>
      <c r="H368" s="336">
        <f>Gasto_o_ing_per_capita!H368-Gasto_o_ing_per_capita!$D368</f>
        <v>0.48291157112575522</v>
      </c>
      <c r="I368" s="336">
        <f>Gasto_o_ing_per_capita!I368-Gasto_o_ing_per_capita!$D368</f>
        <v>5.9510199269365849E-3</v>
      </c>
      <c r="J368" s="336">
        <f>Gasto_o_ing_per_capita!J368-Gasto_o_ing_per_capita!$D368</f>
        <v>-5.6173220071120911E-2</v>
      </c>
      <c r="K368" s="336">
        <f>Gasto_o_ing_per_capita!K368-Gasto_o_ing_per_capita!$D368</f>
        <v>-4.7542056483579676E-2</v>
      </c>
      <c r="L368" s="336">
        <f>Gasto_o_ing_per_capita!L368-Gasto_o_ing_per_capita!$D368</f>
        <v>1.1812403373248048</v>
      </c>
      <c r="M368" s="336">
        <f>Gasto_o_ing_per_capita!M368-Gasto_o_ing_per_capita!$D368</f>
        <v>-0.11770740826770637</v>
      </c>
      <c r="N368" s="336">
        <f>Gasto_o_ing_per_capita!N368-Gasto_o_ing_per_capita!$D368</f>
        <v>-0.24711229666800438</v>
      </c>
      <c r="O368" s="336">
        <f>Gasto_o_ing_per_capita!O368-Gasto_o_ing_per_capita!$D368</f>
        <v>-5.557941970324598E-2</v>
      </c>
      <c r="P368" s="336">
        <f>Gasto_o_ing_per_capita!P368-Gasto_o_ing_per_capita!$D368</f>
        <v>1.2428957761376573</v>
      </c>
      <c r="Q368" s="336">
        <f>Gasto_o_ing_per_capita!Q368-Gasto_o_ing_per_capita!$D368</f>
        <v>-1.4669249405665497E-3</v>
      </c>
      <c r="R368" s="336">
        <f>Gasto_o_ing_per_capita!R368-Gasto_o_ing_per_capita!$D368</f>
        <v>-0.28679809784527216</v>
      </c>
      <c r="S368" s="336">
        <f>Gasto_o_ing_per_capita!S368-Gasto_o_ing_per_capita!$D368</f>
        <v>1.6052084786753129E-2</v>
      </c>
      <c r="T368" s="336">
        <f>Gasto_o_ing_per_capita!T368-Gasto_o_ing_per_capita!$D368</f>
        <v>6.7508659868934395E-2</v>
      </c>
      <c r="U368" s="336">
        <f>Gasto_o_ing_per_capita!U368-Gasto_o_ing_per_capita!$D368</f>
        <v>-0.22916994491890336</v>
      </c>
      <c r="V368" s="336">
        <f>Gasto_o_ing_per_capita!V368-Gasto_o_ing_per_capita!$D368</f>
        <v>-1.900526435972405E-2</v>
      </c>
      <c r="W368" s="122"/>
    </row>
    <row r="369" spans="1:23" s="104" customFormat="1" ht="13.15">
      <c r="A369" s="355" t="str">
        <f>IF(B369="","",(IF(ISERROR(MATCH(B369,Tot_res!C:C,0)),"Eliminar!!!","")))</f>
        <v/>
      </c>
      <c r="B369" s="119" t="s">
        <v>366</v>
      </c>
      <c r="C369" s="333" t="str">
        <f>VLOOKUP(B369,Tot_res!C:D,2,FALSE)</f>
        <v>Protección del patrimonio histórico + AF17/2</v>
      </c>
      <c r="D369" s="336">
        <f>Gasto_o_ing_per_capita!D369-Gasto_o_ing_per_capita!$D369</f>
        <v>0</v>
      </c>
      <c r="E369" s="336">
        <f>Gasto_o_ing_per_capita!E369-Gasto_o_ing_per_capita!$D369</f>
        <v>-7.9598270715828812E-3</v>
      </c>
      <c r="F369" s="336">
        <f>Gasto_o_ing_per_capita!F369-Gasto_o_ing_per_capita!$D369</f>
        <v>0.15949179274776648</v>
      </c>
      <c r="G369" s="336">
        <f>Gasto_o_ing_per_capita!G369-Gasto_o_ing_per_capita!$D369</f>
        <v>-8.1378035958614259E-2</v>
      </c>
      <c r="H369" s="336">
        <f>Gasto_o_ing_per_capita!H369-Gasto_o_ing_per_capita!$D369</f>
        <v>-7.9605878660720081E-2</v>
      </c>
      <c r="I369" s="336">
        <f>Gasto_o_ing_per_capita!I369-Gasto_o_ing_per_capita!$D369</f>
        <v>-7.6818650206965003E-2</v>
      </c>
      <c r="J369" s="336">
        <f>Gasto_o_ing_per_capita!J369-Gasto_o_ing_per_capita!$D369</f>
        <v>0.22494117480072501</v>
      </c>
      <c r="K369" s="336">
        <f>Gasto_o_ing_per_capita!K369-Gasto_o_ing_per_capita!$D369</f>
        <v>0.17282275827378774</v>
      </c>
      <c r="L369" s="336">
        <f>Gasto_o_ing_per_capita!L369-Gasto_o_ing_per_capita!$D369</f>
        <v>-5.6088117636294343E-2</v>
      </c>
      <c r="M369" s="336">
        <f>Gasto_o_ing_per_capita!M369-Gasto_o_ing_per_capita!$D369</f>
        <v>-6.3744407009423798E-2</v>
      </c>
      <c r="N369" s="336">
        <f>Gasto_o_ing_per_capita!N369-Gasto_o_ing_per_capita!$D369</f>
        <v>-8.7974237928299226E-2</v>
      </c>
      <c r="O369" s="336">
        <f>Gasto_o_ing_per_capita!O369-Gasto_o_ing_per_capita!$D369</f>
        <v>9.3062263896058539E-2</v>
      </c>
      <c r="P369" s="336">
        <f>Gasto_o_ing_per_capita!P369-Gasto_o_ing_per_capita!$D369</f>
        <v>-8.7170312195369193E-2</v>
      </c>
      <c r="Q369" s="336">
        <f>Gasto_o_ing_per_capita!Q369-Gasto_o_ing_per_capita!$D369</f>
        <v>0.11123640444474303</v>
      </c>
      <c r="R369" s="336">
        <f>Gasto_o_ing_per_capita!R369-Gasto_o_ing_per_capita!$D369</f>
        <v>8.1562941859505578E-2</v>
      </c>
      <c r="S369" s="336">
        <f>Gasto_o_ing_per_capita!S369-Gasto_o_ing_per_capita!$D369</f>
        <v>5.9017450527821258E-3</v>
      </c>
      <c r="T369" s="336">
        <f>Gasto_o_ing_per_capita!T369-Gasto_o_ing_per_capita!$D369</f>
        <v>7.4670717984268165E-3</v>
      </c>
      <c r="U369" s="336">
        <f>Gasto_o_ing_per_capita!U369-Gasto_o_ing_per_capita!$D369</f>
        <v>-0.10982245413078827</v>
      </c>
      <c r="V369" s="336">
        <f>Gasto_o_ing_per_capita!V369-Gasto_o_ing_per_capita!$D369</f>
        <v>-0.11665164638899476</v>
      </c>
      <c r="W369" s="122"/>
    </row>
    <row r="370" spans="1:23" s="104" customFormat="1" ht="13.15">
      <c r="A370" s="355" t="str">
        <f>IF(B370="","",(IF(ISERROR(MATCH(B370,Tot_res!C:C,0)),"Eliminar!!!","")))</f>
        <v/>
      </c>
      <c r="B370" s="119" t="s">
        <v>854</v>
      </c>
      <c r="C370" s="333" t="str">
        <f>VLOOKUP(B370,Tot_res!C:D,2,FALSE)</f>
        <v>Dirección y Servicios Generales de Economía y Hacienda, transferencias a RTVE</v>
      </c>
      <c r="D370" s="336">
        <f>Gasto_o_ing_per_capita!D370-Gasto_o_ing_per_capita!$D370</f>
        <v>0</v>
      </c>
      <c r="E370" s="336">
        <f>Gasto_o_ing_per_capita!E370-Gasto_o_ing_per_capita!$D370</f>
        <v>0</v>
      </c>
      <c r="F370" s="336">
        <f>Gasto_o_ing_per_capita!F370-Gasto_o_ing_per_capita!$D370</f>
        <v>0</v>
      </c>
      <c r="G370" s="336">
        <f>Gasto_o_ing_per_capita!G370-Gasto_o_ing_per_capita!$D370</f>
        <v>0</v>
      </c>
      <c r="H370" s="336">
        <f>Gasto_o_ing_per_capita!H370-Gasto_o_ing_per_capita!$D370</f>
        <v>0</v>
      </c>
      <c r="I370" s="336">
        <f>Gasto_o_ing_per_capita!I370-Gasto_o_ing_per_capita!$D370</f>
        <v>0</v>
      </c>
      <c r="J370" s="336">
        <f>Gasto_o_ing_per_capita!J370-Gasto_o_ing_per_capita!$D370</f>
        <v>0</v>
      </c>
      <c r="K370" s="336">
        <f>Gasto_o_ing_per_capita!K370-Gasto_o_ing_per_capita!$D370</f>
        <v>0</v>
      </c>
      <c r="L370" s="336">
        <f>Gasto_o_ing_per_capita!L370-Gasto_o_ing_per_capita!$D370</f>
        <v>0</v>
      </c>
      <c r="M370" s="336">
        <f>Gasto_o_ing_per_capita!M370-Gasto_o_ing_per_capita!$D370</f>
        <v>0</v>
      </c>
      <c r="N370" s="336">
        <f>Gasto_o_ing_per_capita!N370-Gasto_o_ing_per_capita!$D370</f>
        <v>0</v>
      </c>
      <c r="O370" s="336">
        <f>Gasto_o_ing_per_capita!O370-Gasto_o_ing_per_capita!$D370</f>
        <v>0</v>
      </c>
      <c r="P370" s="336">
        <f>Gasto_o_ing_per_capita!P370-Gasto_o_ing_per_capita!$D370</f>
        <v>0</v>
      </c>
      <c r="Q370" s="336">
        <f>Gasto_o_ing_per_capita!Q370-Gasto_o_ing_per_capita!$D370</f>
        <v>0</v>
      </c>
      <c r="R370" s="336">
        <f>Gasto_o_ing_per_capita!R370-Gasto_o_ing_per_capita!$D370</f>
        <v>0</v>
      </c>
      <c r="S370" s="336">
        <f>Gasto_o_ing_per_capita!S370-Gasto_o_ing_per_capita!$D370</f>
        <v>0</v>
      </c>
      <c r="T370" s="336">
        <f>Gasto_o_ing_per_capita!T370-Gasto_o_ing_per_capita!$D370</f>
        <v>0</v>
      </c>
      <c r="U370" s="336">
        <f>Gasto_o_ing_per_capita!U370-Gasto_o_ing_per_capita!$D370</f>
        <v>0</v>
      </c>
      <c r="V370" s="336">
        <f>Gasto_o_ing_per_capita!V370-Gasto_o_ing_per_capita!$D370</f>
        <v>0</v>
      </c>
      <c r="W370" s="122"/>
    </row>
    <row r="371" spans="1:23" s="104" customFormat="1" ht="13.15">
      <c r="A371" s="355" t="str">
        <f>IF(B371="","",(IF(ISERROR(MATCH(B371,Tot_res!C:C,0)),"Eliminar!!!","")))</f>
        <v/>
      </c>
      <c r="B371" s="119" t="s">
        <v>368</v>
      </c>
      <c r="C371" s="333" t="str">
        <f>VLOOKUP(B371,Tot_res!C:D,2,FALSE)</f>
        <v>Normalización lingüística + AF08</v>
      </c>
      <c r="D371" s="336">
        <f>Gasto_o_ing_per_capita!D371-Gasto_o_ing_per_capita!$D371</f>
        <v>0</v>
      </c>
      <c r="E371" s="336">
        <f>Gasto_o_ing_per_capita!E371-Gasto_o_ing_per_capita!$D371</f>
        <v>-3.9583386403065468</v>
      </c>
      <c r="F371" s="336">
        <f>Gasto_o_ing_per_capita!F371-Gasto_o_ing_per_capita!$D371</f>
        <v>-3.9583386403065468</v>
      </c>
      <c r="G371" s="336">
        <f>Gasto_o_ing_per_capita!G371-Gasto_o_ing_per_capita!$D371</f>
        <v>-3.9583386403065468</v>
      </c>
      <c r="H371" s="336">
        <f>Gasto_o_ing_per_capita!H371-Gasto_o_ing_per_capita!$D371</f>
        <v>14.179793056559145</v>
      </c>
      <c r="I371" s="336">
        <f>Gasto_o_ing_per_capita!I371-Gasto_o_ing_per_capita!$D371</f>
        <v>-3.9583386403065468</v>
      </c>
      <c r="J371" s="336">
        <f>Gasto_o_ing_per_capita!J371-Gasto_o_ing_per_capita!$D371</f>
        <v>-3.9583386403065468</v>
      </c>
      <c r="K371" s="336">
        <f>Gasto_o_ing_per_capita!K371-Gasto_o_ing_per_capita!$D371</f>
        <v>-3.9583386403065468</v>
      </c>
      <c r="L371" s="336">
        <f>Gasto_o_ing_per_capita!L371-Gasto_o_ing_per_capita!$D371</f>
        <v>-3.9583386403065468</v>
      </c>
      <c r="M371" s="336">
        <f>Gasto_o_ing_per_capita!M371-Gasto_o_ing_per_capita!$D371</f>
        <v>4.8200545168890887</v>
      </c>
      <c r="N371" s="336">
        <f>Gasto_o_ing_per_capita!N371-Gasto_o_ing_per_capita!$D371</f>
        <v>4.2110012663961065</v>
      </c>
      <c r="O371" s="336">
        <f>Gasto_o_ing_per_capita!O371-Gasto_o_ing_per_capita!$D371</f>
        <v>-3.9583386403065468</v>
      </c>
      <c r="P371" s="336">
        <f>Gasto_o_ing_per_capita!P371-Gasto_o_ing_per_capita!$D371</f>
        <v>7.2774186621148722</v>
      </c>
      <c r="Q371" s="336">
        <f>Gasto_o_ing_per_capita!Q371-Gasto_o_ing_per_capita!$D371</f>
        <v>-3.9583386403065468</v>
      </c>
      <c r="R371" s="336">
        <f>Gasto_o_ing_per_capita!R371-Gasto_o_ing_per_capita!$D371</f>
        <v>-3.9583386403065468</v>
      </c>
      <c r="S371" s="336">
        <f>Gasto_o_ing_per_capita!S371-Gasto_o_ing_per_capita!$D371</f>
        <v>5.6742692238971095</v>
      </c>
      <c r="T371" s="336">
        <f>Gasto_o_ing_per_capita!T371-Gasto_o_ing_per_capita!$D371</f>
        <v>5.6742692238971095</v>
      </c>
      <c r="U371" s="336">
        <f>Gasto_o_ing_per_capita!U371-Gasto_o_ing_per_capita!$D371</f>
        <v>-3.9583386403065468</v>
      </c>
      <c r="V371" s="336">
        <f>Gasto_o_ing_per_capita!V371-Gasto_o_ing_per_capita!$D371</f>
        <v>-3.9583386403065468</v>
      </c>
      <c r="W371" s="122"/>
    </row>
    <row r="372" spans="1:23" s="104" customFormat="1" ht="13.15">
      <c r="A372" s="355" t="str">
        <f>IF(B372="","",(IF(ISERROR(MATCH(B372,Tot_res!C:C,0)),"Eliminar!!!","")))</f>
        <v/>
      </c>
      <c r="B372" s="119" t="s">
        <v>369</v>
      </c>
      <c r="C372" s="333" t="str">
        <f>VLOOKUP(B372,Tot_res!C:D,2,FALSE)</f>
        <v>Aportación a la Iglesia Católica ligadas a la casilla del IRPF</v>
      </c>
      <c r="D372" s="336">
        <f>Gasto_o_ing_per_capita!D372-Gasto_o_ing_per_capita!$D372</f>
        <v>0</v>
      </c>
      <c r="E372" s="336">
        <f>Gasto_o_ing_per_capita!E372-Gasto_o_ing_per_capita!$D372</f>
        <v>0.11107129107362379</v>
      </c>
      <c r="F372" s="336">
        <f>Gasto_o_ing_per_capita!F372-Gasto_o_ing_per_capita!$D372</f>
        <v>0.61615048186071864</v>
      </c>
      <c r="G372" s="336">
        <f>Gasto_o_ing_per_capita!G372-Gasto_o_ing_per_capita!$D372</f>
        <v>0.43925635081863312</v>
      </c>
      <c r="H372" s="336">
        <f>Gasto_o_ing_per_capita!H372-Gasto_o_ing_per_capita!$D372</f>
        <v>-2.8861217374568149E-2</v>
      </c>
      <c r="I372" s="336">
        <f>Gasto_o_ing_per_capita!I372-Gasto_o_ing_per_capita!$D372</f>
        <v>0.40672823689407434</v>
      </c>
      <c r="J372" s="336">
        <f>Gasto_o_ing_per_capita!J372-Gasto_o_ing_per_capita!$D372</f>
        <v>5.3102135694993891E-2</v>
      </c>
      <c r="K372" s="336">
        <f>Gasto_o_ing_per_capita!K372-Gasto_o_ing_per_capita!$D372</f>
        <v>1.4897395412327148</v>
      </c>
      <c r="L372" s="336">
        <f>Gasto_o_ing_per_capita!L372-Gasto_o_ing_per_capita!$D372</f>
        <v>1.0016469507006827</v>
      </c>
      <c r="M372" s="336">
        <f>Gasto_o_ing_per_capita!M372-Gasto_o_ing_per_capita!$D372</f>
        <v>-1.4768811283160503</v>
      </c>
      <c r="N372" s="336">
        <f>Gasto_o_ing_per_capita!N372-Gasto_o_ing_per_capita!$D372</f>
        <v>-0.23154627611454615</v>
      </c>
      <c r="O372" s="336">
        <f>Gasto_o_ing_per_capita!O372-Gasto_o_ing_per_capita!$D372</f>
        <v>0.99261316836610991</v>
      </c>
      <c r="P372" s="336">
        <f>Gasto_o_ing_per_capita!P372-Gasto_o_ing_per_capita!$D372</f>
        <v>1.4438035428810219</v>
      </c>
      <c r="Q372" s="336">
        <f>Gasto_o_ing_per_capita!Q372-Gasto_o_ing_per_capita!$D372</f>
        <v>-0.47315399540230629</v>
      </c>
      <c r="R372" s="336">
        <f>Gasto_o_ing_per_capita!R372-Gasto_o_ing_per_capita!$D372</f>
        <v>1.3648008540684406</v>
      </c>
      <c r="S372" s="336">
        <f>Gasto_o_ing_per_capita!S372-Gasto_o_ing_per_capita!$D372</f>
        <v>0.10311237587594135</v>
      </c>
      <c r="T372" s="336">
        <f>Gasto_o_ing_per_capita!T372-Gasto_o_ing_per_capita!$D372</f>
        <v>-0.37442772341603092</v>
      </c>
      <c r="U372" s="336">
        <f>Gasto_o_ing_per_capita!U372-Gasto_o_ing_per_capita!$D372</f>
        <v>0.84731471981655204</v>
      </c>
      <c r="V372" s="336">
        <f>Gasto_o_ing_per_capita!V372-Gasto_o_ing_per_capita!$D372</f>
        <v>-0.86493996755516012</v>
      </c>
      <c r="W372" s="122"/>
    </row>
    <row r="373" spans="1:23" s="104" customFormat="1" ht="13.15">
      <c r="A373" s="355" t="str">
        <f>IF(B373="","",(IF(ISERROR(MATCH(B373,Tot_res!C:C,0)),"Eliminar!!!","")))</f>
        <v/>
      </c>
      <c r="B373" s="119" t="s">
        <v>857</v>
      </c>
      <c r="C373" s="333" t="str">
        <f>VLOOKUP(B373,Tot_res!C:D,2,FALSE)</f>
        <v>Ordenación y fomento de la edificación, actuaciones relacionadas con el 1% cultural</v>
      </c>
      <c r="D373" s="336">
        <f>Gasto_o_ing_per_capita!D373-Gasto_o_ing_per_capita!$D373</f>
        <v>0</v>
      </c>
      <c r="E373" s="336">
        <f>Gasto_o_ing_per_capita!E373-Gasto_o_ing_per_capita!$D373</f>
        <v>2.5651018915192669E-2</v>
      </c>
      <c r="F373" s="336">
        <f>Gasto_o_ing_per_capita!F373-Gasto_o_ing_per_capita!$D373</f>
        <v>1.0195225946187936E-2</v>
      </c>
      <c r="G373" s="336">
        <f>Gasto_o_ing_per_capita!G373-Gasto_o_ing_per_capita!$D373</f>
        <v>4.4007301252509123E-2</v>
      </c>
      <c r="H373" s="336">
        <f>Gasto_o_ing_per_capita!H373-Gasto_o_ing_per_capita!$D373</f>
        <v>0.42929414861254656</v>
      </c>
      <c r="I373" s="336">
        <f>Gasto_o_ing_per_capita!I373-Gasto_o_ing_per_capita!$D373</f>
        <v>-0.27434964250268179</v>
      </c>
      <c r="J373" s="336">
        <f>Gasto_o_ing_per_capita!J373-Gasto_o_ing_per_capita!$D373</f>
        <v>0.36420746337393106</v>
      </c>
      <c r="K373" s="336">
        <f>Gasto_o_ing_per_capita!K373-Gasto_o_ing_per_capita!$D373</f>
        <v>0.13249791361522445</v>
      </c>
      <c r="L373" s="336">
        <f>Gasto_o_ing_per_capita!L373-Gasto_o_ing_per_capita!$D373</f>
        <v>3.3872968751146038E-2</v>
      </c>
      <c r="M373" s="336">
        <f>Gasto_o_ing_per_capita!M373-Gasto_o_ing_per_capita!$D373</f>
        <v>0.23755287328213581</v>
      </c>
      <c r="N373" s="336">
        <f>Gasto_o_ing_per_capita!N373-Gasto_o_ing_per_capita!$D373</f>
        <v>-9.9447110457674653E-2</v>
      </c>
      <c r="O373" s="336">
        <f>Gasto_o_ing_per_capita!O373-Gasto_o_ing_per_capita!$D373</f>
        <v>2.4978830983864941E-2</v>
      </c>
      <c r="P373" s="336">
        <f>Gasto_o_ing_per_capita!P373-Gasto_o_ing_per_capita!$D373</f>
        <v>5.2728359939909597E-2</v>
      </c>
      <c r="Q373" s="336">
        <f>Gasto_o_ing_per_capita!Q373-Gasto_o_ing_per_capita!$D373</f>
        <v>-0.27239960253740308</v>
      </c>
      <c r="R373" s="336">
        <f>Gasto_o_ing_per_capita!R373-Gasto_o_ing_per_capita!$D373</f>
        <v>-0.27434964250268179</v>
      </c>
      <c r="S373" s="336">
        <f>Gasto_o_ing_per_capita!S373-Gasto_o_ing_per_capita!$D373</f>
        <v>-0.27434964250268179</v>
      </c>
      <c r="T373" s="336">
        <f>Gasto_o_ing_per_capita!T373-Gasto_o_ing_per_capita!$D373</f>
        <v>-0.27434964250268179</v>
      </c>
      <c r="U373" s="336">
        <f>Gasto_o_ing_per_capita!U373-Gasto_o_ing_per_capita!$D373</f>
        <v>-0.27434964250268179</v>
      </c>
      <c r="V373" s="336">
        <f>Gasto_o_ing_per_capita!V373-Gasto_o_ing_per_capita!$D373</f>
        <v>4.6330784918816459</v>
      </c>
      <c r="W373" s="122"/>
    </row>
    <row r="374" spans="1:23" ht="13.15">
      <c r="A374" s="356"/>
      <c r="B374" s="9"/>
      <c r="D374" s="19"/>
      <c r="E374" s="19"/>
      <c r="F374" s="19"/>
      <c r="G374" s="19"/>
      <c r="H374" s="19"/>
      <c r="I374" s="19"/>
      <c r="J374" s="19"/>
      <c r="K374" s="19"/>
      <c r="L374" s="19"/>
      <c r="M374" s="19"/>
      <c r="N374" s="19"/>
      <c r="O374" s="19"/>
      <c r="P374" s="19"/>
      <c r="Q374" s="19"/>
      <c r="R374" s="19"/>
      <c r="S374" s="19"/>
      <c r="T374" s="19"/>
      <c r="U374" s="19"/>
      <c r="V374" s="19"/>
      <c r="W374" s="2"/>
    </row>
    <row r="375" spans="1:23" s="102" customFormat="1" ht="13.15">
      <c r="A375" s="356"/>
      <c r="B375" s="115"/>
      <c r="C375" s="147" t="s">
        <v>68</v>
      </c>
      <c r="D375" s="110">
        <f>Gasto_o_ing_per_capita!D375-Gasto_o_ing_per_capita!$D375</f>
        <v>0</v>
      </c>
      <c r="E375" s="110">
        <f>Gasto_o_ing_per_capita!E375-Gasto_o_ing_per_capita!$D375</f>
        <v>-476.63085741904388</v>
      </c>
      <c r="F375" s="110">
        <f>Gasto_o_ing_per_capita!F375-Gasto_o_ing_per_capita!$D375</f>
        <v>425.15280356948824</v>
      </c>
      <c r="G375" s="110">
        <f>Gasto_o_ing_per_capita!G375-Gasto_o_ing_per_capita!$D375</f>
        <v>1723.6524859589813</v>
      </c>
      <c r="H375" s="110">
        <f>Gasto_o_ing_per_capita!H375-Gasto_o_ing_per_capita!$D375</f>
        <v>-694.65104062004411</v>
      </c>
      <c r="I375" s="110">
        <f>Gasto_o_ing_per_capita!I375-Gasto_o_ing_per_capita!$D375</f>
        <v>-835.03214542099431</v>
      </c>
      <c r="J375" s="110">
        <f>Gasto_o_ing_per_capita!J375-Gasto_o_ing_per_capita!$D375</f>
        <v>545.05222660579466</v>
      </c>
      <c r="K375" s="110">
        <f>Gasto_o_ing_per_capita!K375-Gasto_o_ing_per_capita!$D375</f>
        <v>559.52495041067823</v>
      </c>
      <c r="L375" s="110">
        <f>Gasto_o_ing_per_capita!L375-Gasto_o_ing_per_capita!$D375</f>
        <v>-448.13018071804117</v>
      </c>
      <c r="M375" s="110">
        <f>Gasto_o_ing_per_capita!M375-Gasto_o_ing_per_capita!$D375</f>
        <v>282.72622362717539</v>
      </c>
      <c r="N375" s="110">
        <f>Gasto_o_ing_per_capita!N375-Gasto_o_ing_per_capita!$D375</f>
        <v>-387.99166489458503</v>
      </c>
      <c r="O375" s="110">
        <f>Gasto_o_ing_per_capita!O375-Gasto_o_ing_per_capita!$D375</f>
        <v>-299.52511558752258</v>
      </c>
      <c r="P375" s="110">
        <f>Gasto_o_ing_per_capita!P375-Gasto_o_ing_per_capita!$D375</f>
        <v>471.44782677931789</v>
      </c>
      <c r="Q375" s="110">
        <f>Gasto_o_ing_per_capita!Q375-Gasto_o_ing_per_capita!$D375</f>
        <v>99.809829176654148</v>
      </c>
      <c r="R375" s="110">
        <f>Gasto_o_ing_per_capita!R375-Gasto_o_ing_per_capita!$D375</f>
        <v>-619.14105278492798</v>
      </c>
      <c r="S375" s="110">
        <f>Gasto_o_ing_per_capita!S375-Gasto_o_ing_per_capita!$D375</f>
        <v>319.7288887766299</v>
      </c>
      <c r="T375" s="110">
        <f>Gasto_o_ing_per_capita!T375-Gasto_o_ing_per_capita!$D375</f>
        <v>1112.895886650274</v>
      </c>
      <c r="U375" s="110">
        <f>Gasto_o_ing_per_capita!U375-Gasto_o_ing_per_capita!$D375</f>
        <v>34.971722618672629</v>
      </c>
      <c r="V375" s="110">
        <f>Gasto_o_ing_per_capita!V375-Gasto_o_ing_per_capita!$D375</f>
        <v>-1029.792540650601</v>
      </c>
      <c r="W375" s="105"/>
    </row>
    <row r="376" spans="1:23" s="102" customFormat="1" ht="13.15">
      <c r="A376" s="356"/>
      <c r="B376" s="115"/>
      <c r="D376" s="110"/>
      <c r="E376" s="110"/>
      <c r="F376" s="110"/>
      <c r="G376" s="110"/>
      <c r="H376" s="110"/>
      <c r="I376" s="110"/>
      <c r="J376" s="110"/>
      <c r="K376" s="110"/>
      <c r="L376" s="110"/>
      <c r="M376" s="110"/>
      <c r="N376" s="110"/>
      <c r="O376" s="110"/>
      <c r="P376" s="110"/>
      <c r="Q376" s="110"/>
      <c r="R376" s="110"/>
      <c r="S376" s="110"/>
      <c r="T376" s="110"/>
      <c r="U376" s="110"/>
      <c r="V376" s="110"/>
      <c r="W376" s="105"/>
    </row>
    <row r="377" spans="1:23" s="102" customFormat="1" ht="13.15">
      <c r="A377" s="356"/>
      <c r="B377" s="115"/>
      <c r="C377" s="117" t="s">
        <v>3</v>
      </c>
      <c r="D377" s="113">
        <f>Gasto_o_ing_per_capita!D377-Gasto_o_ing_per_capita!$D377</f>
        <v>0</v>
      </c>
      <c r="E377" s="113">
        <f>Gasto_o_ing_per_capita!E377-Gasto_o_ing_per_capita!$D377</f>
        <v>-476.47788376450444</v>
      </c>
      <c r="F377" s="113">
        <f>Gasto_o_ing_per_capita!F377-Gasto_o_ing_per_capita!$D377</f>
        <v>427.64644131633577</v>
      </c>
      <c r="G377" s="113">
        <f>Gasto_o_ing_per_capita!G377-Gasto_o_ing_per_capita!$D377</f>
        <v>1712.1185058848973</v>
      </c>
      <c r="H377" s="113">
        <f>Gasto_o_ing_per_capita!H377-Gasto_o_ing_per_capita!$D377</f>
        <v>-685.01366760041174</v>
      </c>
      <c r="I377" s="113">
        <f>Gasto_o_ing_per_capita!I377-Gasto_o_ing_per_capita!$D377</f>
        <v>-812.9555316746978</v>
      </c>
      <c r="J377" s="113">
        <f>Gasto_o_ing_per_capita!J377-Gasto_o_ing_per_capita!$D377</f>
        <v>524.87340183088281</v>
      </c>
      <c r="K377" s="113">
        <f>Gasto_o_ing_per_capita!K377-Gasto_o_ing_per_capita!$D377</f>
        <v>542.96311541049317</v>
      </c>
      <c r="L377" s="113">
        <f>Gasto_o_ing_per_capita!L377-Gasto_o_ing_per_capita!$D377</f>
        <v>-446.22845146206282</v>
      </c>
      <c r="M377" s="113">
        <f>Gasto_o_ing_per_capita!M377-Gasto_o_ing_per_capita!$D377</f>
        <v>280.8266199399468</v>
      </c>
      <c r="N377" s="113">
        <f>Gasto_o_ing_per_capita!N377-Gasto_o_ing_per_capita!$D377</f>
        <v>-371.04257540117942</v>
      </c>
      <c r="O377" s="113">
        <f>Gasto_o_ing_per_capita!O377-Gasto_o_ing_per_capita!$D377</f>
        <v>-304.713364108105</v>
      </c>
      <c r="P377" s="113">
        <f>Gasto_o_ing_per_capita!P377-Gasto_o_ing_per_capita!$D377</f>
        <v>464.59301950207873</v>
      </c>
      <c r="Q377" s="113">
        <f>Gasto_o_ing_per_capita!Q377-Gasto_o_ing_per_capita!$D377</f>
        <v>102.3036863428265</v>
      </c>
      <c r="R377" s="113">
        <f>Gasto_o_ing_per_capita!R377-Gasto_o_ing_per_capita!$D377</f>
        <v>-623.36403465326975</v>
      </c>
      <c r="S377" s="113">
        <f>Gasto_o_ing_per_capita!S377-Gasto_o_ing_per_capita!$D377</f>
        <v>325.10026604177074</v>
      </c>
      <c r="T377" s="113">
        <f>Gasto_o_ing_per_capita!T377-Gasto_o_ing_per_capita!$D377</f>
        <v>1094.1698399524271</v>
      </c>
      <c r="U377" s="113">
        <f>Gasto_o_ing_per_capita!U377-Gasto_o_ing_per_capita!$D377</f>
        <v>21.721824121450936</v>
      </c>
      <c r="V377" s="113">
        <f>Gasto_o_ing_per_capita!V377-Gasto_o_ing_per_capita!$D377</f>
        <v>-1119.4216926594077</v>
      </c>
      <c r="W377" s="105"/>
    </row>
    <row r="378" spans="1:23" s="102" customFormat="1" ht="13.15">
      <c r="A378" s="355" t="str">
        <f>IF(B378="","",(IF(ISERROR(MATCH(B378,Tot_res!C:C,0)),"Eliminar!!!","")))</f>
        <v/>
      </c>
      <c r="B378" s="115" t="s">
        <v>370</v>
      </c>
      <c r="C378" s="333" t="str">
        <f>VLOOKUP(B378,Tot_res!C:D,2,FALSE)</f>
        <v>Pensiones de clases pasivas</v>
      </c>
      <c r="D378" s="336">
        <f>Gasto_o_ing_per_capita!D378-Gasto_o_ing_per_capita!$D378</f>
        <v>0</v>
      </c>
      <c r="E378" s="336">
        <f>Gasto_o_ing_per_capita!E378-Gasto_o_ing_per_capita!$D378</f>
        <v>26.620170381057818</v>
      </c>
      <c r="F378" s="336">
        <f>Gasto_o_ing_per_capita!F378-Gasto_o_ing_per_capita!$D378</f>
        <v>73.625939232282434</v>
      </c>
      <c r="G378" s="336">
        <f>Gasto_o_ing_per_capita!G378-Gasto_o_ing_per_capita!$D378</f>
        <v>47.048942825494663</v>
      </c>
      <c r="H378" s="336">
        <f>Gasto_o_ing_per_capita!H378-Gasto_o_ing_per_capita!$D378</f>
        <v>-91.512957748177314</v>
      </c>
      <c r="I378" s="336">
        <f>Gasto_o_ing_per_capita!I378-Gasto_o_ing_per_capita!$D378</f>
        <v>-27.655262779495899</v>
      </c>
      <c r="J378" s="336">
        <f>Gasto_o_ing_per_capita!J378-Gasto_o_ing_per_capita!$D378</f>
        <v>-3.0902294100972938</v>
      </c>
      <c r="K378" s="336">
        <f>Gasto_o_ing_per_capita!K378-Gasto_o_ing_per_capita!$D378</f>
        <v>165.66275247888203</v>
      </c>
      <c r="L378" s="336">
        <f>Gasto_o_ing_per_capita!L378-Gasto_o_ing_per_capita!$D378</f>
        <v>-16.999880595481358</v>
      </c>
      <c r="M378" s="336">
        <f>Gasto_o_ing_per_capita!M378-Gasto_o_ing_per_capita!$D378</f>
        <v>-116.69268568256274</v>
      </c>
      <c r="N378" s="336">
        <f>Gasto_o_ing_per_capita!N378-Gasto_o_ing_per_capita!$D378</f>
        <v>-58.371848767395591</v>
      </c>
      <c r="O378" s="336">
        <f>Gasto_o_ing_per_capita!O378-Gasto_o_ing_per_capita!$D378</f>
        <v>87.535214863001471</v>
      </c>
      <c r="P378" s="336">
        <f>Gasto_o_ing_per_capita!P378-Gasto_o_ing_per_capita!$D378</f>
        <v>57.834175162210073</v>
      </c>
      <c r="Q378" s="336">
        <f>Gasto_o_ing_per_capita!Q378-Gasto_o_ing_per_capita!$D378</f>
        <v>81.37714879967254</v>
      </c>
      <c r="R378" s="336">
        <f>Gasto_o_ing_per_capita!R378-Gasto_o_ing_per_capita!$D378</f>
        <v>29.814730315274034</v>
      </c>
      <c r="S378" s="336">
        <f>Gasto_o_ing_per_capita!S378-Gasto_o_ing_per_capita!$D378</f>
        <v>-68.880558581563548</v>
      </c>
      <c r="T378" s="336">
        <f>Gasto_o_ing_per_capita!T378-Gasto_o_ing_per_capita!$D378</f>
        <v>-117.03420182027313</v>
      </c>
      <c r="U378" s="336">
        <f>Gasto_o_ing_per_capita!U378-Gasto_o_ing_per_capita!$D378</f>
        <v>40.126527302989615</v>
      </c>
      <c r="V378" s="336">
        <f>Gasto_o_ing_per_capita!V378-Gasto_o_ing_per_capita!$D378</f>
        <v>266.36166683673173</v>
      </c>
      <c r="W378" s="105"/>
    </row>
    <row r="379" spans="1:23" s="102" customFormat="1" ht="13.15">
      <c r="A379" s="355" t="str">
        <f>IF(B379="","",(IF(ISERROR(MATCH(B379,Tot_res!C:C,0)),"Eliminar!!!","")))</f>
        <v/>
      </c>
      <c r="B379" s="115" t="s">
        <v>371</v>
      </c>
      <c r="C379" s="333" t="str">
        <f>VLOOKUP(B379,Tot_res!C:D,2,FALSE)</f>
        <v>Otras pensiones y prestac. de clases pasivas</v>
      </c>
      <c r="D379" s="336">
        <f>Gasto_o_ing_per_capita!D379-Gasto_o_ing_per_capita!$D379</f>
        <v>0</v>
      </c>
      <c r="E379" s="336">
        <f>Gasto_o_ing_per_capita!E379-Gasto_o_ing_per_capita!$D379</f>
        <v>-0.46357686626820382</v>
      </c>
      <c r="F379" s="336">
        <f>Gasto_o_ing_per_capita!F379-Gasto_o_ing_per_capita!$D379</f>
        <v>-0.56537056107878225</v>
      </c>
      <c r="G379" s="336">
        <f>Gasto_o_ing_per_capita!G379-Gasto_o_ing_per_capita!$D379</f>
        <v>-0.52221640943275305</v>
      </c>
      <c r="H379" s="336">
        <f>Gasto_o_ing_per_capita!H379-Gasto_o_ing_per_capita!$D379</f>
        <v>-0.65150957658018727</v>
      </c>
      <c r="I379" s="336">
        <f>Gasto_o_ing_per_capita!I379-Gasto_o_ing_per_capita!$D379</f>
        <v>3.6029981488620502</v>
      </c>
      <c r="J379" s="336">
        <f>Gasto_o_ing_per_capita!J379-Gasto_o_ing_per_capita!$D379</f>
        <v>-0.48420136378569423</v>
      </c>
      <c r="K379" s="336">
        <f>Gasto_o_ing_per_capita!K379-Gasto_o_ing_per_capita!$D379</f>
        <v>-0.52753007645366823</v>
      </c>
      <c r="L379" s="336">
        <f>Gasto_o_ing_per_capita!L379-Gasto_o_ing_per_capita!$D379</f>
        <v>-0.47974964706200035</v>
      </c>
      <c r="M379" s="336">
        <f>Gasto_o_ing_per_capita!M379-Gasto_o_ing_per_capita!$D379</f>
        <v>-0.59283887068781249</v>
      </c>
      <c r="N379" s="336">
        <f>Gasto_o_ing_per_capita!N379-Gasto_o_ing_per_capita!$D379</f>
        <v>-0.59513388810905221</v>
      </c>
      <c r="O379" s="336">
        <f>Gasto_o_ing_per_capita!O379-Gasto_o_ing_per_capita!$D379</f>
        <v>-0.49779989024937621</v>
      </c>
      <c r="P379" s="336">
        <f>Gasto_o_ing_per_capita!P379-Gasto_o_ing_per_capita!$D379</f>
        <v>-0.53701577734008954</v>
      </c>
      <c r="Q379" s="336">
        <f>Gasto_o_ing_per_capita!Q379-Gasto_o_ing_per_capita!$D379</f>
        <v>1.9313886456747691</v>
      </c>
      <c r="R379" s="336">
        <f>Gasto_o_ing_per_capita!R379-Gasto_o_ing_per_capita!$D379</f>
        <v>-0.53315681495898293</v>
      </c>
      <c r="S379" s="336">
        <f>Gasto_o_ing_per_capita!S379-Gasto_o_ing_per_capita!$D379</f>
        <v>-0.69754490647115208</v>
      </c>
      <c r="T379" s="336">
        <f>Gasto_o_ing_per_capita!T379-Gasto_o_ing_per_capita!$D379</f>
        <v>-0.41196614750918553</v>
      </c>
      <c r="U379" s="336">
        <f>Gasto_o_ing_per_capita!U379-Gasto_o_ing_per_capita!$D379</f>
        <v>-0.56232131226612436</v>
      </c>
      <c r="V379" s="336">
        <f>Gasto_o_ing_per_capita!V379-Gasto_o_ing_per_capita!$D379</f>
        <v>1.5185609824198452</v>
      </c>
      <c r="W379" s="105"/>
    </row>
    <row r="380" spans="1:23" s="102" customFormat="1" ht="13.15">
      <c r="A380" s="355" t="str">
        <f>IF(B380="","",(IF(ISERROR(MATCH(B380,Tot_res!C:C,0)),"Eliminar!!!","")))</f>
        <v/>
      </c>
      <c r="B380" s="115" t="s">
        <v>372</v>
      </c>
      <c r="C380" s="333" t="str">
        <f>VLOOKUP(B380,Tot_res!C:D,2,FALSE)</f>
        <v>Pensiones no contrib. y prestac. asistenciales</v>
      </c>
      <c r="D380" s="336">
        <f>Gasto_o_ing_per_capita!D380-Gasto_o_ing_per_capita!$D380</f>
        <v>0</v>
      </c>
      <c r="E380" s="336">
        <f>Gasto_o_ing_per_capita!E380-Gasto_o_ing_per_capita!$D380</f>
        <v>0.55886362177437365</v>
      </c>
      <c r="F380" s="336">
        <f>Gasto_o_ing_per_capita!F380-Gasto_o_ing_per_capita!$D380</f>
        <v>-0.27883887273540497</v>
      </c>
      <c r="G380" s="336">
        <f>Gasto_o_ing_per_capita!G380-Gasto_o_ing_per_capita!$D380</f>
        <v>-0.27504795081447664</v>
      </c>
      <c r="H380" s="336">
        <f>Gasto_o_ing_per_capita!H380-Gasto_o_ing_per_capita!$D380</f>
        <v>-0.29690558341216006</v>
      </c>
      <c r="I380" s="336">
        <f>Gasto_o_ing_per_capita!I380-Gasto_o_ing_per_capita!$D380</f>
        <v>1.5708551342106678</v>
      </c>
      <c r="J380" s="336">
        <f>Gasto_o_ing_per_capita!J380-Gasto_o_ing_per_capita!$D380</f>
        <v>-0.17890168857908445</v>
      </c>
      <c r="K380" s="336">
        <f>Gasto_o_ing_per_capita!K380-Gasto_o_ing_per_capita!$D380</f>
        <v>-0.25961158441636178</v>
      </c>
      <c r="L380" s="336">
        <f>Gasto_o_ing_per_capita!L380-Gasto_o_ing_per_capita!$D380</f>
        <v>-0.1089543196567829</v>
      </c>
      <c r="M380" s="336">
        <f>Gasto_o_ing_per_capita!M380-Gasto_o_ing_per_capita!$D380</f>
        <v>-0.30210581320799385</v>
      </c>
      <c r="N380" s="336">
        <f>Gasto_o_ing_per_capita!N380-Gasto_o_ing_per_capita!$D380</f>
        <v>-0.1366315943612498</v>
      </c>
      <c r="O380" s="336">
        <f>Gasto_o_ing_per_capita!O380-Gasto_o_ing_per_capita!$D380</f>
        <v>-0.17251218119092743</v>
      </c>
      <c r="P380" s="336">
        <f>Gasto_o_ing_per_capita!P380-Gasto_o_ing_per_capita!$D380</f>
        <v>-0.3015117009110268</v>
      </c>
      <c r="Q380" s="336">
        <f>Gasto_o_ing_per_capita!Q380-Gasto_o_ing_per_capita!$D380</f>
        <v>-0.11950532148054904</v>
      </c>
      <c r="R380" s="336">
        <f>Gasto_o_ing_per_capita!R380-Gasto_o_ing_per_capita!$D380</f>
        <v>-0.17289786892238732</v>
      </c>
      <c r="S380" s="336">
        <f>Gasto_o_ing_per_capita!S380-Gasto_o_ing_per_capita!$D380</f>
        <v>-0.3051984228842663</v>
      </c>
      <c r="T380" s="336">
        <f>Gasto_o_ing_per_capita!T380-Gasto_o_ing_per_capita!$D380</f>
        <v>-0.31034600906374671</v>
      </c>
      <c r="U380" s="336">
        <f>Gasto_o_ing_per_capita!U380-Gasto_o_ing_per_capita!$D380</f>
        <v>-0.31034600906374671</v>
      </c>
      <c r="V380" s="336">
        <f>Gasto_o_ing_per_capita!V380-Gasto_o_ing_per_capita!$D380</f>
        <v>-0.31034600906374671</v>
      </c>
      <c r="W380" s="114"/>
    </row>
    <row r="381" spans="1:23" s="102" customFormat="1" ht="13.15">
      <c r="A381" s="355" t="str">
        <f>IF(B381="","",(IF(ISERROR(MATCH(B381,Tot_res!C:C,0)),"Eliminar!!!","")))</f>
        <v/>
      </c>
      <c r="B381" s="115" t="s">
        <v>373</v>
      </c>
      <c r="C381" s="333" t="str">
        <f>VLOOKUP(B381,Tot_res!C:D,2,FALSE)</f>
        <v>Pensiones de guerra</v>
      </c>
      <c r="D381" s="336">
        <f>Gasto_o_ing_per_capita!D381-Gasto_o_ing_per_capita!$D381</f>
        <v>0</v>
      </c>
      <c r="E381" s="336">
        <f>Gasto_o_ing_per_capita!E381-Gasto_o_ing_per_capita!$D381</f>
        <v>-2.8079192901270793</v>
      </c>
      <c r="F381" s="336">
        <f>Gasto_o_ing_per_capita!F381-Gasto_o_ing_per_capita!$D381</f>
        <v>0.9434930895503042</v>
      </c>
      <c r="G381" s="336">
        <f>Gasto_o_ing_per_capita!G381-Gasto_o_ing_per_capita!$D381</f>
        <v>3.3168784506370264</v>
      </c>
      <c r="H381" s="336">
        <f>Gasto_o_ing_per_capita!H381-Gasto_o_ing_per_capita!$D381</f>
        <v>-3.7631746487294246</v>
      </c>
      <c r="I381" s="336">
        <f>Gasto_o_ing_per_capita!I381-Gasto_o_ing_per_capita!$D381</f>
        <v>-5.5463507918230812</v>
      </c>
      <c r="J381" s="336">
        <f>Gasto_o_ing_per_capita!J381-Gasto_o_ing_per_capita!$D381</f>
        <v>1.350384552851672</v>
      </c>
      <c r="K381" s="336">
        <f>Gasto_o_ing_per_capita!K381-Gasto_o_ing_per_capita!$D381</f>
        <v>-3.1319259422923746</v>
      </c>
      <c r="L381" s="336">
        <f>Gasto_o_ing_per_capita!L381-Gasto_o_ing_per_capita!$D381</f>
        <v>0.25867319773320485</v>
      </c>
      <c r="M381" s="336">
        <f>Gasto_o_ing_per_capita!M381-Gasto_o_ing_per_capita!$D381</f>
        <v>2.1013388153571073</v>
      </c>
      <c r="N381" s="336">
        <f>Gasto_o_ing_per_capita!N381-Gasto_o_ing_per_capita!$D381</f>
        <v>2.4997988150022872</v>
      </c>
      <c r="O381" s="336">
        <f>Gasto_o_ing_per_capita!O381-Gasto_o_ing_per_capita!$D381</f>
        <v>-1.8779669924680418</v>
      </c>
      <c r="P381" s="336">
        <f>Gasto_o_ing_per_capita!P381-Gasto_o_ing_per_capita!$D381</f>
        <v>-4.579603797749682</v>
      </c>
      <c r="Q381" s="336">
        <f>Gasto_o_ing_per_capita!Q381-Gasto_o_ing_per_capita!$D381</f>
        <v>5.0305088675630385</v>
      </c>
      <c r="R381" s="336">
        <f>Gasto_o_ing_per_capita!R381-Gasto_o_ing_per_capita!$D381</f>
        <v>0.24175579123137592</v>
      </c>
      <c r="S381" s="336">
        <f>Gasto_o_ing_per_capita!S381-Gasto_o_ing_per_capita!$D381</f>
        <v>-3.7402448472832779</v>
      </c>
      <c r="T381" s="336">
        <f>Gasto_o_ing_per_capita!T381-Gasto_o_ing_per_capita!$D381</f>
        <v>-0.45571602454684879</v>
      </c>
      <c r="U381" s="336">
        <f>Gasto_o_ing_per_capita!U381-Gasto_o_ing_per_capita!$D381</f>
        <v>-3.8062962546162744</v>
      </c>
      <c r="V381" s="336">
        <f>Gasto_o_ing_per_capita!V381-Gasto_o_ing_per_capita!$D381</f>
        <v>-5.005328249731603</v>
      </c>
      <c r="W381" s="105"/>
    </row>
    <row r="382" spans="1:23" s="102" customFormat="1" ht="13.15">
      <c r="A382" s="355" t="str">
        <f>IF(B382="","",(IF(ISERROR(MATCH(B382,Tot_res!C:C,0)),"Eliminar!!!","")))</f>
        <v/>
      </c>
      <c r="B382" s="115" t="s">
        <v>374</v>
      </c>
      <c r="C382" s="333" t="str">
        <f>VLOOKUP(B382,Tot_res!C:D,2,FALSE)</f>
        <v>Gestión de pensiones de clases pasivas</v>
      </c>
      <c r="D382" s="336">
        <f>Gasto_o_ing_per_capita!D382-Gasto_o_ing_per_capita!$D382</f>
        <v>0</v>
      </c>
      <c r="E382" s="336">
        <f>Gasto_o_ing_per_capita!E382-Gasto_o_ing_per_capita!$D382</f>
        <v>1.261514418686302E-2</v>
      </c>
      <c r="F382" s="336">
        <f>Gasto_o_ing_per_capita!F382-Gasto_o_ing_per_capita!$D382</f>
        <v>3.9983936584258889E-2</v>
      </c>
      <c r="G382" s="336">
        <f>Gasto_o_ing_per_capita!G382-Gasto_o_ing_per_capita!$D382</f>
        <v>2.6930191244960155E-2</v>
      </c>
      <c r="H382" s="336">
        <f>Gasto_o_ing_per_capita!H382-Gasto_o_ing_per_capita!$D382</f>
        <v>-5.1829111295881275E-2</v>
      </c>
      <c r="I382" s="336">
        <f>Gasto_o_ing_per_capita!I382-Gasto_o_ing_per_capita!$D382</f>
        <v>-1.5991948737346218E-2</v>
      </c>
      <c r="J382" s="336">
        <f>Gasto_o_ing_per_capita!J382-Gasto_o_ing_per_capita!$D382</f>
        <v>-1.2016384093843646E-3</v>
      </c>
      <c r="K382" s="336">
        <f>Gasto_o_ing_per_capita!K382-Gasto_o_ing_per_capita!$D382</f>
        <v>8.7529378496061711E-2</v>
      </c>
      <c r="L382" s="336">
        <f>Gasto_o_ing_per_capita!L382-Gasto_o_ing_per_capita!$D382</f>
        <v>-9.3043765168724091E-3</v>
      </c>
      <c r="M382" s="336">
        <f>Gasto_o_ing_per_capita!M382-Gasto_o_ing_per_capita!$D382</f>
        <v>-6.2233302719822248E-2</v>
      </c>
      <c r="N382" s="336">
        <f>Gasto_o_ing_per_capita!N382-Gasto_o_ing_per_capita!$D382</f>
        <v>-3.0508869973508462E-2</v>
      </c>
      <c r="O382" s="336">
        <f>Gasto_o_ing_per_capita!O382-Gasto_o_ing_per_capita!$D382</f>
        <v>4.601112272191421E-2</v>
      </c>
      <c r="P382" s="336">
        <f>Gasto_o_ing_per_capita!P382-Gasto_o_ing_per_capita!$D382</f>
        <v>2.8482969033334943E-2</v>
      </c>
      <c r="Q382" s="336">
        <f>Gasto_o_ing_per_capita!Q382-Gasto_o_ing_per_capita!$D382</f>
        <v>4.772904002361783E-2</v>
      </c>
      <c r="R382" s="336">
        <f>Gasto_o_ing_per_capita!R382-Gasto_o_ing_per_capita!$D382</f>
        <v>1.5951272106734693E-2</v>
      </c>
      <c r="S382" s="336">
        <f>Gasto_o_ing_per_capita!S382-Gasto_o_ing_per_capita!$D382</f>
        <v>-3.9613449864134689E-2</v>
      </c>
      <c r="T382" s="336">
        <f>Gasto_o_ing_per_capita!T382-Gasto_o_ing_per_capita!$D382</f>
        <v>-6.3701658267816472E-2</v>
      </c>
      <c r="U382" s="336">
        <f>Gasto_o_ing_per_capita!U382-Gasto_o_ing_per_capita!$D382</f>
        <v>1.9319777337308081E-2</v>
      </c>
      <c r="V382" s="336">
        <f>Gasto_o_ing_per_capita!V382-Gasto_o_ing_per_capita!$D382</f>
        <v>0.14202968139717981</v>
      </c>
      <c r="W382" s="105"/>
    </row>
    <row r="383" spans="1:23" s="102" customFormat="1" ht="13.15">
      <c r="A383" s="355" t="str">
        <f>IF(B383="","",(IF(ISERROR(MATCH(B383,Tot_res!C:C,0)),"Eliminar!!!","")))</f>
        <v/>
      </c>
      <c r="B383" s="115" t="s">
        <v>375</v>
      </c>
      <c r="C383" s="333" t="str">
        <f>VLOOKUP(B383,Tot_res!C:D,2,FALSE)</f>
        <v>Prestaciones económicas del mutualismo administrativo</v>
      </c>
      <c r="D383" s="336">
        <f>Gasto_o_ing_per_capita!D383-Gasto_o_ing_per_capita!$D383</f>
        <v>0</v>
      </c>
      <c r="E383" s="336">
        <f>Gasto_o_ing_per_capita!E383-Gasto_o_ing_per_capita!$D383</f>
        <v>0.8604973269595817</v>
      </c>
      <c r="F383" s="336">
        <f>Gasto_o_ing_per_capita!F383-Gasto_o_ing_per_capita!$D383</f>
        <v>1.9753032206424379</v>
      </c>
      <c r="G383" s="336">
        <f>Gasto_o_ing_per_capita!G383-Gasto_o_ing_per_capita!$D383</f>
        <v>0.33237361659251263</v>
      </c>
      <c r="H383" s="336">
        <f>Gasto_o_ing_per_capita!H383-Gasto_o_ing_per_capita!$D383</f>
        <v>-1.6211532050892448</v>
      </c>
      <c r="I383" s="336">
        <f>Gasto_o_ing_per_capita!I383-Gasto_o_ing_per_capita!$D383</f>
        <v>-1.7351850659694357E-2</v>
      </c>
      <c r="J383" s="336">
        <f>Gasto_o_ing_per_capita!J383-Gasto_o_ing_per_capita!$D383</f>
        <v>-0.28526510582937536</v>
      </c>
      <c r="K383" s="336">
        <f>Gasto_o_ing_per_capita!K383-Gasto_o_ing_per_capita!$D383</f>
        <v>3.1495619841925588</v>
      </c>
      <c r="L383" s="336">
        <f>Gasto_o_ing_per_capita!L383-Gasto_o_ing_per_capita!$D383</f>
        <v>8.9609004941655357E-2</v>
      </c>
      <c r="M383" s="336">
        <f>Gasto_o_ing_per_capita!M383-Gasto_o_ing_per_capita!$D383</f>
        <v>-3.0424052248596984</v>
      </c>
      <c r="N383" s="336">
        <f>Gasto_o_ing_per_capita!N383-Gasto_o_ing_per_capita!$D383</f>
        <v>-1.1291603182513246</v>
      </c>
      <c r="O383" s="336">
        <f>Gasto_o_ing_per_capita!O383-Gasto_o_ing_per_capita!$D383</f>
        <v>1.9777285856622377</v>
      </c>
      <c r="P383" s="336">
        <f>Gasto_o_ing_per_capita!P383-Gasto_o_ing_per_capita!$D383</f>
        <v>1.2737015423061706</v>
      </c>
      <c r="Q383" s="336">
        <f>Gasto_o_ing_per_capita!Q383-Gasto_o_ing_per_capita!$D383</f>
        <v>1.9478802231778687</v>
      </c>
      <c r="R383" s="336">
        <f>Gasto_o_ing_per_capita!R383-Gasto_o_ing_per_capita!$D383</f>
        <v>0.90997341841056922</v>
      </c>
      <c r="S383" s="336">
        <f>Gasto_o_ing_per_capita!S383-Gasto_o_ing_per_capita!$D383</f>
        <v>-2.031691768585004</v>
      </c>
      <c r="T383" s="336">
        <f>Gasto_o_ing_per_capita!T383-Gasto_o_ing_per_capita!$D383</f>
        <v>-3.9243762542678899</v>
      </c>
      <c r="U383" s="336">
        <f>Gasto_o_ing_per_capita!U383-Gasto_o_ing_per_capita!$D383</f>
        <v>0.23444623261544972</v>
      </c>
      <c r="V383" s="336">
        <f>Gasto_o_ing_per_capita!V383-Gasto_o_ing_per_capita!$D383</f>
        <v>14.839448414643709</v>
      </c>
      <c r="W383" s="105"/>
    </row>
    <row r="384" spans="1:23" s="102" customFormat="1" ht="13.15">
      <c r="A384" s="355" t="str">
        <f>IF(B384="","",(IF(ISERROR(MATCH(B384,Tot_res!C:C,0)),"Eliminar!!!","")))</f>
        <v/>
      </c>
      <c r="B384" s="115" t="s">
        <v>377</v>
      </c>
      <c r="C384" s="333" t="str">
        <f>VLOOKUP(B384,Tot_res!C:D,2,FALSE)</f>
        <v>Prestaciones de garantía salarial</v>
      </c>
      <c r="D384" s="336">
        <f>Gasto_o_ing_per_capita!D384-Gasto_o_ing_per_capita!$D384</f>
        <v>0</v>
      </c>
      <c r="E384" s="336">
        <f>Gasto_o_ing_per_capita!E384-Gasto_o_ing_per_capita!$D384</f>
        <v>-13.248657968417415</v>
      </c>
      <c r="F384" s="336">
        <f>Gasto_o_ing_per_capita!F384-Gasto_o_ing_per_capita!$D384</f>
        <v>3.0355120529582322</v>
      </c>
      <c r="G384" s="336">
        <f>Gasto_o_ing_per_capita!G384-Gasto_o_ing_per_capita!$D384</f>
        <v>-5.4284260932457293</v>
      </c>
      <c r="H384" s="336">
        <f>Gasto_o_ing_per_capita!H384-Gasto_o_ing_per_capita!$D384</f>
        <v>-8.4970329339319086</v>
      </c>
      <c r="I384" s="336">
        <f>Gasto_o_ing_per_capita!I384-Gasto_o_ing_per_capita!$D384</f>
        <v>-4.202879921407515</v>
      </c>
      <c r="J384" s="336">
        <f>Gasto_o_ing_per_capita!J384-Gasto_o_ing_per_capita!$D384</f>
        <v>-6.4357412511075331</v>
      </c>
      <c r="K384" s="336">
        <f>Gasto_o_ing_per_capita!K384-Gasto_o_ing_per_capita!$D384</f>
        <v>-7.0397819347704527</v>
      </c>
      <c r="L384" s="336">
        <f>Gasto_o_ing_per_capita!L384-Gasto_o_ing_per_capita!$D384</f>
        <v>-5.6591752858513544</v>
      </c>
      <c r="M384" s="336">
        <f>Gasto_o_ing_per_capita!M384-Gasto_o_ing_per_capita!$D384</f>
        <v>14.601138689060491</v>
      </c>
      <c r="N384" s="336">
        <f>Gasto_o_ing_per_capita!N384-Gasto_o_ing_per_capita!$D384</f>
        <v>5.503348035240208</v>
      </c>
      <c r="O384" s="336">
        <f>Gasto_o_ing_per_capita!O384-Gasto_o_ing_per_capita!$D384</f>
        <v>-14.752516011337152</v>
      </c>
      <c r="P384" s="336">
        <f>Gasto_o_ing_per_capita!P384-Gasto_o_ing_per_capita!$D384</f>
        <v>-4.4063564623385396</v>
      </c>
      <c r="Q384" s="336">
        <f>Gasto_o_ing_per_capita!Q384-Gasto_o_ing_per_capita!$D384</f>
        <v>-0.82757795726572425</v>
      </c>
      <c r="R384" s="336">
        <f>Gasto_o_ing_per_capita!R384-Gasto_o_ing_per_capita!$D384</f>
        <v>1.8607355375073311</v>
      </c>
      <c r="S384" s="336">
        <f>Gasto_o_ing_per_capita!S384-Gasto_o_ing_per_capita!$D384</f>
        <v>12.554733294349354</v>
      </c>
      <c r="T384" s="336">
        <f>Gasto_o_ing_per_capita!T384-Gasto_o_ing_per_capita!$D384</f>
        <v>25.104641790085395</v>
      </c>
      <c r="U384" s="336">
        <f>Gasto_o_ing_per_capita!U384-Gasto_o_ing_per_capita!$D384</f>
        <v>-2.1678755203568478</v>
      </c>
      <c r="V384" s="336">
        <f>Gasto_o_ing_per_capita!V384-Gasto_o_ing_per_capita!$D384</f>
        <v>-25.82032870332969</v>
      </c>
      <c r="W384" s="105"/>
    </row>
    <row r="385" spans="1:23" s="102" customFormat="1" ht="13.15">
      <c r="A385" s="355" t="str">
        <f>IF(B385="","",(IF(ISERROR(MATCH(B385,Tot_res!C:C,0)),"Eliminar!!!","")))</f>
        <v/>
      </c>
      <c r="B385" s="119" t="s">
        <v>378</v>
      </c>
      <c r="C385" s="333" t="str">
        <f>VLOOKUP(B385,Tot_res!C:D,2,FALSE)</f>
        <v>Prestaciones económicas por cese de actividad</v>
      </c>
      <c r="D385" s="336">
        <f>Gasto_o_ing_per_capita!D385-Gasto_o_ing_per_capita!$D385</f>
        <v>0</v>
      </c>
      <c r="E385" s="336">
        <f>Gasto_o_ing_per_capita!E385-Gasto_o_ing_per_capita!$D385</f>
        <v>-5.2033761574078075E-2</v>
      </c>
      <c r="F385" s="336">
        <f>Gasto_o_ing_per_capita!F385-Gasto_o_ing_per_capita!$D385</f>
        <v>-3.0536479307401485E-2</v>
      </c>
      <c r="G385" s="336">
        <f>Gasto_o_ing_per_capita!G385-Gasto_o_ing_per_capita!$D385</f>
        <v>2.0857623761725744E-2</v>
      </c>
      <c r="H385" s="336">
        <f>Gasto_o_ing_per_capita!H385-Gasto_o_ing_per_capita!$D385</f>
        <v>-4.1254101995877313E-2</v>
      </c>
      <c r="I385" s="336">
        <f>Gasto_o_ing_per_capita!I385-Gasto_o_ing_per_capita!$D385</f>
        <v>-6.6580811748323684E-2</v>
      </c>
      <c r="J385" s="336">
        <f>Gasto_o_ing_per_capita!J385-Gasto_o_ing_per_capita!$D385</f>
        <v>-3.5784839721868085E-2</v>
      </c>
      <c r="K385" s="336">
        <f>Gasto_o_ing_per_capita!K385-Gasto_o_ing_per_capita!$D385</f>
        <v>-3.4213417316193123E-2</v>
      </c>
      <c r="L385" s="336">
        <f>Gasto_o_ing_per_capita!L385-Gasto_o_ing_per_capita!$D385</f>
        <v>-4.2662330378415644E-2</v>
      </c>
      <c r="M385" s="336">
        <f>Gasto_o_ing_per_capita!M385-Gasto_o_ing_per_capita!$D385</f>
        <v>-3.2064523764463219E-2</v>
      </c>
      <c r="N385" s="336">
        <f>Gasto_o_ing_per_capita!N385-Gasto_o_ing_per_capita!$D385</f>
        <v>-3.8625107341247605E-2</v>
      </c>
      <c r="O385" s="336">
        <f>Gasto_o_ing_per_capita!O385-Gasto_o_ing_per_capita!$D385</f>
        <v>-4.9737993787462631E-2</v>
      </c>
      <c r="P385" s="336">
        <f>Gasto_o_ing_per_capita!P385-Gasto_o_ing_per_capita!$D385</f>
        <v>0.5988713677703571</v>
      </c>
      <c r="Q385" s="336">
        <f>Gasto_o_ing_per_capita!Q385-Gasto_o_ing_per_capita!$D385</f>
        <v>-3.6952253705310377E-2</v>
      </c>
      <c r="R385" s="336">
        <f>Gasto_o_ing_per_capita!R385-Gasto_o_ing_per_capita!$D385</f>
        <v>-3.7585399570773628E-2</v>
      </c>
      <c r="S385" s="336">
        <f>Gasto_o_ing_per_capita!S385-Gasto_o_ing_per_capita!$D385</f>
        <v>5.6591462961911629E-2</v>
      </c>
      <c r="T385" s="336">
        <f>Gasto_o_ing_per_capita!T385-Gasto_o_ing_per_capita!$D385</f>
        <v>-2.9068693159989986E-2</v>
      </c>
      <c r="U385" s="336">
        <f>Gasto_o_ing_per_capita!U385-Gasto_o_ing_per_capita!$D385</f>
        <v>3.9798587623623607E-2</v>
      </c>
      <c r="V385" s="336">
        <f>Gasto_o_ing_per_capita!V385-Gasto_o_ing_per_capita!$D385</f>
        <v>-6.6580811748323684E-2</v>
      </c>
      <c r="W385" s="105"/>
    </row>
    <row r="386" spans="1:23" s="102" customFormat="1" ht="13.15">
      <c r="A386" s="355" t="str">
        <f>IF(B386="","",(IF(ISERROR(MATCH(B386,Tot_res!C:C,0)),"Eliminar!!!","")))</f>
        <v/>
      </c>
      <c r="B386" s="119" t="s">
        <v>864</v>
      </c>
      <c r="C386" s="333" t="str">
        <f>VLOOKUP(B386,Tot_res!C:D,2,FALSE)</f>
        <v>Prestaciones a los desempleados, neto de renta y subsidio agrarios</v>
      </c>
      <c r="D386" s="336">
        <f>Gasto_o_ing_per_capita!D386-Gasto_o_ing_per_capita!$D386</f>
        <v>0</v>
      </c>
      <c r="E386" s="336">
        <f>Gasto_o_ing_per_capita!E386-Gasto_o_ing_per_capita!$D386</f>
        <v>-29.04009142621328</v>
      </c>
      <c r="F386" s="336">
        <f>Gasto_o_ing_per_capita!F386-Gasto_o_ing_per_capita!$D386</f>
        <v>-10.074732168661399</v>
      </c>
      <c r="G386" s="336">
        <f>Gasto_o_ing_per_capita!G386-Gasto_o_ing_per_capita!$D386</f>
        <v>9.8802549924953382</v>
      </c>
      <c r="H386" s="336">
        <f>Gasto_o_ing_per_capita!H386-Gasto_o_ing_per_capita!$D386</f>
        <v>58.146775087551646</v>
      </c>
      <c r="I386" s="336">
        <f>Gasto_o_ing_per_capita!I386-Gasto_o_ing_per_capita!$D386</f>
        <v>45.481947204852418</v>
      </c>
      <c r="J386" s="336">
        <f>Gasto_o_ing_per_capita!J386-Gasto_o_ing_per_capita!$D386</f>
        <v>-2.5724753503869806</v>
      </c>
      <c r="K386" s="336">
        <f>Gasto_o_ing_per_capita!K386-Gasto_o_ing_per_capita!$D386</f>
        <v>-47.7014581658716</v>
      </c>
      <c r="L386" s="336">
        <f>Gasto_o_ing_per_capita!L386-Gasto_o_ing_per_capita!$D386</f>
        <v>56.465247940441031</v>
      </c>
      <c r="M386" s="336">
        <f>Gasto_o_ing_per_capita!M386-Gasto_o_ing_per_capita!$D386</f>
        <v>32.529215361947649</v>
      </c>
      <c r="N386" s="336">
        <f>Gasto_o_ing_per_capita!N386-Gasto_o_ing_per_capita!$D386</f>
        <v>17.328431394668314</v>
      </c>
      <c r="O386" s="336">
        <f>Gasto_o_ing_per_capita!O386-Gasto_o_ing_per_capita!$D386</f>
        <v>-6.5486549928139084</v>
      </c>
      <c r="P386" s="336">
        <f>Gasto_o_ing_per_capita!P386-Gasto_o_ing_per_capita!$D386</f>
        <v>-20.883487624621125</v>
      </c>
      <c r="Q386" s="336">
        <f>Gasto_o_ing_per_capita!Q386-Gasto_o_ing_per_capita!$D386</f>
        <v>-5.8293853319013351</v>
      </c>
      <c r="R386" s="336">
        <f>Gasto_o_ing_per_capita!R386-Gasto_o_ing_per_capita!$D386</f>
        <v>-28.244381226853875</v>
      </c>
      <c r="S386" s="336">
        <f>Gasto_o_ing_per_capita!S386-Gasto_o_ing_per_capita!$D386</f>
        <v>35.70426848254715</v>
      </c>
      <c r="T386" s="336">
        <f>Gasto_o_ing_per_capita!T386-Gasto_o_ing_per_capita!$D386</f>
        <v>-41.846790416329327</v>
      </c>
      <c r="U386" s="336">
        <f>Gasto_o_ing_per_capita!U386-Gasto_o_ing_per_capita!$D386</f>
        <v>8.3988799079585306</v>
      </c>
      <c r="V386" s="336">
        <f>Gasto_o_ing_per_capita!V386-Gasto_o_ing_per_capita!$D386</f>
        <v>-193.17690072264975</v>
      </c>
      <c r="W386" s="105"/>
    </row>
    <row r="387" spans="1:23" s="102" customFormat="1" ht="13.15">
      <c r="A387" s="355" t="str">
        <f>IF(B387="","",(IF(ISERROR(MATCH(B387,Tot_res!C:C,0)),"Eliminar!!!","")))</f>
        <v/>
      </c>
      <c r="B387" s="115" t="s">
        <v>380</v>
      </c>
      <c r="C387" s="333" t="str">
        <f>VLOOKUP(B387,Tot_res!C:D,2,FALSE)</f>
        <v>Becas y ayudas a estudiantes + AF03/1</v>
      </c>
      <c r="D387" s="336">
        <f>Gasto_o_ing_per_capita!D387-Gasto_o_ing_per_capita!$D387</f>
        <v>0</v>
      </c>
      <c r="E387" s="336">
        <f>Gasto_o_ing_per_capita!E387-Gasto_o_ing_per_capita!$D387</f>
        <v>11.235857206358599</v>
      </c>
      <c r="F387" s="336">
        <f>Gasto_o_ing_per_capita!F387-Gasto_o_ing_per_capita!$D387</f>
        <v>-7.9525266357204742</v>
      </c>
      <c r="G387" s="336">
        <f>Gasto_o_ing_per_capita!G387-Gasto_o_ing_per_capita!$D387</f>
        <v>-7.5396543596169749</v>
      </c>
      <c r="H387" s="336">
        <f>Gasto_o_ing_per_capita!H387-Gasto_o_ing_per_capita!$D387</f>
        <v>-14.970510326007215</v>
      </c>
      <c r="I387" s="336">
        <f>Gasto_o_ing_per_capita!I387-Gasto_o_ing_per_capita!$D387</f>
        <v>0.79612680958165782</v>
      </c>
      <c r="J387" s="336">
        <f>Gasto_o_ing_per_capita!J387-Gasto_o_ing_per_capita!$D387</f>
        <v>-7.7555030581006754</v>
      </c>
      <c r="K387" s="336">
        <f>Gasto_o_ing_per_capita!K387-Gasto_o_ing_per_capita!$D387</f>
        <v>2.5924702731349498</v>
      </c>
      <c r="L387" s="336">
        <f>Gasto_o_ing_per_capita!L387-Gasto_o_ing_per_capita!$D387</f>
        <v>-2.8769187438314177</v>
      </c>
      <c r="M387" s="336">
        <f>Gasto_o_ing_per_capita!M387-Gasto_o_ing_per_capita!$D387</f>
        <v>-9.6985642060124562</v>
      </c>
      <c r="N387" s="336">
        <f>Gasto_o_ing_per_capita!N387-Gasto_o_ing_per_capita!$D387</f>
        <v>1.9496638975377429</v>
      </c>
      <c r="O387" s="336">
        <f>Gasto_o_ing_per_capita!O387-Gasto_o_ing_per_capita!$D387</f>
        <v>14.874018262383235</v>
      </c>
      <c r="P387" s="336">
        <f>Gasto_o_ing_per_capita!P387-Gasto_o_ing_per_capita!$D387</f>
        <v>1.4714311756708049</v>
      </c>
      <c r="Q387" s="336">
        <f>Gasto_o_ing_per_capita!Q387-Gasto_o_ing_per_capita!$D387</f>
        <v>-3.2517278662803051</v>
      </c>
      <c r="R387" s="336">
        <f>Gasto_o_ing_per_capita!R387-Gasto_o_ing_per_capita!$D387</f>
        <v>6.5074006843182168</v>
      </c>
      <c r="S387" s="336">
        <f>Gasto_o_ing_per_capita!S387-Gasto_o_ing_per_capita!$D387</f>
        <v>-3.5816192594140261E-4</v>
      </c>
      <c r="T387" s="336">
        <f>Gasto_o_ing_per_capita!T387-Gasto_o_ing_per_capita!$D387</f>
        <v>-4.373094216134632E-4</v>
      </c>
      <c r="U387" s="336">
        <f>Gasto_o_ing_per_capita!U387-Gasto_o_ing_per_capita!$D387</f>
        <v>-10.987510218489515</v>
      </c>
      <c r="V387" s="336">
        <f>Gasto_o_ing_per_capita!V387-Gasto_o_ing_per_capita!$D387</f>
        <v>4.8731025457547297</v>
      </c>
      <c r="W387" s="105"/>
    </row>
    <row r="388" spans="1:23" s="102" customFormat="1" ht="13.15">
      <c r="A388" s="355" t="str">
        <f>IF(B388="","",(IF(ISERROR(MATCH(B388,Tot_res!C:C,0)),"Eliminar!!!","")))</f>
        <v/>
      </c>
      <c r="B388" s="119" t="s">
        <v>867</v>
      </c>
      <c r="C388" s="333" t="str">
        <f>VLOOKUP(B388,Tot_res!C:D,2,FALSE)</f>
        <v xml:space="preserve"> Gestión de la Deuda y de la Tesorería del Estado, indemnizaciones síndrome tóxico</v>
      </c>
      <c r="D388" s="336">
        <f>Gasto_o_ing_per_capita!D388-Gasto_o_ing_per_capita!$D388</f>
        <v>0</v>
      </c>
      <c r="E388" s="336">
        <f>Gasto_o_ing_per_capita!E388-Gasto_o_ing_per_capita!$D388</f>
        <v>-6.2513887332085516E-2</v>
      </c>
      <c r="F388" s="336">
        <f>Gasto_o_ing_per_capita!F388-Gasto_o_ing_per_capita!$D388</f>
        <v>-6.4476118926988638E-2</v>
      </c>
      <c r="G388" s="336">
        <f>Gasto_o_ing_per_capita!G388-Gasto_o_ing_per_capita!$D388</f>
        <v>-6.1258280947956781E-2</v>
      </c>
      <c r="H388" s="336">
        <f>Gasto_o_ing_per_capita!H388-Gasto_o_ing_per_capita!$D388</f>
        <v>-6.3116805786259292E-2</v>
      </c>
      <c r="I388" s="336">
        <f>Gasto_o_ing_per_capita!I388-Gasto_o_ing_per_capita!$D388</f>
        <v>-6.289162222291543E-2</v>
      </c>
      <c r="J388" s="336">
        <f>Gasto_o_ing_per_capita!J388-Gasto_o_ing_per_capita!$D388</f>
        <v>-4.225324860189103E-2</v>
      </c>
      <c r="K388" s="336">
        <f>Gasto_o_ing_per_capita!K388-Gasto_o_ing_per_capita!$D388</f>
        <v>0.22724064570265512</v>
      </c>
      <c r="L388" s="336">
        <f>Gasto_o_ing_per_capita!L388-Gasto_o_ing_per_capita!$D388</f>
        <v>9.0825908133233962E-3</v>
      </c>
      <c r="M388" s="336">
        <f>Gasto_o_ing_per_capita!M388-Gasto_o_ing_per_capita!$D388</f>
        <v>-6.585790882579487E-2</v>
      </c>
      <c r="N388" s="336">
        <f>Gasto_o_ing_per_capita!N388-Gasto_o_ing_per_capita!$D388</f>
        <v>-6.0013005087286894E-2</v>
      </c>
      <c r="O388" s="336">
        <f>Gasto_o_ing_per_capita!O388-Gasto_o_ing_per_capita!$D388</f>
        <v>-4.1127472101005119E-2</v>
      </c>
      <c r="P388" s="336">
        <f>Gasto_o_ing_per_capita!P388-Gasto_o_ing_per_capita!$D388</f>
        <v>-6.3097489827447298E-2</v>
      </c>
      <c r="Q388" s="336">
        <f>Gasto_o_ing_per_capita!Q388-Gasto_o_ing_per_capita!$D388</f>
        <v>0.25286277283308628</v>
      </c>
      <c r="R388" s="336">
        <f>Gasto_o_ing_per_capita!R388-Gasto_o_ing_per_capita!$D388</f>
        <v>-5.9915462710689295E-2</v>
      </c>
      <c r="S388" s="336">
        <f>Gasto_o_ing_per_capita!S388-Gasto_o_ing_per_capita!$D388</f>
        <v>-6.2167173665503492E-2</v>
      </c>
      <c r="T388" s="336">
        <f>Gasto_o_ing_per_capita!T388-Gasto_o_ing_per_capita!$D388</f>
        <v>-6.4227848642498753E-2</v>
      </c>
      <c r="U388" s="336">
        <f>Gasto_o_ing_per_capita!U388-Gasto_o_ing_per_capita!$D388</f>
        <v>-6.7717128071864197E-2</v>
      </c>
      <c r="V388" s="336">
        <f>Gasto_o_ing_per_capita!V388-Gasto_o_ing_per_capita!$D388</f>
        <v>-6.4696282818982015E-2</v>
      </c>
      <c r="W388" s="105"/>
    </row>
    <row r="389" spans="1:23" s="102" customFormat="1" ht="13.15">
      <c r="A389" s="355" t="str">
        <f>IF(B389="","",(IF(ISERROR(MATCH(B389,Tot_res!C:C,0)),"Eliminar!!!","")))</f>
        <v/>
      </c>
      <c r="B389" s="115" t="s">
        <v>869</v>
      </c>
      <c r="C389" s="333" t="str">
        <f>VLOOKUP(B389,Tot_res!C:D,2,FALSE)</f>
        <v>Pensiones contributivas de la Seguridad Social</v>
      </c>
      <c r="D389" s="336">
        <f>Gasto_o_ing_per_capita!D389-Gasto_o_ing_per_capita!$D389</f>
        <v>0</v>
      </c>
      <c r="E389" s="336">
        <f>Gasto_o_ing_per_capita!E389-Gasto_o_ing_per_capita!$D389</f>
        <v>-446.50702911002895</v>
      </c>
      <c r="F389" s="336">
        <f>Gasto_o_ing_per_capita!F389-Gasto_o_ing_per_capita!$D389</f>
        <v>391.2647835902867</v>
      </c>
      <c r="G389" s="336">
        <f>Gasto_o_ing_per_capita!G389-Gasto_o_ing_per_capita!$D389</f>
        <v>1643.4807273545798</v>
      </c>
      <c r="H389" s="336">
        <f>Gasto_o_ing_per_capita!H389-Gasto_o_ing_per_capita!$D389</f>
        <v>-573.15274087134185</v>
      </c>
      <c r="I389" s="336">
        <f>Gasto_o_ing_per_capita!I389-Gasto_o_ing_per_capita!$D389</f>
        <v>-847.50197845387879</v>
      </c>
      <c r="J389" s="336">
        <f>Gasto_o_ing_per_capita!J389-Gasto_o_ing_per_capita!$D389</f>
        <v>523.55901043193671</v>
      </c>
      <c r="K389" s="336">
        <f>Gasto_o_ing_per_capita!K389-Gasto_o_ing_per_capita!$D389</f>
        <v>459.05882069567269</v>
      </c>
      <c r="L389" s="336">
        <f>Gasto_o_ing_per_capita!L389-Gasto_o_ing_per_capita!$D389</f>
        <v>-431.74277173297446</v>
      </c>
      <c r="M389" s="336">
        <f>Gasto_o_ing_per_capita!M389-Gasto_o_ing_per_capita!$D389</f>
        <v>366.8057421341955</v>
      </c>
      <c r="N389" s="336">
        <f>Gasto_o_ing_per_capita!N389-Gasto_o_ing_per_capita!$D389</f>
        <v>-299.59736829534722</v>
      </c>
      <c r="O389" s="336">
        <f>Gasto_o_ing_per_capita!O389-Gasto_o_ing_per_capita!$D389</f>
        <v>-356.4813046429731</v>
      </c>
      <c r="P389" s="336">
        <f>Gasto_o_ing_per_capita!P389-Gasto_o_ing_per_capita!$D389</f>
        <v>387.52596332628718</v>
      </c>
      <c r="Q389" s="336">
        <f>Gasto_o_ing_per_capita!Q389-Gasto_o_ing_per_capita!$D389</f>
        <v>-34.971069799661564</v>
      </c>
      <c r="R389" s="336">
        <f>Gasto_o_ing_per_capita!R389-Gasto_o_ing_per_capita!$D389</f>
        <v>-639.31028314455966</v>
      </c>
      <c r="S389" s="336">
        <f>Gasto_o_ing_per_capita!S389-Gasto_o_ing_per_capita!$D389</f>
        <v>341.04542311130717</v>
      </c>
      <c r="T389" s="336">
        <f>Gasto_o_ing_per_capita!T389-Gasto_o_ing_per_capita!$D389</f>
        <v>1173.5211255962427</v>
      </c>
      <c r="U389" s="336">
        <f>Gasto_o_ing_per_capita!U389-Gasto_o_ing_per_capita!$D389</f>
        <v>36.977610109500802</v>
      </c>
      <c r="V389" s="336">
        <f>Gasto_o_ing_per_capita!V389-Gasto_o_ing_per_capita!$D389</f>
        <v>-1221.9210193792676</v>
      </c>
      <c r="W389" s="105"/>
    </row>
    <row r="390" spans="1:23" s="102" customFormat="1" ht="13.15">
      <c r="A390" s="355" t="str">
        <f>IF(B390="","",(IF(ISERROR(MATCH(B390,Tot_res!C:C,0)),"Eliminar!!!","")))</f>
        <v/>
      </c>
      <c r="B390" s="115" t="s">
        <v>870</v>
      </c>
      <c r="C390" s="333" t="str">
        <f>VLOOKUP(B390,Tot_res!C:D,2,FALSE)</f>
        <v>Otras prestaciones contributivas de la Seguridad Social + AF03/2</v>
      </c>
      <c r="D390" s="336">
        <f>Gasto_o_ing_per_capita!D390-Gasto_o_ing_per_capita!$D390</f>
        <v>0</v>
      </c>
      <c r="E390" s="336">
        <f>Gasto_o_ing_per_capita!E390-Gasto_o_ing_per_capita!$D390</f>
        <v>-11.991297525745424</v>
      </c>
      <c r="F390" s="336">
        <f>Gasto_o_ing_per_capita!F390-Gasto_o_ing_per_capita!$D390</f>
        <v>-0.85683396678588508</v>
      </c>
      <c r="G390" s="336">
        <f>Gasto_o_ing_per_capita!G390-Gasto_o_ing_per_capita!$D390</f>
        <v>21.6196637228377</v>
      </c>
      <c r="H390" s="336">
        <f>Gasto_o_ing_per_capita!H390-Gasto_o_ing_per_capita!$D390</f>
        <v>-18.553918450173242</v>
      </c>
      <c r="I390" s="336">
        <f>Gasto_o_ing_per_capita!I390-Gasto_o_ing_per_capita!$D390</f>
        <v>-21.769408219331595</v>
      </c>
      <c r="J390" s="336">
        <f>Gasto_o_ing_per_capita!J390-Gasto_o_ing_per_capita!$D390</f>
        <v>8.0962769098849918</v>
      </c>
      <c r="K390" s="336">
        <f>Gasto_o_ing_per_capita!K390-Gasto_o_ing_per_capita!$D390</f>
        <v>-15.781626406257843</v>
      </c>
      <c r="L390" s="336">
        <f>Gasto_o_ing_per_capita!L390-Gasto_o_ing_per_capita!$D390</f>
        <v>-22.433554897318771</v>
      </c>
      <c r="M390" s="336">
        <f>Gasto_o_ing_per_capita!M390-Gasto_o_ing_per_capita!$D390</f>
        <v>7.2726156722795139</v>
      </c>
      <c r="N390" s="336">
        <f>Gasto_o_ing_per_capita!N390-Gasto_o_ing_per_capita!$D390</f>
        <v>-17.123528996333647</v>
      </c>
      <c r="O390" s="336">
        <f>Gasto_o_ing_per_capita!O390-Gasto_o_ing_per_capita!$D390</f>
        <v>-12.149407637793416</v>
      </c>
      <c r="P390" s="336">
        <f>Gasto_o_ing_per_capita!P390-Gasto_o_ing_per_capita!$D390</f>
        <v>11.900054975573582</v>
      </c>
      <c r="Q390" s="336">
        <f>Gasto_o_ing_per_capita!Q390-Gasto_o_ing_per_capita!$D390</f>
        <v>9.8796948744116548</v>
      </c>
      <c r="R390" s="336">
        <f>Gasto_o_ing_per_capita!R390-Gasto_o_ing_per_capita!$D390</f>
        <v>8.4878711408163809</v>
      </c>
      <c r="S390" s="336">
        <f>Gasto_o_ing_per_capita!S390-Gasto_o_ing_per_capita!$D390</f>
        <v>25.743399581648518</v>
      </c>
      <c r="T390" s="336">
        <f>Gasto_o_ing_per_capita!T390-Gasto_o_ing_per_capita!$D390</f>
        <v>72.221849157987421</v>
      </c>
      <c r="U390" s="336">
        <f>Gasto_o_ing_per_capita!U390-Gasto_o_ing_per_capita!$D390</f>
        <v>-20.380305384323492</v>
      </c>
      <c r="V390" s="336">
        <f>Gasto_o_ing_per_capita!V390-Gasto_o_ing_per_capita!$D390</f>
        <v>-29.339517801949462</v>
      </c>
      <c r="W390" s="105"/>
    </row>
    <row r="391" spans="1:23" s="102" customFormat="1" ht="13.15">
      <c r="A391" s="355" t="str">
        <f>IF(B391="","",(IF(ISERROR(MATCH(B391,Tot_res!C:C,0)),"Eliminar!!!","")))</f>
        <v/>
      </c>
      <c r="B391" s="115" t="s">
        <v>872</v>
      </c>
      <c r="C391" s="333" t="str">
        <f>VLOOKUP(B391,Tot_res!C:D,2,FALSE)</f>
        <v>Prestaciones económicas contributivas, Mutuas</v>
      </c>
      <c r="D391" s="336">
        <f>Gasto_o_ing_per_capita!D391-Gasto_o_ing_per_capita!$D391</f>
        <v>0</v>
      </c>
      <c r="E391" s="336">
        <f>Gasto_o_ing_per_capita!E391-Gasto_o_ing_per_capita!$D391</f>
        <v>-35.939925298346971</v>
      </c>
      <c r="F391" s="336">
        <f>Gasto_o_ing_per_capita!F391-Gasto_o_ing_per_capita!$D391</f>
        <v>2.0292342221366226</v>
      </c>
      <c r="G391" s="336">
        <f>Gasto_o_ing_per_capita!G391-Gasto_o_ing_per_capita!$D391</f>
        <v>-7.1423251682666375</v>
      </c>
      <c r="H391" s="336">
        <f>Gasto_o_ing_per_capita!H391-Gasto_o_ing_per_capita!$D391</f>
        <v>-2.2830173829803329</v>
      </c>
      <c r="I391" s="336">
        <f>Gasto_o_ing_per_capita!I391-Gasto_o_ing_per_capita!$D391</f>
        <v>-25.11460705938471</v>
      </c>
      <c r="J391" s="336">
        <f>Gasto_o_ing_per_capita!J391-Gasto_o_ing_per_capita!$D391</f>
        <v>6.297836792278261</v>
      </c>
      <c r="K391" s="336">
        <f>Gasto_o_ing_per_capita!K391-Gasto_o_ing_per_capita!$D391</f>
        <v>-16.617035987263264</v>
      </c>
      <c r="L391" s="336">
        <f>Gasto_o_ing_per_capita!L391-Gasto_o_ing_per_capita!$D391</f>
        <v>-21.911086678591765</v>
      </c>
      <c r="M391" s="336">
        <f>Gasto_o_ing_per_capita!M391-Gasto_o_ing_per_capita!$D391</f>
        <v>6.7521989923255887</v>
      </c>
      <c r="N391" s="336">
        <f>Gasto_o_ing_per_capita!N391-Gasto_o_ing_per_capita!$D391</f>
        <v>-17.36920476038236</v>
      </c>
      <c r="O391" s="336">
        <f>Gasto_o_ing_per_capita!O391-Gasto_o_ing_per_capita!$D391</f>
        <v>-41.844207548446867</v>
      </c>
      <c r="P391" s="336">
        <f>Gasto_o_ing_per_capita!P391-Gasto_o_ing_per_capita!$D391</f>
        <v>-8.4283279744188206</v>
      </c>
      <c r="Q391" s="336">
        <f>Gasto_o_ing_per_capita!Q391-Gasto_o_ing_per_capita!$D391</f>
        <v>80.220675298887144</v>
      </c>
      <c r="R391" s="336">
        <f>Gasto_o_ing_per_capita!R391-Gasto_o_ing_per_capita!$D391</f>
        <v>-11.410051285460881</v>
      </c>
      <c r="S391" s="336">
        <f>Gasto_o_ing_per_capita!S391-Gasto_o_ing_per_capita!$D391</f>
        <v>24.661440806946857</v>
      </c>
      <c r="T391" s="336">
        <f>Gasto_o_ing_per_capita!T391-Gasto_o_ing_per_capita!$D391</f>
        <v>19.152744123424256</v>
      </c>
      <c r="U391" s="336">
        <f>Gasto_o_ing_per_capita!U391-Gasto_o_ing_per_capita!$D391</f>
        <v>1.4802611080950783</v>
      </c>
      <c r="V391" s="336">
        <f>Gasto_o_ing_per_capita!V391-Gasto_o_ing_per_capita!$D391</f>
        <v>-45.916970454010389</v>
      </c>
      <c r="W391" s="105"/>
    </row>
    <row r="392" spans="1:23" s="102" customFormat="1" ht="13.15">
      <c r="A392" s="355" t="str">
        <f>IF(B392="","",(IF(ISERROR(MATCH(B392,Tot_res!C:C,0)),"Eliminar!!!","")))</f>
        <v/>
      </c>
      <c r="B392" s="115" t="s">
        <v>874</v>
      </c>
      <c r="C392" s="333" t="str">
        <f>VLOOKUP(B392,Tot_res!C:D,2,FALSE)</f>
        <v>Pensiones no contributivas de la Seg Soc + AF03/3</v>
      </c>
      <c r="D392" s="336">
        <f>Gasto_o_ing_per_capita!D392-Gasto_o_ing_per_capita!$D392</f>
        <v>0</v>
      </c>
      <c r="E392" s="336">
        <f>Gasto_o_ing_per_capita!E392-Gasto_o_ing_per_capita!$D392</f>
        <v>19.818475739330154</v>
      </c>
      <c r="F392" s="336">
        <f>Gasto_o_ing_per_capita!F392-Gasto_o_ing_per_capita!$D392</f>
        <v>-23.667898331625025</v>
      </c>
      <c r="G392" s="336">
        <f>Gasto_o_ing_per_capita!G392-Gasto_o_ing_per_capita!$D392</f>
        <v>-5.8142220726882243</v>
      </c>
      <c r="H392" s="336">
        <f>Gasto_o_ing_per_capita!H392-Gasto_o_ing_per_capita!$D392</f>
        <v>-17.200277466422605</v>
      </c>
      <c r="I392" s="336">
        <f>Gasto_o_ing_per_capita!I392-Gasto_o_ing_per_capita!$D392</f>
        <v>63.629308708830848</v>
      </c>
      <c r="J392" s="336">
        <f>Gasto_o_ing_per_capita!J392-Gasto_o_ing_per_capita!$D392</f>
        <v>3.8391795968446516</v>
      </c>
      <c r="K392" s="336">
        <f>Gasto_o_ing_per_capita!K392-Gasto_o_ing_per_capita!$D392</f>
        <v>-5.2865701111106347</v>
      </c>
      <c r="L392" s="336">
        <f>Gasto_o_ing_per_capita!L392-Gasto_o_ing_per_capita!$D392</f>
        <v>-1.1424901319444558</v>
      </c>
      <c r="M392" s="336">
        <f>Gasto_o_ing_per_capita!M392-Gasto_o_ing_per_capita!$D392</f>
        <v>-12.004587266981254</v>
      </c>
      <c r="N392" s="336">
        <f>Gasto_o_ing_per_capita!N392-Gasto_o_ing_per_capita!$D392</f>
        <v>-2.7217159312460311</v>
      </c>
      <c r="O392" s="336">
        <f>Gasto_o_ing_per_capita!O392-Gasto_o_ing_per_capita!$D392</f>
        <v>17.776935624607077</v>
      </c>
      <c r="P392" s="336">
        <f>Gasto_o_ing_per_capita!P392-Gasto_o_ing_per_capita!$D392</f>
        <v>36.833456123800516</v>
      </c>
      <c r="Q392" s="336">
        <f>Gasto_o_ing_per_capita!Q392-Gasto_o_ing_per_capita!$D392</f>
        <v>-25.462303336205231</v>
      </c>
      <c r="R392" s="336">
        <f>Gasto_o_ing_per_capita!R392-Gasto_o_ing_per_capita!$D392</f>
        <v>-0.11420380634543648</v>
      </c>
      <c r="S392" s="336">
        <f>Gasto_o_ing_per_capita!S392-Gasto_o_ing_per_capita!$D392</f>
        <v>-34.454917178340075</v>
      </c>
      <c r="T392" s="336">
        <f>Gasto_o_ing_per_capita!T392-Gasto_o_ing_per_capita!$D392</f>
        <v>-30.138499829235979</v>
      </c>
      <c r="U392" s="336">
        <f>Gasto_o_ing_per_capita!U392-Gasto_o_ing_per_capita!$D392</f>
        <v>-26.282370402951219</v>
      </c>
      <c r="V392" s="336">
        <f>Gasto_o_ing_per_capita!V392-Gasto_o_ing_per_capita!$D392</f>
        <v>81.141696081392311</v>
      </c>
      <c r="W392" s="105"/>
    </row>
    <row r="393" spans="1:23" s="102" customFormat="1" ht="13.15">
      <c r="A393" s="355" t="str">
        <f>IF(B393="","",(IF(ISERROR(MATCH(B393,Tot_res!C:C,0)),"Eliminar!!!","")))</f>
        <v/>
      </c>
      <c r="B393" s="115" t="s">
        <v>876</v>
      </c>
      <c r="C393" s="333" t="str">
        <f>VLOOKUP(B393,Tot_res!C:D,2,FALSE)</f>
        <v>Protección familiar y otras prestaciones no contributivas de la Seg Social</v>
      </c>
      <c r="D393" s="336">
        <f>Gasto_o_ing_per_capita!D393-Gasto_o_ing_per_capita!$D393</f>
        <v>0</v>
      </c>
      <c r="E393" s="336">
        <f>Gasto_o_ing_per_capita!E393-Gasto_o_ing_per_capita!$D393</f>
        <v>4.227299218716503</v>
      </c>
      <c r="F393" s="336">
        <f>Gasto_o_ing_per_capita!F393-Gasto_o_ing_per_capita!$D393</f>
        <v>-3.5849513460490563</v>
      </c>
      <c r="G393" s="336">
        <f>Gasto_o_ing_per_capita!G393-Gasto_o_ing_per_capita!$D393</f>
        <v>5.676312858891464</v>
      </c>
      <c r="H393" s="336">
        <f>Gasto_o_ing_per_capita!H393-Gasto_o_ing_per_capita!$D393</f>
        <v>-8.8687983125202123</v>
      </c>
      <c r="I393" s="336">
        <f>Gasto_o_ing_per_capita!I393-Gasto_o_ing_per_capita!$D393</f>
        <v>5.80934218841616</v>
      </c>
      <c r="J393" s="336">
        <f>Gasto_o_ing_per_capita!J393-Gasto_o_ing_per_capita!$D393</f>
        <v>1.9979526222787918</v>
      </c>
      <c r="K393" s="336">
        <f>Gasto_o_ing_per_capita!K393-Gasto_o_ing_per_capita!$D393</f>
        <v>5.0910650590956834</v>
      </c>
      <c r="L393" s="336">
        <f>Gasto_o_ing_per_capita!L393-Gasto_o_ing_per_capita!$D393</f>
        <v>-0.39479514594003007</v>
      </c>
      <c r="M393" s="336">
        <f>Gasto_o_ing_per_capita!M393-Gasto_o_ing_per_capita!$D393</f>
        <v>-5.2318848914726352</v>
      </c>
      <c r="N393" s="336">
        <f>Gasto_o_ing_per_capita!N393-Gasto_o_ing_per_capita!$D393</f>
        <v>-0.21408221575431341</v>
      </c>
      <c r="O393" s="336">
        <f>Gasto_o_ing_per_capita!O393-Gasto_o_ing_per_capita!$D393</f>
        <v>7.3697282255531746</v>
      </c>
      <c r="P393" s="336">
        <f>Gasto_o_ing_per_capita!P393-Gasto_o_ing_per_capita!$D393</f>
        <v>4.1422415027551054</v>
      </c>
      <c r="Q393" s="336">
        <f>Gasto_o_ing_per_capita!Q393-Gasto_o_ing_per_capita!$D393</f>
        <v>-6.4525590747548485</v>
      </c>
      <c r="R393" s="336">
        <f>Gasto_o_ing_per_capita!R393-Gasto_o_ing_per_capita!$D393</f>
        <v>10.1197408899572</v>
      </c>
      <c r="S393" s="336">
        <f>Gasto_o_ing_per_capita!S393-Gasto_o_ing_per_capita!$D393</f>
        <v>-3.8808791316678786</v>
      </c>
      <c r="T393" s="336">
        <f>Gasto_o_ing_per_capita!T393-Gasto_o_ing_per_capita!$D393</f>
        <v>-2.6746946603920669</v>
      </c>
      <c r="U393" s="336">
        <f>Gasto_o_ing_per_capita!U393-Gasto_o_ing_per_capita!$D393</f>
        <v>-2.8797501142069741</v>
      </c>
      <c r="V393" s="336">
        <f>Gasto_o_ing_per_capita!V393-Gasto_o_ing_per_capita!$D393</f>
        <v>28.088349115088668</v>
      </c>
      <c r="W393" s="114"/>
    </row>
    <row r="394" spans="1:23" s="102" customFormat="1" ht="13.15">
      <c r="A394" s="355" t="str">
        <f>IF(B394="","",(IF(ISERROR(MATCH(B394,Tot_res!C:C,0)),"Eliminar!!!","")))</f>
        <v/>
      </c>
      <c r="B394" s="115" t="s">
        <v>383</v>
      </c>
      <c r="C394" s="333" t="str">
        <f>VLOOKUP(B394,Tot_res!C:D,2,FALSE)</f>
        <v xml:space="preserve"> Admón. y Servicios Generales prestaciones economicas</v>
      </c>
      <c r="D394" s="336">
        <f>Gasto_o_ing_per_capita!D394-Gasto_o_ing_per_capita!$D394</f>
        <v>0</v>
      </c>
      <c r="E394" s="336">
        <f>Gasto_o_ing_per_capita!E394-Gasto_o_ing_per_capita!$D394</f>
        <v>0.30138273116556036</v>
      </c>
      <c r="F394" s="336">
        <f>Gasto_o_ing_per_capita!F394-Gasto_o_ing_per_capita!$D394</f>
        <v>1.8083564527856328</v>
      </c>
      <c r="G394" s="336">
        <f>Gasto_o_ing_per_capita!G394-Gasto_o_ing_per_capita!$D394</f>
        <v>7.4987145833746283</v>
      </c>
      <c r="H394" s="336">
        <f>Gasto_o_ing_per_capita!H394-Gasto_o_ing_per_capita!$D394</f>
        <v>-1.6322461635197172</v>
      </c>
      <c r="I394" s="336">
        <f>Gasto_o_ing_per_capita!I394-Gasto_o_ing_per_capita!$D394</f>
        <v>-1.8928064107618701</v>
      </c>
      <c r="J394" s="336">
        <f>Gasto_o_ing_per_capita!J394-Gasto_o_ing_per_capita!$D394</f>
        <v>0.61431787942768779</v>
      </c>
      <c r="K394" s="336">
        <f>Gasto_o_ing_per_capita!K394-Gasto_o_ing_per_capita!$D394</f>
        <v>3.4734285210690068</v>
      </c>
      <c r="L394" s="336">
        <f>Gasto_o_ing_per_capita!L394-Gasto_o_ing_per_capita!$D394</f>
        <v>0.75027968955460445</v>
      </c>
      <c r="M394" s="336">
        <f>Gasto_o_ing_per_capita!M394-Gasto_o_ing_per_capita!$D394</f>
        <v>-1.5104020341241844</v>
      </c>
      <c r="N394" s="336">
        <f>Gasto_o_ing_per_capita!N394-Gasto_o_ing_per_capita!$D394</f>
        <v>-0.93599579404498456</v>
      </c>
      <c r="O394" s="336">
        <f>Gasto_o_ing_per_capita!O394-Gasto_o_ing_per_capita!$D394</f>
        <v>0.12223457112740466</v>
      </c>
      <c r="P394" s="336">
        <f>Gasto_o_ing_per_capita!P394-Gasto_o_ing_per_capita!$D394</f>
        <v>2.1840421838773434</v>
      </c>
      <c r="Q394" s="336">
        <f>Gasto_o_ing_per_capita!Q394-Gasto_o_ing_per_capita!$D394</f>
        <v>-1.4331212381626388</v>
      </c>
      <c r="R394" s="336">
        <f>Gasto_o_ing_per_capita!R394-Gasto_o_ing_per_capita!$D394</f>
        <v>-1.4397186935090369</v>
      </c>
      <c r="S394" s="336">
        <f>Gasto_o_ing_per_capita!S394-Gasto_o_ing_per_capita!$D394</f>
        <v>-0.57241707574000156</v>
      </c>
      <c r="T394" s="336">
        <f>Gasto_o_ing_per_capita!T394-Gasto_o_ing_per_capita!$D394</f>
        <v>1.123505955796503</v>
      </c>
      <c r="U394" s="336">
        <f>Gasto_o_ing_per_capita!U394-Gasto_o_ing_per_capita!$D394</f>
        <v>1.8894734396761539</v>
      </c>
      <c r="V394" s="336">
        <f>Gasto_o_ing_per_capita!V394-Gasto_o_ing_per_capita!$D394</f>
        <v>5.2351420977336431</v>
      </c>
      <c r="W394" s="105"/>
    </row>
    <row r="395" spans="1:23" ht="13.15">
      <c r="A395" s="356"/>
      <c r="B395" s="9"/>
      <c r="C395" s="13"/>
      <c r="D395" s="19"/>
      <c r="E395" s="19"/>
      <c r="F395" s="19"/>
      <c r="G395" s="19"/>
      <c r="H395" s="19"/>
      <c r="I395" s="19"/>
      <c r="J395" s="19"/>
      <c r="K395" s="19"/>
      <c r="L395" s="19"/>
      <c r="M395" s="19"/>
      <c r="N395" s="19"/>
      <c r="O395" s="19"/>
      <c r="P395" s="19"/>
      <c r="Q395" s="19"/>
      <c r="R395" s="19"/>
      <c r="S395" s="19"/>
      <c r="T395" s="19"/>
      <c r="U395" s="19"/>
      <c r="V395" s="19"/>
      <c r="W395" s="2"/>
    </row>
    <row r="396" spans="1:23" s="102" customFormat="1" ht="13.15">
      <c r="A396" s="356"/>
      <c r="B396" s="115"/>
      <c r="C396" s="112" t="s">
        <v>4</v>
      </c>
      <c r="D396" s="113">
        <f>Gasto_o_ing_per_capita!D396-Gasto_o_ing_per_capita!$D396</f>
        <v>0</v>
      </c>
      <c r="E396" s="113">
        <f>Gasto_o_ing_per_capita!E396-Gasto_o_ing_per_capita!$D396</f>
        <v>6.9531543171018697</v>
      </c>
      <c r="F396" s="113">
        <f>Gasto_o_ing_per_capita!F396-Gasto_o_ing_per_capita!$D396</f>
        <v>-7.1767139119471892</v>
      </c>
      <c r="G396" s="113">
        <f>Gasto_o_ing_per_capita!G396-Gasto_o_ing_per_capita!$D396</f>
        <v>-2.5740608675032561</v>
      </c>
      <c r="H396" s="113">
        <f>Gasto_o_ing_per_capita!H396-Gasto_o_ing_per_capita!$D396</f>
        <v>-9.8926509579030295</v>
      </c>
      <c r="I396" s="113">
        <f>Gasto_o_ing_per_capita!I396-Gasto_o_ing_per_capita!$D396</f>
        <v>-15.896974143262508</v>
      </c>
      <c r="J396" s="113">
        <f>Gasto_o_ing_per_capita!J396-Gasto_o_ing_per_capita!$D396</f>
        <v>15.550874290689968</v>
      </c>
      <c r="K396" s="113">
        <f>Gasto_o_ing_per_capita!K396-Gasto_o_ing_per_capita!$D396</f>
        <v>12.829921855253872</v>
      </c>
      <c r="L396" s="113">
        <f>Gasto_o_ing_per_capita!L396-Gasto_o_ing_per_capita!$D396</f>
        <v>3.7697407241176819</v>
      </c>
      <c r="M396" s="113">
        <f>Gasto_o_ing_per_capita!M396-Gasto_o_ing_per_capita!$D396</f>
        <v>0.17090509916493346</v>
      </c>
      <c r="N396" s="113">
        <f>Gasto_o_ing_per_capita!N396-Gasto_o_ing_per_capita!$D396</f>
        <v>-16.344727975298415</v>
      </c>
      <c r="O396" s="113">
        <f>Gasto_o_ing_per_capita!O396-Gasto_o_ing_per_capita!$D396</f>
        <v>11.368986476550404</v>
      </c>
      <c r="P396" s="113">
        <f>Gasto_o_ing_per_capita!P396-Gasto_o_ing_per_capita!$D396</f>
        <v>-0.21490231637900337</v>
      </c>
      <c r="Q396" s="113">
        <f>Gasto_o_ing_per_capita!Q396-Gasto_o_ing_per_capita!$D396</f>
        <v>-4.5544088589960836</v>
      </c>
      <c r="R396" s="113">
        <f>Gasto_o_ing_per_capita!R396-Gasto_o_ing_per_capita!$D396</f>
        <v>10.505091811731269</v>
      </c>
      <c r="S396" s="113">
        <f>Gasto_o_ing_per_capita!S396-Gasto_o_ing_per_capita!$D396</f>
        <v>-8.0925750739346753</v>
      </c>
      <c r="T396" s="113">
        <f>Gasto_o_ing_per_capita!T396-Gasto_o_ing_per_capita!$D396</f>
        <v>9.03724387786189</v>
      </c>
      <c r="U396" s="113">
        <f>Gasto_o_ing_per_capita!U396-Gasto_o_ing_per_capita!$D396</f>
        <v>13.010165200405702</v>
      </c>
      <c r="V396" s="113">
        <f>Gasto_o_ing_per_capita!V396-Gasto_o_ing_per_capita!$D396</f>
        <v>82.045508907900455</v>
      </c>
      <c r="W396" s="105"/>
    </row>
    <row r="397" spans="1:23" s="102" customFormat="1" ht="13.15">
      <c r="A397" s="355" t="str">
        <f>IF(B397="","",(IF(ISERROR(MATCH(B397,Tot_res!C:C,0)),"Eliminar!!!","")))</f>
        <v/>
      </c>
      <c r="B397" s="119" t="s">
        <v>384</v>
      </c>
      <c r="C397" s="333" t="str">
        <f>VLOOKUP(B397,Tot_res!C:D,2,FALSE)</f>
        <v xml:space="preserve">Acciones en favor de los emigrantes </v>
      </c>
      <c r="D397" s="336">
        <f>Gasto_o_ing_per_capita!D397-Gasto_o_ing_per_capita!$D397</f>
        <v>0</v>
      </c>
      <c r="E397" s="336">
        <f>Gasto_o_ing_per_capita!E397-Gasto_o_ing_per_capita!$D397</f>
        <v>0</v>
      </c>
      <c r="F397" s="336">
        <f>Gasto_o_ing_per_capita!F397-Gasto_o_ing_per_capita!$D397</f>
        <v>0</v>
      </c>
      <c r="G397" s="336">
        <f>Gasto_o_ing_per_capita!G397-Gasto_o_ing_per_capita!$D397</f>
        <v>0</v>
      </c>
      <c r="H397" s="336">
        <f>Gasto_o_ing_per_capita!H397-Gasto_o_ing_per_capita!$D397</f>
        <v>0</v>
      </c>
      <c r="I397" s="336">
        <f>Gasto_o_ing_per_capita!I397-Gasto_o_ing_per_capita!$D397</f>
        <v>0</v>
      </c>
      <c r="J397" s="336">
        <f>Gasto_o_ing_per_capita!J397-Gasto_o_ing_per_capita!$D397</f>
        <v>0</v>
      </c>
      <c r="K397" s="336">
        <f>Gasto_o_ing_per_capita!K397-Gasto_o_ing_per_capita!$D397</f>
        <v>0</v>
      </c>
      <c r="L397" s="336">
        <f>Gasto_o_ing_per_capita!L397-Gasto_o_ing_per_capita!$D397</f>
        <v>0</v>
      </c>
      <c r="M397" s="336">
        <f>Gasto_o_ing_per_capita!M397-Gasto_o_ing_per_capita!$D397</f>
        <v>0</v>
      </c>
      <c r="N397" s="336">
        <f>Gasto_o_ing_per_capita!N397-Gasto_o_ing_per_capita!$D397</f>
        <v>0</v>
      </c>
      <c r="O397" s="336">
        <f>Gasto_o_ing_per_capita!O397-Gasto_o_ing_per_capita!$D397</f>
        <v>0</v>
      </c>
      <c r="P397" s="336">
        <f>Gasto_o_ing_per_capita!P397-Gasto_o_ing_per_capita!$D397</f>
        <v>0</v>
      </c>
      <c r="Q397" s="336">
        <f>Gasto_o_ing_per_capita!Q397-Gasto_o_ing_per_capita!$D397</f>
        <v>0</v>
      </c>
      <c r="R397" s="336">
        <f>Gasto_o_ing_per_capita!R397-Gasto_o_ing_per_capita!$D397</f>
        <v>0</v>
      </c>
      <c r="S397" s="336">
        <f>Gasto_o_ing_per_capita!S397-Gasto_o_ing_per_capita!$D397</f>
        <v>0</v>
      </c>
      <c r="T397" s="336">
        <f>Gasto_o_ing_per_capita!T397-Gasto_o_ing_per_capita!$D397</f>
        <v>0</v>
      </c>
      <c r="U397" s="336">
        <f>Gasto_o_ing_per_capita!U397-Gasto_o_ing_per_capita!$D397</f>
        <v>0</v>
      </c>
      <c r="V397" s="336">
        <f>Gasto_o_ing_per_capita!V397-Gasto_o_ing_per_capita!$D397</f>
        <v>0</v>
      </c>
      <c r="W397" s="105"/>
    </row>
    <row r="398" spans="1:23" s="102" customFormat="1" ht="13.15">
      <c r="A398" s="355" t="str">
        <f>IF(B398="","",(IF(ISERROR(MATCH(B398,Tot_res!C:C,0)),"Eliminar!!!","")))</f>
        <v/>
      </c>
      <c r="B398" s="119" t="s">
        <v>385</v>
      </c>
      <c r="C398" s="333" t="str">
        <f>VLOOKUP(B398,Tot_res!C:D,2,FALSE)</f>
        <v>Otros servicios sociales del estado + AF19/1</v>
      </c>
      <c r="D398" s="336">
        <f>Gasto_o_ing_per_capita!D398-Gasto_o_ing_per_capita!$D398</f>
        <v>0</v>
      </c>
      <c r="E398" s="336">
        <f>Gasto_o_ing_per_capita!E398-Gasto_o_ing_per_capita!$D398</f>
        <v>-8.6877388375908637E-2</v>
      </c>
      <c r="F398" s="336">
        <f>Gasto_o_ing_per_capita!F398-Gasto_o_ing_per_capita!$D398</f>
        <v>-1.2501287351540213E-2</v>
      </c>
      <c r="G398" s="336">
        <f>Gasto_o_ing_per_capita!G398-Gasto_o_ing_per_capita!$D398</f>
        <v>0.12322559266838873</v>
      </c>
      <c r="H398" s="336">
        <f>Gasto_o_ing_per_capita!H398-Gasto_o_ing_per_capita!$D398</f>
        <v>-0.31524983436747789</v>
      </c>
      <c r="I398" s="336">
        <f>Gasto_o_ing_per_capita!I398-Gasto_o_ing_per_capita!$D398</f>
        <v>-0.20755772569872555</v>
      </c>
      <c r="J398" s="336">
        <f>Gasto_o_ing_per_capita!J398-Gasto_o_ing_per_capita!$D398</f>
        <v>2.8618005129459334E-3</v>
      </c>
      <c r="K398" s="336">
        <f>Gasto_o_ing_per_capita!K398-Gasto_o_ing_per_capita!$D398</f>
        <v>0.16064609862778667</v>
      </c>
      <c r="L398" s="336">
        <f>Gasto_o_ing_per_capita!L398-Gasto_o_ing_per_capita!$D398</f>
        <v>-4.130220156628539E-2</v>
      </c>
      <c r="M398" s="336">
        <f>Gasto_o_ing_per_capita!M398-Gasto_o_ing_per_capita!$D398</f>
        <v>-0.26867891502652519</v>
      </c>
      <c r="N398" s="336">
        <f>Gasto_o_ing_per_capita!N398-Gasto_o_ing_per_capita!$D398</f>
        <v>-0.23504878688675213</v>
      </c>
      <c r="O398" s="336">
        <f>Gasto_o_ing_per_capita!O398-Gasto_o_ing_per_capita!$D398</f>
        <v>0.17587546119300335</v>
      </c>
      <c r="P398" s="336">
        <f>Gasto_o_ing_per_capita!P398-Gasto_o_ing_per_capita!$D398</f>
        <v>0.14755310030387925</v>
      </c>
      <c r="Q398" s="336">
        <f>Gasto_o_ing_per_capita!Q398-Gasto_o_ing_per_capita!$D398</f>
        <v>-0.3044062514699295</v>
      </c>
      <c r="R398" s="336">
        <f>Gasto_o_ing_per_capita!R398-Gasto_o_ing_per_capita!$D398</f>
        <v>-0.20419289930365458</v>
      </c>
      <c r="S398" s="336">
        <f>Gasto_o_ing_per_capita!S398-Gasto_o_ing_per_capita!$D398</f>
        <v>0</v>
      </c>
      <c r="T398" s="336">
        <f>Gasto_o_ing_per_capita!T398-Gasto_o_ing_per_capita!$D398</f>
        <v>0</v>
      </c>
      <c r="U398" s="336">
        <f>Gasto_o_ing_per_capita!U398-Gasto_o_ing_per_capita!$D398</f>
        <v>0.7453512613011668</v>
      </c>
      <c r="V398" s="336">
        <f>Gasto_o_ing_per_capita!V398-Gasto_o_ing_per_capita!$D398</f>
        <v>33.984240370441981</v>
      </c>
      <c r="W398" s="105"/>
    </row>
    <row r="399" spans="1:23" s="102" customFormat="1" ht="13.15">
      <c r="A399" s="355" t="str">
        <f>IF(B399="","",(IF(ISERROR(MATCH(B399,Tot_res!C:C,0)),"Eliminar!!!","")))</f>
        <v/>
      </c>
      <c r="B399" s="119" t="s">
        <v>386</v>
      </c>
      <c r="C399" s="333" t="str">
        <f>VLOOKUP(B399,Tot_res!C:D,2,FALSE)</f>
        <v>Atención a la infancia y a las familias</v>
      </c>
      <c r="D399" s="336">
        <f>Gasto_o_ing_per_capita!D399-Gasto_o_ing_per_capita!$D399</f>
        <v>0</v>
      </c>
      <c r="E399" s="336">
        <f>Gasto_o_ing_per_capita!E399-Gasto_o_ing_per_capita!$D399</f>
        <v>0</v>
      </c>
      <c r="F399" s="336">
        <f>Gasto_o_ing_per_capita!F399-Gasto_o_ing_per_capita!$D399</f>
        <v>0</v>
      </c>
      <c r="G399" s="336">
        <f>Gasto_o_ing_per_capita!G399-Gasto_o_ing_per_capita!$D399</f>
        <v>0</v>
      </c>
      <c r="H399" s="336">
        <f>Gasto_o_ing_per_capita!H399-Gasto_o_ing_per_capita!$D399</f>
        <v>0</v>
      </c>
      <c r="I399" s="336">
        <f>Gasto_o_ing_per_capita!I399-Gasto_o_ing_per_capita!$D399</f>
        <v>0</v>
      </c>
      <c r="J399" s="336">
        <f>Gasto_o_ing_per_capita!J399-Gasto_o_ing_per_capita!$D399</f>
        <v>0</v>
      </c>
      <c r="K399" s="336">
        <f>Gasto_o_ing_per_capita!K399-Gasto_o_ing_per_capita!$D399</f>
        <v>0</v>
      </c>
      <c r="L399" s="336">
        <f>Gasto_o_ing_per_capita!L399-Gasto_o_ing_per_capita!$D399</f>
        <v>0</v>
      </c>
      <c r="M399" s="336">
        <f>Gasto_o_ing_per_capita!M399-Gasto_o_ing_per_capita!$D399</f>
        <v>0</v>
      </c>
      <c r="N399" s="336">
        <f>Gasto_o_ing_per_capita!N399-Gasto_o_ing_per_capita!$D399</f>
        <v>0</v>
      </c>
      <c r="O399" s="336">
        <f>Gasto_o_ing_per_capita!O399-Gasto_o_ing_per_capita!$D399</f>
        <v>0</v>
      </c>
      <c r="P399" s="336">
        <f>Gasto_o_ing_per_capita!P399-Gasto_o_ing_per_capita!$D399</f>
        <v>0</v>
      </c>
      <c r="Q399" s="336">
        <f>Gasto_o_ing_per_capita!Q399-Gasto_o_ing_per_capita!$D399</f>
        <v>0</v>
      </c>
      <c r="R399" s="336">
        <f>Gasto_o_ing_per_capita!R399-Gasto_o_ing_per_capita!$D399</f>
        <v>0</v>
      </c>
      <c r="S399" s="336">
        <f>Gasto_o_ing_per_capita!S399-Gasto_o_ing_per_capita!$D399</f>
        <v>0</v>
      </c>
      <c r="T399" s="336">
        <f>Gasto_o_ing_per_capita!T399-Gasto_o_ing_per_capita!$D399</f>
        <v>0</v>
      </c>
      <c r="U399" s="336">
        <f>Gasto_o_ing_per_capita!U399-Gasto_o_ing_per_capita!$D399</f>
        <v>0</v>
      </c>
      <c r="V399" s="336">
        <f>Gasto_o_ing_per_capita!V399-Gasto_o_ing_per_capita!$D399</f>
        <v>0</v>
      </c>
      <c r="W399" s="105"/>
    </row>
    <row r="400" spans="1:23" s="102" customFormat="1" ht="13.15">
      <c r="A400" s="355" t="str">
        <f>IF(B400="","",(IF(ISERROR(MATCH(B400,Tot_res!C:C,0)),"Eliminar!!!","")))</f>
        <v/>
      </c>
      <c r="B400" s="119" t="s">
        <v>387</v>
      </c>
      <c r="C400" s="333" t="str">
        <f>VLOOKUP(B400,Tot_res!C:D,2,FALSE)</f>
        <v>Acciones en favor de los inmigrantes</v>
      </c>
      <c r="D400" s="336">
        <f>Gasto_o_ing_per_capita!D400-Gasto_o_ing_per_capita!$D400</f>
        <v>0</v>
      </c>
      <c r="E400" s="336">
        <f>Gasto_o_ing_per_capita!E400-Gasto_o_ing_per_capita!$D400</f>
        <v>0.96139410695900085</v>
      </c>
      <c r="F400" s="336">
        <f>Gasto_o_ing_per_capita!F400-Gasto_o_ing_per_capita!$D400</f>
        <v>-0.47998719687240587</v>
      </c>
      <c r="G400" s="336">
        <f>Gasto_o_ing_per_capita!G400-Gasto_o_ing_per_capita!$D400</f>
        <v>-0.50570052269159049</v>
      </c>
      <c r="H400" s="336">
        <f>Gasto_o_ing_per_capita!H400-Gasto_o_ing_per_capita!$D400</f>
        <v>-0.87011547609096951</v>
      </c>
      <c r="I400" s="336">
        <f>Gasto_o_ing_per_capita!I400-Gasto_o_ing_per_capita!$D400</f>
        <v>1.0718219008971739</v>
      </c>
      <c r="J400" s="336">
        <f>Gasto_o_ing_per_capita!J400-Gasto_o_ing_per_capita!$D400</f>
        <v>-1.0712349560082757</v>
      </c>
      <c r="K400" s="336">
        <f>Gasto_o_ing_per_capita!K400-Gasto_o_ing_per_capita!$D400</f>
        <v>-0.61948129972810517</v>
      </c>
      <c r="L400" s="336">
        <f>Gasto_o_ing_per_capita!L400-Gasto_o_ing_per_capita!$D400</f>
        <v>-0.43671544899365977</v>
      </c>
      <c r="M400" s="336">
        <f>Gasto_o_ing_per_capita!M400-Gasto_o_ing_per_capita!$D400</f>
        <v>-0.39687285266017192</v>
      </c>
      <c r="N400" s="336">
        <f>Gasto_o_ing_per_capita!N400-Gasto_o_ing_per_capita!$D400</f>
        <v>-0.56687460334077366</v>
      </c>
      <c r="O400" s="336">
        <f>Gasto_o_ing_per_capita!O400-Gasto_o_ing_per_capita!$D400</f>
        <v>-1.1167245399217711</v>
      </c>
      <c r="P400" s="336">
        <f>Gasto_o_ing_per_capita!P400-Gasto_o_ing_per_capita!$D400</f>
        <v>-0.96749642249105494</v>
      </c>
      <c r="Q400" s="336">
        <f>Gasto_o_ing_per_capita!Q400-Gasto_o_ing_per_capita!$D400</f>
        <v>-9.4662585464403648E-2</v>
      </c>
      <c r="R400" s="336">
        <f>Gasto_o_ing_per_capita!R400-Gasto_o_ing_per_capita!$D400</f>
        <v>0.91947506504519239</v>
      </c>
      <c r="S400" s="336">
        <f>Gasto_o_ing_per_capita!S400-Gasto_o_ing_per_capita!$D400</f>
        <v>-0.63501755318886843</v>
      </c>
      <c r="T400" s="336">
        <f>Gasto_o_ing_per_capita!T400-Gasto_o_ing_per_capita!$D400</f>
        <v>-0.84243514427397548</v>
      </c>
      <c r="U400" s="336">
        <f>Gasto_o_ing_per_capita!U400-Gasto_o_ing_per_capita!$D400</f>
        <v>-0.96471130714400266</v>
      </c>
      <c r="V400" s="336">
        <f>Gasto_o_ing_per_capita!V400-Gasto_o_ing_per_capita!$D400</f>
        <v>38.322352308863778</v>
      </c>
      <c r="W400" s="105"/>
    </row>
    <row r="401" spans="1:23" s="102" customFormat="1" ht="13.15">
      <c r="A401" s="355" t="str">
        <f>IF(B401="","",(IF(ISERROR(MATCH(B401,Tot_res!C:C,0)),"Eliminar!!!","")))</f>
        <v/>
      </c>
      <c r="B401" s="119" t="s">
        <v>388</v>
      </c>
      <c r="C401" s="333" t="str">
        <f>VLOOKUP(B401,Tot_res!C:D,2,FALSE)</f>
        <v>Promoción y servicios a la juventud</v>
      </c>
      <c r="D401" s="336">
        <f>Gasto_o_ing_per_capita!D401-Gasto_o_ing_per_capita!$D401</f>
        <v>0</v>
      </c>
      <c r="E401" s="336">
        <f>Gasto_o_ing_per_capita!E401-Gasto_o_ing_per_capita!$D401</f>
        <v>-8.4672397395644583E-2</v>
      </c>
      <c r="F401" s="336">
        <f>Gasto_o_ing_per_capita!F401-Gasto_o_ing_per_capita!$D401</f>
        <v>4.4932242290994018E-2</v>
      </c>
      <c r="G401" s="336">
        <f>Gasto_o_ing_per_capita!G401-Gasto_o_ing_per_capita!$D401</f>
        <v>3.681835500919306E-2</v>
      </c>
      <c r="H401" s="336">
        <f>Gasto_o_ing_per_capita!H401-Gasto_o_ing_per_capita!$D401</f>
        <v>-0.16732047514443382</v>
      </c>
      <c r="I401" s="336">
        <f>Gasto_o_ing_per_capita!I401-Gasto_o_ing_per_capita!$D401</f>
        <v>4.1070730830994662E-2</v>
      </c>
      <c r="J401" s="336">
        <f>Gasto_o_ing_per_capita!J401-Gasto_o_ing_per_capita!$D401</f>
        <v>8.4911355400059008E-2</v>
      </c>
      <c r="K401" s="336">
        <f>Gasto_o_ing_per_capita!K401-Gasto_o_ing_per_capita!$D401</f>
        <v>0.11190333674838593</v>
      </c>
      <c r="L401" s="336">
        <f>Gasto_o_ing_per_capita!L401-Gasto_o_ing_per_capita!$D401</f>
        <v>-6.1341689382905684E-2</v>
      </c>
      <c r="M401" s="336">
        <f>Gasto_o_ing_per_capita!M401-Gasto_o_ing_per_capita!$D401</f>
        <v>1.8916463859784183E-2</v>
      </c>
      <c r="N401" s="336">
        <f>Gasto_o_ing_per_capita!N401-Gasto_o_ing_per_capita!$D401</f>
        <v>-2.3724347670190216E-2</v>
      </c>
      <c r="O401" s="336">
        <f>Gasto_o_ing_per_capita!O401-Gasto_o_ing_per_capita!$D401</f>
        <v>7.0650169194511725E-2</v>
      </c>
      <c r="P401" s="336">
        <f>Gasto_o_ing_per_capita!P401-Gasto_o_ing_per_capita!$D401</f>
        <v>0.12017140968320794</v>
      </c>
      <c r="Q401" s="336">
        <f>Gasto_o_ing_per_capita!Q401-Gasto_o_ing_per_capita!$D401</f>
        <v>-3.8029599937420833E-3</v>
      </c>
      <c r="R401" s="336">
        <f>Gasto_o_ing_per_capita!R401-Gasto_o_ing_per_capita!$D401</f>
        <v>0.21289565903826058</v>
      </c>
      <c r="S401" s="336">
        <f>Gasto_o_ing_per_capita!S401-Gasto_o_ing_per_capita!$D401</f>
        <v>2.5262596482630184E-2</v>
      </c>
      <c r="T401" s="336">
        <f>Gasto_o_ing_per_capita!T401-Gasto_o_ing_per_capita!$D401</f>
        <v>-0.17563324396382851</v>
      </c>
      <c r="U401" s="336">
        <f>Gasto_o_ing_per_capita!U401-Gasto_o_ing_per_capita!$D401</f>
        <v>0.2017556583032768</v>
      </c>
      <c r="V401" s="336">
        <f>Gasto_o_ing_per_capita!V401-Gasto_o_ing_per_capita!$D401</f>
        <v>0.55575936214123067</v>
      </c>
      <c r="W401" s="105"/>
    </row>
    <row r="402" spans="1:23" s="102" customFormat="1" ht="13.15">
      <c r="A402" s="355" t="str">
        <f>IF(B402="","",(IF(ISERROR(MATCH(B402,Tot_res!C:C,0)),"Eliminar!!!","")))</f>
        <v/>
      </c>
      <c r="B402" s="115" t="s">
        <v>389</v>
      </c>
      <c r="C402" s="333" t="str">
        <f>VLOOKUP(B402,Tot_res!C:D,2,FALSE)</f>
        <v>Igualdad oportunidades entre mujeres y hombres</v>
      </c>
      <c r="D402" s="336">
        <f>Gasto_o_ing_per_capita!D402-Gasto_o_ing_per_capita!$D402</f>
        <v>0</v>
      </c>
      <c r="E402" s="336">
        <f>Gasto_o_ing_per_capita!E402-Gasto_o_ing_per_capita!$D402</f>
        <v>-5.2203276951772903E-2</v>
      </c>
      <c r="F402" s="336">
        <f>Gasto_o_ing_per_capita!F402-Gasto_o_ing_per_capita!$D402</f>
        <v>5.2522724660892361E-2</v>
      </c>
      <c r="G402" s="336">
        <f>Gasto_o_ing_per_capita!G402-Gasto_o_ing_per_capita!$D402</f>
        <v>-4.9812035179490677E-2</v>
      </c>
      <c r="H402" s="336">
        <f>Gasto_o_ing_per_capita!H402-Gasto_o_ing_per_capita!$D402</f>
        <v>-9.8382307837936944E-2</v>
      </c>
      <c r="I402" s="336">
        <f>Gasto_o_ing_per_capita!I402-Gasto_o_ing_per_capita!$D402</f>
        <v>-0.11406815083384758</v>
      </c>
      <c r="J402" s="336">
        <f>Gasto_o_ing_per_capita!J402-Gasto_o_ing_per_capita!$D402</f>
        <v>0.49432304493781104</v>
      </c>
      <c r="K402" s="336">
        <f>Gasto_o_ing_per_capita!K402-Gasto_o_ing_per_capita!$D402</f>
        <v>0.13540173424236307</v>
      </c>
      <c r="L402" s="336">
        <f>Gasto_o_ing_per_capita!L402-Gasto_o_ing_per_capita!$D402</f>
        <v>0.11899360286087823</v>
      </c>
      <c r="M402" s="336">
        <f>Gasto_o_ing_per_capita!M402-Gasto_o_ing_per_capita!$D402</f>
        <v>-2.553471210766417E-2</v>
      </c>
      <c r="N402" s="336">
        <f>Gasto_o_ing_per_capita!N402-Gasto_o_ing_per_capita!$D402</f>
        <v>-0.11148238122090848</v>
      </c>
      <c r="O402" s="336">
        <f>Gasto_o_ing_per_capita!O402-Gasto_o_ing_per_capita!$D402</f>
        <v>-0.16709530676036755</v>
      </c>
      <c r="P402" s="336">
        <f>Gasto_o_ing_per_capita!P402-Gasto_o_ing_per_capita!$D402</f>
        <v>2.4408636627352043E-2</v>
      </c>
      <c r="Q402" s="336">
        <f>Gasto_o_ing_per_capita!Q402-Gasto_o_ing_per_capita!$D402</f>
        <v>2.5331527679751387E-2</v>
      </c>
      <c r="R402" s="336">
        <f>Gasto_o_ing_per_capita!R402-Gasto_o_ing_per_capita!$D402</f>
        <v>0.2784635292111502</v>
      </c>
      <c r="S402" s="336">
        <f>Gasto_o_ing_per_capita!S402-Gasto_o_ing_per_capita!$D402</f>
        <v>4.0073474765254802E-2</v>
      </c>
      <c r="T402" s="336">
        <f>Gasto_o_ing_per_capita!T402-Gasto_o_ing_per_capita!$D402</f>
        <v>-0.12298773286891007</v>
      </c>
      <c r="U402" s="336">
        <f>Gasto_o_ing_per_capita!U402-Gasto_o_ing_per_capita!$D402</f>
        <v>0.45705812513233074</v>
      </c>
      <c r="V402" s="336">
        <f>Gasto_o_ing_per_capita!V402-Gasto_o_ing_per_capita!$D402</f>
        <v>1.7168674342559955</v>
      </c>
      <c r="W402" s="105"/>
    </row>
    <row r="403" spans="1:23" s="102" customFormat="1" ht="13.15">
      <c r="A403" s="355" t="str">
        <f>IF(B403="","",(IF(ISERROR(MATCH(B403,Tot_res!C:C,0)),"Eliminar!!!","")))</f>
        <v/>
      </c>
      <c r="B403" s="115" t="s">
        <v>390</v>
      </c>
      <c r="C403" s="333" t="str">
        <f>VLOOKUP(B403,Tot_res!C:D,2,FALSE)</f>
        <v>Actuaciones para la prevención integral de la violencia de género + AF19/2</v>
      </c>
      <c r="D403" s="336">
        <f>Gasto_o_ing_per_capita!D403-Gasto_o_ing_per_capita!$D403</f>
        <v>0</v>
      </c>
      <c r="E403" s="336">
        <f>Gasto_o_ing_per_capita!E403-Gasto_o_ing_per_capita!$D403</f>
        <v>-5.749982372451401E-2</v>
      </c>
      <c r="F403" s="336">
        <f>Gasto_o_ing_per_capita!F403-Gasto_o_ing_per_capita!$D403</f>
        <v>0.17183576828762442</v>
      </c>
      <c r="G403" s="336">
        <f>Gasto_o_ing_per_capita!G403-Gasto_o_ing_per_capita!$D403</f>
        <v>1.6962287049700542E-2</v>
      </c>
      <c r="H403" s="336">
        <f>Gasto_o_ing_per_capita!H403-Gasto_o_ing_per_capita!$D403</f>
        <v>0.37609603192384605</v>
      </c>
      <c r="I403" s="336">
        <f>Gasto_o_ing_per_capita!I403-Gasto_o_ing_per_capita!$D403</f>
        <v>0.3332025189352979</v>
      </c>
      <c r="J403" s="336">
        <f>Gasto_o_ing_per_capita!J403-Gasto_o_ing_per_capita!$D403</f>
        <v>0.32527024674805055</v>
      </c>
      <c r="K403" s="336">
        <f>Gasto_o_ing_per_capita!K403-Gasto_o_ing_per_capita!$D403</f>
        <v>-6.7689837853008195E-2</v>
      </c>
      <c r="L403" s="336">
        <f>Gasto_o_ing_per_capita!L403-Gasto_o_ing_per_capita!$D403</f>
        <v>-8.1585844418769038E-2</v>
      </c>
      <c r="M403" s="336">
        <f>Gasto_o_ing_per_capita!M403-Gasto_o_ing_per_capita!$D403</f>
        <v>-0.13361370738312428</v>
      </c>
      <c r="N403" s="336">
        <f>Gasto_o_ing_per_capita!N403-Gasto_o_ing_per_capita!$D403</f>
        <v>-8.5639074217136013E-2</v>
      </c>
      <c r="O403" s="336">
        <f>Gasto_o_ing_per_capita!O403-Gasto_o_ing_per_capita!$D403</f>
        <v>0.70712642811479576</v>
      </c>
      <c r="P403" s="336">
        <f>Gasto_o_ing_per_capita!P403-Gasto_o_ing_per_capita!$D403</f>
        <v>0.12564413182324402</v>
      </c>
      <c r="Q403" s="336">
        <f>Gasto_o_ing_per_capita!Q403-Gasto_o_ing_per_capita!$D403</f>
        <v>-0.13217467676774758</v>
      </c>
      <c r="R403" s="336">
        <f>Gasto_o_ing_per_capita!R403-Gasto_o_ing_per_capita!$D403</f>
        <v>3.3415840879175707E-2</v>
      </c>
      <c r="S403" s="336">
        <f>Gasto_o_ing_per_capita!S403-Gasto_o_ing_per_capita!$D403</f>
        <v>0</v>
      </c>
      <c r="T403" s="336">
        <f>Gasto_o_ing_per_capita!T403-Gasto_o_ing_per_capita!$D403</f>
        <v>0</v>
      </c>
      <c r="U403" s="336">
        <f>Gasto_o_ing_per_capita!U403-Gasto_o_ing_per_capita!$D403</f>
        <v>0.67201577399669166</v>
      </c>
      <c r="V403" s="336">
        <f>Gasto_o_ing_per_capita!V403-Gasto_o_ing_per_capita!$D403</f>
        <v>1.0113070385211149</v>
      </c>
      <c r="W403" s="105"/>
    </row>
    <row r="404" spans="1:23" s="102" customFormat="1" ht="13.15">
      <c r="A404" s="355" t="str">
        <f>IF(B404="","",(IF(ISERROR(MATCH(B404,Tot_res!C:C,0)),"Eliminar!!!","")))</f>
        <v/>
      </c>
      <c r="B404" s="115" t="s">
        <v>885</v>
      </c>
      <c r="C404" s="333" t="str">
        <f>VLOOKUP(B404,Tot_res!C:D,2,FALSE)</f>
        <v>Servicios Sociales Generales, neto de gasto directo del Estado en Ceuta y Melilla + AF19/3</v>
      </c>
      <c r="D404" s="336">
        <f>Gasto_o_ing_per_capita!D404-Gasto_o_ing_per_capita!$D404</f>
        <v>0</v>
      </c>
      <c r="E404" s="336">
        <f>Gasto_o_ing_per_capita!E404-Gasto_o_ing_per_capita!$D404</f>
        <v>6.1997296962501451</v>
      </c>
      <c r="F404" s="336">
        <f>Gasto_o_ing_per_capita!F404-Gasto_o_ing_per_capita!$D404</f>
        <v>-7.0627605492102248</v>
      </c>
      <c r="G404" s="336">
        <f>Gasto_o_ing_per_capita!G404-Gasto_o_ing_per_capita!$D404</f>
        <v>-3.2238553142357098</v>
      </c>
      <c r="H404" s="336">
        <f>Gasto_o_ing_per_capita!H404-Gasto_o_ing_per_capita!$D404</f>
        <v>-9.0788197411363178</v>
      </c>
      <c r="I404" s="336">
        <f>Gasto_o_ing_per_capita!I404-Gasto_o_ing_per_capita!$D404</f>
        <v>-16.934419472435454</v>
      </c>
      <c r="J404" s="336">
        <f>Gasto_o_ing_per_capita!J404-Gasto_o_ing_per_capita!$D404</f>
        <v>14.840185140631917</v>
      </c>
      <c r="K404" s="336">
        <f>Gasto_o_ing_per_capita!K404-Gasto_o_ing_per_capita!$D404</f>
        <v>13.145107722969136</v>
      </c>
      <c r="L404" s="336">
        <f>Gasto_o_ing_per_capita!L404-Gasto_o_ing_per_capita!$D404</f>
        <v>4.5875112488423326</v>
      </c>
      <c r="M404" s="336">
        <f>Gasto_o_ing_per_capita!M404-Gasto_o_ing_per_capita!$D404</f>
        <v>1.0645438455776812</v>
      </c>
      <c r="N404" s="336">
        <f>Gasto_o_ing_per_capita!N404-Gasto_o_ing_per_capita!$D404</f>
        <v>-14.969845236082874</v>
      </c>
      <c r="O404" s="336">
        <f>Gasto_o_ing_per_capita!O404-Gasto_o_ing_per_capita!$D404</f>
        <v>11.769469679954248</v>
      </c>
      <c r="P404" s="336">
        <f>Gasto_o_ing_per_capita!P404-Gasto_o_ing_per_capita!$D404</f>
        <v>0.36909465468109559</v>
      </c>
      <c r="Q404" s="336">
        <f>Gasto_o_ing_per_capita!Q404-Gasto_o_ing_per_capita!$D404</f>
        <v>-3.9127026547500066</v>
      </c>
      <c r="R404" s="336">
        <f>Gasto_o_ing_per_capita!R404-Gasto_o_ing_per_capita!$D404</f>
        <v>8.9663635536104067</v>
      </c>
      <c r="S404" s="336">
        <f>Gasto_o_ing_per_capita!S404-Gasto_o_ing_per_capita!$D404</f>
        <v>-7.5368596864349833</v>
      </c>
      <c r="T404" s="336">
        <f>Gasto_o_ing_per_capita!T404-Gasto_o_ing_per_capita!$D404</f>
        <v>9.7979976341251103</v>
      </c>
      <c r="U404" s="336">
        <f>Gasto_o_ing_per_capita!U404-Gasto_o_ing_per_capita!$D404</f>
        <v>12.096080954839209</v>
      </c>
      <c r="V404" s="336">
        <f>Gasto_o_ing_per_capita!V404-Gasto_o_ing_per_capita!$D404</f>
        <v>3.3548323277287366</v>
      </c>
      <c r="W404" s="105"/>
    </row>
    <row r="405" spans="1:23" s="102" customFormat="1" ht="13.15">
      <c r="A405" s="355" t="str">
        <f>IF(B405="","",(IF(ISERROR(MATCH(B405,Tot_res!C:C,0)),"Eliminar!!!","")))</f>
        <v/>
      </c>
      <c r="B405" s="115" t="s">
        <v>887</v>
      </c>
      <c r="C405" s="333" t="str">
        <f>VLOOKUP(B405,Tot_res!C:D,2,FALSE)</f>
        <v>Otros Servicios Sociales, ISM</v>
      </c>
      <c r="D405" s="336">
        <f>Gasto_o_ing_per_capita!D405-Gasto_o_ing_per_capita!$D405</f>
        <v>0</v>
      </c>
      <c r="E405" s="336">
        <f>Gasto_o_ing_per_capita!E405-Gasto_o_ing_per_capita!$D405</f>
        <v>-1.3160002709242615E-2</v>
      </c>
      <c r="F405" s="336">
        <f>Gasto_o_ing_per_capita!F405-Gasto_o_ing_per_capita!$D405</f>
        <v>-1.3513055924655386E-2</v>
      </c>
      <c r="G405" s="336">
        <f>Gasto_o_ing_per_capita!G405-Gasto_o_ing_per_capita!$D405</f>
        <v>-9.5776121818398514E-3</v>
      </c>
      <c r="H405" s="336">
        <f>Gasto_o_ing_per_capita!H405-Gasto_o_ing_per_capita!$D405</f>
        <v>-1.3513055924655386E-2</v>
      </c>
      <c r="I405" s="336">
        <f>Gasto_o_ing_per_capita!I405-Gasto_o_ing_per_capita!$D405</f>
        <v>-1.3513055924655386E-2</v>
      </c>
      <c r="J405" s="336">
        <f>Gasto_o_ing_per_capita!J405-Gasto_o_ing_per_capita!$D405</f>
        <v>-1.3513055924655386E-2</v>
      </c>
      <c r="K405" s="336">
        <f>Gasto_o_ing_per_capita!K405-Gasto_o_ing_per_capita!$D405</f>
        <v>-1.3513055924655386E-2</v>
      </c>
      <c r="L405" s="336">
        <f>Gasto_o_ing_per_capita!L405-Gasto_o_ing_per_capita!$D405</f>
        <v>-1.3513055924655386E-2</v>
      </c>
      <c r="M405" s="336">
        <f>Gasto_o_ing_per_capita!M405-Gasto_o_ing_per_capita!$D405</f>
        <v>-1.3513055924655386E-2</v>
      </c>
      <c r="N405" s="336">
        <f>Gasto_o_ing_per_capita!N405-Gasto_o_ing_per_capita!$D405</f>
        <v>-1.2564302885085272E-2</v>
      </c>
      <c r="O405" s="336">
        <f>Gasto_o_ing_per_capita!O405-Gasto_o_ing_per_capita!$D405</f>
        <v>-1.3513055924655386E-2</v>
      </c>
      <c r="P405" s="336">
        <f>Gasto_o_ing_per_capita!P405-Gasto_o_ing_per_capita!$D405</f>
        <v>-5.6693676632610934E-3</v>
      </c>
      <c r="Q405" s="336">
        <f>Gasto_o_ing_per_capita!Q405-Gasto_o_ing_per_capita!$D405</f>
        <v>-2.0815553088641171E-3</v>
      </c>
      <c r="R405" s="336">
        <f>Gasto_o_ing_per_capita!R405-Gasto_o_ing_per_capita!$D405</f>
        <v>-1.3513055924655386E-2</v>
      </c>
      <c r="S405" s="336">
        <f>Gasto_o_ing_per_capita!S405-Gasto_o_ing_per_capita!$D405</f>
        <v>-1.3513055924655386E-2</v>
      </c>
      <c r="T405" s="336">
        <f>Gasto_o_ing_per_capita!T405-Gasto_o_ing_per_capita!$D405</f>
        <v>-7.3433140124301282E-3</v>
      </c>
      <c r="U405" s="336">
        <f>Gasto_o_ing_per_capita!U405-Gasto_o_ing_per_capita!$D405</f>
        <v>-1.3513055924655386E-2</v>
      </c>
      <c r="V405" s="336">
        <f>Gasto_o_ing_per_capita!V405-Gasto_o_ing_per_capita!$D405</f>
        <v>3.0299131892004305</v>
      </c>
      <c r="W405" s="105"/>
    </row>
    <row r="406" spans="1:23" s="102" customFormat="1" ht="13.15">
      <c r="A406" s="355" t="str">
        <f>IF(B406="","",(IF(ISERROR(MATCH(B406,Tot_res!C:C,0)),"Eliminar!!!","")))</f>
        <v/>
      </c>
      <c r="B406" s="115" t="s">
        <v>888</v>
      </c>
      <c r="C406" s="333" t="str">
        <f>VLOOKUP(B406,Tot_res!C:D,2,FALSE)</f>
        <v>Otros Servicios Sociales, Mutuas</v>
      </c>
      <c r="D406" s="336">
        <f>Gasto_o_ing_per_capita!D406-Gasto_o_ing_per_capita!$D406</f>
        <v>0</v>
      </c>
      <c r="E406" s="336">
        <f>Gasto_o_ing_per_capita!E406-Gasto_o_ing_per_capita!$D406</f>
        <v>-0.12338005520451695</v>
      </c>
      <c r="F406" s="336">
        <f>Gasto_o_ing_per_capita!F406-Gasto_o_ing_per_capita!$D406</f>
        <v>0.42624781838616155</v>
      </c>
      <c r="G406" s="336">
        <f>Gasto_o_ing_per_capita!G406-Gasto_o_ing_per_capita!$D406</f>
        <v>0.14865439298470984</v>
      </c>
      <c r="H406" s="336">
        <f>Gasto_o_ing_per_capita!H406-Gasto_o_ing_per_capita!$D406</f>
        <v>1.0255242011606436E-3</v>
      </c>
      <c r="I406" s="336">
        <f>Gasto_o_ing_per_capita!I406-Gasto_o_ing_per_capita!$D406</f>
        <v>-0.10666119234716109</v>
      </c>
      <c r="J406" s="336">
        <f>Gasto_o_ing_per_capita!J406-Gasto_o_ing_per_capita!$D406</f>
        <v>-0.21530534600973444</v>
      </c>
      <c r="K406" s="336">
        <f>Gasto_o_ing_per_capita!K406-Gasto_o_ing_per_capita!$D406</f>
        <v>2.6302749729491093E-2</v>
      </c>
      <c r="L406" s="336">
        <f>Gasto_o_ing_per_capita!L406-Gasto_o_ing_per_capita!$D406</f>
        <v>-0.20286634447651108</v>
      </c>
      <c r="M406" s="336">
        <f>Gasto_o_ing_per_capita!M406-Gasto_o_ing_per_capita!$D406</f>
        <v>0.10085656181593639</v>
      </c>
      <c r="N406" s="336">
        <f>Gasto_o_ing_per_capita!N406-Gasto_o_ing_per_capita!$D406</f>
        <v>-6.9788699097487861E-2</v>
      </c>
      <c r="O406" s="336">
        <f>Gasto_o_ing_per_capita!O406-Gasto_o_ing_per_capita!$D406</f>
        <v>-0.10946404599146414</v>
      </c>
      <c r="P406" s="336">
        <f>Gasto_o_ing_per_capita!P406-Gasto_o_ing_per_capita!$D406</f>
        <v>-7.315063825665763E-2</v>
      </c>
      <c r="Q406" s="336">
        <f>Gasto_o_ing_per_capita!Q406-Gasto_o_ing_per_capita!$D406</f>
        <v>0.15292144742278901</v>
      </c>
      <c r="R406" s="336">
        <f>Gasto_o_ing_per_capita!R406-Gasto_o_ing_per_capita!$D406</f>
        <v>-0.2250281138794622</v>
      </c>
      <c r="S406" s="336">
        <f>Gasto_o_ing_per_capita!S406-Gasto_o_ing_per_capita!$D406</f>
        <v>0.14989927952994486</v>
      </c>
      <c r="T406" s="336">
        <f>Gasto_o_ing_per_capita!T406-Gasto_o_ing_per_capita!$D406</f>
        <v>0.1228556171152595</v>
      </c>
      <c r="U406" s="336">
        <f>Gasto_o_ing_per_capita!U406-Gasto_o_ing_per_capita!$D406</f>
        <v>-1.2815981315664082E-2</v>
      </c>
      <c r="V406" s="336">
        <f>Gasto_o_ing_per_capita!V406-Gasto_o_ing_per_capita!$D406</f>
        <v>-0.50505239035269045</v>
      </c>
      <c r="W406" s="105"/>
    </row>
    <row r="407" spans="1:23" s="102" customFormat="1" ht="13.15">
      <c r="A407" s="355" t="str">
        <f>IF(B407="","",(IF(ISERROR(MATCH(B407,Tot_res!C:C,0)),"Eliminar!!!","")))</f>
        <v/>
      </c>
      <c r="B407" s="115" t="s">
        <v>890</v>
      </c>
      <c r="C407" s="333" t="str">
        <f>VLOOKUP(B407,Tot_res!C:D,2,FALSE)</f>
        <v>Admón.y Serv.Generales de Servicios Sociales, IMSERSO + AF19/4</v>
      </c>
      <c r="D407" s="336">
        <f>Gasto_o_ing_per_capita!D407-Gasto_o_ing_per_capita!$D407</f>
        <v>0</v>
      </c>
      <c r="E407" s="336">
        <f>Gasto_o_ing_per_capita!E407-Gasto_o_ing_per_capita!$D407</f>
        <v>0.14054690930431168</v>
      </c>
      <c r="F407" s="336">
        <f>Gasto_o_ing_per_capita!F407-Gasto_o_ing_per_capita!$D407</f>
        <v>-0.18107024705002772</v>
      </c>
      <c r="G407" s="336">
        <f>Gasto_o_ing_per_capita!G407-Gasto_o_ing_per_capita!$D407</f>
        <v>-6.6836277619111539E-2</v>
      </c>
      <c r="H407" s="336">
        <f>Gasto_o_ing_per_capita!H407-Gasto_o_ing_per_capita!$D407</f>
        <v>-0.16311324119772158</v>
      </c>
      <c r="I407" s="336">
        <f>Gasto_o_ing_per_capita!I407-Gasto_o_ing_per_capita!$D407</f>
        <v>0.15557043247787783</v>
      </c>
      <c r="J407" s="336">
        <f>Gasto_o_ing_per_capita!J407-Gasto_o_ing_per_capita!$D407</f>
        <v>0.13750772869000782</v>
      </c>
      <c r="K407" s="336">
        <f>Gasto_o_ing_per_capita!K407-Gasto_o_ing_per_capita!$D407</f>
        <v>7.3664535606484005E-2</v>
      </c>
      <c r="L407" s="336">
        <f>Gasto_o_ing_per_capita!L407-Gasto_o_ing_per_capita!$D407</f>
        <v>2.2980586341262876E-2</v>
      </c>
      <c r="M407" s="336">
        <f>Gasto_o_ing_per_capita!M407-Gasto_o_ing_per_capita!$D407</f>
        <v>-5.2778399822319078E-2</v>
      </c>
      <c r="N407" s="336">
        <f>Gasto_o_ing_per_capita!N407-Gasto_o_ing_per_capita!$D407</f>
        <v>-0.14734041473320275</v>
      </c>
      <c r="O407" s="336">
        <f>Gasto_o_ing_per_capita!O407-Gasto_o_ing_per_capita!$D407</f>
        <v>0.17508181585610438</v>
      </c>
      <c r="P407" s="336">
        <f>Gasto_o_ing_per_capita!P407-Gasto_o_ing_per_capita!$D407</f>
        <v>0.16696230807720636</v>
      </c>
      <c r="Q407" s="336">
        <f>Gasto_o_ing_per_capita!Q407-Gasto_o_ing_per_capita!$D407</f>
        <v>-0.16041102117991496</v>
      </c>
      <c r="R407" s="336">
        <f>Gasto_o_ing_per_capita!R407-Gasto_o_ing_per_capita!$D407</f>
        <v>6.4158390073912441E-2</v>
      </c>
      <c r="S407" s="336">
        <f>Gasto_o_ing_per_capita!S407-Gasto_o_ing_per_capita!$D407</f>
        <v>0</v>
      </c>
      <c r="T407" s="336">
        <f>Gasto_o_ing_per_capita!T407-Gasto_o_ing_per_capita!$D407</f>
        <v>0</v>
      </c>
      <c r="U407" s="336">
        <f>Gasto_o_ing_per_capita!U407-Gasto_o_ing_per_capita!$D407</f>
        <v>-4.8636099618649287E-2</v>
      </c>
      <c r="V407" s="336">
        <f>Gasto_o_ing_per_capita!V407-Gasto_o_ing_per_capita!$D407</f>
        <v>0.69770939626387529</v>
      </c>
      <c r="W407" s="111"/>
    </row>
    <row r="408" spans="1:23" s="102" customFormat="1" ht="13.15">
      <c r="A408" s="355" t="str">
        <f>IF(B408="","",(IF(ISERROR(MATCH(B408,Tot_res!C:C,0)),"Eliminar!!!","")))</f>
        <v/>
      </c>
      <c r="B408" s="115" t="s">
        <v>892</v>
      </c>
      <c r="C408" s="333" t="str">
        <f>VLOOKUP(B408,Tot_res!C:D,2,FALSE)</f>
        <v>ISM formación y servicios sociales + AF19/5</v>
      </c>
      <c r="D408" s="336">
        <f>Gasto_o_ing_per_capita!D408-Gasto_o_ing_per_capita!$D408</f>
        <v>0</v>
      </c>
      <c r="E408" s="336">
        <f>Gasto_o_ing_per_capita!E408-Gasto_o_ing_per_capita!$D408</f>
        <v>6.9276548950027259E-2</v>
      </c>
      <c r="F408" s="336">
        <f>Gasto_o_ing_per_capita!F408-Gasto_o_ing_per_capita!$D408</f>
        <v>-0.1224201291640002</v>
      </c>
      <c r="G408" s="336">
        <f>Gasto_o_ing_per_capita!G408-Gasto_o_ing_per_capita!$D408</f>
        <v>0.95606026669251409</v>
      </c>
      <c r="H408" s="336">
        <f>Gasto_o_ing_per_capita!H408-Gasto_o_ing_per_capita!$D408</f>
        <v>0.43674161767148573</v>
      </c>
      <c r="I408" s="336">
        <f>Gasto_o_ing_per_capita!I408-Gasto_o_ing_per_capita!$D408</f>
        <v>-0.1224201291640002</v>
      </c>
      <c r="J408" s="336">
        <f>Gasto_o_ing_per_capita!J408-Gasto_o_ing_per_capita!$D408</f>
        <v>0.96586833171183628</v>
      </c>
      <c r="K408" s="336">
        <f>Gasto_o_ing_per_capita!K408-Gasto_o_ing_per_capita!$D408</f>
        <v>-0.1224201291640002</v>
      </c>
      <c r="L408" s="336">
        <f>Gasto_o_ing_per_capita!L408-Gasto_o_ing_per_capita!$D408</f>
        <v>-0.1224201291640002</v>
      </c>
      <c r="M408" s="336">
        <f>Gasto_o_ing_per_capita!M408-Gasto_o_ing_per_capita!$D408</f>
        <v>-0.1224201291640002</v>
      </c>
      <c r="N408" s="336">
        <f>Gasto_o_ing_per_capita!N408-Gasto_o_ing_per_capita!$D408</f>
        <v>-0.1224201291640002</v>
      </c>
      <c r="O408" s="336">
        <f>Gasto_o_ing_per_capita!O408-Gasto_o_ing_per_capita!$D408</f>
        <v>-0.1224201291640002</v>
      </c>
      <c r="P408" s="336">
        <f>Gasto_o_ing_per_capita!P408-Gasto_o_ing_per_capita!$D408</f>
        <v>-0.1224201291640002</v>
      </c>
      <c r="Q408" s="336">
        <f>Gasto_o_ing_per_capita!Q408-Gasto_o_ing_per_capita!$D408</f>
        <v>-0.1224201291640002</v>
      </c>
      <c r="R408" s="336">
        <f>Gasto_o_ing_per_capita!R408-Gasto_o_ing_per_capita!$D408</f>
        <v>0.47305384298094527</v>
      </c>
      <c r="S408" s="336">
        <f>Gasto_o_ing_per_capita!S408-Gasto_o_ing_per_capita!$D408</f>
        <v>-0.1224201291640002</v>
      </c>
      <c r="T408" s="336">
        <f>Gasto_o_ing_per_capita!T408-Gasto_o_ing_per_capita!$D408</f>
        <v>0.26479006174068359</v>
      </c>
      <c r="U408" s="336">
        <f>Gasto_o_ing_per_capita!U408-Gasto_o_ing_per_capita!$D408</f>
        <v>-0.1224201291640002</v>
      </c>
      <c r="V408" s="336">
        <f>Gasto_o_ing_per_capita!V408-Gasto_o_ing_per_capita!$D408</f>
        <v>-0.1224201291640002</v>
      </c>
      <c r="W408" s="105"/>
    </row>
    <row r="409" spans="1:23" s="102" customFormat="1" ht="13.15">
      <c r="A409" s="364"/>
      <c r="B409" s="115"/>
      <c r="C409" s="142"/>
      <c r="D409" s="110"/>
      <c r="E409" s="110"/>
      <c r="F409" s="110"/>
      <c r="G409" s="110"/>
      <c r="H409" s="110"/>
      <c r="I409" s="110"/>
      <c r="J409" s="110"/>
      <c r="K409" s="110"/>
      <c r="L409" s="110"/>
      <c r="M409" s="110"/>
      <c r="N409" s="110"/>
      <c r="O409" s="110"/>
      <c r="P409" s="110"/>
      <c r="Q409" s="110"/>
      <c r="R409" s="110"/>
      <c r="S409" s="110"/>
      <c r="T409" s="110"/>
      <c r="U409" s="110"/>
      <c r="V409" s="110"/>
      <c r="W409" s="114"/>
    </row>
    <row r="410" spans="1:23" s="102" customFormat="1" ht="13.15">
      <c r="A410" s="364"/>
      <c r="B410" s="115"/>
      <c r="C410" s="117" t="s">
        <v>392</v>
      </c>
      <c r="D410" s="113">
        <f>Gasto_o_ing_per_capita!D410-Gasto_o_ing_per_capita!$D410</f>
        <v>0</v>
      </c>
      <c r="E410" s="113">
        <f>Gasto_o_ing_per_capita!E410-Gasto_o_ing_per_capita!$D410</f>
        <v>-7.1061279716411647</v>
      </c>
      <c r="F410" s="113">
        <f>Gasto_o_ing_per_capita!F410-Gasto_o_ing_per_capita!$D410</f>
        <v>4.6830761651000685</v>
      </c>
      <c r="G410" s="113">
        <f>Gasto_o_ing_per_capita!G410-Gasto_o_ing_per_capita!$D410</f>
        <v>14.108040941587227</v>
      </c>
      <c r="H410" s="113">
        <f>Gasto_o_ing_per_capita!H410-Gasto_o_ing_per_capita!$D410</f>
        <v>0.25527793827048839</v>
      </c>
      <c r="I410" s="113">
        <f>Gasto_o_ing_per_capita!I410-Gasto_o_ing_per_capita!$D410</f>
        <v>-6.1796396030337846</v>
      </c>
      <c r="J410" s="113">
        <f>Gasto_o_ing_per_capita!J410-Gasto_o_ing_per_capita!$D410</f>
        <v>4.6279504842216497</v>
      </c>
      <c r="K410" s="113">
        <f>Gasto_o_ing_per_capita!K410-Gasto_o_ing_per_capita!$D410</f>
        <v>3.7319131449311698</v>
      </c>
      <c r="L410" s="113">
        <f>Gasto_o_ing_per_capita!L410-Gasto_o_ing_per_capita!$D410</f>
        <v>-5.6714699800959991</v>
      </c>
      <c r="M410" s="113">
        <f>Gasto_o_ing_per_capita!M410-Gasto_o_ing_per_capita!$D410</f>
        <v>1.728698588064141</v>
      </c>
      <c r="N410" s="113">
        <f>Gasto_o_ing_per_capita!N410-Gasto_o_ing_per_capita!$D410</f>
        <v>-0.60436151810657179</v>
      </c>
      <c r="O410" s="113">
        <f>Gasto_o_ing_per_capita!O410-Gasto_o_ing_per_capita!$D410</f>
        <v>-6.180737955967686</v>
      </c>
      <c r="P410" s="113">
        <f>Gasto_o_ing_per_capita!P410-Gasto_o_ing_per_capita!$D410</f>
        <v>7.0697095936188674</v>
      </c>
      <c r="Q410" s="113">
        <f>Gasto_o_ing_per_capita!Q410-Gasto_o_ing_per_capita!$D410</f>
        <v>2.0605516928241912</v>
      </c>
      <c r="R410" s="113">
        <f>Gasto_o_ing_per_capita!R410-Gasto_o_ing_per_capita!$D410</f>
        <v>-6.2821099433887895</v>
      </c>
      <c r="S410" s="113">
        <f>Gasto_o_ing_per_capita!S410-Gasto_o_ing_per_capita!$D410</f>
        <v>2.721197808793633</v>
      </c>
      <c r="T410" s="113">
        <f>Gasto_o_ing_per_capita!T410-Gasto_o_ing_per_capita!$D410</f>
        <v>9.6888028199870533</v>
      </c>
      <c r="U410" s="113">
        <f>Gasto_o_ing_per_capita!U410-Gasto_o_ing_per_capita!$D410</f>
        <v>0.23973329681575706</v>
      </c>
      <c r="V410" s="113">
        <f>Gasto_o_ing_per_capita!V410-Gasto_o_ing_per_capita!$D410</f>
        <v>7.5836431009062437</v>
      </c>
      <c r="W410" s="105"/>
    </row>
    <row r="411" spans="1:23" s="102" customFormat="1" ht="13.15">
      <c r="A411" s="355" t="str">
        <f>IF(B411="","",(IF(ISERROR(MATCH(B411,Tot_res!C:C,0)),"Eliminar!!!","")))</f>
        <v/>
      </c>
      <c r="B411" s="119" t="s">
        <v>393</v>
      </c>
      <c r="C411" s="333" t="str">
        <f>VLOOKUP(B411,Tot_res!C:D,2,FALSE)</f>
        <v>Inspección y control de seguridad y protección social</v>
      </c>
      <c r="D411" s="336">
        <f>Gasto_o_ing_per_capita!D411-Gasto_o_ing_per_capita!$D411</f>
        <v>0</v>
      </c>
      <c r="E411" s="336">
        <f>Gasto_o_ing_per_capita!E411-Gasto_o_ing_per_capita!$D411</f>
        <v>7.2759157570402966E-2</v>
      </c>
      <c r="F411" s="336">
        <f>Gasto_o_ing_per_capita!F411-Gasto_o_ing_per_capita!$D411</f>
        <v>1.3605134634444558</v>
      </c>
      <c r="G411" s="336">
        <f>Gasto_o_ing_per_capita!G411-Gasto_o_ing_per_capita!$D411</f>
        <v>0.71435998921110277</v>
      </c>
      <c r="H411" s="336">
        <f>Gasto_o_ing_per_capita!H411-Gasto_o_ing_per_capita!$D411</f>
        <v>2.0907491030694025</v>
      </c>
      <c r="I411" s="336">
        <f>Gasto_o_ing_per_capita!I411-Gasto_o_ing_per_capita!$D411</f>
        <v>0.86193177500072915</v>
      </c>
      <c r="J411" s="336">
        <f>Gasto_o_ing_per_capita!J411-Gasto_o_ing_per_capita!$D411</f>
        <v>0.67251423538001731</v>
      </c>
      <c r="K411" s="336">
        <f>Gasto_o_ing_per_capita!K411-Gasto_o_ing_per_capita!$D411</f>
        <v>1.8403371517751097</v>
      </c>
      <c r="L411" s="336">
        <f>Gasto_o_ing_per_capita!L411-Gasto_o_ing_per_capita!$D411</f>
        <v>0.31765657259069568</v>
      </c>
      <c r="M411" s="336">
        <f>Gasto_o_ing_per_capita!M411-Gasto_o_ing_per_capita!$D411</f>
        <v>-2.5184922134487953</v>
      </c>
      <c r="N411" s="336">
        <f>Gasto_o_ing_per_capita!N411-Gasto_o_ing_per_capita!$D411</f>
        <v>0.27497449634744431</v>
      </c>
      <c r="O411" s="336">
        <f>Gasto_o_ing_per_capita!O411-Gasto_o_ing_per_capita!$D411</f>
        <v>0.41202071703371201</v>
      </c>
      <c r="P411" s="336">
        <f>Gasto_o_ing_per_capita!P411-Gasto_o_ing_per_capita!$D411</f>
        <v>0.60160057718573601</v>
      </c>
      <c r="Q411" s="336">
        <f>Gasto_o_ing_per_capita!Q411-Gasto_o_ing_per_capita!$D411</f>
        <v>0.5633862890219441</v>
      </c>
      <c r="R411" s="336">
        <f>Gasto_o_ing_per_capita!R411-Gasto_o_ing_per_capita!$D411</f>
        <v>-0.24709214932813106</v>
      </c>
      <c r="S411" s="336">
        <f>Gasto_o_ing_per_capita!S411-Gasto_o_ing_per_capita!$D411</f>
        <v>0.29077559561834976</v>
      </c>
      <c r="T411" s="336">
        <f>Gasto_o_ing_per_capita!T411-Gasto_o_ing_per_capita!$D411</f>
        <v>-0.35795411800142007</v>
      </c>
      <c r="U411" s="336">
        <f>Gasto_o_ing_per_capita!U411-Gasto_o_ing_per_capita!$D411</f>
        <v>0.15043665525634564</v>
      </c>
      <c r="V411" s="336">
        <f>Gasto_o_ing_per_capita!V411-Gasto_o_ing_per_capita!$D411</f>
        <v>-1.5547959208284134</v>
      </c>
      <c r="W411" s="105"/>
    </row>
    <row r="412" spans="1:23" s="102" customFormat="1" ht="13.15">
      <c r="A412" s="355" t="str">
        <f>IF(B412="","",(IF(ISERROR(MATCH(B412,Tot_res!C:C,0)),"Eliminar!!!","")))</f>
        <v/>
      </c>
      <c r="B412" s="119" t="s">
        <v>394</v>
      </c>
      <c r="C412" s="333" t="str">
        <f>VLOOKUP(B412,Tot_res!C:D,2,FALSE)</f>
        <v>Dirección y servicios generales de seguridad social y protección social</v>
      </c>
      <c r="D412" s="336">
        <f>Gasto_o_ing_per_capita!D412-Gasto_o_ing_per_capita!$D412</f>
        <v>0</v>
      </c>
      <c r="E412" s="336">
        <f>Gasto_o_ing_per_capita!E412-Gasto_o_ing_per_capita!$D412</f>
        <v>-0.15956227766653486</v>
      </c>
      <c r="F412" s="336">
        <f>Gasto_o_ing_per_capita!F412-Gasto_o_ing_per_capita!$D412</f>
        <v>0.12727957501321274</v>
      </c>
      <c r="G412" s="336">
        <f>Gasto_o_ing_per_capita!G412-Gasto_o_ing_per_capita!$D412</f>
        <v>0.63124740613414776</v>
      </c>
      <c r="H412" s="336">
        <f>Gasto_o_ing_per_capita!H412-Gasto_o_ing_per_capita!$D412</f>
        <v>-0.2387217084620139</v>
      </c>
      <c r="I412" s="336">
        <f>Gasto_o_ing_per_capita!I412-Gasto_o_ing_per_capita!$D412</f>
        <v>-0.3112899103441964</v>
      </c>
      <c r="J412" s="336">
        <f>Gasto_o_ing_per_capita!J412-Gasto_o_ing_per_capita!$D412</f>
        <v>0.20532093000243368</v>
      </c>
      <c r="K412" s="336">
        <f>Gasto_o_ing_per_capita!K412-Gasto_o_ing_per_capita!$D412</f>
        <v>0.1344093704320839</v>
      </c>
      <c r="L412" s="336">
        <f>Gasto_o_ing_per_capita!L412-Gasto_o_ing_per_capita!$D412</f>
        <v>-0.17623225976067891</v>
      </c>
      <c r="M412" s="336">
        <f>Gasto_o_ing_per_capita!M412-Gasto_o_ing_per_capita!$D412</f>
        <v>0.14456826738527218</v>
      </c>
      <c r="N412" s="336">
        <f>Gasto_o_ing_per_capita!N412-Gasto_o_ing_per_capita!$D412</f>
        <v>-0.14033543842469154</v>
      </c>
      <c r="O412" s="336">
        <f>Gasto_o_ing_per_capita!O412-Gasto_o_ing_per_capita!$D412</f>
        <v>-0.10241904176993444</v>
      </c>
      <c r="P412" s="336">
        <f>Gasto_o_ing_per_capita!P412-Gasto_o_ing_per_capita!$D412</f>
        <v>0.14729454443698131</v>
      </c>
      <c r="Q412" s="336">
        <f>Gasto_o_ing_per_capita!Q412-Gasto_o_ing_per_capita!$D412</f>
        <v>-3.9259233282638029E-3</v>
      </c>
      <c r="R412" s="336">
        <f>Gasto_o_ing_per_capita!R412-Gasto_o_ing_per_capita!$D412</f>
        <v>-0.26236296731907638</v>
      </c>
      <c r="S412" s="336">
        <f>Gasto_o_ing_per_capita!S412-Gasto_o_ing_per_capita!$D412</f>
        <v>0.12749110026324706</v>
      </c>
      <c r="T412" s="336">
        <f>Gasto_o_ing_per_capita!T412-Gasto_o_ing_per_capita!$D412</f>
        <v>0.44195963191147358</v>
      </c>
      <c r="U412" s="336">
        <f>Gasto_o_ing_per_capita!U412-Gasto_o_ing_per_capita!$D412</f>
        <v>-1.0841633323626532E-2</v>
      </c>
      <c r="V412" s="336">
        <f>Gasto_o_ing_per_capita!V412-Gasto_o_ing_per_capita!$D412</f>
        <v>0.14761047550642603</v>
      </c>
      <c r="W412" s="105"/>
    </row>
    <row r="413" spans="1:23" s="102" customFormat="1" ht="13.15">
      <c r="A413" s="355" t="str">
        <f>IF(B413="","",(IF(ISERROR(MATCH(B413,Tot_res!C:C,0)),"Eliminar!!!","")))</f>
        <v/>
      </c>
      <c r="B413" s="115" t="s">
        <v>635</v>
      </c>
      <c r="C413" s="333" t="str">
        <f>VLOOKUP(B413,Tot_res!C:D,2,FALSE)</f>
        <v>Gestión de Cotización y Recaudación</v>
      </c>
      <c r="D413" s="336">
        <f>Gasto_o_ing_per_capita!D413-Gasto_o_ing_per_capita!$D413</f>
        <v>0</v>
      </c>
      <c r="E413" s="336">
        <f>Gasto_o_ing_per_capita!E413-Gasto_o_ing_per_capita!$D413</f>
        <v>-1.379255359164274</v>
      </c>
      <c r="F413" s="336">
        <f>Gasto_o_ing_per_capita!F413-Gasto_o_ing_per_capita!$D413</f>
        <v>1.0399109676215872</v>
      </c>
      <c r="G413" s="336">
        <f>Gasto_o_ing_per_capita!G413-Gasto_o_ing_per_capita!$D413</f>
        <v>4.1122218361277838</v>
      </c>
      <c r="H413" s="336">
        <f>Gasto_o_ing_per_capita!H413-Gasto_o_ing_per_capita!$D413</f>
        <v>-1.4042374746306869</v>
      </c>
      <c r="I413" s="336">
        <f>Gasto_o_ing_per_capita!I413-Gasto_o_ing_per_capita!$D413</f>
        <v>-2.277736443359009</v>
      </c>
      <c r="J413" s="336">
        <f>Gasto_o_ing_per_capita!J413-Gasto_o_ing_per_capita!$D413</f>
        <v>1.3639525316268486</v>
      </c>
      <c r="K413" s="336">
        <f>Gasto_o_ing_per_capita!K413-Gasto_o_ing_per_capita!$D413</f>
        <v>0.97419176583794176</v>
      </c>
      <c r="L413" s="336">
        <f>Gasto_o_ing_per_capita!L413-Gasto_o_ing_per_capita!$D413</f>
        <v>-1.1095846036428725</v>
      </c>
      <c r="M413" s="336">
        <f>Gasto_o_ing_per_capita!M413-Gasto_o_ing_per_capita!$D413</f>
        <v>1.0476129206125488</v>
      </c>
      <c r="N413" s="336">
        <f>Gasto_o_ing_per_capita!N413-Gasto_o_ing_per_capita!$D413</f>
        <v>-0.86071508268932995</v>
      </c>
      <c r="O413" s="336">
        <f>Gasto_o_ing_per_capita!O413-Gasto_o_ing_per_capita!$D413</f>
        <v>-1.1034107585705417</v>
      </c>
      <c r="P413" s="336">
        <f>Gasto_o_ing_per_capita!P413-Gasto_o_ing_per_capita!$D413</f>
        <v>0.89977971584209371</v>
      </c>
      <c r="Q413" s="336">
        <f>Gasto_o_ing_per_capita!Q413-Gasto_o_ing_per_capita!$D413</f>
        <v>0.25916352058163028</v>
      </c>
      <c r="R413" s="336">
        <f>Gasto_o_ing_per_capita!R413-Gasto_o_ing_per_capita!$D413</f>
        <v>-1.6571515063947526</v>
      </c>
      <c r="S413" s="336">
        <f>Gasto_o_ing_per_capita!S413-Gasto_o_ing_per_capita!$D413</f>
        <v>1.1562687782887089</v>
      </c>
      <c r="T413" s="336">
        <f>Gasto_o_ing_per_capita!T413-Gasto_o_ing_per_capita!$D413</f>
        <v>3.1574794120851024</v>
      </c>
      <c r="U413" s="336">
        <f>Gasto_o_ing_per_capita!U413-Gasto_o_ing_per_capita!$D413</f>
        <v>0.1429004479756113</v>
      </c>
      <c r="V413" s="336">
        <f>Gasto_o_ing_per_capita!V413-Gasto_o_ing_per_capita!$D413</f>
        <v>-2.792153416792825</v>
      </c>
      <c r="W413" s="105"/>
    </row>
    <row r="414" spans="1:23" s="102" customFormat="1" ht="13.15">
      <c r="A414" s="355" t="str">
        <f>IF(B414="","",(IF(ISERROR(MATCH(B414,Tot_res!C:C,0)),"Eliminar!!!","")))</f>
        <v/>
      </c>
      <c r="B414" s="115" t="s">
        <v>999</v>
      </c>
      <c r="C414" s="333" t="str">
        <f>VLOOKUP(B414,Tot_res!C:D,2,FALSE)</f>
        <v>Gestión Financiera, neta de aportación al Fondo de Reserva</v>
      </c>
      <c r="D414" s="336">
        <f>Gasto_o_ing_per_capita!D414-Gasto_o_ing_per_capita!$D414</f>
        <v>0</v>
      </c>
      <c r="E414" s="336">
        <f>Gasto_o_ing_per_capita!E414-Gasto_o_ing_per_capita!$D414</f>
        <v>-9.9057715267085178E-2</v>
      </c>
      <c r="F414" s="336">
        <f>Gasto_o_ing_per_capita!F414-Gasto_o_ing_per_capita!$D414</f>
        <v>8.6341259154012029E-2</v>
      </c>
      <c r="G414" s="336">
        <f>Gasto_o_ing_per_capita!G414-Gasto_o_ing_per_capita!$D414</f>
        <v>0.45727741241055209</v>
      </c>
      <c r="H414" s="336">
        <f>Gasto_o_ing_per_capita!H414-Gasto_o_ing_per_capita!$D414</f>
        <v>-0.16953448902838986</v>
      </c>
      <c r="I414" s="336">
        <f>Gasto_o_ing_per_capita!I414-Gasto_o_ing_per_capita!$D414</f>
        <v>-0.21529258969911624</v>
      </c>
      <c r="J414" s="336">
        <f>Gasto_o_ing_per_capita!J414-Gasto_o_ing_per_capita!$D414</f>
        <v>0.14691489712771855</v>
      </c>
      <c r="K414" s="336">
        <f>Gasto_o_ing_per_capita!K414-Gasto_o_ing_per_capita!$D414</f>
        <v>0.10445923693465309</v>
      </c>
      <c r="L414" s="336">
        <f>Gasto_o_ing_per_capita!L414-Gasto_o_ing_per_capita!$D414</f>
        <v>-0.11778348676483552</v>
      </c>
      <c r="M414" s="336">
        <f>Gasto_o_ing_per_capita!M414-Gasto_o_ing_per_capita!$D414</f>
        <v>9.6756829463251259E-2</v>
      </c>
      <c r="N414" s="336">
        <f>Gasto_o_ing_per_capita!N414-Gasto_o_ing_per_capita!$D414</f>
        <v>-9.8111482291310392E-2</v>
      </c>
      <c r="O414" s="336">
        <f>Gasto_o_ing_per_capita!O414-Gasto_o_ing_per_capita!$D414</f>
        <v>-5.5059732712063325E-2</v>
      </c>
      <c r="P414" s="336">
        <f>Gasto_o_ing_per_capita!P414-Gasto_o_ing_per_capita!$D414</f>
        <v>0.10934286688380568</v>
      </c>
      <c r="Q414" s="336">
        <f>Gasto_o_ing_per_capita!Q414-Gasto_o_ing_per_capita!$D414</f>
        <v>-2.5468794189148714E-2</v>
      </c>
      <c r="R414" s="336">
        <f>Gasto_o_ing_per_capita!R414-Gasto_o_ing_per_capita!$D414</f>
        <v>-0.18505222903819274</v>
      </c>
      <c r="S414" s="336">
        <f>Gasto_o_ing_per_capita!S414-Gasto_o_ing_per_capita!$D414</f>
        <v>8.0530776857605235E-2</v>
      </c>
      <c r="T414" s="336">
        <f>Gasto_o_ing_per_capita!T414-Gasto_o_ing_per_capita!$D414</f>
        <v>0.30394740526516428</v>
      </c>
      <c r="U414" s="336">
        <f>Gasto_o_ing_per_capita!U414-Gasto_o_ing_per_capita!$D414</f>
        <v>-8.4922247317488209E-3</v>
      </c>
      <c r="V414" s="336">
        <f>Gasto_o_ing_per_capita!V414-Gasto_o_ing_per_capita!$D414</f>
        <v>0.1196576128258442</v>
      </c>
      <c r="W414" s="105"/>
    </row>
    <row r="415" spans="1:23" s="102" customFormat="1" ht="13.15">
      <c r="A415" s="355" t="str">
        <f>IF(B415="","",(IF(ISERROR(MATCH(B415,Tot_res!C:C,0)),"Eliminar!!!","")))</f>
        <v/>
      </c>
      <c r="B415" s="115" t="s">
        <v>1000</v>
      </c>
      <c r="C415" s="333" t="str">
        <f>VLOOKUP(B415,Tot_res!C:D,2,FALSE)</f>
        <v>Gestión del Patrimonio, TGSS</v>
      </c>
      <c r="D415" s="336">
        <f>Gasto_o_ing_per_capita!D415-Gasto_o_ing_per_capita!$D415</f>
        <v>0</v>
      </c>
      <c r="E415" s="336">
        <f>Gasto_o_ing_per_capita!E415-Gasto_o_ing_per_capita!$D415</f>
        <v>-3.3191874228144264E-2</v>
      </c>
      <c r="F415" s="336">
        <f>Gasto_o_ing_per_capita!F415-Gasto_o_ing_per_capita!$D415</f>
        <v>2.7278259468956373E-2</v>
      </c>
      <c r="G415" s="336">
        <f>Gasto_o_ing_per_capita!G415-Gasto_o_ing_per_capita!$D415</f>
        <v>0.12827086553235337</v>
      </c>
      <c r="H415" s="336">
        <f>Gasto_o_ing_per_capita!H415-Gasto_o_ing_per_capita!$D415</f>
        <v>-4.8608925379379886E-2</v>
      </c>
      <c r="I415" s="336">
        <f>Gasto_o_ing_per_capita!I415-Gasto_o_ing_per_capita!$D415</f>
        <v>-6.2994562333480164E-2</v>
      </c>
      <c r="J415" s="336">
        <f>Gasto_o_ing_per_capita!J415-Gasto_o_ing_per_capita!$D415</f>
        <v>4.3196020973598981E-2</v>
      </c>
      <c r="K415" s="336">
        <f>Gasto_o_ing_per_capita!K415-Gasto_o_ing_per_capita!$D415</f>
        <v>3.5135540228420248E-2</v>
      </c>
      <c r="L415" s="336">
        <f>Gasto_o_ing_per_capita!L415-Gasto_o_ing_per_capita!$D415</f>
        <v>-3.4917593741085551E-2</v>
      </c>
      <c r="M415" s="336">
        <f>Gasto_o_ing_per_capita!M415-Gasto_o_ing_per_capita!$D415</f>
        <v>2.7125828994048529E-2</v>
      </c>
      <c r="N415" s="336">
        <f>Gasto_o_ing_per_capita!N415-Gasto_o_ing_per_capita!$D415</f>
        <v>-2.6127786953787036E-2</v>
      </c>
      <c r="O415" s="336">
        <f>Gasto_o_ing_per_capita!O415-Gasto_o_ing_per_capita!$D415</f>
        <v>-2.5761105515967248E-2</v>
      </c>
      <c r="P415" s="336">
        <f>Gasto_o_ing_per_capita!P415-Gasto_o_ing_per_capita!$D415</f>
        <v>3.4009578146502351E-2</v>
      </c>
      <c r="Q415" s="336">
        <f>Gasto_o_ing_per_capita!Q415-Gasto_o_ing_per_capita!$D415</f>
        <v>-5.0505065088388423E-3</v>
      </c>
      <c r="R415" s="336">
        <f>Gasto_o_ing_per_capita!R415-Gasto_o_ing_per_capita!$D415</f>
        <v>-4.7432933995003923E-2</v>
      </c>
      <c r="S415" s="336">
        <f>Gasto_o_ing_per_capita!S415-Gasto_o_ing_per_capita!$D415</f>
        <v>2.2091098247983249E-2</v>
      </c>
      <c r="T415" s="336">
        <f>Gasto_o_ing_per_capita!T415-Gasto_o_ing_per_capita!$D415</f>
        <v>9.1406958311884251E-2</v>
      </c>
      <c r="U415" s="336">
        <f>Gasto_o_ing_per_capita!U415-Gasto_o_ing_per_capita!$D415</f>
        <v>-1.4894487295635805E-4</v>
      </c>
      <c r="V415" s="336">
        <f>Gasto_o_ing_per_capita!V415-Gasto_o_ing_per_capita!$D415</f>
        <v>1.8489055270329929E-2</v>
      </c>
      <c r="W415" s="105"/>
    </row>
    <row r="416" spans="1:23" s="102" customFormat="1" ht="13.15">
      <c r="A416" s="355" t="str">
        <f>IF(B416="","",(IF(ISERROR(MATCH(B416,Tot_res!C:C,0)),"Eliminar!!!","")))</f>
        <v/>
      </c>
      <c r="B416" s="115" t="s">
        <v>396</v>
      </c>
      <c r="C416" s="333" t="str">
        <f>VLOOKUP(B416,Tot_res!C:D,2,FALSE)</f>
        <v xml:space="preserve"> Sistema Integrado de Informática de la Seguridad Social</v>
      </c>
      <c r="D416" s="336">
        <f>Gasto_o_ing_per_capita!D416-Gasto_o_ing_per_capita!$D416</f>
        <v>0</v>
      </c>
      <c r="E416" s="336">
        <f>Gasto_o_ing_per_capita!E416-Gasto_o_ing_per_capita!$D416</f>
        <v>-0.82551966154331957</v>
      </c>
      <c r="F416" s="336">
        <f>Gasto_o_ing_per_capita!F416-Gasto_o_ing_per_capita!$D416</f>
        <v>0.67844133686218555</v>
      </c>
      <c r="G416" s="336">
        <f>Gasto_o_ing_per_capita!G416-Gasto_o_ing_per_capita!$D416</f>
        <v>3.1902423096780144</v>
      </c>
      <c r="H416" s="336">
        <f>Gasto_o_ing_per_capita!H416-Gasto_o_ing_per_capita!$D416</f>
        <v>-1.20895925765906</v>
      </c>
      <c r="I416" s="336">
        <f>Gasto_o_ing_per_capita!I416-Gasto_o_ing_per_capita!$D416</f>
        <v>-1.5667464096531565</v>
      </c>
      <c r="J416" s="336">
        <f>Gasto_o_ing_per_capita!J416-Gasto_o_ing_per_capita!$D416</f>
        <v>1.0743341689306378</v>
      </c>
      <c r="K416" s="336">
        <f>Gasto_o_ing_per_capita!K416-Gasto_o_ing_per_capita!$D416</f>
        <v>0.87386084552324128</v>
      </c>
      <c r="L416" s="336">
        <f>Gasto_o_ing_per_capita!L416-Gasto_o_ing_per_capita!$D416</f>
        <v>-0.86844026851025191</v>
      </c>
      <c r="M416" s="336">
        <f>Gasto_o_ing_per_capita!M416-Gasto_o_ing_per_capita!$D416</f>
        <v>0.67465021759034727</v>
      </c>
      <c r="N416" s="336">
        <f>Gasto_o_ing_per_capita!N416-Gasto_o_ing_per_capita!$D416</f>
        <v>-0.6498277769646803</v>
      </c>
      <c r="O416" s="336">
        <f>Gasto_o_ing_per_capita!O416-Gasto_o_ing_per_capita!$D416</f>
        <v>-0.64070799257520594</v>
      </c>
      <c r="P416" s="336">
        <f>Gasto_o_ing_per_capita!P416-Gasto_o_ing_per_capita!$D416</f>
        <v>0.84585688797668901</v>
      </c>
      <c r="Q416" s="336">
        <f>Gasto_o_ing_per_capita!Q416-Gasto_o_ing_per_capita!$D416</f>
        <v>-0.12561184087229815</v>
      </c>
      <c r="R416" s="336">
        <f>Gasto_o_ing_per_capita!R416-Gasto_o_ing_per_capita!$D416</f>
        <v>-1.1797110144614913</v>
      </c>
      <c r="S416" s="336">
        <f>Gasto_o_ing_per_capita!S416-Gasto_o_ing_per_capita!$D416</f>
        <v>0.54943073788017927</v>
      </c>
      <c r="T416" s="336">
        <f>Gasto_o_ing_per_capita!T416-Gasto_o_ing_per_capita!$D416</f>
        <v>2.2733950113714307</v>
      </c>
      <c r="U416" s="336">
        <f>Gasto_o_ing_per_capita!U416-Gasto_o_ing_per_capita!$D416</f>
        <v>-3.7044283870919514E-3</v>
      </c>
      <c r="V416" s="336">
        <f>Gasto_o_ing_per_capita!V416-Gasto_o_ing_per_capita!$D416</f>
        <v>0.45984383238222115</v>
      </c>
      <c r="W416" s="122"/>
    </row>
    <row r="417" spans="1:23" s="102" customFormat="1" ht="13.15">
      <c r="A417" s="355" t="str">
        <f>IF(B417="","",(IF(ISERROR(MATCH(B417,Tot_res!C:C,0)),"Eliminar!!!","")))</f>
        <v/>
      </c>
      <c r="B417" s="115" t="s">
        <v>1001</v>
      </c>
      <c r="C417" s="333" t="str">
        <f>VLOOKUP(B417,Tot_res!C:D,2,FALSE)</f>
        <v xml:space="preserve"> Admón. y Servic. Generales, TGSS e ISM</v>
      </c>
      <c r="D417" s="336">
        <f>Gasto_o_ing_per_capita!D417-Gasto_o_ing_per_capita!$D417</f>
        <v>0</v>
      </c>
      <c r="E417" s="336">
        <f>Gasto_o_ing_per_capita!E417-Gasto_o_ing_per_capita!$D417</f>
        <v>-0.32630594247300415</v>
      </c>
      <c r="F417" s="336">
        <f>Gasto_o_ing_per_capita!F417-Gasto_o_ing_per_capita!$D417</f>
        <v>0.91803901710146718</v>
      </c>
      <c r="G417" s="336">
        <f>Gasto_o_ing_per_capita!G417-Gasto_o_ing_per_capita!$D417</f>
        <v>4.3383375807719133</v>
      </c>
      <c r="H417" s="336">
        <f>Gasto_o_ing_per_capita!H417-Gasto_o_ing_per_capita!$D417</f>
        <v>4.5560123674745157E-2</v>
      </c>
      <c r="I417" s="336">
        <f>Gasto_o_ing_per_capita!I417-Gasto_o_ing_per_capita!$D417</f>
        <v>-0.59382657270109007</v>
      </c>
      <c r="J417" s="336">
        <f>Gasto_o_ing_per_capita!J417-Gasto_o_ing_per_capita!$D417</f>
        <v>2.125602933603477</v>
      </c>
      <c r="K417" s="336">
        <f>Gasto_o_ing_per_capita!K417-Gasto_o_ing_per_capita!$D417</f>
        <v>0.67639356946544016</v>
      </c>
      <c r="L417" s="336">
        <f>Gasto_o_ing_per_capita!L417-Gasto_o_ing_per_capita!$D417</f>
        <v>-1.0672408840969947</v>
      </c>
      <c r="M417" s="336">
        <f>Gasto_o_ing_per_capita!M417-Gasto_o_ing_per_capita!$D417</f>
        <v>-0.53575186601492941</v>
      </c>
      <c r="N417" s="336">
        <f>Gasto_o_ing_per_capita!N417-Gasto_o_ing_per_capita!$D417</f>
        <v>-0.49855700451719809</v>
      </c>
      <c r="O417" s="336">
        <f>Gasto_o_ing_per_capita!O417-Gasto_o_ing_per_capita!$D417</f>
        <v>-7.819366668801031E-2</v>
      </c>
      <c r="P417" s="336">
        <f>Gasto_o_ing_per_capita!P417-Gasto_o_ing_per_capita!$D417</f>
        <v>3.1931209455496585</v>
      </c>
      <c r="Q417" s="336">
        <f>Gasto_o_ing_per_capita!Q417-Gasto_o_ing_per_capita!$D417</f>
        <v>-1.4427615248561527</v>
      </c>
      <c r="R417" s="336">
        <f>Gasto_o_ing_per_capita!R417-Gasto_o_ing_per_capita!$D417</f>
        <v>-1.1407079240751257</v>
      </c>
      <c r="S417" s="336">
        <f>Gasto_o_ing_per_capita!S417-Gasto_o_ing_per_capita!$D417</f>
        <v>-0.46517468586716326</v>
      </c>
      <c r="T417" s="336">
        <f>Gasto_o_ing_per_capita!T417-Gasto_o_ing_per_capita!$D417</f>
        <v>2.2554604775096045</v>
      </c>
      <c r="U417" s="336">
        <f>Gasto_o_ing_per_capita!U417-Gasto_o_ing_per_capita!$D417</f>
        <v>-0.55325871164996965</v>
      </c>
      <c r="V417" s="336">
        <f>Gasto_o_ing_per_capita!V417-Gasto_o_ing_per_capita!$D417</f>
        <v>10.553629856401734</v>
      </c>
      <c r="W417" s="114"/>
    </row>
    <row r="418" spans="1:23" s="102" customFormat="1" ht="13.15">
      <c r="A418" s="355" t="str">
        <f>IF(B418="","",(IF(ISERROR(MATCH(B418,Tot_res!C:C,0)),"Eliminar!!!","")))</f>
        <v/>
      </c>
      <c r="B418" s="115" t="s">
        <v>1002</v>
      </c>
      <c r="C418" s="333" t="str">
        <f>VLOOKUP(B418,Tot_res!C:D,2,FALSE)</f>
        <v>Admón. y Servic. Generales, Mutuas</v>
      </c>
      <c r="D418" s="336">
        <f>Gasto_o_ing_per_capita!D418-Gasto_o_ing_per_capita!$D418</f>
        <v>0</v>
      </c>
      <c r="E418" s="336">
        <f>Gasto_o_ing_per_capita!E418-Gasto_o_ing_per_capita!$D418</f>
        <v>-3.6949303470548536</v>
      </c>
      <c r="F418" s="336">
        <f>Gasto_o_ing_per_capita!F418-Gasto_o_ing_per_capita!$D418</f>
        <v>0.58797397641924043</v>
      </c>
      <c r="G418" s="336">
        <f>Gasto_o_ing_per_capita!G418-Gasto_o_ing_per_capita!$D418</f>
        <v>-0.1869438895369484</v>
      </c>
      <c r="H418" s="336">
        <f>Gasto_o_ing_per_capita!H418-Gasto_o_ing_per_capita!$D418</f>
        <v>1.9822526107168414</v>
      </c>
      <c r="I418" s="336">
        <f>Gasto_o_ing_per_capita!I418-Gasto_o_ing_per_capita!$D418</f>
        <v>-1.0971462455776138</v>
      </c>
      <c r="J418" s="336">
        <f>Gasto_o_ing_per_capita!J418-Gasto_o_ing_per_capita!$D418</f>
        <v>-0.99763382645107868</v>
      </c>
      <c r="K418" s="336">
        <f>Gasto_o_ing_per_capita!K418-Gasto_o_ing_per_capita!$D418</f>
        <v>-0.83152685102304069</v>
      </c>
      <c r="L418" s="336">
        <f>Gasto_o_ing_per_capita!L418-Gasto_o_ing_per_capita!$D418</f>
        <v>-1.9390702863599092</v>
      </c>
      <c r="M418" s="336">
        <f>Gasto_o_ing_per_capita!M418-Gasto_o_ing_per_capita!$D418</f>
        <v>0.59043677762531033</v>
      </c>
      <c r="N418" s="336">
        <f>Gasto_o_ing_per_capita!N418-Gasto_o_ing_per_capita!$D418</f>
        <v>1.9948477190360325</v>
      </c>
      <c r="O418" s="336">
        <f>Gasto_o_ing_per_capita!O418-Gasto_o_ing_per_capita!$D418</f>
        <v>-3.9898404812440038</v>
      </c>
      <c r="P418" s="336">
        <f>Gasto_o_ing_per_capita!P418-Gasto_o_ing_per_capita!$D418</f>
        <v>1.3237039373829145</v>
      </c>
      <c r="Q418" s="336">
        <f>Gasto_o_ing_per_capita!Q418-Gasto_o_ing_per_capita!$D418</f>
        <v>3.2606509078436385</v>
      </c>
      <c r="R418" s="336">
        <f>Gasto_o_ing_per_capita!R418-Gasto_o_ing_per_capita!$D418</f>
        <v>-0.77945801162578121</v>
      </c>
      <c r="S418" s="336">
        <f>Gasto_o_ing_per_capita!S418-Gasto_o_ing_per_capita!$D418</f>
        <v>1.1469514964989038</v>
      </c>
      <c r="T418" s="336">
        <f>Gasto_o_ing_per_capita!T418-Gasto_o_ing_per_capita!$D418</f>
        <v>1.1160855065502009</v>
      </c>
      <c r="U418" s="336">
        <f>Gasto_o_ing_per_capita!U418-Gasto_o_ing_per_capita!$D418</f>
        <v>0.90065539003009931</v>
      </c>
      <c r="V418" s="336">
        <f>Gasto_o_ing_per_capita!V418-Gasto_o_ing_per_capita!$D418</f>
        <v>0.84940613877456528</v>
      </c>
      <c r="W418" s="105"/>
    </row>
    <row r="419" spans="1:23" s="102" customFormat="1" ht="13.15">
      <c r="A419" s="355" t="str">
        <f>IF(B419="","",(IF(ISERROR(MATCH(B419,Tot_res!C:C,0)),"Eliminar!!!","")))</f>
        <v/>
      </c>
      <c r="B419" s="115" t="s">
        <v>397</v>
      </c>
      <c r="C419" s="333" t="str">
        <f>VLOOKUP(B419,Tot_res!C:D,2,FALSE)</f>
        <v xml:space="preserve"> Control Interno y Contabilidad</v>
      </c>
      <c r="D419" s="336">
        <f>Gasto_o_ing_per_capita!D419-Gasto_o_ing_per_capita!$D419</f>
        <v>0</v>
      </c>
      <c r="E419" s="336">
        <f>Gasto_o_ing_per_capita!E419-Gasto_o_ing_per_capita!$D419</f>
        <v>-0.27731112190466423</v>
      </c>
      <c r="F419" s="336">
        <f>Gasto_o_ing_per_capita!F419-Gasto_o_ing_per_capita!$D419</f>
        <v>0.22790411547560785</v>
      </c>
      <c r="G419" s="336">
        <f>Gasto_o_ing_per_capita!G419-Gasto_o_ing_per_capita!$D419</f>
        <v>1.0716760790295412</v>
      </c>
      <c r="H419" s="336">
        <f>Gasto_o_ing_per_capita!H419-Gasto_o_ing_per_capita!$D419</f>
        <v>-0.40611733880655865</v>
      </c>
      <c r="I419" s="336">
        <f>Gasto_o_ing_per_capita!I419-Gasto_o_ing_per_capita!$D419</f>
        <v>-0.52630630721594507</v>
      </c>
      <c r="J419" s="336">
        <f>Gasto_o_ing_per_capita!J419-Gasto_o_ing_per_capita!$D419</f>
        <v>0.36089366197492678</v>
      </c>
      <c r="K419" s="336">
        <f>Gasto_o_ing_per_capita!K419-Gasto_o_ing_per_capita!$D419</f>
        <v>0.29355004217291158</v>
      </c>
      <c r="L419" s="336">
        <f>Gasto_o_ing_per_capita!L419-Gasto_o_ing_per_capita!$D419</f>
        <v>-0.29172914515147252</v>
      </c>
      <c r="M419" s="336">
        <f>Gasto_o_ing_per_capita!M419-Gasto_o_ing_per_capita!$D419</f>
        <v>0.22663059094612215</v>
      </c>
      <c r="N419" s="336">
        <f>Gasto_o_ing_per_capita!N419-Gasto_o_ing_per_capita!$D419</f>
        <v>-0.2182921597990708</v>
      </c>
      <c r="O419" s="336">
        <f>Gasto_o_ing_per_capita!O419-Gasto_o_ing_per_capita!$D419</f>
        <v>-0.2152286135767485</v>
      </c>
      <c r="P419" s="336">
        <f>Gasto_o_ing_per_capita!P419-Gasto_o_ing_per_capita!$D419</f>
        <v>0.28414286600646288</v>
      </c>
      <c r="Q419" s="336">
        <f>Gasto_o_ing_per_capita!Q419-Gasto_o_ing_per_capita!$D419</f>
        <v>-4.2195918691609435E-2</v>
      </c>
      <c r="R419" s="336">
        <f>Gasto_o_ing_per_capita!R419-Gasto_o_ing_per_capita!$D419</f>
        <v>-0.39629217834981656</v>
      </c>
      <c r="S419" s="336">
        <f>Gasto_o_ing_per_capita!S419-Gasto_o_ing_per_capita!$D419</f>
        <v>0.18456647543150617</v>
      </c>
      <c r="T419" s="336">
        <f>Gasto_o_ing_per_capita!T419-Gasto_o_ing_per_capita!$D419</f>
        <v>0.76368589447920332</v>
      </c>
      <c r="U419" s="336">
        <f>Gasto_o_ing_per_capita!U419-Gasto_o_ing_per_capita!$D419</f>
        <v>-1.2444030589400246E-3</v>
      </c>
      <c r="V419" s="336">
        <f>Gasto_o_ing_per_capita!V419-Gasto_o_ing_per_capita!$D419</f>
        <v>0.15447216462470981</v>
      </c>
      <c r="W419" s="105"/>
    </row>
    <row r="420" spans="1:23" s="102" customFormat="1" ht="13.15">
      <c r="A420" s="355" t="str">
        <f>IF(B420="","",(IF(ISERROR(MATCH(B420,Tot_res!C:C,0)),"Eliminar!!!","")))</f>
        <v/>
      </c>
      <c r="B420" s="115" t="s">
        <v>398</v>
      </c>
      <c r="C420" s="333" t="str">
        <f>VLOOKUP(B420,Tot_res!C:D,2,FALSE)</f>
        <v xml:space="preserve"> Direcc. y Coord. Asist.Jurídica Admón. de la Seg.Soc.</v>
      </c>
      <c r="D420" s="336">
        <f>Gasto_o_ing_per_capita!D420-Gasto_o_ing_per_capita!$D420</f>
        <v>0</v>
      </c>
      <c r="E420" s="336">
        <f>Gasto_o_ing_per_capita!E420-Gasto_o_ing_per_capita!$D420</f>
        <v>-7.2163621164205924E-3</v>
      </c>
      <c r="F420" s="336">
        <f>Gasto_o_ing_per_capita!F420-Gasto_o_ing_per_capita!$D420</f>
        <v>5.9306623326125657E-3</v>
      </c>
      <c r="G420" s="336">
        <f>Gasto_o_ing_per_capita!G420-Gasto_o_ing_per_capita!$D420</f>
        <v>2.7887820022024425E-2</v>
      </c>
      <c r="H420" s="336">
        <f>Gasto_o_ing_per_capita!H420-Gasto_o_ing_per_capita!$D420</f>
        <v>-1.056823743114324E-2</v>
      </c>
      <c r="I420" s="336">
        <f>Gasto_o_ing_per_capita!I420-Gasto_o_ing_per_capita!$D420</f>
        <v>-1.3695869357638217E-2</v>
      </c>
      <c r="J420" s="336">
        <f>Gasto_o_ing_per_capita!J420-Gasto_o_ing_per_capita!$D420</f>
        <v>9.3913988463380088E-3</v>
      </c>
      <c r="K420" s="336">
        <f>Gasto_o_ing_per_capita!K420-Gasto_o_ing_per_capita!$D420</f>
        <v>7.6389413776867254E-3</v>
      </c>
      <c r="L420" s="336">
        <f>Gasto_o_ing_per_capita!L420-Gasto_o_ing_per_capita!$D420</f>
        <v>-7.5915568653268789E-3</v>
      </c>
      <c r="M420" s="336">
        <f>Gasto_o_ing_per_capita!M420-Gasto_o_ing_per_capita!$D420</f>
        <v>5.8975218869434798E-3</v>
      </c>
      <c r="N420" s="336">
        <f>Gasto_o_ing_per_capita!N420-Gasto_o_ing_per_capita!$D420</f>
        <v>-5.6805340567162785E-3</v>
      </c>
      <c r="O420" s="336">
        <f>Gasto_o_ing_per_capita!O420-Gasto_o_ing_per_capita!$D420</f>
        <v>-5.6008125556497937E-3</v>
      </c>
      <c r="P420" s="336">
        <f>Gasto_o_ing_per_capita!P420-Gasto_o_ing_per_capita!$D420</f>
        <v>7.3941420012903075E-3</v>
      </c>
      <c r="Q420" s="336">
        <f>Gasto_o_ing_per_capita!Q420-Gasto_o_ing_per_capita!$D420</f>
        <v>-1.0980483834268154E-3</v>
      </c>
      <c r="R420" s="336">
        <f>Gasto_o_ing_per_capita!R420-Gasto_o_ing_per_capita!$D420</f>
        <v>-1.031256100813932E-2</v>
      </c>
      <c r="S420" s="336">
        <f>Gasto_o_ing_per_capita!S420-Gasto_o_ing_per_capita!$D420</f>
        <v>4.8029033675868332E-3</v>
      </c>
      <c r="T420" s="336">
        <f>Gasto_o_ing_per_capita!T420-Gasto_o_ing_per_capita!$D420</f>
        <v>1.9873108297687105E-2</v>
      </c>
      <c r="U420" s="336">
        <f>Gasto_o_ing_per_capita!U420-Gasto_o_ing_per_capita!$D420</f>
        <v>-3.2382628689445192E-5</v>
      </c>
      <c r="V420" s="336">
        <f>Gasto_o_ing_per_capita!V420-Gasto_o_ing_per_capita!$D420</f>
        <v>4.0197705349245619E-3</v>
      </c>
      <c r="W420" s="105"/>
    </row>
    <row r="421" spans="1:23" s="102" customFormat="1" ht="13.15">
      <c r="A421" s="355" t="str">
        <f>IF(B421="","",(IF(ISERROR(MATCH(B421,Tot_res!C:C,0)),"Eliminar!!!","")))</f>
        <v/>
      </c>
      <c r="B421" s="115" t="s">
        <v>399</v>
      </c>
      <c r="C421" s="333" t="str">
        <f>VLOOKUP(B421,Tot_res!C:D,2,FALSE)</f>
        <v>Autorizaciones iniciales trabajo</v>
      </c>
      <c r="D421" s="336">
        <f>Gasto_o_ing_per_capita!D421-Gasto_o_ing_per_capita!$D421</f>
        <v>0</v>
      </c>
      <c r="E421" s="336">
        <f>Gasto_o_ing_per_capita!E421-Gasto_o_ing_per_capita!$D421</f>
        <v>-7.5989273793480888E-2</v>
      </c>
      <c r="F421" s="336">
        <f>Gasto_o_ing_per_capita!F421-Gasto_o_ing_per_capita!$D421</f>
        <v>-7.5989273793480888E-2</v>
      </c>
      <c r="G421" s="336">
        <f>Gasto_o_ing_per_capita!G421-Gasto_o_ing_per_capita!$D421</f>
        <v>-7.5989273793480888E-2</v>
      </c>
      <c r="H421" s="336">
        <f>Gasto_o_ing_per_capita!H421-Gasto_o_ing_per_capita!$D421</f>
        <v>-7.5989273793480888E-2</v>
      </c>
      <c r="I421" s="336">
        <f>Gasto_o_ing_per_capita!I421-Gasto_o_ing_per_capita!$D421</f>
        <v>-7.5989273793480888E-2</v>
      </c>
      <c r="J421" s="336">
        <f>Gasto_o_ing_per_capita!J421-Gasto_o_ing_per_capita!$D421</f>
        <v>-7.5989273793480888E-2</v>
      </c>
      <c r="K421" s="336">
        <f>Gasto_o_ing_per_capita!K421-Gasto_o_ing_per_capita!$D421</f>
        <v>-7.5989273793480888E-2</v>
      </c>
      <c r="L421" s="336">
        <f>Gasto_o_ing_per_capita!L421-Gasto_o_ing_per_capita!$D421</f>
        <v>-7.5989273793480888E-2</v>
      </c>
      <c r="M421" s="336">
        <f>Gasto_o_ing_per_capita!M421-Gasto_o_ing_per_capita!$D421</f>
        <v>0.39741945936218293</v>
      </c>
      <c r="N421" s="336">
        <f>Gasto_o_ing_per_capita!N421-Gasto_o_ing_per_capita!$D421</f>
        <v>-7.5989273793480888E-2</v>
      </c>
      <c r="O421" s="336">
        <f>Gasto_o_ing_per_capita!O421-Gasto_o_ing_per_capita!$D421</f>
        <v>-7.5989273793480888E-2</v>
      </c>
      <c r="P421" s="336">
        <f>Gasto_o_ing_per_capita!P421-Gasto_o_ing_per_capita!$D421</f>
        <v>-7.5989273793480888E-2</v>
      </c>
      <c r="Q421" s="336">
        <f>Gasto_o_ing_per_capita!Q421-Gasto_o_ing_per_capita!$D421</f>
        <v>-7.5989273793480888E-2</v>
      </c>
      <c r="R421" s="336">
        <f>Gasto_o_ing_per_capita!R421-Gasto_o_ing_per_capita!$D421</f>
        <v>-7.5989273793480888E-2</v>
      </c>
      <c r="S421" s="336">
        <f>Gasto_o_ing_per_capita!S421-Gasto_o_ing_per_capita!$D421</f>
        <v>-7.5989273793480888E-2</v>
      </c>
      <c r="T421" s="336">
        <f>Gasto_o_ing_per_capita!T421-Gasto_o_ing_per_capita!$D421</f>
        <v>-7.5989273793480888E-2</v>
      </c>
      <c r="U421" s="336">
        <f>Gasto_o_ing_per_capita!U421-Gasto_o_ing_per_capita!$D421</f>
        <v>-7.5989273793480888E-2</v>
      </c>
      <c r="V421" s="336">
        <f>Gasto_o_ing_per_capita!V421-Gasto_o_ing_per_capita!$D421</f>
        <v>-7.5989273793480888E-2</v>
      </c>
      <c r="W421" s="105"/>
    </row>
    <row r="422" spans="1:23" s="102" customFormat="1" ht="13.15">
      <c r="A422" s="355" t="str">
        <f>IF(B422="","",(IF(ISERROR(MATCH(B422,Tot_res!C:C,0)),"Eliminar!!!","")))</f>
        <v/>
      </c>
      <c r="B422" s="115" t="s">
        <v>400</v>
      </c>
      <c r="C422" s="333" t="str">
        <f>VLOOKUP(B422,Tot_res!C:D,2,FALSE)</f>
        <v xml:space="preserve"> Inspección de trabajo</v>
      </c>
      <c r="D422" s="336">
        <f>Gasto_o_ing_per_capita!D422-Gasto_o_ing_per_capita!$D422</f>
        <v>0</v>
      </c>
      <c r="E422" s="336">
        <f>Gasto_o_ing_per_capita!E422-Gasto_o_ing_per_capita!$D422</f>
        <v>-0.30054719399979285</v>
      </c>
      <c r="F422" s="336">
        <f>Gasto_o_ing_per_capita!F422-Gasto_o_ing_per_capita!$D422</f>
        <v>-0.30054719399979285</v>
      </c>
      <c r="G422" s="336">
        <f>Gasto_o_ing_per_capita!G422-Gasto_o_ing_per_capita!$D422</f>
        <v>-0.30054719399979285</v>
      </c>
      <c r="H422" s="336">
        <f>Gasto_o_ing_per_capita!H422-Gasto_o_ing_per_capita!$D422</f>
        <v>-0.30054719399979285</v>
      </c>
      <c r="I422" s="336">
        <f>Gasto_o_ing_per_capita!I422-Gasto_o_ing_per_capita!$D422</f>
        <v>-0.30054719399979285</v>
      </c>
      <c r="J422" s="336">
        <f>Gasto_o_ing_per_capita!J422-Gasto_o_ing_per_capita!$D422</f>
        <v>-0.30054719399979285</v>
      </c>
      <c r="K422" s="336">
        <f>Gasto_o_ing_per_capita!K422-Gasto_o_ing_per_capita!$D422</f>
        <v>-0.30054719399979285</v>
      </c>
      <c r="L422" s="336">
        <f>Gasto_o_ing_per_capita!L422-Gasto_o_ing_per_capita!$D422</f>
        <v>-0.30054719399979285</v>
      </c>
      <c r="M422" s="336">
        <f>Gasto_o_ing_per_capita!M422-Gasto_o_ing_per_capita!$D422</f>
        <v>1.5718442536618347</v>
      </c>
      <c r="N422" s="336">
        <f>Gasto_o_ing_per_capita!N422-Gasto_o_ing_per_capita!$D422</f>
        <v>-0.30054719399979285</v>
      </c>
      <c r="O422" s="336">
        <f>Gasto_o_ing_per_capita!O422-Gasto_o_ing_per_capita!$D422</f>
        <v>-0.30054719399979285</v>
      </c>
      <c r="P422" s="336">
        <f>Gasto_o_ing_per_capita!P422-Gasto_o_ing_per_capita!$D422</f>
        <v>-0.30054719399979285</v>
      </c>
      <c r="Q422" s="336">
        <f>Gasto_o_ing_per_capita!Q422-Gasto_o_ing_per_capita!$D422</f>
        <v>-0.30054719399979285</v>
      </c>
      <c r="R422" s="336">
        <f>Gasto_o_ing_per_capita!R422-Gasto_o_ing_per_capita!$D422</f>
        <v>-0.30054719399979285</v>
      </c>
      <c r="S422" s="336">
        <f>Gasto_o_ing_per_capita!S422-Gasto_o_ing_per_capita!$D422</f>
        <v>-0.30054719399979285</v>
      </c>
      <c r="T422" s="336">
        <f>Gasto_o_ing_per_capita!T422-Gasto_o_ing_per_capita!$D422</f>
        <v>-0.30054719399979285</v>
      </c>
      <c r="U422" s="336">
        <f>Gasto_o_ing_per_capita!U422-Gasto_o_ing_per_capita!$D422</f>
        <v>-0.30054719399979285</v>
      </c>
      <c r="V422" s="336">
        <f>Gasto_o_ing_per_capita!V422-Gasto_o_ing_per_capita!$D422</f>
        <v>-0.30054719399979285</v>
      </c>
      <c r="W422" s="105"/>
    </row>
    <row r="423" spans="1:23" ht="13.15">
      <c r="A423" s="356"/>
      <c r="B423" s="14"/>
      <c r="D423" s="19"/>
      <c r="E423" s="19"/>
      <c r="F423" s="19"/>
      <c r="G423" s="19"/>
      <c r="H423" s="19"/>
      <c r="I423" s="19"/>
      <c r="J423" s="19"/>
      <c r="K423" s="19"/>
      <c r="L423" s="19"/>
      <c r="M423" s="19"/>
      <c r="N423" s="19"/>
      <c r="O423" s="19"/>
      <c r="P423" s="19"/>
      <c r="Q423" s="19"/>
      <c r="R423" s="19"/>
      <c r="S423" s="19"/>
      <c r="T423" s="19"/>
      <c r="U423" s="19"/>
      <c r="V423" s="19"/>
      <c r="W423" s="2"/>
    </row>
    <row r="424" spans="1:23" ht="13.15">
      <c r="A424" s="356"/>
      <c r="B424" s="9"/>
      <c r="D424" s="19"/>
      <c r="E424" s="19"/>
      <c r="F424" s="19"/>
      <c r="G424" s="19"/>
      <c r="H424" s="19"/>
      <c r="I424" s="19"/>
      <c r="J424" s="19"/>
      <c r="K424" s="19"/>
      <c r="L424" s="19"/>
      <c r="M424" s="19"/>
      <c r="N424" s="19"/>
      <c r="O424" s="19"/>
      <c r="P424" s="19"/>
      <c r="Q424" s="19"/>
      <c r="R424" s="19"/>
      <c r="S424" s="19"/>
      <c r="T424" s="19"/>
      <c r="U424" s="19"/>
      <c r="V424" s="19"/>
      <c r="W424" s="2"/>
    </row>
    <row r="425" spans="1:23" s="102" customFormat="1" ht="13.15">
      <c r="A425" s="356"/>
      <c r="B425" s="115"/>
      <c r="C425" s="134" t="s">
        <v>65</v>
      </c>
      <c r="D425" s="110">
        <f>Gasto_o_ing_per_capita!D425-Gasto_o_ing_per_capita!$D425</f>
        <v>0</v>
      </c>
      <c r="E425" s="110">
        <f>Gasto_o_ing_per_capita!E425-Gasto_o_ing_per_capita!$D425</f>
        <v>-9.6373219524090246</v>
      </c>
      <c r="F425" s="110">
        <f>Gasto_o_ing_per_capita!F425-Gasto_o_ing_per_capita!$D425</f>
        <v>248.98750818312305</v>
      </c>
      <c r="G425" s="110">
        <f>Gasto_o_ing_per_capita!G425-Gasto_o_ing_per_capita!$D425</f>
        <v>-28.358674856669495</v>
      </c>
      <c r="H425" s="110">
        <f>Gasto_o_ing_per_capita!H425-Gasto_o_ing_per_capita!$D425</f>
        <v>-146.88417365711049</v>
      </c>
      <c r="I425" s="110">
        <f>Gasto_o_ing_per_capita!I425-Gasto_o_ing_per_capita!$D425</f>
        <v>-11.835603938885015</v>
      </c>
      <c r="J425" s="110">
        <f>Gasto_o_ing_per_capita!J425-Gasto_o_ing_per_capita!$D425</f>
        <v>-9.1019720353805837</v>
      </c>
      <c r="K425" s="110">
        <f>Gasto_o_ing_per_capita!K425-Gasto_o_ing_per_capita!$D425</f>
        <v>438.03313507789187</v>
      </c>
      <c r="L425" s="110">
        <f>Gasto_o_ing_per_capita!L425-Gasto_o_ing_per_capita!$D425</f>
        <v>471.88725430603358</v>
      </c>
      <c r="M425" s="110">
        <f>Gasto_o_ing_per_capita!M425-Gasto_o_ing_per_capita!$D425</f>
        <v>-116.27744027073035</v>
      </c>
      <c r="N425" s="110">
        <f>Gasto_o_ing_per_capita!N425-Gasto_o_ing_per_capita!$D425</f>
        <v>-139.64153144979781</v>
      </c>
      <c r="O425" s="110">
        <f>Gasto_o_ing_per_capita!O425-Gasto_o_ing_per_capita!$D425</f>
        <v>507.92198130699569</v>
      </c>
      <c r="P425" s="110">
        <f>Gasto_o_ing_per_capita!P425-Gasto_o_ing_per_capita!$D425</f>
        <v>41.021548604120483</v>
      </c>
      <c r="Q425" s="110">
        <f>Gasto_o_ing_per_capita!Q425-Gasto_o_ing_per_capita!$D425</f>
        <v>-163.16232389668559</v>
      </c>
      <c r="R425" s="110">
        <f>Gasto_o_ing_per_capita!R425-Gasto_o_ing_per_capita!$D425</f>
        <v>-41.991596773381275</v>
      </c>
      <c r="S425" s="110">
        <f>Gasto_o_ing_per_capita!S425-Gasto_o_ing_per_capita!$D425</f>
        <v>55.047804515293819</v>
      </c>
      <c r="T425" s="110">
        <f>Gasto_o_ing_per_capita!T425-Gasto_o_ing_per_capita!$D425</f>
        <v>-75.223666159288285</v>
      </c>
      <c r="U425" s="110">
        <f>Gasto_o_ing_per_capita!U425-Gasto_o_ing_per_capita!$D425</f>
        <v>26.071872197008133</v>
      </c>
      <c r="V425" s="110">
        <f>Gasto_o_ing_per_capita!V425-Gasto_o_ing_per_capita!$D425</f>
        <v>216.4323583965537</v>
      </c>
      <c r="W425" s="105"/>
    </row>
    <row r="426" spans="1:23" s="102" customFormat="1" ht="13.15">
      <c r="A426" s="356"/>
      <c r="B426" s="115"/>
      <c r="C426" s="134"/>
      <c r="D426" s="110"/>
      <c r="E426" s="110"/>
      <c r="F426" s="110"/>
      <c r="G426" s="110"/>
      <c r="H426" s="110"/>
      <c r="I426" s="110"/>
      <c r="J426" s="110"/>
      <c r="K426" s="110"/>
      <c r="L426" s="110"/>
      <c r="M426" s="110"/>
      <c r="N426" s="110"/>
      <c r="O426" s="110"/>
      <c r="P426" s="110"/>
      <c r="Q426" s="110"/>
      <c r="R426" s="110"/>
      <c r="S426" s="110"/>
      <c r="T426" s="110"/>
      <c r="U426" s="110"/>
      <c r="V426" s="110"/>
      <c r="W426" s="114"/>
    </row>
    <row r="427" spans="1:23" s="102" customFormat="1" ht="13.15">
      <c r="A427" s="356"/>
      <c r="B427" s="115"/>
      <c r="C427" s="128" t="s">
        <v>82</v>
      </c>
      <c r="D427" s="113">
        <f>Gasto_o_ing_per_capita!D427-Gasto_o_ing_per_capita!$D427</f>
        <v>0</v>
      </c>
      <c r="E427" s="113">
        <f>Gasto_o_ing_per_capita!E427-Gasto_o_ing_per_capita!$D427</f>
        <v>13.512921430394996</v>
      </c>
      <c r="F427" s="113">
        <f>Gasto_o_ing_per_capita!F427-Gasto_o_ing_per_capita!$D427</f>
        <v>-11.246853247820923</v>
      </c>
      <c r="G427" s="113">
        <f>Gasto_o_ing_per_capita!G427-Gasto_o_ing_per_capita!$D427</f>
        <v>7.1498744614105334</v>
      </c>
      <c r="H427" s="113">
        <f>Gasto_o_ing_per_capita!H427-Gasto_o_ing_per_capita!$D427</f>
        <v>-21.574028986478183</v>
      </c>
      <c r="I427" s="113">
        <f>Gasto_o_ing_per_capita!I427-Gasto_o_ing_per_capita!$D427</f>
        <v>11.073076860593702</v>
      </c>
      <c r="J427" s="113">
        <f>Gasto_o_ing_per_capita!J427-Gasto_o_ing_per_capita!$D427</f>
        <v>-5.4601594806226075</v>
      </c>
      <c r="K427" s="113">
        <f>Gasto_o_ing_per_capita!K427-Gasto_o_ing_per_capita!$D427</f>
        <v>-10.559490455997718</v>
      </c>
      <c r="L427" s="113">
        <f>Gasto_o_ing_per_capita!L427-Gasto_o_ing_per_capita!$D427</f>
        <v>-12.815219442143231</v>
      </c>
      <c r="M427" s="113">
        <f>Gasto_o_ing_per_capita!M427-Gasto_o_ing_per_capita!$D427</f>
        <v>-13.610441673901448</v>
      </c>
      <c r="N427" s="113">
        <f>Gasto_o_ing_per_capita!N427-Gasto_o_ing_per_capita!$D427</f>
        <v>-15.343767096058343</v>
      </c>
      <c r="O427" s="113">
        <f>Gasto_o_ing_per_capita!O427-Gasto_o_ing_per_capita!$D427</f>
        <v>40.155294329635794</v>
      </c>
      <c r="P427" s="113">
        <f>Gasto_o_ing_per_capita!P427-Gasto_o_ing_per_capita!$D427</f>
        <v>1.9491630340368857</v>
      </c>
      <c r="Q427" s="113">
        <f>Gasto_o_ing_per_capita!Q427-Gasto_o_ing_per_capita!$D427</f>
        <v>-1.0753998691516955</v>
      </c>
      <c r="R427" s="113">
        <f>Gasto_o_ing_per_capita!R427-Gasto_o_ing_per_capita!$D427</f>
        <v>-8.8371195580443782</v>
      </c>
      <c r="S427" s="113">
        <f>Gasto_o_ing_per_capita!S427-Gasto_o_ing_per_capita!$D427</f>
        <v>-10.902489794904866</v>
      </c>
      <c r="T427" s="113">
        <f>Gasto_o_ing_per_capita!T427-Gasto_o_ing_per_capita!$D427</f>
        <v>20.689425743733949</v>
      </c>
      <c r="U427" s="113">
        <f>Gasto_o_ing_per_capita!U427-Gasto_o_ing_per_capita!$D427</f>
        <v>-17.80982966825411</v>
      </c>
      <c r="V427" s="113">
        <f>Gasto_o_ing_per_capita!V427-Gasto_o_ing_per_capita!$D427</f>
        <v>406.36074017227128</v>
      </c>
      <c r="W427" s="105"/>
    </row>
    <row r="428" spans="1:23" s="102" customFormat="1" ht="13.15">
      <c r="A428" s="355" t="str">
        <f>IF(B428="","",(IF(ISERROR(MATCH(B428,Tot_res!C:C,0)),"Eliminar!!!","")))</f>
        <v/>
      </c>
      <c r="B428" s="119" t="s">
        <v>401</v>
      </c>
      <c r="C428" s="333" t="str">
        <f>VLOOKUP(B428,Tot_res!C:D,2,FALSE)</f>
        <v>Fomento de la inserción y estabilidad laboral+ AF20/1</v>
      </c>
      <c r="D428" s="336">
        <f>Gasto_o_ing_per_capita!D428-Gasto_o_ing_per_capita!$D428</f>
        <v>0</v>
      </c>
      <c r="E428" s="336">
        <f>Gasto_o_ing_per_capita!E428-Gasto_o_ing_per_capita!$D428</f>
        <v>13.577979709587098</v>
      </c>
      <c r="F428" s="336">
        <f>Gasto_o_ing_per_capita!F428-Gasto_o_ing_per_capita!$D428</f>
        <v>-10.56766075674156</v>
      </c>
      <c r="G428" s="336">
        <f>Gasto_o_ing_per_capita!G428-Gasto_o_ing_per_capita!$D428</f>
        <v>5.1139039870046474</v>
      </c>
      <c r="H428" s="336">
        <f>Gasto_o_ing_per_capita!H428-Gasto_o_ing_per_capita!$D428</f>
        <v>-22.535219553324666</v>
      </c>
      <c r="I428" s="336">
        <f>Gasto_o_ing_per_capita!I428-Gasto_o_ing_per_capita!$D428</f>
        <v>10.776124127941515</v>
      </c>
      <c r="J428" s="336">
        <f>Gasto_o_ing_per_capita!J428-Gasto_o_ing_per_capita!$D428</f>
        <v>-4.7888769956922204</v>
      </c>
      <c r="K428" s="336">
        <f>Gasto_o_ing_per_capita!K428-Gasto_o_ing_per_capita!$D428</f>
        <v>-9.1979464925513525</v>
      </c>
      <c r="L428" s="336">
        <f>Gasto_o_ing_per_capita!L428-Gasto_o_ing_per_capita!$D428</f>
        <v>-10.702625246313886</v>
      </c>
      <c r="M428" s="336">
        <f>Gasto_o_ing_per_capita!M428-Gasto_o_ing_per_capita!$D428</f>
        <v>-13.344207152439708</v>
      </c>
      <c r="N428" s="336">
        <f>Gasto_o_ing_per_capita!N428-Gasto_o_ing_per_capita!$D428</f>
        <v>-14.292566711312588</v>
      </c>
      <c r="O428" s="336">
        <f>Gasto_o_ing_per_capita!O428-Gasto_o_ing_per_capita!$D428</f>
        <v>41.921705375290216</v>
      </c>
      <c r="P428" s="336">
        <f>Gasto_o_ing_per_capita!P428-Gasto_o_ing_per_capita!$D428</f>
        <v>-3.6404295119312309</v>
      </c>
      <c r="Q428" s="336">
        <f>Gasto_o_ing_per_capita!Q428-Gasto_o_ing_per_capita!$D428</f>
        <v>-1.0377811722763539</v>
      </c>
      <c r="R428" s="336">
        <f>Gasto_o_ing_per_capita!R428-Gasto_o_ing_per_capita!$D428</f>
        <v>-7.810527094832338</v>
      </c>
      <c r="S428" s="336">
        <f>Gasto_o_ing_per_capita!S428-Gasto_o_ing_per_capita!$D428</f>
        <v>-10.06180562401056</v>
      </c>
      <c r="T428" s="336">
        <f>Gasto_o_ing_per_capita!T428-Gasto_o_ing_per_capita!$D428</f>
        <v>19.599160519895378</v>
      </c>
      <c r="U428" s="336">
        <f>Gasto_o_ing_per_capita!U428-Gasto_o_ing_per_capita!$D428</f>
        <v>-17.266059989687093</v>
      </c>
      <c r="V428" s="336">
        <f>Gasto_o_ing_per_capita!V428-Gasto_o_ing_per_capita!$D428</f>
        <v>407.79606468694328</v>
      </c>
      <c r="W428" s="105"/>
    </row>
    <row r="429" spans="1:23" s="102" customFormat="1" ht="13.15">
      <c r="A429" s="355" t="str">
        <f>IF(B429="","",(IF(ISERROR(MATCH(B429,Tot_res!C:C,0)),"Eliminar!!!","")))</f>
        <v/>
      </c>
      <c r="B429" s="119" t="s">
        <v>402</v>
      </c>
      <c r="C429" s="333" t="str">
        <f>VLOOKUP(B429,Tot_res!C:D,2,FALSE)</f>
        <v>Desarrollo de la economía social y del Fondo Social Europeo</v>
      </c>
      <c r="D429" s="336">
        <f>Gasto_o_ing_per_capita!D429-Gasto_o_ing_per_capita!$D429</f>
        <v>0</v>
      </c>
      <c r="E429" s="336">
        <f>Gasto_o_ing_per_capita!E429-Gasto_o_ing_per_capita!$D429</f>
        <v>3.5668607676087413E-2</v>
      </c>
      <c r="F429" s="336">
        <f>Gasto_o_ing_per_capita!F429-Gasto_o_ing_per_capita!$D429</f>
        <v>-2.4976140514573933E-2</v>
      </c>
      <c r="G429" s="336">
        <f>Gasto_o_ing_per_capita!G429-Gasto_o_ing_per_capita!$D429</f>
        <v>-2.8560277504831186E-2</v>
      </c>
      <c r="H429" s="336">
        <f>Gasto_o_ing_per_capita!H429-Gasto_o_ing_per_capita!$D429</f>
        <v>-8.1621161115168289E-2</v>
      </c>
      <c r="I429" s="336">
        <f>Gasto_o_ing_per_capita!I429-Gasto_o_ing_per_capita!$D429</f>
        <v>-6.6956074706902485E-2</v>
      </c>
      <c r="J429" s="336">
        <f>Gasto_o_ing_per_capita!J429-Gasto_o_ing_per_capita!$D429</f>
        <v>-5.7436616341660827E-2</v>
      </c>
      <c r="K429" s="336">
        <f>Gasto_o_ing_per_capita!K429-Gasto_o_ing_per_capita!$D429</f>
        <v>-2.9600334931015715E-2</v>
      </c>
      <c r="L429" s="336">
        <f>Gasto_o_ing_per_capita!L429-Gasto_o_ing_per_capita!$D429</f>
        <v>-7.8300940748115694E-3</v>
      </c>
      <c r="M429" s="336">
        <f>Gasto_o_ing_per_capita!M429-Gasto_o_ing_per_capita!$D429</f>
        <v>-3.542288582057955E-2</v>
      </c>
      <c r="N429" s="336">
        <f>Gasto_o_ing_per_capita!N429-Gasto_o_ing_per_capita!$D429</f>
        <v>7.9049525550783387E-2</v>
      </c>
      <c r="O429" s="336">
        <f>Gasto_o_ing_per_capita!O429-Gasto_o_ing_per_capita!$D429</f>
        <v>-1.1111031637731666E-2</v>
      </c>
      <c r="P429" s="336">
        <f>Gasto_o_ing_per_capita!P429-Gasto_o_ing_per_capita!$D429</f>
        <v>-5.1027125583274768E-2</v>
      </c>
      <c r="Q429" s="336">
        <f>Gasto_o_ing_per_capita!Q429-Gasto_o_ing_per_capita!$D429</f>
        <v>-5.6439061199953428E-2</v>
      </c>
      <c r="R429" s="336">
        <f>Gasto_o_ing_per_capita!R429-Gasto_o_ing_per_capita!$D429</f>
        <v>9.8903144293611925E-2</v>
      </c>
      <c r="S429" s="336">
        <f>Gasto_o_ing_per_capita!S429-Gasto_o_ing_per_capita!$D429</f>
        <v>0.1030101523022884</v>
      </c>
      <c r="T429" s="336">
        <f>Gasto_o_ing_per_capita!T429-Gasto_o_ing_per_capita!$D429</f>
        <v>0.14699308876742795</v>
      </c>
      <c r="U429" s="336">
        <f>Gasto_o_ing_per_capita!U429-Gasto_o_ing_per_capita!$D429</f>
        <v>-5.3638834557813653E-2</v>
      </c>
      <c r="V429" s="336">
        <f>Gasto_o_ing_per_capita!V429-Gasto_o_ing_per_capita!$D429</f>
        <v>-6.6439228662654809E-2</v>
      </c>
      <c r="W429" s="105"/>
    </row>
    <row r="430" spans="1:23" s="102" customFormat="1" ht="13.15">
      <c r="A430" s="355" t="str">
        <f>IF(B430="","",(IF(ISERROR(MATCH(B430,Tot_res!C:C,0)),"Eliminar!!!","")))</f>
        <v/>
      </c>
      <c r="B430" s="115" t="s">
        <v>403</v>
      </c>
      <c r="C430" s="333" t="str">
        <f>VLOOKUP(B430,Tot_res!C:D,2,FALSE)</f>
        <v>Regulación y protección de la propiedad industrial</v>
      </c>
      <c r="D430" s="336">
        <f>Gasto_o_ing_per_capita!D430-Gasto_o_ing_per_capita!$D430</f>
        <v>0</v>
      </c>
      <c r="E430" s="336">
        <f>Gasto_o_ing_per_capita!E430-Gasto_o_ing_per_capita!$D430</f>
        <v>-0.21136006348130643</v>
      </c>
      <c r="F430" s="336">
        <f>Gasto_o_ing_per_capita!F430-Gasto_o_ing_per_capita!$D430</f>
        <v>9.5848674163250935E-2</v>
      </c>
      <c r="G430" s="336">
        <f>Gasto_o_ing_per_capita!G430-Gasto_o_ing_per_capita!$D430</f>
        <v>-9.5961056314364801E-2</v>
      </c>
      <c r="H430" s="336">
        <f>Gasto_o_ing_per_capita!H430-Gasto_o_ing_per_capita!$D430</f>
        <v>5.3086822714182968E-2</v>
      </c>
      <c r="I430" s="336">
        <f>Gasto_o_ing_per_capita!I430-Gasto_o_ing_per_capita!$D430</f>
        <v>-0.11598121639004133</v>
      </c>
      <c r="J430" s="336">
        <f>Gasto_o_ing_per_capita!J430-Gasto_o_ing_per_capita!$D430</f>
        <v>-7.8161842149218175E-2</v>
      </c>
      <c r="K430" s="336">
        <f>Gasto_o_ing_per_capita!K430-Gasto_o_ing_per_capita!$D430</f>
        <v>-4.4882994003848431E-2</v>
      </c>
      <c r="L430" s="336">
        <f>Gasto_o_ing_per_capita!L430-Gasto_o_ing_per_capita!$D430</f>
        <v>-0.16470314171861555</v>
      </c>
      <c r="M430" s="336">
        <f>Gasto_o_ing_per_capita!M430-Gasto_o_ing_per_capita!$D430</f>
        <v>0.14732257911535274</v>
      </c>
      <c r="N430" s="336">
        <f>Gasto_o_ing_per_capita!N430-Gasto_o_ing_per_capita!$D430</f>
        <v>-0.11508465236326437</v>
      </c>
      <c r="O430" s="336">
        <f>Gasto_o_ing_per_capita!O430-Gasto_o_ing_per_capita!$D430</f>
        <v>-0.25644990700709558</v>
      </c>
      <c r="P430" s="336">
        <f>Gasto_o_ing_per_capita!P430-Gasto_o_ing_per_capita!$D430</f>
        <v>-9.2415889065409762E-2</v>
      </c>
      <c r="Q430" s="336">
        <f>Gasto_o_ing_per_capita!Q430-Gasto_o_ing_per_capita!$D430</f>
        <v>0.30743990369941532</v>
      </c>
      <c r="R430" s="336">
        <f>Gasto_o_ing_per_capita!R430-Gasto_o_ing_per_capita!$D430</f>
        <v>-0.14662361534203228</v>
      </c>
      <c r="S430" s="336">
        <f>Gasto_o_ing_per_capita!S430-Gasto_o_ing_per_capita!$D430</f>
        <v>0.20049247146217541</v>
      </c>
      <c r="T430" s="336">
        <f>Gasto_o_ing_per_capita!T430-Gasto_o_ing_per_capita!$D430</f>
        <v>0.25369975619029472</v>
      </c>
      <c r="U430" s="336">
        <f>Gasto_o_ing_per_capita!U430-Gasto_o_ing_per_capita!$D430</f>
        <v>6.5031096609387329E-2</v>
      </c>
      <c r="V430" s="336">
        <f>Gasto_o_ing_per_capita!V430-Gasto_o_ing_per_capita!$D430</f>
        <v>-0.16710112623576279</v>
      </c>
      <c r="W430" s="105"/>
    </row>
    <row r="431" spans="1:23" s="102" customFormat="1" ht="13.15">
      <c r="A431" s="355" t="str">
        <f>IF(B431="","",(IF(ISERROR(MATCH(B431,Tot_res!C:C,0)),"Eliminar!!!","")))</f>
        <v/>
      </c>
      <c r="B431" s="115" t="s">
        <v>404</v>
      </c>
      <c r="C431" s="333" t="str">
        <f>VLOOKUP(B431,Tot_res!C:D,2,FALSE)</f>
        <v>Apoyo a la pequeña y mediana empresa</v>
      </c>
      <c r="D431" s="336">
        <f>Gasto_o_ing_per_capita!D431-Gasto_o_ing_per_capita!$D431</f>
        <v>0</v>
      </c>
      <c r="E431" s="336">
        <f>Gasto_o_ing_per_capita!E431-Gasto_o_ing_per_capita!$D431</f>
        <v>-0.16722892861134775</v>
      </c>
      <c r="F431" s="336">
        <f>Gasto_o_ing_per_capita!F431-Gasto_o_ing_per_capita!$D431</f>
        <v>4.2040909681817396E-2</v>
      </c>
      <c r="G431" s="336">
        <f>Gasto_o_ing_per_capita!G431-Gasto_o_ing_per_capita!$D431</f>
        <v>-0.15509997871245051</v>
      </c>
      <c r="H431" s="336">
        <f>Gasto_o_ing_per_capita!H431-Gasto_o_ing_per_capita!$D431</f>
        <v>0.16262337746160827</v>
      </c>
      <c r="I431" s="336">
        <f>Gasto_o_ing_per_capita!I431-Gasto_o_ing_per_capita!$D431</f>
        <v>-1.0620168948070718E-2</v>
      </c>
      <c r="J431" s="336">
        <f>Gasto_o_ing_per_capita!J431-Gasto_o_ing_per_capita!$D431</f>
        <v>-6.5524262134322941E-2</v>
      </c>
      <c r="K431" s="336">
        <f>Gasto_o_ing_per_capita!K431-Gasto_o_ing_per_capita!$D431</f>
        <v>-0.12630911306948167</v>
      </c>
      <c r="L431" s="336">
        <f>Gasto_o_ing_per_capita!L431-Gasto_o_ing_per_capita!$D431</f>
        <v>-0.18496787490912714</v>
      </c>
      <c r="M431" s="336">
        <f>Gasto_o_ing_per_capita!M431-Gasto_o_ing_per_capita!$D431</f>
        <v>0.19346547452286067</v>
      </c>
      <c r="N431" s="336">
        <f>Gasto_o_ing_per_capita!N431-Gasto_o_ing_per_capita!$D431</f>
        <v>-6.7357180378908255E-2</v>
      </c>
      <c r="O431" s="336">
        <f>Gasto_o_ing_per_capita!O431-Gasto_o_ing_per_capita!$D431</f>
        <v>-0.19084032605104917</v>
      </c>
      <c r="P431" s="336">
        <f>Gasto_o_ing_per_capita!P431-Gasto_o_ing_per_capita!$D431</f>
        <v>-6.129525553176185E-2</v>
      </c>
      <c r="Q431" s="336">
        <f>Gasto_o_ing_per_capita!Q431-Gasto_o_ing_per_capita!$D431</f>
        <v>0.148445083875825</v>
      </c>
      <c r="R431" s="336">
        <f>Gasto_o_ing_per_capita!R431-Gasto_o_ing_per_capita!$D431</f>
        <v>-8.9106294561147603E-4</v>
      </c>
      <c r="S431" s="336">
        <f>Gasto_o_ing_per_capita!S431-Gasto_o_ing_per_capita!$D431</f>
        <v>0.14954469984652474</v>
      </c>
      <c r="T431" s="336">
        <f>Gasto_o_ing_per_capita!T431-Gasto_o_ing_per_capita!$D431</f>
        <v>0.15448987459222241</v>
      </c>
      <c r="U431" s="336">
        <f>Gasto_o_ing_per_capita!U431-Gasto_o_ing_per_capita!$D431</f>
        <v>9.627780513917894E-2</v>
      </c>
      <c r="V431" s="336">
        <f>Gasto_o_ing_per_capita!V431-Gasto_o_ing_per_capita!$D431</f>
        <v>-0.36548404171120108</v>
      </c>
      <c r="W431" s="105"/>
    </row>
    <row r="432" spans="1:23" s="102" customFormat="1" ht="13.15">
      <c r="A432" s="355" t="str">
        <f>IF(B432="","",(IF(ISERROR(MATCH(B432,Tot_res!C:C,0)),"Eliminar!!!","")))</f>
        <v/>
      </c>
      <c r="B432" s="115" t="s">
        <v>405</v>
      </c>
      <c r="C432" s="333" t="str">
        <f>VLOOKUP(B432,Tot_res!C:D,2,FALSE)</f>
        <v>Administración de las relaciones laborales y condiciones de trabajo</v>
      </c>
      <c r="D432" s="336">
        <f>Gasto_o_ing_per_capita!D432-Gasto_o_ing_per_capita!$D432</f>
        <v>0</v>
      </c>
      <c r="E432" s="336">
        <f>Gasto_o_ing_per_capita!E432-Gasto_o_ing_per_capita!$D432</f>
        <v>-0.31478901696395922</v>
      </c>
      <c r="F432" s="336">
        <f>Gasto_o_ing_per_capita!F432-Gasto_o_ing_per_capita!$D432</f>
        <v>-0.16220870654597053</v>
      </c>
      <c r="G432" s="336">
        <f>Gasto_o_ing_per_capita!G432-Gasto_o_ing_per_capita!$D432</f>
        <v>1.6463797378954221</v>
      </c>
      <c r="H432" s="336">
        <f>Gasto_o_ing_per_capita!H432-Gasto_o_ing_per_capita!$D432</f>
        <v>0.20421947845213817</v>
      </c>
      <c r="I432" s="336">
        <f>Gasto_o_ing_per_capita!I432-Gasto_o_ing_per_capita!$D432</f>
        <v>-0.13528762224099455</v>
      </c>
      <c r="J432" s="336">
        <f>Gasto_o_ing_per_capita!J432-Gasto_o_ing_per_capita!$D432</f>
        <v>-0.24090138445757259</v>
      </c>
      <c r="K432" s="336">
        <f>Gasto_o_ing_per_capita!K432-Gasto_o_ing_per_capita!$D432</f>
        <v>-0.22315537671431251</v>
      </c>
      <c r="L432" s="336">
        <f>Gasto_o_ing_per_capita!L432-Gasto_o_ing_per_capita!$D432</f>
        <v>-0.300913663268774</v>
      </c>
      <c r="M432" s="336">
        <f>Gasto_o_ing_per_capita!M432-Gasto_o_ing_per_capita!$D432</f>
        <v>-5.4349207059371185E-2</v>
      </c>
      <c r="N432" s="336">
        <f>Gasto_o_ing_per_capita!N432-Gasto_o_ing_per_capita!$D432</f>
        <v>-0.1525639675892384</v>
      </c>
      <c r="O432" s="336">
        <f>Gasto_o_ing_per_capita!O432-Gasto_o_ing_per_capita!$D432</f>
        <v>-0.32768187472880211</v>
      </c>
      <c r="P432" s="336">
        <f>Gasto_o_ing_per_capita!P432-Gasto_o_ing_per_capita!$D432</f>
        <v>0.3425808243595917</v>
      </c>
      <c r="Q432" s="336">
        <f>Gasto_o_ing_per_capita!Q432-Gasto_o_ing_per_capita!$D432</f>
        <v>0.60041840334847596</v>
      </c>
      <c r="R432" s="336">
        <f>Gasto_o_ing_per_capita!R432-Gasto_o_ing_per_capita!$D432</f>
        <v>-0.23260591205796632</v>
      </c>
      <c r="S432" s="336">
        <f>Gasto_o_ing_per_capita!S432-Gasto_o_ing_per_capita!$D432</f>
        <v>-0.12566097851551628</v>
      </c>
      <c r="T432" s="336">
        <f>Gasto_o_ing_per_capita!T432-Gasto_o_ing_per_capita!$D432</f>
        <v>-0.11543772166981991</v>
      </c>
      <c r="U432" s="336">
        <f>Gasto_o_ing_per_capita!U432-Gasto_o_ing_per_capita!$D432</f>
        <v>-0.18883508874162158</v>
      </c>
      <c r="V432" s="336">
        <f>Gasto_o_ing_per_capita!V432-Gasto_o_ing_per_capita!$D432</f>
        <v>-0.29311799072475775</v>
      </c>
      <c r="W432" s="105"/>
    </row>
    <row r="433" spans="1:23" s="102" customFormat="1" ht="13.15">
      <c r="A433" s="355" t="str">
        <f>IF(B433="","",(IF(ISERROR(MATCH(B433,Tot_res!C:C,0)),"Eliminar!!!","")))</f>
        <v/>
      </c>
      <c r="B433" s="115" t="s">
        <v>900</v>
      </c>
      <c r="C433" s="333" t="str">
        <f>VLOOKUP(B433,Tot_res!C:D,2,FALSE)</f>
        <v xml:space="preserve"> Previsión y política económica, subvenciones a préstamos ICO </v>
      </c>
      <c r="D433" s="336">
        <f>Gasto_o_ing_per_capita!D433-Gasto_o_ing_per_capita!$D433</f>
        <v>0</v>
      </c>
      <c r="E433" s="336">
        <f>Gasto_o_ing_per_capita!E433-Gasto_o_ing_per_capita!$D433</f>
        <v>-0.16476927337433672</v>
      </c>
      <c r="F433" s="336">
        <f>Gasto_o_ing_per_capita!F433-Gasto_o_ing_per_capita!$D433</f>
        <v>7.4850515698600351E-2</v>
      </c>
      <c r="G433" s="336">
        <f>Gasto_o_ing_per_capita!G433-Gasto_o_ing_per_capita!$D433</f>
        <v>-7.4759184570930559E-2</v>
      </c>
      <c r="H433" s="336">
        <f>Gasto_o_ing_per_capita!H433-Gasto_o_ing_per_capita!$D433</f>
        <v>4.1496692812060809E-2</v>
      </c>
      <c r="I433" s="336">
        <f>Gasto_o_ing_per_capita!I433-Gasto_o_ing_per_capita!$D433</f>
        <v>-9.0374712212889952E-2</v>
      </c>
      <c r="J433" s="336">
        <f>Gasto_o_ing_per_capita!J433-Gasto_o_ing_per_capita!$D433</f>
        <v>-6.0875972860815808E-2</v>
      </c>
      <c r="K433" s="336">
        <f>Gasto_o_ing_per_capita!K433-Gasto_o_ing_per_capita!$D433</f>
        <v>-3.4918799134819545E-2</v>
      </c>
      <c r="L433" s="336">
        <f>Gasto_o_ing_per_capita!L433-Gasto_o_ing_per_capita!$D433</f>
        <v>-0.12963725911454727</v>
      </c>
      <c r="M433" s="336">
        <f>Gasto_o_ing_per_capita!M433-Gasto_o_ing_per_capita!$D433</f>
        <v>0.11499965449573235</v>
      </c>
      <c r="N433" s="336">
        <f>Gasto_o_ing_per_capita!N433-Gasto_o_ing_per_capita!$D433</f>
        <v>-8.9869135633619535E-2</v>
      </c>
      <c r="O433" s="336">
        <f>Gasto_o_ing_per_capita!O433-Gasto_o_ing_per_capita!$D433</f>
        <v>-0.19993890714784646</v>
      </c>
      <c r="P433" s="336">
        <f>Gasto_o_ing_per_capita!P433-Gasto_o_ing_per_capita!$D433</f>
        <v>-7.1993989039917494E-2</v>
      </c>
      <c r="Q433" s="336">
        <f>Gasto_o_ing_per_capita!Q433-Gasto_o_ing_per_capita!$D433</f>
        <v>0.23979868189687736</v>
      </c>
      <c r="R433" s="336">
        <f>Gasto_o_ing_per_capita!R433-Gasto_o_ing_per_capita!$D433</f>
        <v>-0.1142754815395105</v>
      </c>
      <c r="S433" s="336">
        <f>Gasto_o_ing_per_capita!S433-Gasto_o_ing_per_capita!$D433</f>
        <v>0.15647164675370429</v>
      </c>
      <c r="T433" s="336">
        <f>Gasto_o_ing_per_capita!T433-Gasto_o_ing_per_capita!$D433</f>
        <v>0.19797280470073819</v>
      </c>
      <c r="U433" s="336">
        <f>Gasto_o_ing_per_capita!U433-Gasto_o_ing_per_capita!$D433</f>
        <v>5.081310878819012E-2</v>
      </c>
      <c r="V433" s="336">
        <f>Gasto_o_ing_per_capita!V433-Gasto_o_ing_per_capita!$D433</f>
        <v>-0.13024773831422409</v>
      </c>
      <c r="W433" s="105"/>
    </row>
    <row r="434" spans="1:23" s="102" customFormat="1" ht="13.15">
      <c r="A434" s="355" t="str">
        <f>IF(B434="","",(IF(ISERROR(MATCH(B434,Tot_res!C:C,0)),"Eliminar!!!","")))</f>
        <v/>
      </c>
      <c r="B434" s="115" t="s">
        <v>902</v>
      </c>
      <c r="C434" s="333" t="str">
        <f>VLOOKUP(B434,Tot_res!C:D,2,FALSE)</f>
        <v>Otros Servicios Sociales, formación y gestión del empleo y del desempleo, ISM</v>
      </c>
      <c r="D434" s="336">
        <f>Gasto_o_ing_per_capita!D434-Gasto_o_ing_per_capita!$D434</f>
        <v>0</v>
      </c>
      <c r="E434" s="336">
        <f>Gasto_o_ing_per_capita!E434-Gasto_o_ing_per_capita!$D434</f>
        <v>9.6021431378790184E-2</v>
      </c>
      <c r="F434" s="336">
        <f>Gasto_o_ing_per_capita!F434-Gasto_o_ing_per_capita!$D434</f>
        <v>-0.24533339132340945</v>
      </c>
      <c r="G434" s="336">
        <f>Gasto_o_ing_per_capita!G434-Gasto_o_ing_per_capita!$D434</f>
        <v>-4.2795073940421591E-2</v>
      </c>
      <c r="H434" s="336">
        <f>Gasto_o_ing_per_capita!H434-Gasto_o_ing_per_capita!$D434</f>
        <v>-5.6584025734678661E-2</v>
      </c>
      <c r="I434" s="336">
        <f>Gasto_o_ing_per_capita!I434-Gasto_o_ing_per_capita!$D434</f>
        <v>0.66432367782015089</v>
      </c>
      <c r="J434" s="336">
        <f>Gasto_o_ing_per_capita!J434-Gasto_o_ing_per_capita!$D434</f>
        <v>4.0446706064189153E-3</v>
      </c>
      <c r="K434" s="336">
        <f>Gasto_o_ing_per_capita!K434-Gasto_o_ing_per_capita!$D434</f>
        <v>-0.24533339132340945</v>
      </c>
      <c r="L434" s="336">
        <f>Gasto_o_ing_per_capita!L434-Gasto_o_ing_per_capita!$D434</f>
        <v>-0.24533339132340945</v>
      </c>
      <c r="M434" s="336">
        <f>Gasto_o_ing_per_capita!M434-Gasto_o_ing_per_capita!$D434</f>
        <v>-0.21224388526378785</v>
      </c>
      <c r="N434" s="336">
        <f>Gasto_o_ing_per_capita!N434-Gasto_o_ing_per_capita!$D434</f>
        <v>-0.10328873923707962</v>
      </c>
      <c r="O434" s="336">
        <f>Gasto_o_ing_per_capita!O434-Gasto_o_ing_per_capita!$D434</f>
        <v>-0.24533339132340945</v>
      </c>
      <c r="P434" s="336">
        <f>Gasto_o_ing_per_capita!P434-Gasto_o_ing_per_capita!$D434</f>
        <v>1.2354330187868612</v>
      </c>
      <c r="Q434" s="336">
        <f>Gasto_o_ing_per_capita!Q434-Gasto_o_ing_per_capita!$D434</f>
        <v>-0.19807293707593249</v>
      </c>
      <c r="R434" s="336">
        <f>Gasto_o_ing_per_capita!R434-Gasto_o_ing_per_capita!$D434</f>
        <v>-0.10800393118128482</v>
      </c>
      <c r="S434" s="336">
        <f>Gasto_o_ing_per_capita!S434-Gasto_o_ing_per_capita!$D434</f>
        <v>-0.24533339132340945</v>
      </c>
      <c r="T434" s="336">
        <f>Gasto_o_ing_per_capita!T434-Gasto_o_ing_per_capita!$D434</f>
        <v>-4.5160355538846314E-2</v>
      </c>
      <c r="U434" s="336">
        <f>Gasto_o_ing_per_capita!U434-Gasto_o_ing_per_capita!$D434</f>
        <v>-0.24533339132340945</v>
      </c>
      <c r="V434" s="336">
        <f>Gasto_o_ing_per_capita!V434-Gasto_o_ing_per_capita!$D434</f>
        <v>0.66627438239662296</v>
      </c>
      <c r="W434" s="105"/>
    </row>
    <row r="435" spans="1:23" s="102" customFormat="1" ht="13.15">
      <c r="A435" s="355" t="str">
        <f>IF(B435="","",(IF(ISERROR(MATCH(B435,Tot_res!C:C,0)),"Eliminar!!!","")))</f>
        <v/>
      </c>
      <c r="B435" s="115" t="s">
        <v>903</v>
      </c>
      <c r="C435" s="333" t="str">
        <f>VLOOKUP(B435,Tot_res!C:D,2,FALSE)</f>
        <v>ISM, formación  + AF20/2</v>
      </c>
      <c r="D435" s="336">
        <f>Gasto_o_ing_per_capita!D435-Gasto_o_ing_per_capita!$D435</f>
        <v>0</v>
      </c>
      <c r="E435" s="336">
        <f>Gasto_o_ing_per_capita!E435-Gasto_o_ing_per_capita!$D435</f>
        <v>0.63035157831148891</v>
      </c>
      <c r="F435" s="336">
        <f>Gasto_o_ing_per_capita!F435-Gasto_o_ing_per_capita!$D435</f>
        <v>-0.80736703596878978</v>
      </c>
      <c r="G435" s="336">
        <f>Gasto_o_ing_per_capita!G435-Gasto_o_ing_per_capita!$D435</f>
        <v>1.0586080430047282</v>
      </c>
      <c r="H435" s="336">
        <f>Gasto_o_ing_per_capita!H435-Gasto_o_ing_per_capita!$D435</f>
        <v>0.34232142996181281</v>
      </c>
      <c r="I435" s="336">
        <f>Gasto_o_ing_per_capita!I435-Gasto_o_ing_per_capita!$D435</f>
        <v>-0.14566632703466376</v>
      </c>
      <c r="J435" s="336">
        <f>Gasto_o_ing_per_capita!J435-Gasto_o_ing_per_capita!$D435</f>
        <v>-0.52603605989133018</v>
      </c>
      <c r="K435" s="336">
        <f>Gasto_o_ing_per_capita!K435-Gasto_o_ing_per_capita!$D435</f>
        <v>-0.80736703596878978</v>
      </c>
      <c r="L435" s="336">
        <f>Gasto_o_ing_per_capita!L435-Gasto_o_ing_per_capita!$D435</f>
        <v>-0.80736703596878978</v>
      </c>
      <c r="M435" s="336">
        <f>Gasto_o_ing_per_capita!M435-Gasto_o_ing_per_capita!$D435</f>
        <v>-0.50434108576549486</v>
      </c>
      <c r="N435" s="336">
        <f>Gasto_o_ing_per_capita!N435-Gasto_o_ing_per_capita!$D435</f>
        <v>-0.33024449964316277</v>
      </c>
      <c r="O435" s="336">
        <f>Gasto_o_ing_per_capita!O435-Gasto_o_ing_per_capita!$D435</f>
        <v>-0.80736703596878978</v>
      </c>
      <c r="P435" s="336">
        <f>Gasto_o_ing_per_capita!P435-Gasto_o_ing_per_capita!$D435</f>
        <v>4.1253937045093112</v>
      </c>
      <c r="Q435" s="336">
        <f>Gasto_o_ing_per_capita!Q435-Gasto_o_ing_per_capita!$D435</f>
        <v>-0.80736703596878978</v>
      </c>
      <c r="R435" s="336">
        <f>Gasto_o_ing_per_capita!R435-Gasto_o_ing_per_capita!$D435</f>
        <v>-0.73502463267522833</v>
      </c>
      <c r="S435" s="336">
        <f>Gasto_o_ing_per_capita!S435-Gasto_o_ing_per_capita!$D435</f>
        <v>-0.80736703596878978</v>
      </c>
      <c r="T435" s="336">
        <f>Gasto_o_ing_per_capita!T435-Gasto_o_ing_per_capita!$D435</f>
        <v>0.36589387972060983</v>
      </c>
      <c r="U435" s="336">
        <f>Gasto_o_ing_per_capita!U435-Gasto_o_ing_per_capita!$D435</f>
        <v>-0.80736703596878978</v>
      </c>
      <c r="V435" s="336">
        <f>Gasto_o_ing_per_capita!V435-Gasto_o_ing_per_capita!$D435</f>
        <v>-0.80736703596878978</v>
      </c>
      <c r="W435" s="105"/>
    </row>
    <row r="436" spans="1:23" s="102" customFormat="1" ht="13.15">
      <c r="A436" s="355" t="str">
        <f>IF(B436="","",(IF(ISERROR(MATCH(B436,Tot_res!C:C,0)),"Eliminar!!!","")))</f>
        <v/>
      </c>
      <c r="B436" s="115" t="s">
        <v>406</v>
      </c>
      <c r="C436" s="333" t="str">
        <f>VLOOKUP(B436,Tot_res!C:D,2,FALSE)</f>
        <v>Gestión de la formación continua + AF20/3</v>
      </c>
      <c r="D436" s="336">
        <f>Gasto_o_ing_per_capita!D436-Gasto_o_ing_per_capita!$D436</f>
        <v>0</v>
      </c>
      <c r="E436" s="336">
        <f>Gasto_o_ing_per_capita!E436-Gasto_o_ing_per_capita!$D436</f>
        <v>3.1047385872462474E-2</v>
      </c>
      <c r="F436" s="336">
        <f>Gasto_o_ing_per_capita!F436-Gasto_o_ing_per_capita!$D436</f>
        <v>0.34795268372968752</v>
      </c>
      <c r="G436" s="336">
        <f>Gasto_o_ing_per_capita!G436-Gasto_o_ing_per_capita!$D436</f>
        <v>-0.2718417354512736</v>
      </c>
      <c r="H436" s="336">
        <f>Gasto_o_ing_per_capita!H436-Gasto_o_ing_per_capita!$D436</f>
        <v>0.29564795229452817</v>
      </c>
      <c r="I436" s="336">
        <f>Gasto_o_ing_per_capita!I436-Gasto_o_ing_per_capita!$D436</f>
        <v>0.19751517636557503</v>
      </c>
      <c r="J436" s="336">
        <f>Gasto_o_ing_per_capita!J436-Gasto_o_ing_per_capita!$D436</f>
        <v>0.35360898229809096</v>
      </c>
      <c r="K436" s="336">
        <f>Gasto_o_ing_per_capita!K436-Gasto_o_ing_per_capita!$D436</f>
        <v>0.15002308169930728</v>
      </c>
      <c r="L436" s="336">
        <f>Gasto_o_ing_per_capita!L436-Gasto_o_ing_per_capita!$D436</f>
        <v>-0.2718417354512736</v>
      </c>
      <c r="M436" s="336">
        <f>Gasto_o_ing_per_capita!M436-Gasto_o_ing_per_capita!$D436</f>
        <v>8.4334834313528728E-2</v>
      </c>
      <c r="N436" s="336">
        <f>Gasto_o_ing_per_capita!N436-Gasto_o_ing_per_capita!$D436</f>
        <v>-0.2718417354512736</v>
      </c>
      <c r="O436" s="336">
        <f>Gasto_o_ing_per_capita!O436-Gasto_o_ing_per_capita!$D436</f>
        <v>0.27231142821033044</v>
      </c>
      <c r="P436" s="336">
        <f>Gasto_o_ing_per_capita!P436-Gasto_o_ing_per_capita!$D436</f>
        <v>0.16291725753270947</v>
      </c>
      <c r="Q436" s="336">
        <f>Gasto_o_ing_per_capita!Q436-Gasto_o_ing_per_capita!$D436</f>
        <v>-0.2718417354512736</v>
      </c>
      <c r="R436" s="336">
        <f>Gasto_o_ing_per_capita!R436-Gasto_o_ing_per_capita!$D436</f>
        <v>0.21192902823600274</v>
      </c>
      <c r="S436" s="336">
        <f>Gasto_o_ing_per_capita!S436-Gasto_o_ing_per_capita!$D436</f>
        <v>-0.2718417354512736</v>
      </c>
      <c r="T436" s="336">
        <f>Gasto_o_ing_per_capita!T436-Gasto_o_ing_per_capita!$D436</f>
        <v>0.13181389707591801</v>
      </c>
      <c r="U436" s="336">
        <f>Gasto_o_ing_per_capita!U436-Gasto_o_ing_per_capita!$D436</f>
        <v>0.53928266148786452</v>
      </c>
      <c r="V436" s="336">
        <f>Gasto_o_ing_per_capita!V436-Gasto_o_ing_per_capita!$D436</f>
        <v>-0.2718417354512736</v>
      </c>
      <c r="W436" s="105"/>
    </row>
    <row r="437" spans="1:23" s="102" customFormat="1" ht="13.15">
      <c r="A437" s="356"/>
      <c r="B437" s="115"/>
      <c r="C437" s="132"/>
      <c r="D437" s="116"/>
      <c r="E437" s="116"/>
      <c r="F437" s="116"/>
      <c r="G437" s="116"/>
      <c r="H437" s="116"/>
      <c r="I437" s="116"/>
      <c r="J437" s="116"/>
      <c r="K437" s="116"/>
      <c r="L437" s="116"/>
      <c r="M437" s="116"/>
      <c r="N437" s="116"/>
      <c r="O437" s="116"/>
      <c r="P437" s="116"/>
      <c r="Q437" s="116"/>
      <c r="R437" s="116"/>
      <c r="S437" s="116"/>
      <c r="T437" s="116"/>
      <c r="U437" s="116"/>
      <c r="V437" s="116"/>
      <c r="W437" s="105"/>
    </row>
    <row r="438" spans="1:23" s="102" customFormat="1" ht="13.15">
      <c r="A438" s="356"/>
      <c r="B438" s="115"/>
      <c r="C438" s="128" t="s">
        <v>75</v>
      </c>
      <c r="D438" s="113">
        <f>Gasto_o_ing_per_capita!D438-Gasto_o_ing_per_capita!$D438</f>
        <v>0</v>
      </c>
      <c r="E438" s="113">
        <f>Gasto_o_ing_per_capita!E438-Gasto_o_ing_per_capita!$D438</f>
        <v>-9.5841808729424827</v>
      </c>
      <c r="F438" s="113">
        <f>Gasto_o_ing_per_capita!F438-Gasto_o_ing_per_capita!$D438</f>
        <v>243.85486057884319</v>
      </c>
      <c r="G438" s="113">
        <f>Gasto_o_ing_per_capita!G438-Gasto_o_ing_per_capita!$D438</f>
        <v>-65.785648811308718</v>
      </c>
      <c r="H438" s="113">
        <f>Gasto_o_ing_per_capita!H438-Gasto_o_ing_per_capita!$D438</f>
        <v>-127.38143532812782</v>
      </c>
      <c r="I438" s="113">
        <f>Gasto_o_ing_per_capita!I438-Gasto_o_ing_per_capita!$D438</f>
        <v>-10.68756011003569</v>
      </c>
      <c r="J438" s="113">
        <f>Gasto_o_ing_per_capita!J438-Gasto_o_ing_per_capita!$D438</f>
        <v>-20.778556757399485</v>
      </c>
      <c r="K438" s="113">
        <f>Gasto_o_ing_per_capita!K438-Gasto_o_ing_per_capita!$D438</f>
        <v>453.54394657198281</v>
      </c>
      <c r="L438" s="113">
        <f>Gasto_o_ing_per_capita!L438-Gasto_o_ing_per_capita!$D438</f>
        <v>491.91455711089861</v>
      </c>
      <c r="M438" s="113">
        <f>Gasto_o_ing_per_capita!M438-Gasto_o_ing_per_capita!$D438</f>
        <v>-110.66529329358657</v>
      </c>
      <c r="N438" s="113">
        <f>Gasto_o_ing_per_capita!N438-Gasto_o_ing_per_capita!$D438</f>
        <v>-116.66642482449933</v>
      </c>
      <c r="O438" s="113">
        <f>Gasto_o_ing_per_capita!O438-Gasto_o_ing_per_capita!$D438</f>
        <v>487.22171876602829</v>
      </c>
      <c r="P438" s="113">
        <f>Gasto_o_ing_per_capita!P438-Gasto_o_ing_per_capita!$D438</f>
        <v>11.578100143802004</v>
      </c>
      <c r="Q438" s="113">
        <f>Gasto_o_ing_per_capita!Q438-Gasto_o_ing_per_capita!$D438</f>
        <v>-154.88239719581583</v>
      </c>
      <c r="R438" s="113">
        <f>Gasto_o_ing_per_capita!R438-Gasto_o_ing_per_capita!$D438</f>
        <v>-33.942741759090836</v>
      </c>
      <c r="S438" s="113">
        <f>Gasto_o_ing_per_capita!S438-Gasto_o_ing_per_capita!$D438</f>
        <v>45.107383738643932</v>
      </c>
      <c r="T438" s="113">
        <f>Gasto_o_ing_per_capita!T438-Gasto_o_ing_per_capita!$D438</f>
        <v>-124.95102560447611</v>
      </c>
      <c r="U438" s="113">
        <f>Gasto_o_ing_per_capita!U438-Gasto_o_ing_per_capita!$D438</f>
        <v>46.486044553434084</v>
      </c>
      <c r="V438" s="113">
        <f>Gasto_o_ing_per_capita!V438-Gasto_o_ing_per_capita!$D438</f>
        <v>-156.03694741608385</v>
      </c>
      <c r="W438" s="105"/>
    </row>
    <row r="439" spans="1:23" s="102" customFormat="1" ht="13.15">
      <c r="A439" s="355" t="str">
        <f>IF(B439="","",(IF(ISERROR(MATCH(B439,Tot_res!C:C,0)),"Eliminar!!!","")))</f>
        <v/>
      </c>
      <c r="B439" s="115" t="s">
        <v>482</v>
      </c>
      <c r="C439" s="333" t="str">
        <f>VLOOKUP(B439,Tot_res!C:D,2,FALSE)</f>
        <v>Competitividad y calidad de la producción y los mercados agrarios + AF22/1</v>
      </c>
      <c r="D439" s="336">
        <f>Gasto_o_ing_per_capita!D439-Gasto_o_ing_per_capita!$D439</f>
        <v>0</v>
      </c>
      <c r="E439" s="336">
        <f>Gasto_o_ing_per_capita!E439-Gasto_o_ing_per_capita!$D439</f>
        <v>0.10334919436860601</v>
      </c>
      <c r="F439" s="336">
        <f>Gasto_o_ing_per_capita!F439-Gasto_o_ing_per_capita!$D439</f>
        <v>1.9764720925674037</v>
      </c>
      <c r="G439" s="336">
        <f>Gasto_o_ing_per_capita!G439-Gasto_o_ing_per_capita!$D439</f>
        <v>-0.17280378837417032</v>
      </c>
      <c r="H439" s="336">
        <f>Gasto_o_ing_per_capita!H439-Gasto_o_ing_per_capita!$D439</f>
        <v>-4.0043169110825727E-2</v>
      </c>
      <c r="I439" s="336">
        <f>Gasto_o_ing_per_capita!I439-Gasto_o_ing_per_capita!$D439</f>
        <v>-0.51045092896489164</v>
      </c>
      <c r="J439" s="336">
        <f>Gasto_o_ing_per_capita!J439-Gasto_o_ing_per_capita!$D439</f>
        <v>0.41990713674808877</v>
      </c>
      <c r="K439" s="336">
        <f>Gasto_o_ing_per_capita!K439-Gasto_o_ing_per_capita!$D439</f>
        <v>0.61128084576291875</v>
      </c>
      <c r="L439" s="336">
        <f>Gasto_o_ing_per_capita!L439-Gasto_o_ing_per_capita!$D439</f>
        <v>0.94636802585938884</v>
      </c>
      <c r="M439" s="336">
        <f>Gasto_o_ing_per_capita!M439-Gasto_o_ing_per_capita!$D439</f>
        <v>-0.37145607766326083</v>
      </c>
      <c r="N439" s="336">
        <f>Gasto_o_ing_per_capita!N439-Gasto_o_ing_per_capita!$D439</f>
        <v>-0.19512115715537359</v>
      </c>
      <c r="O439" s="336">
        <f>Gasto_o_ing_per_capita!O439-Gasto_o_ing_per_capita!$D439</f>
        <v>0.97917603926132457</v>
      </c>
      <c r="P439" s="336">
        <f>Gasto_o_ing_per_capita!P439-Gasto_o_ing_per_capita!$D439</f>
        <v>-9.3584074131633166E-2</v>
      </c>
      <c r="Q439" s="336">
        <f>Gasto_o_ing_per_capita!Q439-Gasto_o_ing_per_capita!$D439</f>
        <v>-0.68011399552731322</v>
      </c>
      <c r="R439" s="336">
        <f>Gasto_o_ing_per_capita!R439-Gasto_o_ing_per_capita!$D439</f>
        <v>0.85654127696137594</v>
      </c>
      <c r="S439" s="336">
        <f>Gasto_o_ing_per_capita!S439-Gasto_o_ing_per_capita!$D439</f>
        <v>0</v>
      </c>
      <c r="T439" s="336">
        <f>Gasto_o_ing_per_capita!T439-Gasto_o_ing_per_capita!$D439</f>
        <v>0</v>
      </c>
      <c r="U439" s="336">
        <f>Gasto_o_ing_per_capita!U439-Gasto_o_ing_per_capita!$D439</f>
        <v>0.85337023857425309</v>
      </c>
      <c r="V439" s="336">
        <f>Gasto_o_ing_per_capita!V439-Gasto_o_ing_per_capita!$D439</f>
        <v>-0.74729789673711122</v>
      </c>
      <c r="W439" s="105"/>
    </row>
    <row r="440" spans="1:23" s="102" customFormat="1" ht="13.15">
      <c r="A440" s="355" t="str">
        <f>IF(B440="","",(IF(ISERROR(MATCH(B440,Tot_res!C:C,0)),"Eliminar!!!","")))</f>
        <v/>
      </c>
      <c r="B440" s="115" t="s">
        <v>484</v>
      </c>
      <c r="C440" s="333" t="str">
        <f>VLOOKUP(B440,Tot_res!C:D,2,FALSE)</f>
        <v>Competitividad y calidad de la sanidad agraria + AF22/2</v>
      </c>
      <c r="D440" s="336">
        <f>Gasto_o_ing_per_capita!D440-Gasto_o_ing_per_capita!$D440</f>
        <v>0</v>
      </c>
      <c r="E440" s="336">
        <f>Gasto_o_ing_per_capita!E440-Gasto_o_ing_per_capita!$D440</f>
        <v>-0.37808735618358935</v>
      </c>
      <c r="F440" s="336">
        <f>Gasto_o_ing_per_capita!F440-Gasto_o_ing_per_capita!$D440</f>
        <v>2.4454784527545725</v>
      </c>
      <c r="G440" s="336">
        <f>Gasto_o_ing_per_capita!G440-Gasto_o_ing_per_capita!$D440</f>
        <v>0.11076696778796535</v>
      </c>
      <c r="H440" s="336">
        <f>Gasto_o_ing_per_capita!H440-Gasto_o_ing_per_capita!$D440</f>
        <v>-0.637129845832487</v>
      </c>
      <c r="I440" s="336">
        <f>Gasto_o_ing_per_capita!I440-Gasto_o_ing_per_capita!$D440</f>
        <v>-0.74661285136072419</v>
      </c>
      <c r="J440" s="336">
        <f>Gasto_o_ing_per_capita!J440-Gasto_o_ing_per_capita!$D440</f>
        <v>0.53127478838664766</v>
      </c>
      <c r="K440" s="336">
        <f>Gasto_o_ing_per_capita!K440-Gasto_o_ing_per_capita!$D440</f>
        <v>1.5974279094954742</v>
      </c>
      <c r="L440" s="336">
        <f>Gasto_o_ing_per_capita!L440-Gasto_o_ing_per_capita!$D440</f>
        <v>0.48468983802124976</v>
      </c>
      <c r="M440" s="336">
        <f>Gasto_o_ing_per_capita!M440-Gasto_o_ing_per_capita!$D440</f>
        <v>-0.14983536512428985</v>
      </c>
      <c r="N440" s="336">
        <f>Gasto_o_ing_per_capita!N440-Gasto_o_ing_per_capita!$D440</f>
        <v>-0.41034562175361466</v>
      </c>
      <c r="O440" s="336">
        <f>Gasto_o_ing_per_capita!O440-Gasto_o_ing_per_capita!$D440</f>
        <v>1.6574909008315215</v>
      </c>
      <c r="P440" s="336">
        <f>Gasto_o_ing_per_capita!P440-Gasto_o_ing_per_capita!$D440</f>
        <v>1.2217681813045695</v>
      </c>
      <c r="Q440" s="336">
        <f>Gasto_o_ing_per_capita!Q440-Gasto_o_ing_per_capita!$D440</f>
        <v>-0.80894192635430817</v>
      </c>
      <c r="R440" s="336">
        <f>Gasto_o_ing_per_capita!R440-Gasto_o_ing_per_capita!$D440</f>
        <v>-0.14993721907296287</v>
      </c>
      <c r="S440" s="336">
        <f>Gasto_o_ing_per_capita!S440-Gasto_o_ing_per_capita!$D440</f>
        <v>0</v>
      </c>
      <c r="T440" s="336">
        <f>Gasto_o_ing_per_capita!T440-Gasto_o_ing_per_capita!$D440</f>
        <v>0</v>
      </c>
      <c r="U440" s="336">
        <f>Gasto_o_ing_per_capita!U440-Gasto_o_ing_per_capita!$D440</f>
        <v>-0.24127240024254415</v>
      </c>
      <c r="V440" s="336">
        <f>Gasto_o_ing_per_capita!V440-Gasto_o_ing_per_capita!$D440</f>
        <v>1.7461134168895507</v>
      </c>
      <c r="W440" s="105"/>
    </row>
    <row r="441" spans="1:23" s="102" customFormat="1" ht="13.15">
      <c r="A441" s="355" t="str">
        <f>IF(B441="","",(IF(ISERROR(MATCH(B441,Tot_res!C:C,0)),"Eliminar!!!","")))</f>
        <v/>
      </c>
      <c r="B441" s="115" t="s">
        <v>407</v>
      </c>
      <c r="C441" s="333" t="str">
        <f>VLOOKUP(B441,Tot_res!C:D,2,FALSE)</f>
        <v>Regulación de los mercados agrarios</v>
      </c>
      <c r="D441" s="336">
        <f>Gasto_o_ing_per_capita!D441-Gasto_o_ing_per_capita!$D441</f>
        <v>0</v>
      </c>
      <c r="E441" s="336">
        <f>Gasto_o_ing_per_capita!E441-Gasto_o_ing_per_capita!$D441</f>
        <v>-2.44907503872858</v>
      </c>
      <c r="F441" s="336">
        <f>Gasto_o_ing_per_capita!F441-Gasto_o_ing_per_capita!$D441</f>
        <v>213.9707930108421</v>
      </c>
      <c r="G441" s="336">
        <f>Gasto_o_ing_per_capita!G441-Gasto_o_ing_per_capita!$D441</f>
        <v>-76.556850099630225</v>
      </c>
      <c r="H441" s="336">
        <f>Gasto_o_ing_per_capita!H441-Gasto_o_ing_per_capita!$D441</f>
        <v>-107.33956171872416</v>
      </c>
      <c r="I441" s="336">
        <f>Gasto_o_ing_per_capita!I441-Gasto_o_ing_per_capita!$D441</f>
        <v>12.194276474233078</v>
      </c>
      <c r="J441" s="336">
        <f>Gasto_o_ing_per_capita!J441-Gasto_o_ing_per_capita!$D441</f>
        <v>-32.442541622062592</v>
      </c>
      <c r="K441" s="336">
        <f>Gasto_o_ing_per_capita!K441-Gasto_o_ing_per_capita!$D441</f>
        <v>412.63665082268648</v>
      </c>
      <c r="L441" s="336">
        <f>Gasto_o_ing_per_capita!L441-Gasto_o_ing_per_capita!$D441</f>
        <v>406.60652954546373</v>
      </c>
      <c r="M441" s="336">
        <f>Gasto_o_ing_per_capita!M441-Gasto_o_ing_per_capita!$D441</f>
        <v>-91.072163202789369</v>
      </c>
      <c r="N441" s="336">
        <f>Gasto_o_ing_per_capita!N441-Gasto_o_ing_per_capita!$D441</f>
        <v>-98.432885032289803</v>
      </c>
      <c r="O441" s="336">
        <f>Gasto_o_ing_per_capita!O441-Gasto_o_ing_per_capita!$D441</f>
        <v>362.81390380178499</v>
      </c>
      <c r="P441" s="336">
        <f>Gasto_o_ing_per_capita!P441-Gasto_o_ing_per_capita!$D441</f>
        <v>-27.011544695114893</v>
      </c>
      <c r="Q441" s="336">
        <f>Gasto_o_ing_per_capita!Q441-Gasto_o_ing_per_capita!$D441</f>
        <v>-125.42600729512019</v>
      </c>
      <c r="R441" s="336">
        <f>Gasto_o_ing_per_capita!R441-Gasto_o_ing_per_capita!$D441</f>
        <v>-39.946726331847174</v>
      </c>
      <c r="S441" s="336">
        <f>Gasto_o_ing_per_capita!S441-Gasto_o_ing_per_capita!$D441</f>
        <v>41.884613089595632</v>
      </c>
      <c r="T441" s="336">
        <f>Gasto_o_ing_per_capita!T441-Gasto_o_ing_per_capita!$D441</f>
        <v>-106.94844671127478</v>
      </c>
      <c r="U441" s="336">
        <f>Gasto_o_ing_per_capita!U441-Gasto_o_ing_per_capita!$D441</f>
        <v>11.466320593329215</v>
      </c>
      <c r="V441" s="336">
        <f>Gasto_o_ing_per_capita!V441-Gasto_o_ing_per_capita!$D441</f>
        <v>-131.99350408393406</v>
      </c>
      <c r="W441" s="105"/>
    </row>
    <row r="442" spans="1:23" s="102" customFormat="1" ht="13.15">
      <c r="A442" s="355" t="str">
        <f>IF(B442="","",(IF(ISERROR(MATCH(B442,Tot_res!C:C,0)),"Eliminar!!!","")))</f>
        <v/>
      </c>
      <c r="B442" s="115" t="s">
        <v>408</v>
      </c>
      <c r="C442" s="333" t="str">
        <f>VLOOKUP(B442,Tot_res!C:D,2,FALSE)</f>
        <v>Competitividad industria agroalimentaria y calidad alimentaria + AF22/3</v>
      </c>
      <c r="D442" s="336">
        <f>Gasto_o_ing_per_capita!D442-Gasto_o_ing_per_capita!$D442</f>
        <v>0</v>
      </c>
      <c r="E442" s="336">
        <f>Gasto_o_ing_per_capita!E442-Gasto_o_ing_per_capita!$D442</f>
        <v>-0.26063362315407851</v>
      </c>
      <c r="F442" s="336">
        <f>Gasto_o_ing_per_capita!F442-Gasto_o_ing_per_capita!$D442</f>
        <v>-1.8533960028650931E-2</v>
      </c>
      <c r="G442" s="336">
        <f>Gasto_o_ing_per_capita!G442-Gasto_o_ing_per_capita!$D442</f>
        <v>-0.27805255937602458</v>
      </c>
      <c r="H442" s="336">
        <f>Gasto_o_ing_per_capita!H442-Gasto_o_ing_per_capita!$D442</f>
        <v>-0.50517118698838148</v>
      </c>
      <c r="I442" s="336">
        <f>Gasto_o_ing_per_capita!I442-Gasto_o_ing_per_capita!$D442</f>
        <v>-0.39212846596133877</v>
      </c>
      <c r="J442" s="336">
        <f>Gasto_o_ing_per_capita!J442-Gasto_o_ing_per_capita!$D442</f>
        <v>0.19816011150691393</v>
      </c>
      <c r="K442" s="336">
        <f>Gasto_o_ing_per_capita!K442-Gasto_o_ing_per_capita!$D442</f>
        <v>0.29493018944984717</v>
      </c>
      <c r="L442" s="336">
        <f>Gasto_o_ing_per_capita!L442-Gasto_o_ing_per_capita!$D442</f>
        <v>0.25379285878421265</v>
      </c>
      <c r="M442" s="336">
        <f>Gasto_o_ing_per_capita!M442-Gasto_o_ing_per_capita!$D442</f>
        <v>0.18768767568259392</v>
      </c>
      <c r="N442" s="336">
        <f>Gasto_o_ing_per_capita!N442-Gasto_o_ing_per_capita!$D442</f>
        <v>-0.2134140952082651</v>
      </c>
      <c r="O442" s="336">
        <f>Gasto_o_ing_per_capita!O442-Gasto_o_ing_per_capita!$D442</f>
        <v>9.0123717150574767E-2</v>
      </c>
      <c r="P442" s="336">
        <f>Gasto_o_ing_per_capita!P442-Gasto_o_ing_per_capita!$D442</f>
        <v>0.27904235147428214</v>
      </c>
      <c r="Q442" s="336">
        <f>Gasto_o_ing_per_capita!Q442-Gasto_o_ing_per_capita!$D442</f>
        <v>0.17254157056719011</v>
      </c>
      <c r="R442" s="336">
        <f>Gasto_o_ing_per_capita!R442-Gasto_o_ing_per_capita!$D442</f>
        <v>4.6483494282454352E-2</v>
      </c>
      <c r="S442" s="336">
        <f>Gasto_o_ing_per_capita!S442-Gasto_o_ing_per_capita!$D442</f>
        <v>0</v>
      </c>
      <c r="T442" s="336">
        <f>Gasto_o_ing_per_capita!T442-Gasto_o_ing_per_capita!$D442</f>
        <v>0</v>
      </c>
      <c r="U442" s="336">
        <f>Gasto_o_ing_per_capita!U442-Gasto_o_ing_per_capita!$D442</f>
        <v>0.69266990631170788</v>
      </c>
      <c r="V442" s="336">
        <f>Gasto_o_ing_per_capita!V442-Gasto_o_ing_per_capita!$D442</f>
        <v>-0.56003627628999109</v>
      </c>
      <c r="W442" s="105"/>
    </row>
    <row r="443" spans="1:23" s="102" customFormat="1" ht="13.15">
      <c r="A443" s="355" t="str">
        <f>IF(B443="","",(IF(ISERROR(MATCH(B443,Tot_res!C:C,0)),"Eliminar!!!","")))</f>
        <v/>
      </c>
      <c r="B443" s="115" t="s">
        <v>409</v>
      </c>
      <c r="C443" s="333" t="str">
        <f>VLOOKUP(B443,Tot_res!C:D,2,FALSE)</f>
        <v>Desarrollo del medio rural  + AF22/4</v>
      </c>
      <c r="D443" s="336">
        <f>Gasto_o_ing_per_capita!D443-Gasto_o_ing_per_capita!$D443</f>
        <v>0</v>
      </c>
      <c r="E443" s="336">
        <f>Gasto_o_ing_per_capita!E443-Gasto_o_ing_per_capita!$D443</f>
        <v>-8.8089431991533313</v>
      </c>
      <c r="F443" s="336">
        <f>Gasto_o_ing_per_capita!F443-Gasto_o_ing_per_capita!$D443</f>
        <v>18.319989219295906</v>
      </c>
      <c r="G443" s="336">
        <f>Gasto_o_ing_per_capita!G443-Gasto_o_ing_per_capita!$D443</f>
        <v>14.77074855751637</v>
      </c>
      <c r="H443" s="336">
        <f>Gasto_o_ing_per_capita!H443-Gasto_o_ing_per_capita!$D443</f>
        <v>-13.837421353076753</v>
      </c>
      <c r="I443" s="336">
        <f>Gasto_o_ing_per_capita!I443-Gasto_o_ing_per_capita!$D443</f>
        <v>-19.239877654232526</v>
      </c>
      <c r="J443" s="336">
        <f>Gasto_o_ing_per_capita!J443-Gasto_o_ing_per_capita!$D443</f>
        <v>11.30226597159912</v>
      </c>
      <c r="K443" s="336">
        <f>Gasto_o_ing_per_capita!K443-Gasto_o_ing_per_capita!$D443</f>
        <v>34.058405016443587</v>
      </c>
      <c r="L443" s="336">
        <f>Gasto_o_ing_per_capita!L443-Gasto_o_ing_per_capita!$D443</f>
        <v>75.620604627014117</v>
      </c>
      <c r="M443" s="336">
        <f>Gasto_o_ing_per_capita!M443-Gasto_o_ing_per_capita!$D443</f>
        <v>-14.95607989722842</v>
      </c>
      <c r="N443" s="336">
        <f>Gasto_o_ing_per_capita!N443-Gasto_o_ing_per_capita!$D443</f>
        <v>-14.236823062593158</v>
      </c>
      <c r="O443" s="336">
        <f>Gasto_o_ing_per_capita!O443-Gasto_o_ing_per_capita!$D443</f>
        <v>117.66326006881897</v>
      </c>
      <c r="P443" s="336">
        <f>Gasto_o_ing_per_capita!P443-Gasto_o_ing_per_capita!$D443</f>
        <v>19.889094211128466</v>
      </c>
      <c r="Q443" s="336">
        <f>Gasto_o_ing_per_capita!Q443-Gasto_o_ing_per_capita!$D443</f>
        <v>-21.04274596171598</v>
      </c>
      <c r="R443" s="336">
        <f>Gasto_o_ing_per_capita!R443-Gasto_o_ing_per_capita!$D443</f>
        <v>2.8088975547193762</v>
      </c>
      <c r="S443" s="336">
        <f>Gasto_o_ing_per_capita!S443-Gasto_o_ing_per_capita!$D443</f>
        <v>1.5405104435285182</v>
      </c>
      <c r="T443" s="336">
        <f>Gasto_o_ing_per_capita!T443-Gasto_o_ing_per_capita!$D443</f>
        <v>-13.505541213202868</v>
      </c>
      <c r="U443" s="336">
        <f>Gasto_o_ing_per_capita!U443-Gasto_o_ing_per_capita!$D443</f>
        <v>14.193580803070503</v>
      </c>
      <c r="V443" s="336">
        <f>Gasto_o_ing_per_capita!V443-Gasto_o_ing_per_capita!$D443</f>
        <v>-22.217579968807115</v>
      </c>
      <c r="W443" s="105"/>
    </row>
    <row r="444" spans="1:23" s="102" customFormat="1" ht="13.15">
      <c r="A444" s="355" t="str">
        <f>IF(B444="","",(IF(ISERROR(MATCH(B444,Tot_res!C:C,0)),"Eliminar!!!","")))</f>
        <v/>
      </c>
      <c r="B444" s="115" t="s">
        <v>411</v>
      </c>
      <c r="C444" s="333" t="str">
        <f>VLOOKUP(B444,Tot_res!C:D,2,FALSE)</f>
        <v>Programa de desarrollo rural sostenible</v>
      </c>
      <c r="D444" s="336">
        <f>Gasto_o_ing_per_capita!D444-Gasto_o_ing_per_capita!$D444</f>
        <v>0</v>
      </c>
      <c r="E444" s="336">
        <f>Gasto_o_ing_per_capita!E444-Gasto_o_ing_per_capita!$D444</f>
        <v>-0.42894055240488921</v>
      </c>
      <c r="F444" s="336">
        <f>Gasto_o_ing_per_capita!F444-Gasto_o_ing_per_capita!$D444</f>
        <v>-0.42894055240488921</v>
      </c>
      <c r="G444" s="336">
        <f>Gasto_o_ing_per_capita!G444-Gasto_o_ing_per_capita!$D444</f>
        <v>-0.42894055240488921</v>
      </c>
      <c r="H444" s="336">
        <f>Gasto_o_ing_per_capita!H444-Gasto_o_ing_per_capita!$D444</f>
        <v>-0.42894055240488921</v>
      </c>
      <c r="I444" s="336">
        <f>Gasto_o_ing_per_capita!I444-Gasto_o_ing_per_capita!$D444</f>
        <v>-0.42894055240488921</v>
      </c>
      <c r="J444" s="336">
        <f>Gasto_o_ing_per_capita!J444-Gasto_o_ing_per_capita!$D444</f>
        <v>-0.42894055240488921</v>
      </c>
      <c r="K444" s="336">
        <f>Gasto_o_ing_per_capita!K444-Gasto_o_ing_per_capita!$D444</f>
        <v>-0.22952543693855199</v>
      </c>
      <c r="L444" s="336">
        <f>Gasto_o_ing_per_capita!L444-Gasto_o_ing_per_capita!$D444</f>
        <v>-0.42894055240488921</v>
      </c>
      <c r="M444" s="336">
        <f>Gasto_o_ing_per_capita!M444-Gasto_o_ing_per_capita!$D444</f>
        <v>-0.42894055240488921</v>
      </c>
      <c r="N444" s="336">
        <f>Gasto_o_ing_per_capita!N444-Gasto_o_ing_per_capita!$D444</f>
        <v>-0.42894055240488921</v>
      </c>
      <c r="O444" s="336">
        <f>Gasto_o_ing_per_capita!O444-Gasto_o_ing_per_capita!$D444</f>
        <v>-0.42894055240488921</v>
      </c>
      <c r="P444" s="336">
        <f>Gasto_o_ing_per_capita!P444-Gasto_o_ing_per_capita!$D444</f>
        <v>5.7415494256262951</v>
      </c>
      <c r="Q444" s="336">
        <f>Gasto_o_ing_per_capita!Q444-Gasto_o_ing_per_capita!$D444</f>
        <v>-0.42894055240488921</v>
      </c>
      <c r="R444" s="336">
        <f>Gasto_o_ing_per_capita!R444-Gasto_o_ing_per_capita!$D444</f>
        <v>-0.42894055240488921</v>
      </c>
      <c r="S444" s="336">
        <f>Gasto_o_ing_per_capita!S444-Gasto_o_ing_per_capita!$D444</f>
        <v>-0.42894055240488921</v>
      </c>
      <c r="T444" s="336">
        <f>Gasto_o_ing_per_capita!T444-Gasto_o_ing_per_capita!$D444</f>
        <v>-0.42894055240488921</v>
      </c>
      <c r="U444" s="336">
        <f>Gasto_o_ing_per_capita!U444-Gasto_o_ing_per_capita!$D444</f>
        <v>7.7610165322199869</v>
      </c>
      <c r="V444" s="336">
        <f>Gasto_o_ing_per_capita!V444-Gasto_o_ing_per_capita!$D444</f>
        <v>-0.42894055240488921</v>
      </c>
      <c r="W444" s="105"/>
    </row>
    <row r="445" spans="1:23" s="102" customFormat="1" ht="13.15">
      <c r="A445" s="355" t="str">
        <f>IF(B445="","",(IF(ISERROR(MATCH(B445,Tot_res!C:C,0)),"Eliminar!!!","")))</f>
        <v/>
      </c>
      <c r="B445" s="115" t="s">
        <v>412</v>
      </c>
      <c r="C445" s="333" t="str">
        <f>VLOOKUP(B445,Tot_res!C:D,2,FALSE)</f>
        <v>Protección de los recursos pesqueros y desarrollo sostenible</v>
      </c>
      <c r="D445" s="336">
        <f>Gasto_o_ing_per_capita!D445-Gasto_o_ing_per_capita!$D445</f>
        <v>0</v>
      </c>
      <c r="E445" s="336">
        <f>Gasto_o_ing_per_capita!E445-Gasto_o_ing_per_capita!$D445</f>
        <v>-5.2340401957178928E-2</v>
      </c>
      <c r="F445" s="336">
        <f>Gasto_o_ing_per_capita!F445-Gasto_o_ing_per_capita!$D445</f>
        <v>-0.2835745955625078</v>
      </c>
      <c r="G445" s="336">
        <f>Gasto_o_ing_per_capita!G445-Gasto_o_ing_per_capita!$D445</f>
        <v>0.10347005601123249</v>
      </c>
      <c r="H445" s="336">
        <f>Gasto_o_ing_per_capita!H445-Gasto_o_ing_per_capita!$D445</f>
        <v>0.24312396086891008</v>
      </c>
      <c r="I445" s="336">
        <f>Gasto_o_ing_per_capita!I445-Gasto_o_ing_per_capita!$D445</f>
        <v>3.1098963792613454E-2</v>
      </c>
      <c r="J445" s="336">
        <f>Gasto_o_ing_per_capita!J445-Gasto_o_ing_per_capita!$D445</f>
        <v>0.30004057223612268</v>
      </c>
      <c r="K445" s="336">
        <f>Gasto_o_ing_per_capita!K445-Gasto_o_ing_per_capita!$D445</f>
        <v>-0.28281770929363842</v>
      </c>
      <c r="L445" s="336">
        <f>Gasto_o_ing_per_capita!L445-Gasto_o_ing_per_capita!$D445</f>
        <v>-0.28352727137754186</v>
      </c>
      <c r="M445" s="336">
        <f>Gasto_o_ing_per_capita!M445-Gasto_o_ing_per_capita!$D445</f>
        <v>-0.15221190504639071</v>
      </c>
      <c r="N445" s="336">
        <f>Gasto_o_ing_per_capita!N445-Gasto_o_ing_per_capita!$D445</f>
        <v>-0.14664543147016951</v>
      </c>
      <c r="O445" s="336">
        <f>Gasto_o_ing_per_capita!O445-Gasto_o_ing_per_capita!$D445</f>
        <v>-0.28338459530416876</v>
      </c>
      <c r="P445" s="336">
        <f>Gasto_o_ing_per_capita!P445-Gasto_o_ing_per_capita!$D445</f>
        <v>1.7219618028512877</v>
      </c>
      <c r="Q445" s="336">
        <f>Gasto_o_ing_per_capita!Q445-Gasto_o_ing_per_capita!$D445</f>
        <v>-0.26649301108202755</v>
      </c>
      <c r="R445" s="336">
        <f>Gasto_o_ing_per_capita!R445-Gasto_o_ing_per_capita!$D445</f>
        <v>-0.14521179347052615</v>
      </c>
      <c r="S445" s="336">
        <f>Gasto_o_ing_per_capita!S445-Gasto_o_ing_per_capita!$D445</f>
        <v>-0.28348196422351135</v>
      </c>
      <c r="T445" s="336">
        <f>Gasto_o_ing_per_capita!T445-Gasto_o_ing_per_capita!$D445</f>
        <v>0.16366409743657107</v>
      </c>
      <c r="U445" s="336">
        <f>Gasto_o_ing_per_capita!U445-Gasto_o_ing_per_capita!$D445</f>
        <v>2.301401051312066</v>
      </c>
      <c r="V445" s="336">
        <f>Gasto_o_ing_per_capita!V445-Gasto_o_ing_per_capita!$D445</f>
        <v>-0.13422108424853241</v>
      </c>
      <c r="W445" s="105"/>
    </row>
    <row r="446" spans="1:23" s="102" customFormat="1" ht="13.15">
      <c r="A446" s="355" t="str">
        <f>IF(B446="","",(IF(ISERROR(MATCH(B446,Tot_res!C:C,0)),"Eliminar!!!","")))</f>
        <v/>
      </c>
      <c r="B446" s="115" t="s">
        <v>413</v>
      </c>
      <c r="C446" s="333" t="str">
        <f>VLOOKUP(B446,Tot_res!C:D,2,FALSE)</f>
        <v>Mejora de estructuras y mercados pesqueros</v>
      </c>
      <c r="D446" s="336">
        <f>Gasto_o_ing_per_capita!D446-Gasto_o_ing_per_capita!$D446</f>
        <v>0</v>
      </c>
      <c r="E446" s="336">
        <f>Gasto_o_ing_per_capita!E446-Gasto_o_ing_per_capita!$D446</f>
        <v>0.16437413763263031</v>
      </c>
      <c r="F446" s="336">
        <f>Gasto_o_ing_per_capita!F446-Gasto_o_ing_per_capita!$D446</f>
        <v>-0.8593655898569621</v>
      </c>
      <c r="G446" s="336">
        <f>Gasto_o_ing_per_capita!G446-Gasto_o_ing_per_capita!$D446</f>
        <v>-0.26383419535683028</v>
      </c>
      <c r="H446" s="336">
        <f>Gasto_o_ing_per_capita!H446-Gasto_o_ing_per_capita!$D446</f>
        <v>-0.58438873075926301</v>
      </c>
      <c r="I446" s="336">
        <f>Gasto_o_ing_per_capita!I446-Gasto_o_ing_per_capita!$D446</f>
        <v>1.0340888064290574</v>
      </c>
      <c r="J446" s="336">
        <f>Gasto_o_ing_per_capita!J446-Gasto_o_ing_per_capita!$D446</f>
        <v>1.5415574917074291</v>
      </c>
      <c r="K446" s="336">
        <f>Gasto_o_ing_per_capita!K446-Gasto_o_ing_per_capita!$D446</f>
        <v>-0.86085312281639448</v>
      </c>
      <c r="L446" s="336">
        <f>Gasto_o_ing_per_capita!L446-Gasto_o_ing_per_capita!$D446</f>
        <v>-0.89825702772427196</v>
      </c>
      <c r="M446" s="336">
        <f>Gasto_o_ing_per_capita!M446-Gasto_o_ing_per_capita!$D446</f>
        <v>-0.68444064332114785</v>
      </c>
      <c r="N446" s="336">
        <f>Gasto_o_ing_per_capita!N446-Gasto_o_ing_per_capita!$D446</f>
        <v>-0.68685960262028112</v>
      </c>
      <c r="O446" s="336">
        <f>Gasto_o_ing_per_capita!O446-Gasto_o_ing_per_capita!$D446</f>
        <v>-0.90076448052631253</v>
      </c>
      <c r="P446" s="336">
        <f>Gasto_o_ing_per_capita!P446-Gasto_o_ing_per_capita!$D446</f>
        <v>5.9416327137740073</v>
      </c>
      <c r="Q446" s="336">
        <f>Gasto_o_ing_per_capita!Q446-Gasto_o_ing_per_capita!$D446</f>
        <v>-0.89998251091134052</v>
      </c>
      <c r="R446" s="336">
        <f>Gasto_o_ing_per_capita!R446-Gasto_o_ing_per_capita!$D446</f>
        <v>0.30709489538846946</v>
      </c>
      <c r="S446" s="336">
        <f>Gasto_o_ing_per_capita!S446-Gasto_o_ing_per_capita!$D446</f>
        <v>-0.86420377906012824</v>
      </c>
      <c r="T446" s="336">
        <f>Gasto_o_ing_per_capita!T446-Gasto_o_ing_per_capita!$D446</f>
        <v>-0.3652418369450332</v>
      </c>
      <c r="U446" s="336">
        <f>Gasto_o_ing_per_capita!U446-Gasto_o_ing_per_capita!$D446</f>
        <v>2.9118641688688447</v>
      </c>
      <c r="V446" s="336">
        <f>Gasto_o_ing_per_capita!V446-Gasto_o_ing_per_capita!$D446</f>
        <v>4.0029744245516143</v>
      </c>
      <c r="W446" s="105"/>
    </row>
    <row r="447" spans="1:23" s="102" customFormat="1" ht="13.15">
      <c r="A447" s="355" t="str">
        <f>IF(B447="","",(IF(ISERROR(MATCH(B447,Tot_res!C:C,0)),"Eliminar!!!","")))</f>
        <v/>
      </c>
      <c r="B447" s="115" t="s">
        <v>415</v>
      </c>
      <c r="C447" s="333" t="str">
        <f>VLOOKUP(B447,Tot_res!C:D,2,FALSE)</f>
        <v>Previsión de riesgos en las producciones agrarias y pesqueras</v>
      </c>
      <c r="D447" s="336">
        <f>Gasto_o_ing_per_capita!D447-Gasto_o_ing_per_capita!$D447</f>
        <v>0</v>
      </c>
      <c r="E447" s="336">
        <f>Gasto_o_ing_per_capita!E447-Gasto_o_ing_per_capita!$D447</f>
        <v>2.5470903762771577</v>
      </c>
      <c r="F447" s="336">
        <f>Gasto_o_ing_per_capita!F447-Gasto_o_ing_per_capita!$D447</f>
        <v>7.698872969777665</v>
      </c>
      <c r="G447" s="336">
        <f>Gasto_o_ing_per_capita!G447-Gasto_o_ing_per_capita!$D447</f>
        <v>-2.7292454576502592</v>
      </c>
      <c r="H447" s="336">
        <f>Gasto_o_ing_per_capita!H447-Gasto_o_ing_per_capita!$D447</f>
        <v>-4.2642492517127657</v>
      </c>
      <c r="I447" s="336">
        <f>Gasto_o_ing_per_capita!I447-Gasto_o_ing_per_capita!$D447</f>
        <v>-2.4806448934191385</v>
      </c>
      <c r="J447" s="336">
        <f>Gasto_o_ing_per_capita!J447-Gasto_o_ing_per_capita!$D447</f>
        <v>-2.532308404360132</v>
      </c>
      <c r="K447" s="336">
        <f>Gasto_o_ing_per_capita!K447-Gasto_o_ing_per_capita!$D447</f>
        <v>3.7021289034826959</v>
      </c>
      <c r="L447" s="336">
        <f>Gasto_o_ing_per_capita!L447-Gasto_o_ing_per_capita!$D447</f>
        <v>7.6850697250629993</v>
      </c>
      <c r="M447" s="336">
        <f>Gasto_o_ing_per_capita!M447-Gasto_o_ing_per_capita!$D447</f>
        <v>-2.4866685931183383</v>
      </c>
      <c r="N447" s="336">
        <f>Gasto_o_ing_per_capita!N447-Gasto_o_ing_per_capita!$D447</f>
        <v>-1.3610832236430817</v>
      </c>
      <c r="O447" s="336">
        <f>Gasto_o_ing_per_capita!O447-Gasto_o_ing_per_capita!$D447</f>
        <v>3.2831231458987657</v>
      </c>
      <c r="P447" s="336">
        <f>Gasto_o_ing_per_capita!P447-Gasto_o_ing_per_capita!$D447</f>
        <v>3.756811990710637</v>
      </c>
      <c r="Q447" s="336">
        <f>Gasto_o_ing_per_capita!Q447-Gasto_o_ing_per_capita!$D447</f>
        <v>-4.854260266762787</v>
      </c>
      <c r="R447" s="336">
        <f>Gasto_o_ing_per_capita!R447-Gasto_o_ing_per_capita!$D447</f>
        <v>2.8712878973733993</v>
      </c>
      <c r="S447" s="336">
        <f>Gasto_o_ing_per_capita!S447-Gasto_o_ing_per_capita!$D447</f>
        <v>3.1978578467806047</v>
      </c>
      <c r="T447" s="336">
        <f>Gasto_o_ing_per_capita!T447-Gasto_o_ing_per_capita!$D447</f>
        <v>-3.2628103314956278</v>
      </c>
      <c r="U447" s="336">
        <f>Gasto_o_ing_per_capita!U447-Gasto_o_ing_per_capita!$D447</f>
        <v>6.443156181426402</v>
      </c>
      <c r="V447" s="336">
        <f>Gasto_o_ing_per_capita!V447-Gasto_o_ing_per_capita!$D447</f>
        <v>-4.9136879382205487</v>
      </c>
      <c r="W447" s="111"/>
    </row>
    <row r="448" spans="1:23" s="102" customFormat="1" ht="13.15">
      <c r="A448" s="355" t="str">
        <f>IF(B448="","",(IF(ISERROR(MATCH(B448,Tot_res!C:C,0)),"Eliminar!!!","")))</f>
        <v/>
      </c>
      <c r="B448" s="115" t="s">
        <v>909</v>
      </c>
      <c r="C448" s="333" t="str">
        <f>VLOOKUP(B448,Tot_res!C:D,2,FALSE)</f>
        <v>Direc. y serv. grales. de agric., aliment. y medio amb., Medio Rural y Marino</v>
      </c>
      <c r="D448" s="336">
        <f>Gasto_o_ing_per_capita!D448-Gasto_o_ing_per_capita!$D448</f>
        <v>0</v>
      </c>
      <c r="E448" s="336">
        <f>Gasto_o_ing_per_capita!E448-Gasto_o_ing_per_capita!$D448</f>
        <v>-2.0974409639233915E-2</v>
      </c>
      <c r="F448" s="336">
        <f>Gasto_o_ing_per_capita!F448-Gasto_o_ing_per_capita!$D448</f>
        <v>1.0336695314585773</v>
      </c>
      <c r="G448" s="336">
        <f>Gasto_o_ing_per_capita!G448-Gasto_o_ing_per_capita!$D448</f>
        <v>-0.34090773983190692</v>
      </c>
      <c r="H448" s="336">
        <f>Gasto_o_ing_per_capita!H448-Gasto_o_ing_per_capita!$D448</f>
        <v>1.2346519612752127E-2</v>
      </c>
      <c r="I448" s="336">
        <f>Gasto_o_ing_per_capita!I448-Gasto_o_ing_per_capita!$D448</f>
        <v>-0.14836900814696219</v>
      </c>
      <c r="J448" s="336">
        <f>Gasto_o_ing_per_capita!J448-Gasto_o_ing_per_capita!$D448</f>
        <v>0.33202774924379064</v>
      </c>
      <c r="K448" s="336">
        <f>Gasto_o_ing_per_capita!K448-Gasto_o_ing_per_capita!$D448</f>
        <v>2.0163191537102225</v>
      </c>
      <c r="L448" s="336">
        <f>Gasto_o_ing_per_capita!L448-Gasto_o_ing_per_capita!$D448</f>
        <v>1.9282273421995932</v>
      </c>
      <c r="M448" s="336">
        <f>Gasto_o_ing_per_capita!M448-Gasto_o_ing_per_capita!$D448</f>
        <v>-0.55118473257307798</v>
      </c>
      <c r="N448" s="336">
        <f>Gasto_o_ing_per_capita!N448-Gasto_o_ing_per_capita!$D448</f>
        <v>-0.55430704536073006</v>
      </c>
      <c r="O448" s="336">
        <f>Gasto_o_ing_per_capita!O448-Gasto_o_ing_per_capita!$D448</f>
        <v>2.3477307205173994</v>
      </c>
      <c r="P448" s="336">
        <f>Gasto_o_ing_per_capita!P448-Gasto_o_ing_per_capita!$D448</f>
        <v>0.13136823617896365</v>
      </c>
      <c r="Q448" s="336">
        <f>Gasto_o_ing_per_capita!Q448-Gasto_o_ing_per_capita!$D448</f>
        <v>-0.64745324650420355</v>
      </c>
      <c r="R448" s="336">
        <f>Gasto_o_ing_per_capita!R448-Gasto_o_ing_per_capita!$D448</f>
        <v>-0.16223098102039746</v>
      </c>
      <c r="S448" s="336">
        <f>Gasto_o_ing_per_capita!S448-Gasto_o_ing_per_capita!$D448</f>
        <v>6.1028654427659923E-2</v>
      </c>
      <c r="T448" s="336">
        <f>Gasto_o_ing_per_capita!T448-Gasto_o_ing_per_capita!$D448</f>
        <v>-0.6037090565895229</v>
      </c>
      <c r="U448" s="336">
        <f>Gasto_o_ing_per_capita!U448-Gasto_o_ing_per_capita!$D448</f>
        <v>0.10393747856369151</v>
      </c>
      <c r="V448" s="336">
        <f>Gasto_o_ing_per_capita!V448-Gasto_o_ing_per_capita!$D448</f>
        <v>-0.79076745688280514</v>
      </c>
      <c r="W448" s="111"/>
    </row>
    <row r="449" spans="1:24" s="102" customFormat="1" ht="13.15">
      <c r="A449" s="356"/>
      <c r="B449" s="115"/>
      <c r="C449" s="129"/>
      <c r="D449" s="110"/>
      <c r="E449" s="110"/>
      <c r="F449" s="110"/>
      <c r="G449" s="110"/>
      <c r="H449" s="110"/>
      <c r="I449" s="110"/>
      <c r="J449" s="110"/>
      <c r="K449" s="110"/>
      <c r="L449" s="110"/>
      <c r="M449" s="110"/>
      <c r="N449" s="110"/>
      <c r="O449" s="110"/>
      <c r="P449" s="110"/>
      <c r="Q449" s="110"/>
      <c r="R449" s="110"/>
      <c r="S449" s="110"/>
      <c r="T449" s="110"/>
      <c r="U449" s="110"/>
      <c r="V449" s="110"/>
      <c r="W449" s="105"/>
    </row>
    <row r="450" spans="1:24" s="102" customFormat="1" ht="13.15">
      <c r="A450" s="356"/>
      <c r="B450" s="115"/>
      <c r="C450" s="128" t="s">
        <v>113</v>
      </c>
      <c r="D450" s="113">
        <f>Gasto_o_ing_per_capita!D450-Gasto_o_ing_per_capita!$D450</f>
        <v>0</v>
      </c>
      <c r="E450" s="113">
        <f>Gasto_o_ing_per_capita!E450-Gasto_o_ing_per_capita!$D450</f>
        <v>-13.566062509861503</v>
      </c>
      <c r="F450" s="113">
        <f>Gasto_o_ing_per_capita!F450-Gasto_o_ing_per_capita!$D450</f>
        <v>16.379500852100868</v>
      </c>
      <c r="G450" s="113">
        <f>Gasto_o_ing_per_capita!G450-Gasto_o_ing_per_capita!$D450</f>
        <v>30.277099493228697</v>
      </c>
      <c r="H450" s="113">
        <f>Gasto_o_ing_per_capita!H450-Gasto_o_ing_per_capita!$D450</f>
        <v>2.0712906574955241</v>
      </c>
      <c r="I450" s="113">
        <f>Gasto_o_ing_per_capita!I450-Gasto_o_ing_per_capita!$D450</f>
        <v>-12.221120689443019</v>
      </c>
      <c r="J450" s="113">
        <f>Gasto_o_ing_per_capita!J450-Gasto_o_ing_per_capita!$D450</f>
        <v>17.13674420264153</v>
      </c>
      <c r="K450" s="113">
        <f>Gasto_o_ing_per_capita!K450-Gasto_o_ing_per_capita!$D450</f>
        <v>-4.9513210380930346</v>
      </c>
      <c r="L450" s="113">
        <f>Gasto_o_ing_per_capita!L450-Gasto_o_ing_per_capita!$D450</f>
        <v>-7.2120833627218133</v>
      </c>
      <c r="M450" s="113">
        <f>Gasto_o_ing_per_capita!M450-Gasto_o_ing_per_capita!$D450</f>
        <v>7.9982946967576751</v>
      </c>
      <c r="N450" s="113">
        <f>Gasto_o_ing_per_capita!N450-Gasto_o_ing_per_capita!$D450</f>
        <v>-7.6313395292401296</v>
      </c>
      <c r="O450" s="113">
        <f>Gasto_o_ing_per_capita!O450-Gasto_o_ing_per_capita!$D450</f>
        <v>-19.455031788668371</v>
      </c>
      <c r="P450" s="113">
        <f>Gasto_o_ing_per_capita!P450-Gasto_o_ing_per_capita!$D450</f>
        <v>27.494285426281557</v>
      </c>
      <c r="Q450" s="113">
        <f>Gasto_o_ing_per_capita!Q450-Gasto_o_ing_per_capita!$D450</f>
        <v>-7.2045268317180629</v>
      </c>
      <c r="R450" s="113">
        <f>Gasto_o_ing_per_capita!R450-Gasto_o_ing_per_capita!$D450</f>
        <v>0.78826454375396082</v>
      </c>
      <c r="S450" s="113">
        <f>Gasto_o_ing_per_capita!S450-Gasto_o_ing_per_capita!$D450</f>
        <v>20.842910571554718</v>
      </c>
      <c r="T450" s="113">
        <f>Gasto_o_ing_per_capita!T450-Gasto_o_ing_per_capita!$D450</f>
        <v>29.037933701453888</v>
      </c>
      <c r="U450" s="113">
        <f>Gasto_o_ing_per_capita!U450-Gasto_o_ing_per_capita!$D450</f>
        <v>-2.6043426881717764</v>
      </c>
      <c r="V450" s="113">
        <f>Gasto_o_ing_per_capita!V450-Gasto_o_ing_per_capita!$D450</f>
        <v>-33.891434359633713</v>
      </c>
      <c r="W450" s="105"/>
    </row>
    <row r="451" spans="1:24" s="102" customFormat="1" ht="13.15">
      <c r="A451" s="355" t="str">
        <f>IF(B451="","",(IF(ISERROR(MATCH(B451,Tot_res!C:C,0)),"Eliminar!!!","")))</f>
        <v/>
      </c>
      <c r="B451" s="115" t="s">
        <v>417</v>
      </c>
      <c r="C451" s="333" t="str">
        <f>VLOOKUP(B451,Tot_res!C:D,2,FALSE)</f>
        <v>Dirección y servicios generales de industria y energía</v>
      </c>
      <c r="D451" s="336">
        <f>Gasto_o_ing_per_capita!D451-Gasto_o_ing_per_capita!$D451</f>
        <v>0</v>
      </c>
      <c r="E451" s="336">
        <f>Gasto_o_ing_per_capita!E451-Gasto_o_ing_per_capita!$D451</f>
        <v>-0.66854575227788215</v>
      </c>
      <c r="F451" s="336">
        <f>Gasto_o_ing_per_capita!F451-Gasto_o_ing_per_capita!$D451</f>
        <v>6.5734188897981438E-2</v>
      </c>
      <c r="G451" s="336">
        <f>Gasto_o_ing_per_capita!G451-Gasto_o_ing_per_capita!$D451</f>
        <v>3.0342107594412582E-2</v>
      </c>
      <c r="H451" s="336">
        <f>Gasto_o_ing_per_capita!H451-Gasto_o_ing_per_capita!$D451</f>
        <v>-0.65296246732624752</v>
      </c>
      <c r="I451" s="336">
        <f>Gasto_o_ing_per_capita!I451-Gasto_o_ing_per_capita!$D451</f>
        <v>1.1324197669849279</v>
      </c>
      <c r="J451" s="336">
        <f>Gasto_o_ing_per_capita!J451-Gasto_o_ing_per_capita!$D451</f>
        <v>-9.1861881639047516E-2</v>
      </c>
      <c r="K451" s="336">
        <f>Gasto_o_ing_per_capita!K451-Gasto_o_ing_per_capita!$D451</f>
        <v>-0.28740467541728254</v>
      </c>
      <c r="L451" s="336">
        <f>Gasto_o_ing_per_capita!L451-Gasto_o_ing_per_capita!$D451</f>
        <v>-0.28104724364873346</v>
      </c>
      <c r="M451" s="336">
        <f>Gasto_o_ing_per_capita!M451-Gasto_o_ing_per_capita!$D451</f>
        <v>-0.10262515327906696</v>
      </c>
      <c r="N451" s="336">
        <f>Gasto_o_ing_per_capita!N451-Gasto_o_ing_per_capita!$D451</f>
        <v>-0.4587292618390677</v>
      </c>
      <c r="O451" s="336">
        <f>Gasto_o_ing_per_capita!O451-Gasto_o_ing_per_capita!$D451</f>
        <v>-0.69600938772619181</v>
      </c>
      <c r="P451" s="336">
        <f>Gasto_o_ing_per_capita!P451-Gasto_o_ing_per_capita!$D451</f>
        <v>-5.0111728061255967E-2</v>
      </c>
      <c r="Q451" s="336">
        <f>Gasto_o_ing_per_capita!Q451-Gasto_o_ing_per_capita!$D451</f>
        <v>1.3377288417956448</v>
      </c>
      <c r="R451" s="336">
        <f>Gasto_o_ing_per_capita!R451-Gasto_o_ing_per_capita!$D451</f>
        <v>-0.38139694657565437</v>
      </c>
      <c r="S451" s="336">
        <f>Gasto_o_ing_per_capita!S451-Gasto_o_ing_per_capita!$D451</f>
        <v>0.4700061124367434</v>
      </c>
      <c r="T451" s="336">
        <f>Gasto_o_ing_per_capita!T451-Gasto_o_ing_per_capita!$D451</f>
        <v>0.41700562549191833</v>
      </c>
      <c r="U451" s="336">
        <f>Gasto_o_ing_per_capita!U451-Gasto_o_ing_per_capita!$D451</f>
        <v>0.10748558784141071</v>
      </c>
      <c r="V451" s="336">
        <f>Gasto_o_ing_per_capita!V451-Gasto_o_ing_per_capita!$D451</f>
        <v>-0.87771570614797201</v>
      </c>
      <c r="W451" s="111"/>
    </row>
    <row r="452" spans="1:24" s="102" customFormat="1" ht="13.15">
      <c r="A452" s="355" t="str">
        <f>IF(B452="","",(IF(ISERROR(MATCH(B452,Tot_res!C:C,0)),"Eliminar!!!","")))</f>
        <v/>
      </c>
      <c r="B452" s="115" t="s">
        <v>418</v>
      </c>
      <c r="C452" s="333" t="str">
        <f>VLOOKUP(B452,Tot_res!C:D,2,FALSE)</f>
        <v>Calidad y seguridad industrial</v>
      </c>
      <c r="D452" s="336">
        <f>Gasto_o_ing_per_capita!D452-Gasto_o_ing_per_capita!$D452</f>
        <v>0</v>
      </c>
      <c r="E452" s="336">
        <f>Gasto_o_ing_per_capita!E452-Gasto_o_ing_per_capita!$D452</f>
        <v>-1.7545636398327298E-2</v>
      </c>
      <c r="F452" s="336">
        <f>Gasto_o_ing_per_capita!F452-Gasto_o_ing_per_capita!$D452</f>
        <v>1.8937731318951156E-2</v>
      </c>
      <c r="G452" s="336">
        <f>Gasto_o_ing_per_capita!G452-Gasto_o_ing_per_capita!$D452</f>
        <v>4.4288637456229019E-3</v>
      </c>
      <c r="H452" s="336">
        <f>Gasto_o_ing_per_capita!H452-Gasto_o_ing_per_capita!$D452</f>
        <v>-2.206995848625911E-2</v>
      </c>
      <c r="I452" s="336">
        <f>Gasto_o_ing_per_capita!I452-Gasto_o_ing_per_capita!$D452</f>
        <v>-2.2813677551155098E-2</v>
      </c>
      <c r="J452" s="336">
        <f>Gasto_o_ing_per_capita!J452-Gasto_o_ing_per_capita!$D452</f>
        <v>4.0436613252153863E-3</v>
      </c>
      <c r="K452" s="336">
        <f>Gasto_o_ing_per_capita!K452-Gasto_o_ing_per_capita!$D452</f>
        <v>6.9859849751522096E-3</v>
      </c>
      <c r="L452" s="336">
        <f>Gasto_o_ing_per_capita!L452-Gasto_o_ing_per_capita!$D452</f>
        <v>1.3258523241203163E-3</v>
      </c>
      <c r="M452" s="336">
        <f>Gasto_o_ing_per_capita!M452-Gasto_o_ing_per_capita!$D452</f>
        <v>1.505655805771125E-2</v>
      </c>
      <c r="N452" s="336">
        <f>Gasto_o_ing_per_capita!N452-Gasto_o_ing_per_capita!$D452</f>
        <v>-3.3476623096279495E-3</v>
      </c>
      <c r="O452" s="336">
        <f>Gasto_o_ing_per_capita!O452-Gasto_o_ing_per_capita!$D452</f>
        <v>-1.5945766575302618E-2</v>
      </c>
      <c r="P452" s="336">
        <f>Gasto_o_ing_per_capita!P452-Gasto_o_ing_per_capita!$D452</f>
        <v>1.4731351779274093E-3</v>
      </c>
      <c r="Q452" s="336">
        <f>Gasto_o_ing_per_capita!Q452-Gasto_o_ing_per_capita!$D452</f>
        <v>-5.2175703389391731E-3</v>
      </c>
      <c r="R452" s="336">
        <f>Gasto_o_ing_per_capita!R452-Gasto_o_ing_per_capita!$D452</f>
        <v>-4.4527997285994381E-3</v>
      </c>
      <c r="S452" s="336">
        <f>Gasto_o_ing_per_capita!S452-Gasto_o_ing_per_capita!$D452</f>
        <v>4.8000654904201009E-2</v>
      </c>
      <c r="T452" s="336">
        <f>Gasto_o_ing_per_capita!T452-Gasto_o_ing_per_capita!$D452</f>
        <v>4.0298996710007334E-2</v>
      </c>
      <c r="U452" s="336">
        <f>Gasto_o_ing_per_capita!U452-Gasto_o_ing_per_capita!$D452</f>
        <v>3.2917833172577182E-2</v>
      </c>
      <c r="V452" s="336">
        <f>Gasto_o_ing_per_capita!V452-Gasto_o_ing_per_capita!$D452</f>
        <v>-2.7768433698680164E-2</v>
      </c>
      <c r="W452" s="105"/>
    </row>
    <row r="453" spans="1:24" s="102" customFormat="1" ht="13.15">
      <c r="A453" s="355" t="str">
        <f>IF(B453="","",(IF(ISERROR(MATCH(B453,Tot_res!C:C,0)),"Eliminar!!!","")))</f>
        <v/>
      </c>
      <c r="B453" s="115" t="s">
        <v>419</v>
      </c>
      <c r="C453" s="333" t="str">
        <f>VLOOKUP(B453,Tot_res!C:D,2,FALSE)</f>
        <v>Desarrollo industrial</v>
      </c>
      <c r="D453" s="336">
        <f>Gasto_o_ing_per_capita!D453-Gasto_o_ing_per_capita!$D453</f>
        <v>0</v>
      </c>
      <c r="E453" s="336">
        <f>Gasto_o_ing_per_capita!E453-Gasto_o_ing_per_capita!$D453</f>
        <v>-9.9683669627064875E-2</v>
      </c>
      <c r="F453" s="336">
        <f>Gasto_o_ing_per_capita!F453-Gasto_o_ing_per_capita!$D453</f>
        <v>0.10759270906038046</v>
      </c>
      <c r="G453" s="336">
        <f>Gasto_o_ing_per_capita!G453-Gasto_o_ing_per_capita!$D453</f>
        <v>2.5162118969024622E-2</v>
      </c>
      <c r="H453" s="336">
        <f>Gasto_o_ing_per_capita!H453-Gasto_o_ing_per_capita!$D453</f>
        <v>-0.12538812502902585</v>
      </c>
      <c r="I453" s="336">
        <f>Gasto_o_ing_per_capita!I453-Gasto_o_ing_per_capita!$D453</f>
        <v>-0.12961348590379645</v>
      </c>
      <c r="J453" s="336">
        <f>Gasto_o_ing_per_capita!J453-Gasto_o_ing_per_capita!$D453</f>
        <v>2.2973632330881982E-2</v>
      </c>
      <c r="K453" s="336">
        <f>Gasto_o_ing_per_capita!K453-Gasto_o_ing_per_capita!$D453</f>
        <v>3.9690131635755493E-2</v>
      </c>
      <c r="L453" s="336">
        <f>Gasto_o_ing_per_capita!L453-Gasto_o_ing_per_capita!$D453</f>
        <v>7.5326891570878518E-3</v>
      </c>
      <c r="M453" s="336">
        <f>Gasto_o_ing_per_capita!M453-Gasto_o_ing_per_capita!$D453</f>
        <v>8.5542235406673522E-2</v>
      </c>
      <c r="N453" s="336">
        <f>Gasto_o_ing_per_capita!N453-Gasto_o_ing_per_capita!$D453</f>
        <v>-1.90193878477809E-2</v>
      </c>
      <c r="O453" s="336">
        <f>Gasto_o_ing_per_capita!O453-Gasto_o_ing_per_capita!$D453</f>
        <v>-9.0594179154099841E-2</v>
      </c>
      <c r="P453" s="336">
        <f>Gasto_o_ing_per_capita!P453-Gasto_o_ing_per_capita!$D453</f>
        <v>8.3694610476781894E-3</v>
      </c>
      <c r="Q453" s="336">
        <f>Gasto_o_ing_per_capita!Q453-Gasto_o_ing_per_capita!$D453</f>
        <v>-2.9643071708266383E-2</v>
      </c>
      <c r="R453" s="336">
        <f>Gasto_o_ing_per_capita!R453-Gasto_o_ing_per_capita!$D453</f>
        <v>-2.5298108713999429E-2</v>
      </c>
      <c r="S453" s="336">
        <f>Gasto_o_ing_per_capita!S453-Gasto_o_ing_per_capita!$D453</f>
        <v>0.27271062255737233</v>
      </c>
      <c r="T453" s="336">
        <f>Gasto_o_ing_per_capita!T453-Gasto_o_ing_per_capita!$D453</f>
        <v>0.22895446954124285</v>
      </c>
      <c r="U453" s="336">
        <f>Gasto_o_ing_per_capita!U453-Gasto_o_ing_per_capita!$D453</f>
        <v>0.18701917287690126</v>
      </c>
      <c r="V453" s="336">
        <f>Gasto_o_ing_per_capita!V453-Gasto_o_ing_per_capita!$D453</f>
        <v>-0.15776340669775762</v>
      </c>
      <c r="W453" s="105"/>
    </row>
    <row r="454" spans="1:24" s="102" customFormat="1" ht="13.15">
      <c r="A454" s="355" t="str">
        <f>IF(B454="","",(IF(ISERROR(MATCH(B454,Tot_res!C:C,0)),"Eliminar!!!","")))</f>
        <v/>
      </c>
      <c r="B454" s="115" t="s">
        <v>420</v>
      </c>
      <c r="C454" s="333" t="str">
        <f>VLOOKUP(B454,Tot_res!C:D,2,FALSE)</f>
        <v>Reconversión y reindustrialización</v>
      </c>
      <c r="D454" s="336">
        <f>Gasto_o_ing_per_capita!D454-Gasto_o_ing_per_capita!$D454</f>
        <v>0</v>
      </c>
      <c r="E454" s="336">
        <f>Gasto_o_ing_per_capita!E454-Gasto_o_ing_per_capita!$D454</f>
        <v>-0.39591190966984113</v>
      </c>
      <c r="F454" s="336">
        <f>Gasto_o_ing_per_capita!F454-Gasto_o_ing_per_capita!$D454</f>
        <v>-2.8829546897105778</v>
      </c>
      <c r="G454" s="336">
        <f>Gasto_o_ing_per_capita!G454-Gasto_o_ing_per_capita!$D454</f>
        <v>-0.51562892419663653</v>
      </c>
      <c r="H454" s="336">
        <f>Gasto_o_ing_per_capita!H454-Gasto_o_ing_per_capita!$D454</f>
        <v>3.512199853664054</v>
      </c>
      <c r="I454" s="336">
        <f>Gasto_o_ing_per_capita!I454-Gasto_o_ing_per_capita!$D454</f>
        <v>5.3011134276262695E-2</v>
      </c>
      <c r="J454" s="336">
        <f>Gasto_o_ing_per_capita!J454-Gasto_o_ing_per_capita!$D454</f>
        <v>3.1558750916722724</v>
      </c>
      <c r="K454" s="336">
        <f>Gasto_o_ing_per_capita!K454-Gasto_o_ing_per_capita!$D454</f>
        <v>-2.8516049717955858</v>
      </c>
      <c r="L454" s="336">
        <f>Gasto_o_ing_per_capita!L454-Gasto_o_ing_per_capita!$D454</f>
        <v>-2.7071472925147155</v>
      </c>
      <c r="M454" s="336">
        <f>Gasto_o_ing_per_capita!M454-Gasto_o_ing_per_capita!$D454</f>
        <v>-0.91091214684141075</v>
      </c>
      <c r="N454" s="336">
        <f>Gasto_o_ing_per_capita!N454-Gasto_o_ing_per_capita!$D454</f>
        <v>-2.1717057400707018</v>
      </c>
      <c r="O454" s="336">
        <f>Gasto_o_ing_per_capita!O454-Gasto_o_ing_per_capita!$D454</f>
        <v>-2.7936016214597519</v>
      </c>
      <c r="P454" s="336">
        <f>Gasto_o_ing_per_capita!P454-Gasto_o_ing_per_capita!$D454</f>
        <v>15.542583076177998</v>
      </c>
      <c r="Q454" s="336">
        <f>Gasto_o_ing_per_capita!Q454-Gasto_o_ing_per_capita!$D454</f>
        <v>-2.5618994106270092</v>
      </c>
      <c r="R454" s="336">
        <f>Gasto_o_ing_per_capita!R454-Gasto_o_ing_per_capita!$D454</f>
        <v>3.9720284373044885</v>
      </c>
      <c r="S454" s="336">
        <f>Gasto_o_ing_per_capita!S454-Gasto_o_ing_per_capita!$D454</f>
        <v>-2.9184365079369301</v>
      </c>
      <c r="T454" s="336">
        <f>Gasto_o_ing_per_capita!T454-Gasto_o_ing_per_capita!$D454</f>
        <v>3.0428376613484289</v>
      </c>
      <c r="U454" s="336">
        <f>Gasto_o_ing_per_capita!U454-Gasto_o_ing_per_capita!$D454</f>
        <v>-2.768882906156048</v>
      </c>
      <c r="V454" s="336">
        <f>Gasto_o_ing_per_capita!V454-Gasto_o_ing_per_capita!$D454</f>
        <v>-2.3570024410743637</v>
      </c>
      <c r="W454" s="111"/>
    </row>
    <row r="455" spans="1:24" s="102" customFormat="1" ht="13.15">
      <c r="A455" s="355" t="str">
        <f>IF(B455="","",(IF(ISERROR(MATCH(B455,Tot_res!C:C,0)),"Eliminar!!!","")))</f>
        <v/>
      </c>
      <c r="B455" s="115" t="s">
        <v>915</v>
      </c>
      <c r="C455" s="333" t="str">
        <f>VLOOKUP(B455,Tot_res!C:D,2,FALSE)</f>
        <v xml:space="preserve"> Explotación minera. Parte ejecutada por la Dirección Gral. De Política Energética y Minas.  </v>
      </c>
      <c r="D455" s="336">
        <f>Gasto_o_ing_per_capita!D455-Gasto_o_ing_per_capita!$D455</f>
        <v>0</v>
      </c>
      <c r="E455" s="336">
        <f>Gasto_o_ing_per_capita!E455-Gasto_o_ing_per_capita!$D455</f>
        <v>-1.9090517862666745E-2</v>
      </c>
      <c r="F455" s="336">
        <f>Gasto_o_ing_per_capita!F455-Gasto_o_ing_per_capita!$D455</f>
        <v>9.4417314445971456E-2</v>
      </c>
      <c r="G455" s="336">
        <f>Gasto_o_ing_per_capita!G455-Gasto_o_ing_per_capita!$D455</f>
        <v>0.44352984013176772</v>
      </c>
      <c r="H455" s="336">
        <f>Gasto_o_ing_per_capita!H455-Gasto_o_ing_per_capita!$D455</f>
        <v>-7.5326536423638568E-2</v>
      </c>
      <c r="I455" s="336">
        <f>Gasto_o_ing_per_capita!I455-Gasto_o_ing_per_capita!$D455</f>
        <v>-8.3530821207209394E-2</v>
      </c>
      <c r="J455" s="336">
        <f>Gasto_o_ing_per_capita!J455-Gasto_o_ing_per_capita!$D455</f>
        <v>-7.7657819848632931E-2</v>
      </c>
      <c r="K455" s="336">
        <f>Gasto_o_ing_per_capita!K455-Gasto_o_ing_per_capita!$D455</f>
        <v>0.28589608568697134</v>
      </c>
      <c r="L455" s="336">
        <f>Gasto_o_ing_per_capita!L455-Gasto_o_ing_per_capita!$D455</f>
        <v>-1.6844392930728105E-2</v>
      </c>
      <c r="M455" s="336">
        <f>Gasto_o_ing_per_capita!M455-Gasto_o_ing_per_capita!$D455</f>
        <v>-6.0346805790536667E-2</v>
      </c>
      <c r="N455" s="336">
        <f>Gasto_o_ing_per_capita!N455-Gasto_o_ing_per_capita!$D455</f>
        <v>6.1343864945409832E-3</v>
      </c>
      <c r="O455" s="336">
        <f>Gasto_o_ing_per_capita!O455-Gasto_o_ing_per_capita!$D455</f>
        <v>8.5790449487990084E-2</v>
      </c>
      <c r="P455" s="336">
        <f>Gasto_o_ing_per_capita!P455-Gasto_o_ing_per_capita!$D455</f>
        <v>8.5583864669612986E-2</v>
      </c>
      <c r="Q455" s="336">
        <f>Gasto_o_ing_per_capita!Q455-Gasto_o_ing_per_capita!$D455</f>
        <v>-7.0249725350066156E-2</v>
      </c>
      <c r="R455" s="336">
        <f>Gasto_o_ing_per_capita!R455-Gasto_o_ing_per_capita!$D455</f>
        <v>-2.2358087199698111E-2</v>
      </c>
      <c r="S455" s="336">
        <f>Gasto_o_ing_per_capita!S455-Gasto_o_ing_per_capita!$D455</f>
        <v>-8.3530821207209394E-2</v>
      </c>
      <c r="T455" s="336">
        <f>Gasto_o_ing_per_capita!T455-Gasto_o_ing_per_capita!$D455</f>
        <v>-6.3097334319167475E-2</v>
      </c>
      <c r="U455" s="336">
        <f>Gasto_o_ing_per_capita!U455-Gasto_o_ing_per_capita!$D455</f>
        <v>-8.3530821207209394E-2</v>
      </c>
      <c r="V455" s="336">
        <f>Gasto_o_ing_per_capita!V455-Gasto_o_ing_per_capita!$D455</f>
        <v>-8.3530821207209394E-2</v>
      </c>
      <c r="W455" s="105"/>
    </row>
    <row r="456" spans="1:24" s="102" customFormat="1" ht="13.15">
      <c r="A456" s="355" t="str">
        <f>IF(B456="","",(IF(ISERROR(MATCH(B456,Tot_res!C:C,0)),"Eliminar!!!","")))</f>
        <v/>
      </c>
      <c r="B456" s="115" t="s">
        <v>421</v>
      </c>
      <c r="C456" s="333" t="str">
        <f>VLOOKUP(B456,Tot_res!C:D,2,FALSE)</f>
        <v>Seguridad nuclear y protección radiológica</v>
      </c>
      <c r="D456" s="336">
        <f>Gasto_o_ing_per_capita!D456-Gasto_o_ing_per_capita!$D456</f>
        <v>0</v>
      </c>
      <c r="E456" s="336">
        <f>Gasto_o_ing_per_capita!E456-Gasto_o_ing_per_capita!$D456</f>
        <v>0</v>
      </c>
      <c r="F456" s="336">
        <f>Gasto_o_ing_per_capita!F456-Gasto_o_ing_per_capita!$D456</f>
        <v>0</v>
      </c>
      <c r="G456" s="336">
        <f>Gasto_o_ing_per_capita!G456-Gasto_o_ing_per_capita!$D456</f>
        <v>0</v>
      </c>
      <c r="H456" s="336">
        <f>Gasto_o_ing_per_capita!H456-Gasto_o_ing_per_capita!$D456</f>
        <v>0</v>
      </c>
      <c r="I456" s="336">
        <f>Gasto_o_ing_per_capita!I456-Gasto_o_ing_per_capita!$D456</f>
        <v>0</v>
      </c>
      <c r="J456" s="336">
        <f>Gasto_o_ing_per_capita!J456-Gasto_o_ing_per_capita!$D456</f>
        <v>0</v>
      </c>
      <c r="K456" s="336">
        <f>Gasto_o_ing_per_capita!K456-Gasto_o_ing_per_capita!$D456</f>
        <v>0</v>
      </c>
      <c r="L456" s="336">
        <f>Gasto_o_ing_per_capita!L456-Gasto_o_ing_per_capita!$D456</f>
        <v>0</v>
      </c>
      <c r="M456" s="336">
        <f>Gasto_o_ing_per_capita!M456-Gasto_o_ing_per_capita!$D456</f>
        <v>0</v>
      </c>
      <c r="N456" s="336">
        <f>Gasto_o_ing_per_capita!N456-Gasto_o_ing_per_capita!$D456</f>
        <v>0</v>
      </c>
      <c r="O456" s="336">
        <f>Gasto_o_ing_per_capita!O456-Gasto_o_ing_per_capita!$D456</f>
        <v>0</v>
      </c>
      <c r="P456" s="336">
        <f>Gasto_o_ing_per_capita!P456-Gasto_o_ing_per_capita!$D456</f>
        <v>0</v>
      </c>
      <c r="Q456" s="336">
        <f>Gasto_o_ing_per_capita!Q456-Gasto_o_ing_per_capita!$D456</f>
        <v>0</v>
      </c>
      <c r="R456" s="336">
        <f>Gasto_o_ing_per_capita!R456-Gasto_o_ing_per_capita!$D456</f>
        <v>0</v>
      </c>
      <c r="S456" s="336">
        <f>Gasto_o_ing_per_capita!S456-Gasto_o_ing_per_capita!$D456</f>
        <v>0</v>
      </c>
      <c r="T456" s="336">
        <f>Gasto_o_ing_per_capita!T456-Gasto_o_ing_per_capita!$D456</f>
        <v>0</v>
      </c>
      <c r="U456" s="336">
        <f>Gasto_o_ing_per_capita!U456-Gasto_o_ing_per_capita!$D456</f>
        <v>0</v>
      </c>
      <c r="V456" s="336">
        <f>Gasto_o_ing_per_capita!V456-Gasto_o_ing_per_capita!$D456</f>
        <v>0</v>
      </c>
      <c r="W456" s="105"/>
    </row>
    <row r="457" spans="1:24" s="102" customFormat="1" ht="13.15">
      <c r="A457" s="355" t="str">
        <f>IF(B457="","",(IF(ISERROR(MATCH(B457,Tot_res!C:C,0)),"Eliminar!!!","")))</f>
        <v/>
      </c>
      <c r="B457" s="115" t="s">
        <v>1190</v>
      </c>
      <c r="C457" s="333" t="str">
        <f>VLOOKUP(B457,Tot_res!C:D,2,FALSE)</f>
        <v>Normativa y desarrollo energético, neto de subvenciones a sistemas eléctricos insulares y extrapeninsulares</v>
      </c>
      <c r="D457" s="336">
        <f>Gasto_o_ing_per_capita!D457-Gasto_o_ing_per_capita!$D457</f>
        <v>0</v>
      </c>
      <c r="E457" s="336">
        <f>Gasto_o_ing_per_capita!E457-Gasto_o_ing_per_capita!$D457</f>
        <v>-8.1263327863131209</v>
      </c>
      <c r="F457" s="336">
        <f>Gasto_o_ing_per_capita!F457-Gasto_o_ing_per_capita!$D457</f>
        <v>14.367267517087541</v>
      </c>
      <c r="G457" s="336">
        <f>Gasto_o_ing_per_capita!G457-Gasto_o_ing_per_capita!$D457</f>
        <v>30.165274892440138</v>
      </c>
      <c r="H457" s="336">
        <f>Gasto_o_ing_per_capita!H457-Gasto_o_ing_per_capita!$D457</f>
        <v>-2.1614316764938337</v>
      </c>
      <c r="I457" s="336">
        <f>Gasto_o_ing_per_capita!I457-Gasto_o_ing_per_capita!$D457</f>
        <v>-10.546758518470597</v>
      </c>
      <c r="J457" s="336">
        <f>Gasto_o_ing_per_capita!J457-Gasto_o_ing_per_capita!$D457</f>
        <v>14.366789910373491</v>
      </c>
      <c r="K457" s="336">
        <f>Gasto_o_ing_per_capita!K457-Gasto_o_ing_per_capita!$D457</f>
        <v>-0.91905280741340789</v>
      </c>
      <c r="L457" s="336">
        <f>Gasto_o_ing_per_capita!L457-Gasto_o_ing_per_capita!$D457</f>
        <v>-0.32430714957330764</v>
      </c>
      <c r="M457" s="336">
        <f>Gasto_o_ing_per_capita!M457-Gasto_o_ing_per_capita!$D457</f>
        <v>4.5791791301603766</v>
      </c>
      <c r="N457" s="336">
        <f>Gasto_o_ing_per_capita!N457-Gasto_o_ing_per_capita!$D457</f>
        <v>-3.3167629794337401</v>
      </c>
      <c r="O457" s="336">
        <f>Gasto_o_ing_per_capita!O457-Gasto_o_ing_per_capita!$D457</f>
        <v>-9.7296186679304988</v>
      </c>
      <c r="P457" s="336">
        <f>Gasto_o_ing_per_capita!P457-Gasto_o_ing_per_capita!$D457</f>
        <v>10.942156136957394</v>
      </c>
      <c r="Q457" s="336">
        <f>Gasto_o_ing_per_capita!Q457-Gasto_o_ing_per_capita!$D457</f>
        <v>-5.9785205413521609</v>
      </c>
      <c r="R457" s="336">
        <f>Gasto_o_ing_per_capita!R457-Gasto_o_ing_per_capita!$D457</f>
        <v>-1.4664373414099785</v>
      </c>
      <c r="S457" s="336">
        <f>Gasto_o_ing_per_capita!S457-Gasto_o_ing_per_capita!$D457</f>
        <v>13.890177039790345</v>
      </c>
      <c r="T457" s="336">
        <f>Gasto_o_ing_per_capita!T457-Gasto_o_ing_per_capita!$D457</f>
        <v>16.198011530998578</v>
      </c>
      <c r="U457" s="336">
        <f>Gasto_o_ing_per_capita!U457-Gasto_o_ing_per_capita!$D457</f>
        <v>-1.9521644643415783</v>
      </c>
      <c r="V457" s="336">
        <f>Gasto_o_ing_per_capita!V457-Gasto_o_ing_per_capita!$D457</f>
        <v>-22.62021854226801</v>
      </c>
      <c r="W457" s="105"/>
      <c r="X457" s="105"/>
    </row>
    <row r="458" spans="1:24" s="102" customFormat="1" ht="13.15">
      <c r="A458" s="355" t="str">
        <f>IF(B458="","",(IF(ISERROR(MATCH(B458,Tot_res!C:C,0)),"Eliminar!!!","")))</f>
        <v/>
      </c>
      <c r="B458" s="115" t="s">
        <v>422</v>
      </c>
      <c r="C458" s="333" t="str">
        <f>VLOOKUP(B458,Tot_res!C:D,2,FALSE)</f>
        <v>Promoción comercial e internacionalización de la empresa</v>
      </c>
      <c r="D458" s="336">
        <f>Gasto_o_ing_per_capita!D458-Gasto_o_ing_per_capita!$D458</f>
        <v>0</v>
      </c>
      <c r="E458" s="336">
        <f>Gasto_o_ing_per_capita!E458-Gasto_o_ing_per_capita!$D458</f>
        <v>-1.3577100108885318</v>
      </c>
      <c r="F458" s="336">
        <f>Gasto_o_ing_per_capita!F458-Gasto_o_ing_per_capita!$D458</f>
        <v>1.1737308162549547</v>
      </c>
      <c r="G458" s="336">
        <f>Gasto_o_ing_per_capita!G458-Gasto_o_ing_per_capita!$D458</f>
        <v>-0.9945507369937916</v>
      </c>
      <c r="H458" s="336">
        <f>Gasto_o_ing_per_capita!H458-Gasto_o_ing_per_capita!$D458</f>
        <v>-3.0407281287405357</v>
      </c>
      <c r="I458" s="336">
        <f>Gasto_o_ing_per_capita!I458-Gasto_o_ing_per_capita!$D458</f>
        <v>-2.6916216341261965</v>
      </c>
      <c r="J458" s="336">
        <f>Gasto_o_ing_per_capita!J458-Gasto_o_ing_per_capita!$D458</f>
        <v>-0.597463470433508</v>
      </c>
      <c r="K458" s="336">
        <f>Gasto_o_ing_per_capita!K458-Gasto_o_ing_per_capita!$D458</f>
        <v>-7.3981238669644789E-2</v>
      </c>
      <c r="L458" s="336">
        <f>Gasto_o_ing_per_capita!L458-Gasto_o_ing_per_capita!$D458</f>
        <v>-1.9119387685938056</v>
      </c>
      <c r="M458" s="336">
        <f>Gasto_o_ing_per_capita!M458-Gasto_o_ing_per_capita!$D458</f>
        <v>2.0245219125120077</v>
      </c>
      <c r="N458" s="336">
        <f>Gasto_o_ing_per_capita!N458-Gasto_o_ing_per_capita!$D458</f>
        <v>-0.23707433570671466</v>
      </c>
      <c r="O458" s="336">
        <f>Gasto_o_ing_per_capita!O458-Gasto_o_ing_per_capita!$D458</f>
        <v>-2.4959480317611344</v>
      </c>
      <c r="P458" s="336">
        <f>Gasto_o_ing_per_capita!P458-Gasto_o_ing_per_capita!$D458</f>
        <v>1.2937045626038048</v>
      </c>
      <c r="Q458" s="336">
        <f>Gasto_o_ing_per_capita!Q458-Gasto_o_ing_per_capita!$D458</f>
        <v>-0.17549771407085535</v>
      </c>
      <c r="R458" s="336">
        <f>Gasto_o_ing_per_capita!R458-Gasto_o_ing_per_capita!$D458</f>
        <v>0.97990129189083186</v>
      </c>
      <c r="S458" s="336">
        <f>Gasto_o_ing_per_capita!S458-Gasto_o_ing_per_capita!$D458</f>
        <v>4.7221926651012556</v>
      </c>
      <c r="T458" s="336">
        <f>Gasto_o_ing_per_capita!T458-Gasto_o_ing_per_capita!$D458</f>
        <v>3.1680487034460456</v>
      </c>
      <c r="U458" s="336">
        <f>Gasto_o_ing_per_capita!U458-Gasto_o_ing_per_capita!$D458</f>
        <v>-0.20330443968105305</v>
      </c>
      <c r="V458" s="336">
        <f>Gasto_o_ing_per_capita!V458-Gasto_o_ing_per_capita!$D458</f>
        <v>-3.4217708966100044</v>
      </c>
    </row>
    <row r="459" spans="1:24" s="102" customFormat="1" ht="13.15">
      <c r="A459" s="355" t="str">
        <f>IF(B459="","",(IF(ISERROR(MATCH(B459,Tot_res!C:C,0)),"Eliminar!!!","")))</f>
        <v/>
      </c>
      <c r="B459" s="115" t="s">
        <v>424</v>
      </c>
      <c r="C459" s="333" t="str">
        <f>VLOOKUP(B459,Tot_res!C:D,2,FALSE)</f>
        <v>Ordenación del comercio exterior</v>
      </c>
      <c r="D459" s="336">
        <f>Gasto_o_ing_per_capita!D459-Gasto_o_ing_per_capita!$D459</f>
        <v>0</v>
      </c>
      <c r="E459" s="336">
        <f>Gasto_o_ing_per_capita!E459-Gasto_o_ing_per_capita!$D459</f>
        <v>-5.5891420183852347E-2</v>
      </c>
      <c r="F459" s="336">
        <f>Gasto_o_ing_per_capita!F459-Gasto_o_ing_per_capita!$D459</f>
        <v>2.4603007283681116E-2</v>
      </c>
      <c r="G459" s="336">
        <f>Gasto_o_ing_per_capita!G459-Gasto_o_ing_per_capita!$D459</f>
        <v>-5.3867396205547105E-2</v>
      </c>
      <c r="H459" s="336">
        <f>Gasto_o_ing_per_capita!H459-Gasto_o_ing_per_capita!$D459</f>
        <v>-0.12959453364167847</v>
      </c>
      <c r="I459" s="336">
        <f>Gasto_o_ing_per_capita!I459-Gasto_o_ing_per_capita!$D459</f>
        <v>-0.10946022955722226</v>
      </c>
      <c r="J459" s="336">
        <f>Gasto_o_ing_per_capita!J459-Gasto_o_ing_per_capita!$D459</f>
        <v>-4.9159487658804416E-2</v>
      </c>
      <c r="K459" s="336">
        <f>Gasto_o_ing_per_capita!K459-Gasto_o_ing_per_capita!$D459</f>
        <v>-1.7188668449170413E-2</v>
      </c>
      <c r="L459" s="336">
        <f>Gasto_o_ing_per_capita!L459-Gasto_o_ing_per_capita!$D459</f>
        <v>-8.1890340958133981E-2</v>
      </c>
      <c r="M459" s="336">
        <f>Gasto_o_ing_per_capita!M459-Gasto_o_ing_per_capita!$D459</f>
        <v>9.9850097016618455E-2</v>
      </c>
      <c r="N459" s="336">
        <f>Gasto_o_ing_per_capita!N459-Gasto_o_ing_per_capita!$D459</f>
        <v>-2.3508994217933593E-2</v>
      </c>
      <c r="O459" s="336">
        <f>Gasto_o_ing_per_capita!O459-Gasto_o_ing_per_capita!$D459</f>
        <v>-0.12084405209087068</v>
      </c>
      <c r="P459" s="336">
        <f>Gasto_o_ing_per_capita!P459-Gasto_o_ing_per_capita!$D459</f>
        <v>2.8746820857206479E-2</v>
      </c>
      <c r="Q459" s="336">
        <f>Gasto_o_ing_per_capita!Q459-Gasto_o_ing_per_capita!$D459</f>
        <v>2.6534607184789311E-2</v>
      </c>
      <c r="R459" s="336">
        <f>Gasto_o_ing_per_capita!R459-Gasto_o_ing_per_capita!$D459</f>
        <v>6.3866000925929783E-2</v>
      </c>
      <c r="S459" s="336">
        <f>Gasto_o_ing_per_capita!S459-Gasto_o_ing_per_capita!$D459</f>
        <v>0.11743249145097745</v>
      </c>
      <c r="T459" s="336">
        <f>Gasto_o_ing_per_capita!T459-Gasto_o_ing_per_capita!$D459</f>
        <v>0.10049947300446066</v>
      </c>
      <c r="U459" s="336">
        <f>Gasto_o_ing_per_capita!U459-Gasto_o_ing_per_capita!$D459</f>
        <v>-3.4646196373309845E-2</v>
      </c>
      <c r="V459" s="336">
        <f>Gasto_o_ing_per_capita!V459-Gasto_o_ing_per_capita!$D459</f>
        <v>-9.9110386720708266E-2</v>
      </c>
    </row>
    <row r="460" spans="1:24" s="102" customFormat="1" ht="13.15">
      <c r="A460" s="355" t="str">
        <f>IF(B460="","",(IF(ISERROR(MATCH(B460,Tot_res!C:C,0)),"Eliminar!!!","")))</f>
        <v/>
      </c>
      <c r="B460" s="115" t="s">
        <v>426</v>
      </c>
      <c r="C460" s="333" t="str">
        <f>VLOOKUP(B460,Tot_res!C:D,2,FALSE)</f>
        <v>Ordenación y modernización de las estructuras comerciales + AF23</v>
      </c>
      <c r="D460" s="336">
        <f>Gasto_o_ing_per_capita!D460-Gasto_o_ing_per_capita!$D460</f>
        <v>0</v>
      </c>
      <c r="E460" s="336">
        <f>Gasto_o_ing_per_capita!E460-Gasto_o_ing_per_capita!$D460</f>
        <v>-3.126412495845346E-2</v>
      </c>
      <c r="F460" s="336">
        <f>Gasto_o_ing_per_capita!F460-Gasto_o_ing_per_capita!$D460</f>
        <v>-4.9471244375510065E-3</v>
      </c>
      <c r="G460" s="336">
        <f>Gasto_o_ing_per_capita!G460-Gasto_o_ing_per_capita!$D460</f>
        <v>-2.0446003583960523E-2</v>
      </c>
      <c r="H460" s="336">
        <f>Gasto_o_ing_per_capita!H460-Gasto_o_ing_per_capita!$D460</f>
        <v>6.9589667486453025E-2</v>
      </c>
      <c r="I460" s="336">
        <f>Gasto_o_ing_per_capita!I460-Gasto_o_ing_per_capita!$D460</f>
        <v>2.5820202751299579E-2</v>
      </c>
      <c r="J460" s="336">
        <f>Gasto_o_ing_per_capita!J460-Gasto_o_ing_per_capita!$D460</f>
        <v>-1.7294575568941054E-2</v>
      </c>
      <c r="K460" s="336">
        <f>Gasto_o_ing_per_capita!K460-Gasto_o_ing_per_capita!$D460</f>
        <v>-2.2150450231675167E-2</v>
      </c>
      <c r="L460" s="336">
        <f>Gasto_o_ing_per_capita!L460-Gasto_o_ing_per_capita!$D460</f>
        <v>-4.3041758626461327E-2</v>
      </c>
      <c r="M460" s="336">
        <f>Gasto_o_ing_per_capita!M460-Gasto_o_ing_per_capita!$D460</f>
        <v>2.9563880146123558E-2</v>
      </c>
      <c r="N460" s="336">
        <f>Gasto_o_ing_per_capita!N460-Gasto_o_ing_per_capita!$D460</f>
        <v>-1.2414647442074156E-2</v>
      </c>
      <c r="O460" s="336">
        <f>Gasto_o_ing_per_capita!O460-Gasto_o_ing_per_capita!$D460</f>
        <v>-4.9101834776701866E-2</v>
      </c>
      <c r="P460" s="336">
        <f>Gasto_o_ing_per_capita!P460-Gasto_o_ing_per_capita!$D460</f>
        <v>-1.6489566653507828E-2</v>
      </c>
      <c r="Q460" s="336">
        <f>Gasto_o_ing_per_capita!Q460-Gasto_o_ing_per_capita!$D460</f>
        <v>4.1555914596593677E-2</v>
      </c>
      <c r="R460" s="336">
        <f>Gasto_o_ing_per_capita!R460-Gasto_o_ing_per_capita!$D460</f>
        <v>-1.9602375225882401E-2</v>
      </c>
      <c r="S460" s="336">
        <f>Gasto_o_ing_per_capita!S460-Gasto_o_ing_per_capita!$D460</f>
        <v>-2.2228413221451332E-3</v>
      </c>
      <c r="T460" s="336">
        <f>Gasto_o_ing_per_capita!T460-Gasto_o_ing_per_capita!$D460</f>
        <v>1.2715757391770235E-2</v>
      </c>
      <c r="U460" s="336">
        <f>Gasto_o_ing_per_capita!U460-Gasto_o_ing_per_capita!$D460</f>
        <v>-1.5018816556787412E-2</v>
      </c>
      <c r="V460" s="336">
        <f>Gasto_o_ing_per_capita!V460-Gasto_o_ing_per_capita!$D460</f>
        <v>-3.8762685256133203E-2</v>
      </c>
    </row>
    <row r="461" spans="1:24" s="102" customFormat="1" ht="13.15">
      <c r="A461" s="355" t="str">
        <f>IF(B461="","",(IF(ISERROR(MATCH(B461,Tot_res!C:C,0)),"Eliminar!!!","")))</f>
        <v/>
      </c>
      <c r="B461" s="115" t="s">
        <v>427</v>
      </c>
      <c r="C461" s="333" t="str">
        <f>VLOOKUP(B461,Tot_res!C:D,2,FALSE)</f>
        <v>Coordinación y promoción del turismo + AF24</v>
      </c>
      <c r="D461" s="336">
        <f>Gasto_o_ing_per_capita!D461-Gasto_o_ing_per_capita!$D461</f>
        <v>0</v>
      </c>
      <c r="E461" s="336">
        <f>Gasto_o_ing_per_capita!E461-Gasto_o_ing_per_capita!$D461</f>
        <v>-0.53359088229761653</v>
      </c>
      <c r="F461" s="336">
        <f>Gasto_o_ing_per_capita!F461-Gasto_o_ing_per_capita!$D461</f>
        <v>0.92859219736811438</v>
      </c>
      <c r="G461" s="336">
        <f>Gasto_o_ing_per_capita!G461-Gasto_o_ing_per_capita!$D461</f>
        <v>1.2104129572440927</v>
      </c>
      <c r="H461" s="336">
        <f>Gasto_o_ing_per_capita!H461-Gasto_o_ing_per_capita!$D461</f>
        <v>7.6274970348492843</v>
      </c>
      <c r="I461" s="336">
        <f>Gasto_o_ing_per_capita!I461-Gasto_o_ing_per_capita!$D461</f>
        <v>3.3857189445426763</v>
      </c>
      <c r="J461" s="336">
        <f>Gasto_o_ing_per_capita!J461-Gasto_o_ing_per_capita!$D461</f>
        <v>-0.97545501171693272</v>
      </c>
      <c r="K461" s="336">
        <f>Gasto_o_ing_per_capita!K461-Gasto_o_ing_per_capita!$D461</f>
        <v>-1.0625457216162508</v>
      </c>
      <c r="L461" s="336">
        <f>Gasto_o_ing_per_capita!L461-Gasto_o_ing_per_capita!$D461</f>
        <v>-1.4437484531890901</v>
      </c>
      <c r="M461" s="336">
        <f>Gasto_o_ing_per_capita!M461-Gasto_o_ing_per_capita!$D461</f>
        <v>0.4155172345964</v>
      </c>
      <c r="N461" s="336">
        <f>Gasto_o_ing_per_capita!N461-Gasto_o_ing_per_capita!$D461</f>
        <v>-0.59923922620789094</v>
      </c>
      <c r="O461" s="336">
        <f>Gasto_o_ing_per_capita!O461-Gasto_o_ing_per_capita!$D461</f>
        <v>-1.06358782151014</v>
      </c>
      <c r="P461" s="336">
        <f>Gasto_o_ing_per_capita!P461-Gasto_o_ing_per_capita!$D461</f>
        <v>-8.5615996171921838E-2</v>
      </c>
      <c r="Q461" s="336">
        <f>Gasto_o_ing_per_capita!Q461-Gasto_o_ing_per_capita!$D461</f>
        <v>-0.38809197379816696</v>
      </c>
      <c r="R461" s="336">
        <f>Gasto_o_ing_per_capita!R461-Gasto_o_ing_per_capita!$D461</f>
        <v>-1.0954959333264851</v>
      </c>
      <c r="S461" s="336">
        <f>Gasto_o_ing_per_capita!S461-Gasto_o_ing_per_capita!$D461</f>
        <v>-0.63215617737599361</v>
      </c>
      <c r="T461" s="336">
        <f>Gasto_o_ing_per_capita!T461-Gasto_o_ing_per_capita!$D461</f>
        <v>-0.64121659962835076</v>
      </c>
      <c r="U461" s="336">
        <f>Gasto_o_ing_per_capita!U461-Gasto_o_ing_per_capita!$D461</f>
        <v>-0.18332747625912016</v>
      </c>
      <c r="V461" s="336">
        <f>Gasto_o_ing_per_capita!V461-Gasto_o_ing_per_capita!$D461</f>
        <v>-0.45394243517885458</v>
      </c>
    </row>
    <row r="462" spans="1:24" s="102" customFormat="1" ht="13.15">
      <c r="A462" s="355" t="str">
        <f>IF(B462="","",(IF(ISERROR(MATCH(B462,Tot_res!C:C,0)),"Eliminar!!!","")))</f>
        <v/>
      </c>
      <c r="B462" s="115" t="s">
        <v>919</v>
      </c>
      <c r="C462" s="333" t="str">
        <f>VLOOKUP(B462,Tot_res!C:D,2,FALSE)</f>
        <v>Investig. y desarrollo tecnolog-industrial.Secretaría general de ciencia, tecnología e innovación</v>
      </c>
      <c r="D462" s="336">
        <f>Gasto_o_ing_per_capita!D462-Gasto_o_ing_per_capita!$D462</f>
        <v>0</v>
      </c>
      <c r="E462" s="336">
        <f>Gasto_o_ing_per_capita!E462-Gasto_o_ing_per_capita!$D462</f>
        <v>-1.6936717078199357</v>
      </c>
      <c r="F462" s="336">
        <f>Gasto_o_ing_per_capita!F462-Gasto_o_ing_per_capita!$D462</f>
        <v>1.8280499502577712</v>
      </c>
      <c r="G462" s="336">
        <f>Gasto_o_ing_per_capita!G462-Gasto_o_ing_per_capita!$D462</f>
        <v>0.42751605319178143</v>
      </c>
      <c r="H462" s="336">
        <f>Gasto_o_ing_per_capita!H462-Gasto_o_ing_per_capita!$D462</f>
        <v>-2.1304023081488843</v>
      </c>
      <c r="I462" s="336">
        <f>Gasto_o_ing_per_capita!I462-Gasto_o_ing_per_capita!$D462</f>
        <v>-2.2021931460634754</v>
      </c>
      <c r="J462" s="336">
        <f>Gasto_o_ing_per_capita!J462-Gasto_o_ing_per_capita!$D462</f>
        <v>0.39033265177978382</v>
      </c>
      <c r="K462" s="336">
        <f>Gasto_o_ing_per_capita!K462-Gasto_o_ing_per_capita!$D462</f>
        <v>0.67435371593580129</v>
      </c>
      <c r="L462" s="336">
        <f>Gasto_o_ing_per_capita!L462-Gasto_o_ing_per_capita!$D462</f>
        <v>0.12798387696692348</v>
      </c>
      <c r="M462" s="336">
        <f>Gasto_o_ing_per_capita!M462-Gasto_o_ing_per_capita!$D462</f>
        <v>1.4534021918934208</v>
      </c>
      <c r="N462" s="336">
        <f>Gasto_o_ing_per_capita!N462-Gasto_o_ing_per_capita!$D462</f>
        <v>-0.32314820690644863</v>
      </c>
      <c r="O462" s="336">
        <f>Gasto_o_ing_per_capita!O462-Gasto_o_ing_per_capita!$D462</f>
        <v>-1.5392370555829764</v>
      </c>
      <c r="P462" s="336">
        <f>Gasto_o_ing_per_capita!P462-Gasto_o_ing_per_capita!$D462</f>
        <v>0.14220101887485992</v>
      </c>
      <c r="Q462" s="336">
        <f>Gasto_o_ing_per_capita!Q462-Gasto_o_ing_per_capita!$D462</f>
        <v>-0.50364951524153323</v>
      </c>
      <c r="R462" s="336">
        <f>Gasto_o_ing_per_capita!R462-Gasto_o_ing_per_capita!$D462</f>
        <v>-0.42982658193213918</v>
      </c>
      <c r="S462" s="336">
        <f>Gasto_o_ing_per_capita!S462-Gasto_o_ing_per_capita!$D462</f>
        <v>4.6334797622857389</v>
      </c>
      <c r="T462" s="336">
        <f>Gasto_o_ing_per_capita!T462-Gasto_o_ing_per_capita!$D462</f>
        <v>3.890042460231026</v>
      </c>
      <c r="U462" s="336">
        <f>Gasto_o_ing_per_capita!U462-Gasto_o_ing_per_capita!$D462</f>
        <v>3.1775423507833365</v>
      </c>
      <c r="V462" s="336">
        <f>Gasto_o_ing_per_capita!V462-Gasto_o_ing_per_capita!$D462</f>
        <v>-2.6804733358324881</v>
      </c>
    </row>
    <row r="463" spans="1:24" s="102" customFormat="1" ht="13.15">
      <c r="A463" s="355" t="str">
        <f>IF(B463="","",(IF(ISERROR(MATCH(B463,Tot_res!C:C,0)),"Eliminar!!!","")))</f>
        <v/>
      </c>
      <c r="B463" s="115" t="s">
        <v>429</v>
      </c>
      <c r="C463" s="333" t="str">
        <f>VLOOKUP(B463,Tot_res!C:D,2,FALSE)</f>
        <v>Investigación y desarrollo de la sociedad de la información</v>
      </c>
      <c r="D463" s="336">
        <f>Gasto_o_ing_per_capita!D463-Gasto_o_ing_per_capita!$D463</f>
        <v>0</v>
      </c>
      <c r="E463" s="336">
        <f>Gasto_o_ing_per_capita!E463-Gasto_o_ing_per_capita!$D463</f>
        <v>-0.5411472780016755</v>
      </c>
      <c r="F463" s="336">
        <f>Gasto_o_ing_per_capita!F463-Gasto_o_ing_per_capita!$D463</f>
        <v>0.74756210115054689</v>
      </c>
      <c r="G463" s="336">
        <f>Gasto_o_ing_per_capita!G463-Gasto_o_ing_per_capita!$D463</f>
        <v>-0.34272537946529585</v>
      </c>
      <c r="H463" s="336">
        <f>Gasto_o_ing_per_capita!H463-Gasto_o_ing_per_capita!$D463</f>
        <v>-0.71282859910105434</v>
      </c>
      <c r="I463" s="336">
        <f>Gasto_o_ing_per_capita!I463-Gasto_o_ing_per_capita!$D463</f>
        <v>-0.710446491773702</v>
      </c>
      <c r="J463" s="336">
        <f>Gasto_o_ing_per_capita!J463-Gasto_o_ing_per_capita!$D463</f>
        <v>1.2276126432208798</v>
      </c>
      <c r="K463" s="336">
        <f>Gasto_o_ing_per_capita!K463-Gasto_o_ing_per_capita!$D463</f>
        <v>-0.55956898876289185</v>
      </c>
      <c r="L463" s="336">
        <f>Gasto_o_ing_per_capita!L463-Gasto_o_ing_per_capita!$D463</f>
        <v>-0.3938455394402916</v>
      </c>
      <c r="M463" s="336">
        <f>Gasto_o_ing_per_capita!M463-Gasto_o_ing_per_capita!$D463</f>
        <v>0.23561576881404633</v>
      </c>
      <c r="N463" s="336">
        <f>Gasto_o_ing_per_capita!N463-Gasto_o_ing_per_capita!$D463</f>
        <v>-0.35577366304191599</v>
      </c>
      <c r="O463" s="336">
        <f>Gasto_o_ing_per_capita!O463-Gasto_o_ing_per_capita!$D463</f>
        <v>-0.72676639525454112</v>
      </c>
      <c r="P463" s="336">
        <f>Gasto_o_ing_per_capita!P463-Gasto_o_ing_per_capita!$D463</f>
        <v>-0.446944098789199</v>
      </c>
      <c r="Q463" s="336">
        <f>Gasto_o_ing_per_capita!Q463-Gasto_o_ing_per_capita!$D463</f>
        <v>0.8228125824510566</v>
      </c>
      <c r="R463" s="336">
        <f>Gasto_o_ing_per_capita!R463-Gasto_o_ing_per_capita!$D463</f>
        <v>-0.60506377910890485</v>
      </c>
      <c r="S463" s="336">
        <f>Gasto_o_ing_per_capita!S463-Gasto_o_ing_per_capita!$D463</f>
        <v>0.19611495291719494</v>
      </c>
      <c r="T463" s="336">
        <f>Gasto_o_ing_per_capita!T463-Gasto_o_ing_per_capita!$D463</f>
        <v>2.5283746833166569</v>
      </c>
      <c r="U463" s="336">
        <f>Gasto_o_ing_per_capita!U463-Gasto_o_ing_per_capita!$D463</f>
        <v>-0.63838311137569304</v>
      </c>
      <c r="V463" s="336">
        <f>Gasto_o_ing_per_capita!V463-Gasto_o_ing_per_capita!$D463</f>
        <v>-0.74771837807296515</v>
      </c>
    </row>
    <row r="464" spans="1:24" s="102" customFormat="1" ht="13.15">
      <c r="A464" s="355" t="str">
        <f>IF(B464="","",(IF(ISERROR(MATCH(B464,Tot_res!C:C,0)),"Eliminar!!!","")))</f>
        <v/>
      </c>
      <c r="B464" s="115" t="s">
        <v>430</v>
      </c>
      <c r="C464" s="333" t="str">
        <f>VLOOKUP(B464,Tot_res!C:D,2,FALSE)</f>
        <v>Innovación tecnológica de las telecomunicaciones</v>
      </c>
      <c r="D464" s="336">
        <f>Gasto_o_ing_per_capita!D464-Gasto_o_ing_per_capita!$D464</f>
        <v>0</v>
      </c>
      <c r="E464" s="336">
        <f>Gasto_o_ing_per_capita!E464-Gasto_o_ing_per_capita!$D464</f>
        <v>1.6501484806072941E-3</v>
      </c>
      <c r="F464" s="336">
        <f>Gasto_o_ing_per_capita!F464-Gasto_o_ing_per_capita!$D464</f>
        <v>-0.11067625682521254</v>
      </c>
      <c r="G464" s="336">
        <f>Gasto_o_ing_per_capita!G464-Gasto_o_ing_per_capita!$D464</f>
        <v>-0.12424194722255788</v>
      </c>
      <c r="H464" s="336">
        <f>Gasto_o_ing_per_capita!H464-Gasto_o_ing_per_capita!$D464</f>
        <v>-0.16350068409921248</v>
      </c>
      <c r="I464" s="336">
        <f>Gasto_o_ing_per_capita!I464-Gasto_o_ing_per_capita!$D464</f>
        <v>-0.22792653262398144</v>
      </c>
      <c r="J464" s="336">
        <f>Gasto_o_ing_per_capita!J464-Gasto_o_ing_per_capita!$D464</f>
        <v>-0.24326625845288052</v>
      </c>
      <c r="K464" s="336">
        <f>Gasto_o_ing_per_capita!K464-Gasto_o_ing_per_capita!$D464</f>
        <v>-0.17417058805415997</v>
      </c>
      <c r="L464" s="336">
        <f>Gasto_o_ing_per_capita!L464-Gasto_o_ing_per_capita!$D464</f>
        <v>-0.15674605046213297</v>
      </c>
      <c r="M464" s="336">
        <f>Gasto_o_ing_per_capita!M464-Gasto_o_ing_per_capita!$D464</f>
        <v>0.10661673217252976</v>
      </c>
      <c r="N464" s="336">
        <f>Gasto_o_ing_per_capita!N464-Gasto_o_ing_per_capita!$D464</f>
        <v>-0.12213814256321565</v>
      </c>
      <c r="O464" s="336">
        <f>Gasto_o_ing_per_capita!O464-Gasto_o_ing_per_capita!$D464</f>
        <v>-0.23802028316476587</v>
      </c>
      <c r="P464" s="336">
        <f>Gasto_o_ing_per_capita!P464-Gasto_o_ing_per_capita!$D464</f>
        <v>9.9021425138145713E-2</v>
      </c>
      <c r="Q464" s="336">
        <f>Gasto_o_ing_per_capita!Q464-Gasto_o_ing_per_capita!$D464</f>
        <v>0.28332130597090921</v>
      </c>
      <c r="R464" s="336">
        <f>Gasto_o_ing_per_capita!R464-Gasto_o_ing_per_capita!$D464</f>
        <v>-0.19843481150410747</v>
      </c>
      <c r="S464" s="336">
        <f>Gasto_o_ing_per_capita!S464-Gasto_o_ing_per_capita!$D464</f>
        <v>4.7462485068893501E-2</v>
      </c>
      <c r="T464" s="336">
        <f>Gasto_o_ing_per_capita!T464-Gasto_o_ing_per_capita!$D464</f>
        <v>8.4842146043512368E-2</v>
      </c>
      <c r="U464" s="336">
        <f>Gasto_o_ing_per_capita!U464-Gasto_o_ing_per_capita!$D464</f>
        <v>-0.24326625845288063</v>
      </c>
      <c r="V464" s="336">
        <f>Gasto_o_ing_per_capita!V464-Gasto_o_ing_per_capita!$D464</f>
        <v>-0.24326625845288063</v>
      </c>
    </row>
    <row r="465" spans="1:22" s="102" customFormat="1" ht="13.15">
      <c r="A465" s="355" t="str">
        <f>IF(B465="","",(IF(ISERROR(MATCH(B465,Tot_res!C:C,0)),"Eliminar!!!","")))</f>
        <v/>
      </c>
      <c r="B465" s="115" t="s">
        <v>432</v>
      </c>
      <c r="C465" s="333" t="str">
        <f>VLOOKUP(B465,Tot_res!C:D,2,FALSE)</f>
        <v>Ordenación y promoción de las telecomunicaciones y de la sociedad de la información</v>
      </c>
      <c r="D465" s="336">
        <f>Gasto_o_ing_per_capita!D465-Gasto_o_ing_per_capita!$D465</f>
        <v>0</v>
      </c>
      <c r="E465" s="336">
        <f>Gasto_o_ing_per_capita!E465-Gasto_o_ing_per_capita!$D465</f>
        <v>0</v>
      </c>
      <c r="F465" s="336">
        <f>Gasto_o_ing_per_capita!F465-Gasto_o_ing_per_capita!$D465</f>
        <v>0</v>
      </c>
      <c r="G465" s="336">
        <f>Gasto_o_ing_per_capita!G465-Gasto_o_ing_per_capita!$D465</f>
        <v>0</v>
      </c>
      <c r="H465" s="336">
        <f>Gasto_o_ing_per_capita!H465-Gasto_o_ing_per_capita!$D465</f>
        <v>0</v>
      </c>
      <c r="I465" s="336">
        <f>Gasto_o_ing_per_capita!I465-Gasto_o_ing_per_capita!$D465</f>
        <v>0</v>
      </c>
      <c r="J465" s="336">
        <f>Gasto_o_ing_per_capita!J465-Gasto_o_ing_per_capita!$D465</f>
        <v>0</v>
      </c>
      <c r="K465" s="336">
        <f>Gasto_o_ing_per_capita!K465-Gasto_o_ing_per_capita!$D465</f>
        <v>0</v>
      </c>
      <c r="L465" s="336">
        <f>Gasto_o_ing_per_capita!L465-Gasto_o_ing_per_capita!$D465</f>
        <v>0</v>
      </c>
      <c r="M465" s="336">
        <f>Gasto_o_ing_per_capita!M465-Gasto_o_ing_per_capita!$D465</f>
        <v>0</v>
      </c>
      <c r="N465" s="336">
        <f>Gasto_o_ing_per_capita!N465-Gasto_o_ing_per_capita!$D465</f>
        <v>0</v>
      </c>
      <c r="O465" s="336">
        <f>Gasto_o_ing_per_capita!O465-Gasto_o_ing_per_capita!$D465</f>
        <v>0</v>
      </c>
      <c r="P465" s="336">
        <f>Gasto_o_ing_per_capita!P465-Gasto_o_ing_per_capita!$D465</f>
        <v>0</v>
      </c>
      <c r="Q465" s="336">
        <f>Gasto_o_ing_per_capita!Q465-Gasto_o_ing_per_capita!$D465</f>
        <v>0</v>
      </c>
      <c r="R465" s="336">
        <f>Gasto_o_ing_per_capita!R465-Gasto_o_ing_per_capita!$D465</f>
        <v>0</v>
      </c>
      <c r="S465" s="336">
        <f>Gasto_o_ing_per_capita!S465-Gasto_o_ing_per_capita!$D465</f>
        <v>0</v>
      </c>
      <c r="T465" s="336">
        <f>Gasto_o_ing_per_capita!T465-Gasto_o_ing_per_capita!$D465</f>
        <v>0</v>
      </c>
      <c r="U465" s="336">
        <f>Gasto_o_ing_per_capita!U465-Gasto_o_ing_per_capita!$D465</f>
        <v>0</v>
      </c>
      <c r="V465" s="336">
        <f>Gasto_o_ing_per_capita!V465-Gasto_o_ing_per_capita!$D465</f>
        <v>0</v>
      </c>
    </row>
    <row r="466" spans="1:22" s="102" customFormat="1" ht="13.15">
      <c r="A466" s="355" t="str">
        <f>IF(B466="","",(IF(ISERROR(MATCH(B466,Tot_res!C:C,0)),"Eliminar!!!","")))</f>
        <v/>
      </c>
      <c r="B466" s="115" t="s">
        <v>433</v>
      </c>
      <c r="C466" s="333" t="str">
        <f>VLOOKUP(B466,Tot_res!C:D,2,FALSE)</f>
        <v>Regulación y vigilancia de la competencia en el mercado de tabacos</v>
      </c>
      <c r="D466" s="336">
        <f>Gasto_o_ing_per_capita!D466-Gasto_o_ing_per_capita!$D466</f>
        <v>0</v>
      </c>
      <c r="E466" s="336">
        <f>Gasto_o_ing_per_capita!E466-Gasto_o_ing_per_capita!$D466</f>
        <v>-2.5236535487168602E-2</v>
      </c>
      <c r="F466" s="336">
        <f>Gasto_o_ing_per_capita!F466-Gasto_o_ing_per_capita!$D466</f>
        <v>1.9187667896695931E-2</v>
      </c>
      <c r="G466" s="336">
        <f>Gasto_o_ing_per_capita!G466-Gasto_o_ing_per_capita!$D466</f>
        <v>1.9696127640361577E-2</v>
      </c>
      <c r="H466" s="336">
        <f>Gasto_o_ing_per_capita!H466-Gasto_o_ing_per_capita!$D466</f>
        <v>7.8144657255248356E-2</v>
      </c>
      <c r="I466" s="336">
        <f>Gasto_o_ing_per_capita!I466-Gasto_o_ing_per_capita!$D466</f>
        <v>-9.1025940577729475E-2</v>
      </c>
      <c r="J466" s="336">
        <f>Gasto_o_ing_per_capita!J466-Gasto_o_ing_per_capita!$D466</f>
        <v>1.9795694357821692E-2</v>
      </c>
      <c r="K466" s="336">
        <f>Gasto_o_ing_per_capita!K466-Gasto_o_ing_per_capita!$D466</f>
        <v>9.067248908096126E-3</v>
      </c>
      <c r="L466" s="336">
        <f>Gasto_o_ing_per_capita!L466-Gasto_o_ing_per_capita!$D466</f>
        <v>1.1734928990426469E-2</v>
      </c>
      <c r="M466" s="336">
        <f>Gasto_o_ing_per_capita!M466-Gasto_o_ing_per_capita!$D466</f>
        <v>2.5753843051725372E-2</v>
      </c>
      <c r="N466" s="336">
        <f>Gasto_o_ing_per_capita!N466-Gasto_o_ing_per_capita!$D466</f>
        <v>6.045357000761642E-3</v>
      </c>
      <c r="O466" s="336">
        <f>Gasto_o_ing_per_capita!O466-Gasto_o_ing_per_capita!$D466</f>
        <v>2.06671410642085E-2</v>
      </c>
      <c r="P466" s="336">
        <f>Gasto_o_ing_per_capita!P466-Gasto_o_ing_per_capita!$D466</f>
        <v>-5.2123007073643174E-2</v>
      </c>
      <c r="Q466" s="336">
        <f>Gasto_o_ing_per_capita!Q466-Gasto_o_ing_per_capita!$D466</f>
        <v>-2.7955443258539381E-3</v>
      </c>
      <c r="R466" s="336">
        <f>Gasto_o_ing_per_capita!R466-Gasto_o_ing_per_capita!$D466</f>
        <v>2.112277846693042E-2</v>
      </c>
      <c r="S466" s="336">
        <f>Gasto_o_ing_per_capita!S466-Gasto_o_ing_per_capita!$D466</f>
        <v>7.6798552525345593E-2</v>
      </c>
      <c r="T466" s="336">
        <f>Gasto_o_ing_per_capita!T466-Gasto_o_ing_per_capita!$D466</f>
        <v>2.5757775372993619E-2</v>
      </c>
      <c r="U466" s="336">
        <f>Gasto_o_ing_per_capita!U466-Gasto_o_ing_per_capita!$D466</f>
        <v>1.0682619418433265E-2</v>
      </c>
      <c r="V466" s="336">
        <f>Gasto_o_ing_per_capita!V466-Gasto_o_ing_per_capita!$D466</f>
        <v>-7.8368953022043303E-2</v>
      </c>
    </row>
    <row r="467" spans="1:22" s="102" customFormat="1" ht="13.15">
      <c r="A467" s="355" t="str">
        <f>IF(B467="","",(IF(ISERROR(MATCH(B467,Tot_res!C:C,0)),"Eliminar!!!","")))</f>
        <v/>
      </c>
      <c r="B467" s="115" t="s">
        <v>434</v>
      </c>
      <c r="C467" s="333" t="str">
        <f>VLOOKUP(B467,Tot_res!C:D,2,FALSE)</f>
        <v>Publicaciones</v>
      </c>
      <c r="D467" s="336">
        <f>Gasto_o_ing_per_capita!D467-Gasto_o_ing_per_capita!$D467</f>
        <v>0</v>
      </c>
      <c r="E467" s="336">
        <f>Gasto_o_ing_per_capita!E467-Gasto_o_ing_per_capita!$D467</f>
        <v>-2.0904265559855677E-3</v>
      </c>
      <c r="F467" s="336">
        <f>Gasto_o_ing_per_capita!F467-Gasto_o_ing_per_capita!$D467</f>
        <v>2.4037220516182605E-3</v>
      </c>
      <c r="G467" s="336">
        <f>Gasto_o_ing_per_capita!G467-Gasto_o_ing_per_capita!$D467</f>
        <v>2.1969199393047055E-3</v>
      </c>
      <c r="H467" s="336">
        <f>Gasto_o_ing_per_capita!H467-Gasto_o_ing_per_capita!$D467</f>
        <v>-1.9075382691473436E-3</v>
      </c>
      <c r="I467" s="336">
        <f>Gasto_o_ing_per_capita!I467-Gasto_o_ing_per_capita!$D467</f>
        <v>-2.7002601431342249E-3</v>
      </c>
      <c r="J467" s="336">
        <f>Gasto_o_ing_per_capita!J467-Gasto_o_ing_per_capita!$D467</f>
        <v>1.4794228999257331E-3</v>
      </c>
      <c r="K467" s="336">
        <f>Gasto_o_ing_per_capita!K467-Gasto_o_ing_per_capita!$D467</f>
        <v>3.5390517525245822E-4</v>
      </c>
      <c r="L467" s="336">
        <f>Gasto_o_ing_per_capita!L467-Gasto_o_ing_per_capita!$D467</f>
        <v>-1.0372022297563174E-4</v>
      </c>
      <c r="M467" s="336">
        <f>Gasto_o_ing_per_capita!M467-Gasto_o_ing_per_capita!$D467</f>
        <v>1.5592188410441937E-3</v>
      </c>
      <c r="N467" s="336">
        <f>Gasto_o_ing_per_capita!N467-Gasto_o_ing_per_capita!$D467</f>
        <v>-6.570251483360651E-4</v>
      </c>
      <c r="O467" s="336">
        <f>Gasto_o_ing_per_capita!O467-Gasto_o_ing_per_capita!$D467</f>
        <v>-2.2142822336077578E-3</v>
      </c>
      <c r="P467" s="336">
        <f>Gasto_o_ing_per_capita!P467-Gasto_o_ing_per_capita!$D467</f>
        <v>1.7303215264396071E-3</v>
      </c>
      <c r="Q467" s="336">
        <f>Gasto_o_ing_per_capita!Q467-Gasto_o_ing_per_capita!$D467</f>
        <v>-9.1501690419990966E-4</v>
      </c>
      <c r="R467" s="336">
        <f>Gasto_o_ing_per_capita!R467-Gasto_o_ing_per_capita!$D467</f>
        <v>-2.8720010878220594E-4</v>
      </c>
      <c r="S467" s="336">
        <f>Gasto_o_ing_per_capita!S467-Gasto_o_ing_per_capita!$D467</f>
        <v>4.8815803589250667E-3</v>
      </c>
      <c r="T467" s="336">
        <f>Gasto_o_ing_per_capita!T467-Gasto_o_ing_per_capita!$D467</f>
        <v>4.8583525047685913E-3</v>
      </c>
      <c r="U467" s="336">
        <f>Gasto_o_ing_per_capita!U467-Gasto_o_ing_per_capita!$D467</f>
        <v>2.5342381392328243E-3</v>
      </c>
      <c r="V467" s="336">
        <f>Gasto_o_ing_per_capita!V467-Gasto_o_ing_per_capita!$D467</f>
        <v>-4.0216793936550003E-3</v>
      </c>
    </row>
    <row r="468" spans="1:22" s="102" customFormat="1" ht="13.15">
      <c r="A468" s="356"/>
      <c r="B468" s="115"/>
      <c r="C468" s="133"/>
      <c r="D468" s="110"/>
      <c r="E468" s="110"/>
      <c r="F468" s="110"/>
      <c r="G468" s="110"/>
      <c r="H468" s="110"/>
      <c r="I468" s="110"/>
      <c r="J468" s="110"/>
      <c r="K468" s="110"/>
      <c r="L468" s="110"/>
      <c r="M468" s="110"/>
      <c r="N468" s="110"/>
      <c r="O468" s="110"/>
      <c r="P468" s="110"/>
      <c r="Q468" s="110"/>
      <c r="R468" s="110"/>
      <c r="S468" s="110"/>
      <c r="T468" s="110"/>
      <c r="U468" s="110"/>
      <c r="V468" s="110"/>
    </row>
    <row r="469" spans="1:22" s="102" customFormat="1" ht="13.15">
      <c r="A469" s="356"/>
      <c r="B469" s="115"/>
      <c r="C469" s="151" t="s">
        <v>8</v>
      </c>
      <c r="D469" s="110">
        <f>Gasto_o_ing_per_capita!D469-Gasto_o_ing_per_capita!$D469</f>
        <v>0</v>
      </c>
      <c r="E469" s="110">
        <f>Gasto_o_ing_per_capita!E469-Gasto_o_ing_per_capita!$D469</f>
        <v>-773.28091398081142</v>
      </c>
      <c r="F469" s="110">
        <f>Gasto_o_ing_per_capita!F469-Gasto_o_ing_per_capita!$D469</f>
        <v>1043.1828634512867</v>
      </c>
      <c r="G469" s="110">
        <f>Gasto_o_ing_per_capita!G469-Gasto_o_ing_per_capita!$D469</f>
        <v>2014.7888758697363</v>
      </c>
      <c r="H469" s="110">
        <f>Gasto_o_ing_per_capita!H469-Gasto_o_ing_per_capita!$D469</f>
        <v>-779.03820131497923</v>
      </c>
      <c r="I469" s="110">
        <f>Gasto_o_ing_per_capita!I469-Gasto_o_ing_per_capita!$D469</f>
        <v>-448.12169365414866</v>
      </c>
      <c r="J469" s="110">
        <f>Gasto_o_ing_per_capita!J469-Gasto_o_ing_per_capita!$D469</f>
        <v>1030.2183147096084</v>
      </c>
      <c r="K469" s="110">
        <f>Gasto_o_ing_per_capita!K469-Gasto_o_ing_per_capita!$D469</f>
        <v>1497.5417448669914</v>
      </c>
      <c r="L469" s="110">
        <f>Gasto_o_ing_per_capita!L469-Gasto_o_ing_per_capita!$D469</f>
        <v>-122.71356049977658</v>
      </c>
      <c r="M469" s="110">
        <f>Gasto_o_ing_per_capita!M469-Gasto_o_ing_per_capita!$D469</f>
        <v>143.610001430995</v>
      </c>
      <c r="N469" s="110">
        <f>Gasto_o_ing_per_capita!N469-Gasto_o_ing_per_capita!$D469</f>
        <v>-1092.1703190997114</v>
      </c>
      <c r="O469" s="110">
        <f>Gasto_o_ing_per_capita!O469-Gasto_o_ing_per_capita!$D469</f>
        <v>746.29501986209198</v>
      </c>
      <c r="P469" s="110">
        <f>Gasto_o_ing_per_capita!P469-Gasto_o_ing_per_capita!$D469</f>
        <v>587.40968255776443</v>
      </c>
      <c r="Q469" s="110">
        <f>Gasto_o_ing_per_capita!Q469-Gasto_o_ing_per_capita!$D469</f>
        <v>-366.17943668197131</v>
      </c>
      <c r="R469" s="110">
        <f>Gasto_o_ing_per_capita!R469-Gasto_o_ing_per_capita!$D469</f>
        <v>-1193.4713266932577</v>
      </c>
      <c r="S469" s="110">
        <f>Gasto_o_ing_per_capita!S469-Gasto_o_ing_per_capita!$D469</f>
        <v>761.7064070163442</v>
      </c>
      <c r="T469" s="110">
        <f>Gasto_o_ing_per_capita!T469-Gasto_o_ing_per_capita!$D469</f>
        <v>2718.08015683145</v>
      </c>
      <c r="U469" s="110">
        <f>Gasto_o_ing_per_capita!U469-Gasto_o_ing_per_capita!$D469</f>
        <v>392.22454031877623</v>
      </c>
      <c r="V469" s="110">
        <f>Gasto_o_ing_per_capita!V469-Gasto_o_ing_per_capita!$D469</f>
        <v>1378.3210980076301</v>
      </c>
    </row>
    <row r="470" spans="1:22" s="102" customFormat="1" ht="13.15">
      <c r="A470" s="356"/>
      <c r="B470" s="115"/>
      <c r="C470" s="133"/>
      <c r="D470" s="110"/>
      <c r="E470" s="110"/>
      <c r="F470" s="110"/>
      <c r="G470" s="110"/>
      <c r="H470" s="110"/>
      <c r="I470" s="110"/>
      <c r="J470" s="110"/>
      <c r="K470" s="110"/>
      <c r="L470" s="110"/>
      <c r="M470" s="110"/>
      <c r="N470" s="110"/>
      <c r="O470" s="110"/>
      <c r="P470" s="110"/>
      <c r="Q470" s="110"/>
      <c r="R470" s="110"/>
      <c r="S470" s="110"/>
      <c r="T470" s="110"/>
      <c r="U470" s="110"/>
      <c r="V470" s="110"/>
    </row>
    <row r="471" spans="1:22" s="102" customFormat="1" ht="13.15">
      <c r="A471" s="356"/>
      <c r="B471" s="115"/>
      <c r="C471" s="151" t="s">
        <v>69</v>
      </c>
      <c r="D471" s="110">
        <f>Gasto_o_ing_per_capita!D471-Gasto_o_ing_per_capita!$D471</f>
        <v>0</v>
      </c>
      <c r="E471" s="110">
        <f>Gasto_o_ing_per_capita!E471-Gasto_o_ing_per_capita!$D471</f>
        <v>-16.615104547369015</v>
      </c>
      <c r="F471" s="110">
        <f>Gasto_o_ing_per_capita!F471-Gasto_o_ing_per_capita!$D471</f>
        <v>92.554150173186144</v>
      </c>
      <c r="G471" s="110">
        <f>Gasto_o_ing_per_capita!G471-Gasto_o_ing_per_capita!$D471</f>
        <v>238.3601763289555</v>
      </c>
      <c r="H471" s="110">
        <f>Gasto_o_ing_per_capita!H471-Gasto_o_ing_per_capita!$D471</f>
        <v>-129.93589799773662</v>
      </c>
      <c r="I471" s="110">
        <f>Gasto_o_ing_per_capita!I471-Gasto_o_ing_per_capita!$D471</f>
        <v>38.947831721369084</v>
      </c>
      <c r="J471" s="110">
        <f>Gasto_o_ing_per_capita!J471-Gasto_o_ing_per_capita!$D471</f>
        <v>117.39076738506856</v>
      </c>
      <c r="K471" s="110">
        <f>Gasto_o_ing_per_capita!K471-Gasto_o_ing_per_capita!$D471</f>
        <v>141.22628630632607</v>
      </c>
      <c r="L471" s="110">
        <f>Gasto_o_ing_per_capita!L471-Gasto_o_ing_per_capita!$D471</f>
        <v>5.924982392059519</v>
      </c>
      <c r="M471" s="110">
        <f>Gasto_o_ing_per_capita!M471-Gasto_o_ing_per_capita!$D471</f>
        <v>-8.5686167997532721</v>
      </c>
      <c r="N471" s="110">
        <f>Gasto_o_ing_per_capita!N471-Gasto_o_ing_per_capita!$D471</f>
        <v>-66.45288780228816</v>
      </c>
      <c r="O471" s="110">
        <f>Gasto_o_ing_per_capita!O471-Gasto_o_ing_per_capita!$D471</f>
        <v>103.64995096289033</v>
      </c>
      <c r="P471" s="110">
        <f>Gasto_o_ing_per_capita!P471-Gasto_o_ing_per_capita!$D471</f>
        <v>114.11697620162181</v>
      </c>
      <c r="Q471" s="110">
        <f>Gasto_o_ing_per_capita!Q471-Gasto_o_ing_per_capita!$D471</f>
        <v>-69.908165466180208</v>
      </c>
      <c r="R471" s="110">
        <f>Gasto_o_ing_per_capita!R471-Gasto_o_ing_per_capita!$D471</f>
        <v>-67.379831118159245</v>
      </c>
      <c r="S471" s="110">
        <f>Gasto_o_ing_per_capita!S471-Gasto_o_ing_per_capita!$D471</f>
        <v>-169.33760509116888</v>
      </c>
      <c r="T471" s="110">
        <f>Gasto_o_ing_per_capita!T471-Gasto_o_ing_per_capita!$D471</f>
        <v>-36.564874701369831</v>
      </c>
      <c r="U471" s="110">
        <f>Gasto_o_ing_per_capita!U471-Gasto_o_ing_per_capita!$D471</f>
        <v>77.900895865056441</v>
      </c>
      <c r="V471" s="110">
        <f>Gasto_o_ing_per_capita!V471-Gasto_o_ing_per_capita!$D471</f>
        <v>449.51629105574352</v>
      </c>
    </row>
    <row r="472" spans="1:22" s="102" customFormat="1" ht="13.15">
      <c r="A472" s="355" t="str">
        <f>IF(B472="","",(IF(ISERROR(MATCH(B472,Tot_res!C:C,0)),"Eliminar!!!","")))</f>
        <v/>
      </c>
      <c r="B472" s="115" t="s">
        <v>636</v>
      </c>
      <c r="C472" s="333" t="str">
        <f>VLOOKUP(B472,Tot_res!C:D,2,FALSE)</f>
        <v>Amortización y gastos financieros de la deuda pública en moneda nacional</v>
      </c>
      <c r="D472" s="336">
        <f>Gasto_o_ing_per_capita!D472-Gasto_o_ing_per_capita!$D472</f>
        <v>0</v>
      </c>
      <c r="E472" s="336">
        <f>Gasto_o_ing_per_capita!E472-Gasto_o_ing_per_capita!$D472</f>
        <v>-16.439605012260131</v>
      </c>
      <c r="F472" s="336">
        <f>Gasto_o_ing_per_capita!F472-Gasto_o_ing_per_capita!$D472</f>
        <v>91.576533072944358</v>
      </c>
      <c r="G472" s="336">
        <f>Gasto_o_ing_per_capita!G472-Gasto_o_ing_per_capita!$D472</f>
        <v>235.84246119722116</v>
      </c>
      <c r="H472" s="336">
        <f>Gasto_o_ing_per_capita!H472-Gasto_o_ing_per_capita!$D472</f>
        <v>-128.56343057644705</v>
      </c>
      <c r="I472" s="336">
        <f>Gasto_o_ing_per_capita!I472-Gasto_o_ing_per_capita!$D472</f>
        <v>38.536439404148155</v>
      </c>
      <c r="J472" s="336">
        <f>Gasto_o_ing_per_capita!J472-Gasto_o_ing_per_capita!$D472</f>
        <v>116.15080978844628</v>
      </c>
      <c r="K472" s="336">
        <f>Gasto_o_ing_per_capita!K472-Gasto_o_ing_per_capita!$D472</f>
        <v>139.73456246424689</v>
      </c>
      <c r="L472" s="336">
        <f>Gasto_o_ing_per_capita!L472-Gasto_o_ing_per_capita!$D472</f>
        <v>5.86239887641716</v>
      </c>
      <c r="M472" s="336">
        <f>Gasto_o_ing_per_capita!M472-Gasto_o_ing_per_capita!$D472</f>
        <v>-8.4781094989657504</v>
      </c>
      <c r="N472" s="336">
        <f>Gasto_o_ing_per_capita!N472-Gasto_o_ing_per_capita!$D472</f>
        <v>-65.750969202696524</v>
      </c>
      <c r="O472" s="336">
        <f>Gasto_o_ing_per_capita!O472-Gasto_o_ing_per_capita!$D472</f>
        <v>102.55513280172784</v>
      </c>
      <c r="P472" s="336">
        <f>Gasto_o_ing_per_capita!P472-Gasto_o_ing_per_capita!$D472</f>
        <v>112.9115985156526</v>
      </c>
      <c r="Q472" s="336">
        <f>Gasto_o_ing_per_capita!Q472-Gasto_o_ing_per_capita!$D472</f>
        <v>-69.16974997775128</v>
      </c>
      <c r="R472" s="336">
        <f>Gasto_o_ing_per_capita!R472-Gasto_o_ing_per_capita!$D472</f>
        <v>-66.668121540693051</v>
      </c>
      <c r="S472" s="336">
        <f>Gasto_o_ing_per_capita!S472-Gasto_o_ing_per_capita!$D472</f>
        <v>-167.54895122593086</v>
      </c>
      <c r="T472" s="336">
        <f>Gasto_o_ing_per_capita!T472-Gasto_o_ing_per_capita!$D472</f>
        <v>-36.178652725268762</v>
      </c>
      <c r="U472" s="336">
        <f>Gasto_o_ing_per_capita!U472-Gasto_o_ing_per_capita!$D472</f>
        <v>77.07805596236858</v>
      </c>
      <c r="V472" s="336">
        <f>Gasto_o_ing_per_capita!V472-Gasto_o_ing_per_capita!$D472</f>
        <v>444.76820777529542</v>
      </c>
    </row>
    <row r="473" spans="1:22" s="102" customFormat="1" ht="13.15">
      <c r="A473" s="355" t="str">
        <f>IF(B473="","",(IF(ISERROR(MATCH(B473,Tot_res!C:C,0)),"Eliminar!!!","")))</f>
        <v/>
      </c>
      <c r="B473" s="115" t="s">
        <v>637</v>
      </c>
      <c r="C473" s="333" t="str">
        <f>VLOOKUP(B473,Tot_res!C:D,2,FALSE)</f>
        <v>Amortización y gastos financieros de la deuda pública en moneda extranjera</v>
      </c>
      <c r="D473" s="336">
        <f>Gasto_o_ing_per_capita!D473-Gasto_o_ing_per_capita!$D473</f>
        <v>0</v>
      </c>
      <c r="E473" s="336">
        <f>Gasto_o_ing_per_capita!E473-Gasto_o_ing_per_capita!$D473</f>
        <v>-0.17549953510911287</v>
      </c>
      <c r="F473" s="336">
        <f>Gasto_o_ing_per_capita!F473-Gasto_o_ing_per_capita!$D473</f>
        <v>0.97761710024178061</v>
      </c>
      <c r="G473" s="336">
        <f>Gasto_o_ing_per_capita!G473-Gasto_o_ing_per_capita!$D473</f>
        <v>2.5177151317342314</v>
      </c>
      <c r="H473" s="336">
        <f>Gasto_o_ing_per_capita!H473-Gasto_o_ing_per_capita!$D473</f>
        <v>-1.3724674212897749</v>
      </c>
      <c r="I473" s="336">
        <f>Gasto_o_ing_per_capita!I473-Gasto_o_ing_per_capita!$D473</f>
        <v>0.41139231722080627</v>
      </c>
      <c r="J473" s="336">
        <f>Gasto_o_ing_per_capita!J473-Gasto_o_ing_per_capita!$D473</f>
        <v>1.239957596622137</v>
      </c>
      <c r="K473" s="336">
        <f>Gasto_o_ing_per_capita!K473-Gasto_o_ing_per_capita!$D473</f>
        <v>1.4917238420790442</v>
      </c>
      <c r="L473" s="336">
        <f>Gasto_o_ing_per_capita!L473-Gasto_o_ing_per_capita!$D473</f>
        <v>6.2583515642141485E-2</v>
      </c>
      <c r="M473" s="336">
        <f>Gasto_o_ing_per_capita!M473-Gasto_o_ing_per_capita!$D473</f>
        <v>-9.0507300787520784E-2</v>
      </c>
      <c r="N473" s="336">
        <f>Gasto_o_ing_per_capita!N473-Gasto_o_ing_per_capita!$D473</f>
        <v>-0.70191859959173097</v>
      </c>
      <c r="O473" s="336">
        <f>Gasto_o_ing_per_capita!O473-Gasto_o_ing_per_capita!$D473</f>
        <v>1.0948181611622623</v>
      </c>
      <c r="P473" s="336">
        <f>Gasto_o_ing_per_capita!P473-Gasto_o_ing_per_capita!$D473</f>
        <v>1.2053776859690783</v>
      </c>
      <c r="Q473" s="336">
        <f>Gasto_o_ing_per_capita!Q473-Gasto_o_ing_per_capita!$D473</f>
        <v>-0.73841548842906057</v>
      </c>
      <c r="R473" s="336">
        <f>Gasto_o_ing_per_capita!R473-Gasto_o_ing_per_capita!$D473</f>
        <v>-0.71170957746635555</v>
      </c>
      <c r="S473" s="336">
        <f>Gasto_o_ing_per_capita!S473-Gasto_o_ing_per_capita!$D473</f>
        <v>-1.7886538652383139</v>
      </c>
      <c r="T473" s="336">
        <f>Gasto_o_ing_per_capita!T473-Gasto_o_ing_per_capita!$D473</f>
        <v>-0.38622197610122466</v>
      </c>
      <c r="U473" s="336">
        <f>Gasto_o_ing_per_capita!U473-Gasto_o_ing_per_capita!$D473</f>
        <v>0.82283990268754792</v>
      </c>
      <c r="V473" s="336">
        <f>Gasto_o_ing_per_capita!V473-Gasto_o_ing_per_capita!$D473</f>
        <v>4.7480832804477604</v>
      </c>
    </row>
    <row r="474" spans="1:22" ht="13.15">
      <c r="A474" s="356"/>
      <c r="D474" s="19"/>
      <c r="E474" s="19"/>
      <c r="F474" s="19"/>
      <c r="G474" s="19"/>
      <c r="H474" s="19"/>
      <c r="I474" s="19"/>
      <c r="J474" s="19"/>
      <c r="K474" s="19"/>
      <c r="L474" s="19"/>
      <c r="M474" s="19"/>
      <c r="N474" s="19"/>
      <c r="O474" s="19"/>
      <c r="P474" s="19"/>
      <c r="Q474" s="19"/>
      <c r="R474" s="19"/>
      <c r="S474" s="19"/>
      <c r="T474" s="19"/>
      <c r="U474" s="19"/>
      <c r="V474" s="19"/>
    </row>
    <row r="475" spans="1:22" s="102" customFormat="1" ht="13.15">
      <c r="A475" s="356"/>
      <c r="C475" s="103" t="s">
        <v>7</v>
      </c>
      <c r="D475" s="110">
        <f>Gasto_o_ing_per_capita!D475-Gasto_o_ing_per_capita!$D475</f>
        <v>0</v>
      </c>
      <c r="E475" s="110">
        <f>Gasto_o_ing_per_capita!E475-Gasto_o_ing_per_capita!$D475</f>
        <v>-789.89601852818123</v>
      </c>
      <c r="F475" s="110">
        <f>Gasto_o_ing_per_capita!F475-Gasto_o_ing_per_capita!$D475</f>
        <v>1135.7370136244717</v>
      </c>
      <c r="G475" s="110">
        <f>Gasto_o_ing_per_capita!G475-Gasto_o_ing_per_capita!$D475</f>
        <v>2253.1490521986907</v>
      </c>
      <c r="H475" s="110">
        <f>Gasto_o_ing_per_capita!H475-Gasto_o_ing_per_capita!$D475</f>
        <v>-908.97409931271613</v>
      </c>
      <c r="I475" s="110">
        <f>Gasto_o_ing_per_capita!I475-Gasto_o_ing_per_capita!$D475</f>
        <v>-409.17386193278071</v>
      </c>
      <c r="J475" s="110">
        <f>Gasto_o_ing_per_capita!J475-Gasto_o_ing_per_capita!$D475</f>
        <v>1147.6090820946756</v>
      </c>
      <c r="K475" s="110">
        <f>Gasto_o_ing_per_capita!K475-Gasto_o_ing_per_capita!$D475</f>
        <v>1638.7680311733147</v>
      </c>
      <c r="L475" s="110">
        <f>Gasto_o_ing_per_capita!L475-Gasto_o_ing_per_capita!$D475</f>
        <v>-116.78857810771842</v>
      </c>
      <c r="M475" s="110">
        <f>Gasto_o_ing_per_capita!M475-Gasto_o_ing_per_capita!$D475</f>
        <v>135.04138463124218</v>
      </c>
      <c r="N475" s="110">
        <f>Gasto_o_ing_per_capita!N475-Gasto_o_ing_per_capita!$D475</f>
        <v>-1158.6232069020016</v>
      </c>
      <c r="O475" s="110">
        <f>Gasto_o_ing_per_capita!O475-Gasto_o_ing_per_capita!$D475</f>
        <v>849.94497082497946</v>
      </c>
      <c r="P475" s="110">
        <f>Gasto_o_ing_per_capita!P475-Gasto_o_ing_per_capita!$D475</f>
        <v>701.5266587593851</v>
      </c>
      <c r="Q475" s="110">
        <f>Gasto_o_ing_per_capita!Q475-Gasto_o_ing_per_capita!$D475</f>
        <v>-436.08760214815084</v>
      </c>
      <c r="R475" s="110">
        <f>Gasto_o_ing_per_capita!R475-Gasto_o_ing_per_capita!$D475</f>
        <v>-1260.8511578114185</v>
      </c>
      <c r="S475" s="110">
        <f>Gasto_o_ing_per_capita!S475-Gasto_o_ing_per_capita!$D475</f>
        <v>592.36880192517492</v>
      </c>
      <c r="T475" s="110">
        <f>Gasto_o_ing_per_capita!T475-Gasto_o_ing_per_capita!$D475</f>
        <v>2681.5152821300799</v>
      </c>
      <c r="U475" s="110">
        <f>Gasto_o_ing_per_capita!U475-Gasto_o_ing_per_capita!$D475</f>
        <v>470.12543618383279</v>
      </c>
      <c r="V475" s="110">
        <f>Gasto_o_ing_per_capita!V475-Gasto_o_ing_per_capita!$D475</f>
        <v>1827.837389063372</v>
      </c>
    </row>
    <row r="476" spans="1:22" s="102" customFormat="1" ht="13.15">
      <c r="A476" s="356"/>
      <c r="C476" s="103" t="s">
        <v>80</v>
      </c>
      <c r="D476" s="110">
        <f>Gasto_o_ing_per_capita!D476-Gasto_o_ing_per_capita!$D476</f>
        <v>0</v>
      </c>
      <c r="E476" s="110">
        <f>Gasto_o_ing_per_capita!E476-Gasto_o_ing_per_capita!$D476</f>
        <v>-829.54030887255431</v>
      </c>
      <c r="F476" s="110">
        <f>Gasto_o_ing_per_capita!F476-Gasto_o_ing_per_capita!$D476</f>
        <v>1103.5874015132722</v>
      </c>
      <c r="G476" s="110">
        <f>Gasto_o_ing_per_capita!G476-Gasto_o_ing_per_capita!$D476</f>
        <v>2128.4805971120841</v>
      </c>
      <c r="H476" s="110">
        <f>Gasto_o_ing_per_capita!H476-Gasto_o_ing_per_capita!$D476</f>
        <v>-1018.3437169331519</v>
      </c>
      <c r="I476" s="110">
        <f>Gasto_o_ing_per_capita!I476-Gasto_o_ing_per_capita!$D476</f>
        <v>-385.67333927231812</v>
      </c>
      <c r="J476" s="110">
        <f>Gasto_o_ing_per_capita!J476-Gasto_o_ing_per_capita!$D476</f>
        <v>1062.8042778576764</v>
      </c>
      <c r="K476" s="110">
        <f>Gasto_o_ing_per_capita!K476-Gasto_o_ing_per_capita!$D476</f>
        <v>1626.0063064870592</v>
      </c>
      <c r="L476" s="110">
        <f>Gasto_o_ing_per_capita!L476-Gasto_o_ing_per_capita!$D476</f>
        <v>-21.403908123449582</v>
      </c>
      <c r="M476" s="110">
        <f>Gasto_o_ing_per_capita!M476-Gasto_o_ing_per_capita!$D476</f>
        <v>3.9845023195448448</v>
      </c>
      <c r="N476" s="110">
        <f>Gasto_o_ing_per_capita!N476-Gasto_o_ing_per_capita!$D476</f>
        <v>-1192.9912462644716</v>
      </c>
      <c r="O476" s="110">
        <f>Gasto_o_ing_per_capita!O476-Gasto_o_ing_per_capita!$D476</f>
        <v>688.13639518571108</v>
      </c>
      <c r="P476" s="110">
        <f>Gasto_o_ing_per_capita!P476-Gasto_o_ing_per_capita!$D476</f>
        <v>700.47459535591406</v>
      </c>
      <c r="Q476" s="110">
        <f>Gasto_o_ing_per_capita!Q476-Gasto_o_ing_per_capita!$D476</f>
        <v>-352.89999392745995</v>
      </c>
      <c r="R476" s="110">
        <f>Gasto_o_ing_per_capita!R476-Gasto_o_ing_per_capita!$D476</f>
        <v>-1301.5539373876272</v>
      </c>
      <c r="S476" s="110">
        <f>Gasto_o_ing_per_capita!S476-Gasto_o_ing_per_capita!$D476</f>
        <v>1186.5008977816342</v>
      </c>
      <c r="T476" s="110">
        <f>Gasto_o_ing_per_capita!T476-Gasto_o_ing_per_capita!$D476</f>
        <v>3110.4265487551766</v>
      </c>
      <c r="U476" s="110">
        <f>Gasto_o_ing_per_capita!U476-Gasto_o_ing_per_capita!$D476</f>
        <v>462.73446649303878</v>
      </c>
      <c r="V476" s="110">
        <f>Gasto_o_ing_per_capita!V476-Gasto_o_ing_per_capita!$D476</f>
        <v>1880.1705320386391</v>
      </c>
    </row>
    <row r="477" spans="1:22" ht="13.15">
      <c r="A477" s="356"/>
      <c r="C477" s="1"/>
      <c r="D477" s="19"/>
      <c r="E477" s="19"/>
      <c r="F477" s="19"/>
      <c r="G477" s="19"/>
      <c r="H477" s="19"/>
      <c r="I477" s="19"/>
      <c r="J477" s="19"/>
      <c r="K477" s="19"/>
      <c r="L477" s="19"/>
      <c r="M477" s="19"/>
      <c r="N477" s="19"/>
      <c r="O477" s="19"/>
      <c r="P477" s="19"/>
      <c r="Q477" s="19"/>
      <c r="R477" s="19"/>
      <c r="S477" s="19"/>
      <c r="T477" s="19"/>
      <c r="U477" s="19"/>
      <c r="V477" s="19"/>
    </row>
    <row r="478" spans="1:22" ht="13.15">
      <c r="A478" s="356"/>
      <c r="C478" s="1"/>
      <c r="D478" s="19"/>
      <c r="E478" s="19"/>
      <c r="F478" s="19"/>
      <c r="G478" s="19"/>
      <c r="H478" s="19"/>
      <c r="I478" s="19"/>
      <c r="J478" s="19"/>
      <c r="K478" s="19"/>
      <c r="L478" s="19"/>
      <c r="M478" s="19"/>
      <c r="N478" s="19"/>
      <c r="O478" s="19"/>
      <c r="P478" s="19"/>
      <c r="Q478" s="19"/>
      <c r="R478" s="19"/>
      <c r="S478" s="19"/>
      <c r="T478" s="19"/>
      <c r="U478" s="19"/>
      <c r="V478" s="19"/>
    </row>
    <row r="479" spans="1:22" ht="13.15">
      <c r="A479" s="356"/>
      <c r="C479" s="1"/>
      <c r="D479" s="19"/>
      <c r="E479" s="19"/>
      <c r="F479" s="19"/>
      <c r="G479" s="19"/>
      <c r="H479" s="19"/>
      <c r="I479" s="19"/>
      <c r="J479" s="19"/>
      <c r="K479" s="19"/>
      <c r="L479" s="19"/>
      <c r="M479" s="19"/>
      <c r="N479" s="19"/>
      <c r="O479" s="19"/>
      <c r="P479" s="19"/>
      <c r="Q479" s="19"/>
      <c r="R479" s="19"/>
      <c r="S479" s="19"/>
      <c r="T479" s="19"/>
      <c r="U479" s="19"/>
      <c r="V479" s="19"/>
    </row>
    <row r="480" spans="1:22" ht="13.15">
      <c r="A480" s="356"/>
      <c r="C480" s="1"/>
      <c r="D480" s="19"/>
      <c r="E480" s="19"/>
      <c r="F480" s="19"/>
      <c r="G480" s="19"/>
      <c r="H480" s="19"/>
      <c r="I480" s="19"/>
      <c r="J480" s="19"/>
      <c r="K480" s="19"/>
      <c r="L480" s="19"/>
      <c r="M480" s="19"/>
      <c r="N480" s="19"/>
      <c r="O480" s="19"/>
      <c r="P480" s="19"/>
      <c r="Q480" s="19"/>
      <c r="R480" s="19"/>
      <c r="S480" s="19"/>
      <c r="T480" s="19"/>
      <c r="U480" s="19"/>
      <c r="V480" s="19"/>
    </row>
    <row r="481" spans="1:22" ht="13.15">
      <c r="A481" s="356"/>
      <c r="C481" s="1"/>
      <c r="D481" s="19"/>
      <c r="E481" s="19"/>
      <c r="F481" s="19"/>
      <c r="G481" s="19"/>
      <c r="H481" s="19"/>
      <c r="I481" s="19"/>
      <c r="J481" s="19"/>
      <c r="K481" s="19"/>
      <c r="L481" s="19"/>
      <c r="M481" s="19"/>
      <c r="N481" s="19"/>
      <c r="O481" s="19"/>
      <c r="P481" s="19"/>
      <c r="Q481" s="19"/>
      <c r="R481" s="19"/>
      <c r="S481" s="19"/>
      <c r="T481" s="19"/>
      <c r="U481" s="19"/>
      <c r="V481" s="19"/>
    </row>
    <row r="482" spans="1:22" s="102" customFormat="1" ht="13.15">
      <c r="A482" s="356"/>
      <c r="C482" s="120"/>
      <c r="D482" s="110"/>
      <c r="E482" s="110"/>
      <c r="F482" s="110"/>
      <c r="G482" s="110"/>
      <c r="H482" s="110"/>
      <c r="I482" s="110"/>
      <c r="J482" s="110"/>
      <c r="K482" s="110"/>
      <c r="L482" s="110"/>
      <c r="M482" s="110"/>
      <c r="N482" s="110"/>
      <c r="O482" s="110"/>
      <c r="P482" s="110"/>
      <c r="Q482" s="110"/>
      <c r="R482" s="110"/>
      <c r="S482" s="110"/>
      <c r="T482" s="110"/>
      <c r="U482" s="110"/>
      <c r="V482" s="110"/>
    </row>
    <row r="483" spans="1:22" s="102" customFormat="1" ht="13.15">
      <c r="A483" s="356"/>
      <c r="C483" s="121" t="s">
        <v>85</v>
      </c>
      <c r="D483" s="110"/>
      <c r="E483" s="110"/>
      <c r="F483" s="110"/>
      <c r="G483" s="110"/>
      <c r="H483" s="110"/>
      <c r="I483" s="110"/>
      <c r="J483" s="110"/>
      <c r="K483" s="110"/>
      <c r="L483" s="110"/>
      <c r="M483" s="110"/>
      <c r="N483" s="110"/>
      <c r="O483" s="110"/>
      <c r="P483" s="110"/>
      <c r="Q483" s="110"/>
      <c r="R483" s="110"/>
      <c r="S483" s="110"/>
      <c r="T483" s="110"/>
      <c r="U483" s="110"/>
      <c r="V483" s="110"/>
    </row>
    <row r="484" spans="1:22" s="102" customFormat="1" ht="13.15">
      <c r="A484" s="356"/>
      <c r="C484" s="120"/>
      <c r="D484" s="110"/>
      <c r="E484" s="110"/>
      <c r="F484" s="110"/>
      <c r="G484" s="110"/>
      <c r="H484" s="110"/>
      <c r="I484" s="110"/>
      <c r="J484" s="110"/>
      <c r="K484" s="110"/>
      <c r="L484" s="110"/>
      <c r="M484" s="110"/>
      <c r="N484" s="110"/>
      <c r="O484" s="110"/>
      <c r="P484" s="110"/>
      <c r="Q484" s="110"/>
      <c r="R484" s="110"/>
      <c r="S484" s="110"/>
      <c r="T484" s="110"/>
      <c r="U484" s="110"/>
      <c r="V484" s="110"/>
    </row>
    <row r="485" spans="1:22" s="102" customFormat="1" ht="13.15">
      <c r="A485" s="356"/>
      <c r="C485" s="153"/>
      <c r="D485" s="110"/>
      <c r="E485" s="110"/>
      <c r="F485" s="110"/>
      <c r="G485" s="110"/>
      <c r="H485" s="110"/>
      <c r="I485" s="110"/>
      <c r="J485" s="110"/>
      <c r="K485" s="110"/>
      <c r="L485" s="110"/>
      <c r="M485" s="110"/>
      <c r="N485" s="110"/>
      <c r="O485" s="110"/>
      <c r="P485" s="110"/>
      <c r="Q485" s="110"/>
      <c r="R485" s="110"/>
      <c r="S485" s="110"/>
      <c r="T485" s="110"/>
      <c r="U485" s="110"/>
      <c r="V485" s="110"/>
    </row>
    <row r="486" spans="1:22" s="102" customFormat="1" ht="13.15">
      <c r="A486" s="356"/>
      <c r="C486" s="109" t="s">
        <v>86</v>
      </c>
      <c r="D486" s="110">
        <f>-Gasto_o_ing_per_capita!D486+Gasto_o_ing_per_capita!$D486</f>
        <v>0</v>
      </c>
      <c r="E486" s="110">
        <f>-Gasto_o_ing_per_capita!E486+Gasto_o_ing_per_capita!$D486</f>
        <v>894.06148538812931</v>
      </c>
      <c r="F486" s="110">
        <f>-Gasto_o_ing_per_capita!F486+Gasto_o_ing_per_capita!$D486</f>
        <v>-249.90986651196181</v>
      </c>
      <c r="G486" s="110">
        <f>-Gasto_o_ing_per_capita!G486+Gasto_o_ing_per_capita!$D486</f>
        <v>-119.57625148522584</v>
      </c>
      <c r="H486" s="110">
        <f>-Gasto_o_ing_per_capita!H486+Gasto_o_ing_per_capita!$D486</f>
        <v>-26.399485317890139</v>
      </c>
      <c r="I486" s="110">
        <f>-Gasto_o_ing_per_capita!I486+Gasto_o_ing_per_capita!$D486</f>
        <v>824.89033895660714</v>
      </c>
      <c r="J486" s="110">
        <f>-Gasto_o_ing_per_capita!J486+Gasto_o_ing_per_capita!$D486</f>
        <v>-124.83059484654495</v>
      </c>
      <c r="K486" s="110">
        <f>-Gasto_o_ing_per_capita!K486+Gasto_o_ing_per_capita!$D486</f>
        <v>150.0662229793852</v>
      </c>
      <c r="L486" s="110">
        <f>-Gasto_o_ing_per_capita!L486+Gasto_o_ing_per_capita!$D486</f>
        <v>782.87015237198011</v>
      </c>
      <c r="M486" s="110">
        <f>-Gasto_o_ing_per_capita!M486+Gasto_o_ing_per_capita!$D486</f>
        <v>-552.96258495895108</v>
      </c>
      <c r="N486" s="110">
        <f>-Gasto_o_ing_per_capita!N486+Gasto_o_ing_per_capita!$D486</f>
        <v>543.86295280978948</v>
      </c>
      <c r="O486" s="110">
        <f>-Gasto_o_ing_per_capita!O486+Gasto_o_ing_per_capita!$D486</f>
        <v>1005.934132889623</v>
      </c>
      <c r="P486" s="110">
        <f>-Gasto_o_ing_per_capita!P486+Gasto_o_ing_per_capita!$D486</f>
        <v>345.70183398480594</v>
      </c>
      <c r="Q486" s="110">
        <f>-Gasto_o_ing_per_capita!Q486+Gasto_o_ing_per_capita!$D486</f>
        <v>-1519.3789314472542</v>
      </c>
      <c r="R486" s="110">
        <f>-Gasto_o_ing_per_capita!R486+Gasto_o_ing_per_capita!$D486</f>
        <v>892.72527104557003</v>
      </c>
      <c r="S486" s="110">
        <f>-Gasto_o_ing_per_capita!S486+Gasto_o_ing_per_capita!$D486</f>
        <v>-664.77933679356101</v>
      </c>
      <c r="T486" s="110">
        <f>-Gasto_o_ing_per_capita!T486+Gasto_o_ing_per_capita!$D486</f>
        <v>-1155.6710251005406</v>
      </c>
      <c r="U486" s="110">
        <f>-Gasto_o_ing_per_capita!U486+Gasto_o_ing_per_capita!$D486</f>
        <v>-23.951175358225555</v>
      </c>
      <c r="V486" s="110">
        <f>-Gasto_o_ing_per_capita!V486+Gasto_o_ing_per_capita!$D486</f>
        <v>754.5908077248705</v>
      </c>
    </row>
    <row r="487" spans="1:22" s="102" customFormat="1" ht="13.15">
      <c r="A487" s="356"/>
      <c r="C487" s="115"/>
      <c r="D487" s="110"/>
      <c r="E487" s="110"/>
      <c r="F487" s="110"/>
      <c r="G487" s="110"/>
      <c r="H487" s="110"/>
      <c r="I487" s="110"/>
      <c r="J487" s="110"/>
      <c r="K487" s="110"/>
      <c r="L487" s="110"/>
      <c r="M487" s="110"/>
      <c r="N487" s="110"/>
      <c r="O487" s="110"/>
      <c r="P487" s="110"/>
      <c r="Q487" s="110"/>
      <c r="R487" s="110"/>
      <c r="S487" s="110"/>
      <c r="T487" s="110"/>
      <c r="U487" s="110"/>
      <c r="V487" s="110"/>
    </row>
    <row r="488" spans="1:22" s="102" customFormat="1" ht="13.15">
      <c r="A488" s="356"/>
      <c r="C488" s="112" t="s">
        <v>87</v>
      </c>
      <c r="D488" s="110">
        <f>-Gasto_o_ing_per_capita!D488+Gasto_o_ing_per_capita!$D488</f>
        <v>0</v>
      </c>
      <c r="E488" s="110">
        <f>-Gasto_o_ing_per_capita!E488+Gasto_o_ing_per_capita!$D488</f>
        <v>712.46966275307614</v>
      </c>
      <c r="F488" s="110">
        <f>-Gasto_o_ing_per_capita!F488+Gasto_o_ing_per_capita!$D488</f>
        <v>-186.36875676623731</v>
      </c>
      <c r="G488" s="110">
        <f>-Gasto_o_ing_per_capita!G488+Gasto_o_ing_per_capita!$D488</f>
        <v>-115.15047906102018</v>
      </c>
      <c r="H488" s="110">
        <f>-Gasto_o_ing_per_capita!H488+Gasto_o_ing_per_capita!$D488</f>
        <v>83.379055610465912</v>
      </c>
      <c r="I488" s="110">
        <f>-Gasto_o_ing_per_capita!I488+Gasto_o_ing_per_capita!$D488</f>
        <v>598.40215648179901</v>
      </c>
      <c r="J488" s="110">
        <f>-Gasto_o_ing_per_capita!J488+Gasto_o_ing_per_capita!$D488</f>
        <v>-30.652313953870816</v>
      </c>
      <c r="K488" s="110">
        <f>-Gasto_o_ing_per_capita!K488+Gasto_o_ing_per_capita!$D488</f>
        <v>99.208487850928577</v>
      </c>
      <c r="L488" s="110">
        <f>-Gasto_o_ing_per_capita!L488+Gasto_o_ing_per_capita!$D488</f>
        <v>626.36815532433184</v>
      </c>
      <c r="M488" s="110">
        <f>-Gasto_o_ing_per_capita!M488+Gasto_o_ing_per_capita!$D488</f>
        <v>-429.29995926919037</v>
      </c>
      <c r="N488" s="110">
        <f>-Gasto_o_ing_per_capita!N488+Gasto_o_ing_per_capita!$D488</f>
        <v>422.27451137981211</v>
      </c>
      <c r="O488" s="110">
        <f>-Gasto_o_ing_per_capita!O488+Gasto_o_ing_per_capita!$D488</f>
        <v>774.17528270794423</v>
      </c>
      <c r="P488" s="110">
        <f>-Gasto_o_ing_per_capita!P488+Gasto_o_ing_per_capita!$D488</f>
        <v>282.09947022325673</v>
      </c>
      <c r="Q488" s="110">
        <f>-Gasto_o_ing_per_capita!Q488+Gasto_o_ing_per_capita!$D488</f>
        <v>-1247.538898971422</v>
      </c>
      <c r="R488" s="110">
        <f>-Gasto_o_ing_per_capita!R488+Gasto_o_ing_per_capita!$D488</f>
        <v>645.33669740807431</v>
      </c>
      <c r="S488" s="110">
        <f>-Gasto_o_ing_per_capita!S488+Gasto_o_ing_per_capita!$D488</f>
        <v>-472.50218721621241</v>
      </c>
      <c r="T488" s="110">
        <f>-Gasto_o_ing_per_capita!T488+Gasto_o_ing_per_capita!$D488</f>
        <v>-778.56023122549823</v>
      </c>
      <c r="U488" s="110">
        <f>-Gasto_o_ing_per_capita!U488+Gasto_o_ing_per_capita!$D488</f>
        <v>-14.04456879703821</v>
      </c>
      <c r="V488" s="110">
        <f>-Gasto_o_ing_per_capita!V488+Gasto_o_ing_per_capita!$D488</f>
        <v>516.55808951162453</v>
      </c>
    </row>
    <row r="489" spans="1:22" s="102" customFormat="1" ht="13.15">
      <c r="A489" s="355" t="str">
        <f>IF(B489="","",(IF(ISERROR(MATCH(B489,Tot_res!C:C,0)),"Eliminar!!!","")))</f>
        <v/>
      </c>
      <c r="B489" s="102" t="s">
        <v>438</v>
      </c>
      <c r="C489" s="333" t="str">
        <f>VLOOKUP(B489,Tot_res!C:D,2,FALSE)</f>
        <v>IRPF, ingresos homogeneizados</v>
      </c>
      <c r="D489" s="336">
        <f>-Gasto_o_ing_per_capita!D489+Gasto_o_ing_per_capita!$D489</f>
        <v>0</v>
      </c>
      <c r="E489" s="336">
        <f>-Gasto_o_ing_per_capita!E489+Gasto_o_ing_per_capita!$D489</f>
        <v>616.58848731728199</v>
      </c>
      <c r="F489" s="336">
        <f>-Gasto_o_ing_per_capita!F489+Gasto_o_ing_per_capita!$D489</f>
        <v>-116.04754971270427</v>
      </c>
      <c r="G489" s="336">
        <f>-Gasto_o_ing_per_capita!G489+Gasto_o_ing_per_capita!$D489</f>
        <v>-101.35815672282047</v>
      </c>
      <c r="H489" s="336">
        <f>-Gasto_o_ing_per_capita!H489+Gasto_o_ing_per_capita!$D489</f>
        <v>72.086602827004526</v>
      </c>
      <c r="I489" s="336">
        <f>-Gasto_o_ing_per_capita!I489+Gasto_o_ing_per_capita!$D489</f>
        <v>515.23199324076063</v>
      </c>
      <c r="J489" s="336">
        <f>-Gasto_o_ing_per_capita!J489+Gasto_o_ing_per_capita!$D489</f>
        <v>30.573993749442025</v>
      </c>
      <c r="K489" s="336">
        <f>-Gasto_o_ing_per_capita!K489+Gasto_o_ing_per_capita!$D489</f>
        <v>122.19879212725664</v>
      </c>
      <c r="L489" s="336">
        <f>-Gasto_o_ing_per_capita!L489+Gasto_o_ing_per_capita!$D489</f>
        <v>535.14415576212173</v>
      </c>
      <c r="M489" s="336">
        <f>-Gasto_o_ing_per_capita!M489+Gasto_o_ing_per_capita!$D489</f>
        <v>-392.13314532533832</v>
      </c>
      <c r="N489" s="336">
        <f>-Gasto_o_ing_per_capita!N489+Gasto_o_ing_per_capita!$D489</f>
        <v>370.4871130587851</v>
      </c>
      <c r="O489" s="336">
        <f>-Gasto_o_ing_per_capita!O489+Gasto_o_ing_per_capita!$D489</f>
        <v>694.57928612693183</v>
      </c>
      <c r="P489" s="336">
        <f>-Gasto_o_ing_per_capita!P489+Gasto_o_ing_per_capita!$D489</f>
        <v>279.21513369998866</v>
      </c>
      <c r="Q489" s="336">
        <f>-Gasto_o_ing_per_capita!Q489+Gasto_o_ing_per_capita!$D489</f>
        <v>-1102.3300875546665</v>
      </c>
      <c r="R489" s="336">
        <f>-Gasto_o_ing_per_capita!R489+Gasto_o_ing_per_capita!$D489</f>
        <v>558.60451171018076</v>
      </c>
      <c r="S489" s="336">
        <f>-Gasto_o_ing_per_capita!S489+Gasto_o_ing_per_capita!$D489</f>
        <v>-459.82408409666277</v>
      </c>
      <c r="T489" s="336">
        <f>-Gasto_o_ing_per_capita!T489+Gasto_o_ing_per_capita!$D489</f>
        <v>-686.33629994352441</v>
      </c>
      <c r="U489" s="336">
        <f>-Gasto_o_ing_per_capita!U489+Gasto_o_ing_per_capita!$D489</f>
        <v>19.004803784731166</v>
      </c>
      <c r="V489" s="336">
        <f>-Gasto_o_ing_per_capita!V489+Gasto_o_ing_per_capita!$D489</f>
        <v>681.54889428147226</v>
      </c>
    </row>
    <row r="490" spans="1:22" s="102" customFormat="1" ht="13.15">
      <c r="A490" s="355" t="str">
        <f>IF(B490="","",(IF(ISERROR(MATCH(B490,Tot_res!C:C,0)),"Eliminar!!!","")))</f>
        <v/>
      </c>
      <c r="B490" s="102" t="s">
        <v>439</v>
      </c>
      <c r="C490" s="333" t="str">
        <f>VLOOKUP(B490,Tot_res!C:D,2,FALSE)</f>
        <v>Impuesto sobre sociedades, ingresos homogéneos</v>
      </c>
      <c r="D490" s="336">
        <f>-Gasto_o_ing_per_capita!D490+Gasto_o_ing_per_capita!$D490</f>
        <v>0</v>
      </c>
      <c r="E490" s="336">
        <f>-Gasto_o_ing_per_capita!E490+Gasto_o_ing_per_capita!$D490</f>
        <v>75.911967524695456</v>
      </c>
      <c r="F490" s="336">
        <f>-Gasto_o_ing_per_capita!F490+Gasto_o_ing_per_capita!$D490</f>
        <v>-48.573118665139305</v>
      </c>
      <c r="G490" s="336">
        <f>-Gasto_o_ing_per_capita!G490+Gasto_o_ing_per_capita!$D490</f>
        <v>7.0881547991585307</v>
      </c>
      <c r="H490" s="336">
        <f>-Gasto_o_ing_per_capita!H490+Gasto_o_ing_per_capita!$D490</f>
        <v>1.7585054147946266</v>
      </c>
      <c r="I490" s="336">
        <f>-Gasto_o_ing_per_capita!I490+Gasto_o_ing_per_capita!$D490</f>
        <v>60.474329338131099</v>
      </c>
      <c r="J490" s="336">
        <f>-Gasto_o_ing_per_capita!J490+Gasto_o_ing_per_capita!$D490</f>
        <v>-36.340444874172704</v>
      </c>
      <c r="K490" s="336">
        <f>-Gasto_o_ing_per_capita!K490+Gasto_o_ing_per_capita!$D490</f>
        <v>-8.5221322273813485</v>
      </c>
      <c r="L490" s="336">
        <f>-Gasto_o_ing_per_capita!L490+Gasto_o_ing_per_capita!$D490</f>
        <v>76.017752095581329</v>
      </c>
      <c r="M490" s="336">
        <f>-Gasto_o_ing_per_capita!M490+Gasto_o_ing_per_capita!$D490</f>
        <v>-28.899663128932957</v>
      </c>
      <c r="N490" s="336">
        <f>-Gasto_o_ing_per_capita!N490+Gasto_o_ing_per_capita!$D490</f>
        <v>47.364008748908361</v>
      </c>
      <c r="O490" s="336">
        <f>-Gasto_o_ing_per_capita!O490+Gasto_o_ing_per_capita!$D490</f>
        <v>64.833524785364716</v>
      </c>
      <c r="P490" s="336">
        <f>-Gasto_o_ing_per_capita!P490+Gasto_o_ing_per_capita!$D490</f>
        <v>18.238679145525339</v>
      </c>
      <c r="Q490" s="336">
        <f>-Gasto_o_ing_per_capita!Q490+Gasto_o_ing_per_capita!$D490</f>
        <v>-130.64058053906547</v>
      </c>
      <c r="R490" s="336">
        <f>-Gasto_o_ing_per_capita!R490+Gasto_o_ing_per_capita!$D490</f>
        <v>66.450798636860384</v>
      </c>
      <c r="S490" s="336">
        <f>-Gasto_o_ing_per_capita!S490+Gasto_o_ing_per_capita!$D490</f>
        <v>-19.35589621323993</v>
      </c>
      <c r="T490" s="336">
        <f>-Gasto_o_ing_per_capita!T490+Gasto_o_ing_per_capita!$D490</f>
        <v>-80.172487007023278</v>
      </c>
      <c r="U490" s="336">
        <f>-Gasto_o_ing_per_capita!U490+Gasto_o_ing_per_capita!$D490</f>
        <v>-17.517106209313226</v>
      </c>
      <c r="V490" s="336">
        <f>-Gasto_o_ing_per_capita!V490+Gasto_o_ing_per_capita!$D490</f>
        <v>-173.5171711522637</v>
      </c>
    </row>
    <row r="491" spans="1:22" s="102" customFormat="1" ht="13.15">
      <c r="A491" s="355" t="str">
        <f>IF(B491="","",(IF(ISERROR(MATCH(B491,Tot_res!C:C,0)),"Eliminar!!!","")))</f>
        <v/>
      </c>
      <c r="B491" s="102" t="s">
        <v>440</v>
      </c>
      <c r="C491" s="333" t="str">
        <f>VLOOKUP(B491,Tot_res!C:D,2,FALSE)</f>
        <v>Impuesto sobre la renta de no residentes</v>
      </c>
      <c r="D491" s="336">
        <f>-Gasto_o_ing_per_capita!D491+Gasto_o_ing_per_capita!$D491</f>
        <v>0</v>
      </c>
      <c r="E491" s="336">
        <f>-Gasto_o_ing_per_capita!E491+Gasto_o_ing_per_capita!$D491</f>
        <v>0</v>
      </c>
      <c r="F491" s="336">
        <f>-Gasto_o_ing_per_capita!F491+Gasto_o_ing_per_capita!$D491</f>
        <v>0</v>
      </c>
      <c r="G491" s="336">
        <f>-Gasto_o_ing_per_capita!G491+Gasto_o_ing_per_capita!$D491</f>
        <v>0</v>
      </c>
      <c r="H491" s="336">
        <f>-Gasto_o_ing_per_capita!H491+Gasto_o_ing_per_capita!$D491</f>
        <v>0</v>
      </c>
      <c r="I491" s="336">
        <f>-Gasto_o_ing_per_capita!I491+Gasto_o_ing_per_capita!$D491</f>
        <v>0</v>
      </c>
      <c r="J491" s="336">
        <f>-Gasto_o_ing_per_capita!J491+Gasto_o_ing_per_capita!$D491</f>
        <v>0</v>
      </c>
      <c r="K491" s="336">
        <f>-Gasto_o_ing_per_capita!K491+Gasto_o_ing_per_capita!$D491</f>
        <v>0</v>
      </c>
      <c r="L491" s="336">
        <f>-Gasto_o_ing_per_capita!L491+Gasto_o_ing_per_capita!$D491</f>
        <v>0</v>
      </c>
      <c r="M491" s="336">
        <f>-Gasto_o_ing_per_capita!M491+Gasto_o_ing_per_capita!$D491</f>
        <v>0</v>
      </c>
      <c r="N491" s="336">
        <f>-Gasto_o_ing_per_capita!N491+Gasto_o_ing_per_capita!$D491</f>
        <v>0</v>
      </c>
      <c r="O491" s="336">
        <f>-Gasto_o_ing_per_capita!O491+Gasto_o_ing_per_capita!$D491</f>
        <v>0</v>
      </c>
      <c r="P491" s="336">
        <f>-Gasto_o_ing_per_capita!P491+Gasto_o_ing_per_capita!$D491</f>
        <v>0</v>
      </c>
      <c r="Q491" s="336">
        <f>-Gasto_o_ing_per_capita!Q491+Gasto_o_ing_per_capita!$D491</f>
        <v>0</v>
      </c>
      <c r="R491" s="336">
        <f>-Gasto_o_ing_per_capita!R491+Gasto_o_ing_per_capita!$D491</f>
        <v>0</v>
      </c>
      <c r="S491" s="336">
        <f>-Gasto_o_ing_per_capita!S491+Gasto_o_ing_per_capita!$D491</f>
        <v>0</v>
      </c>
      <c r="T491" s="336">
        <f>-Gasto_o_ing_per_capita!T491+Gasto_o_ing_per_capita!$D491</f>
        <v>0</v>
      </c>
      <c r="U491" s="336">
        <f>-Gasto_o_ing_per_capita!U491+Gasto_o_ing_per_capita!$D491</f>
        <v>0</v>
      </c>
      <c r="V491" s="336">
        <f>-Gasto_o_ing_per_capita!V491+Gasto_o_ing_per_capita!$D491</f>
        <v>0</v>
      </c>
    </row>
    <row r="492" spans="1:22" s="102" customFormat="1" ht="13.15">
      <c r="A492" s="355" t="str">
        <f>IF(B492="","",(IF(ISERROR(MATCH(B492,Tot_res!C:C,0)),"Eliminar!!!","")))</f>
        <v/>
      </c>
      <c r="B492" s="102" t="s">
        <v>442</v>
      </c>
      <c r="C492" s="333" t="str">
        <f>VLOOKUP(B492,Tot_res!C:D,2,FALSE)</f>
        <v>Impuesto sobre sucesiones y donaciones, ing. homog.</v>
      </c>
      <c r="D492" s="336">
        <f>-Gasto_o_ing_per_capita!D492+Gasto_o_ing_per_capita!$D492</f>
        <v>0</v>
      </c>
      <c r="E492" s="336">
        <f>-Gasto_o_ing_per_capita!E492+Gasto_o_ing_per_capita!$D492</f>
        <v>19.969207911098984</v>
      </c>
      <c r="F492" s="336">
        <f>-Gasto_o_ing_per_capita!F492+Gasto_o_ing_per_capita!$D492</f>
        <v>-21.748088388393541</v>
      </c>
      <c r="G492" s="336">
        <f>-Gasto_o_ing_per_capita!G492+Gasto_o_ing_per_capita!$D492</f>
        <v>-20.880477137357857</v>
      </c>
      <c r="H492" s="336">
        <f>-Gasto_o_ing_per_capita!H492+Gasto_o_ing_per_capita!$D492</f>
        <v>9.5339473686676328</v>
      </c>
      <c r="I492" s="336">
        <f>-Gasto_o_ing_per_capita!I492+Gasto_o_ing_per_capita!$D492</f>
        <v>22.695833902907861</v>
      </c>
      <c r="J492" s="336">
        <f>-Gasto_o_ing_per_capita!J492+Gasto_o_ing_per_capita!$D492</f>
        <v>-24.885862829140052</v>
      </c>
      <c r="K492" s="336">
        <f>-Gasto_o_ing_per_capita!K492+Gasto_o_ing_per_capita!$D492</f>
        <v>-14.468172048946244</v>
      </c>
      <c r="L492" s="336">
        <f>-Gasto_o_ing_per_capita!L492+Gasto_o_ing_per_capita!$D492</f>
        <v>15.206247466629165</v>
      </c>
      <c r="M492" s="336">
        <f>-Gasto_o_ing_per_capita!M492+Gasto_o_ing_per_capita!$D492</f>
        <v>-8.2671508149191055</v>
      </c>
      <c r="N492" s="336">
        <f>-Gasto_o_ing_per_capita!N492+Gasto_o_ing_per_capita!$D492</f>
        <v>4.423389572118495</v>
      </c>
      <c r="O492" s="336">
        <f>-Gasto_o_ing_per_capita!O492+Gasto_o_ing_per_capita!$D492</f>
        <v>14.762471795648011</v>
      </c>
      <c r="P492" s="336">
        <f>-Gasto_o_ing_per_capita!P492+Gasto_o_ing_per_capita!$D492</f>
        <v>-15.354342622256723</v>
      </c>
      <c r="Q492" s="336">
        <f>-Gasto_o_ing_per_capita!Q492+Gasto_o_ing_per_capita!$D492</f>
        <v>-14.568230877689373</v>
      </c>
      <c r="R492" s="336">
        <f>-Gasto_o_ing_per_capita!R492+Gasto_o_ing_per_capita!$D492</f>
        <v>20.281387061033691</v>
      </c>
      <c r="S492" s="336">
        <f>-Gasto_o_ing_per_capita!S492+Gasto_o_ing_per_capita!$D492</f>
        <v>6.6777930936902834</v>
      </c>
      <c r="T492" s="336">
        <f>-Gasto_o_ing_per_capita!T492+Gasto_o_ing_per_capita!$D492</f>
        <v>-12.051444274950413</v>
      </c>
      <c r="U492" s="336">
        <f>-Gasto_o_ing_per_capita!U492+Gasto_o_ing_per_capita!$D492</f>
        <v>-15.532266372455354</v>
      </c>
      <c r="V492" s="336">
        <f>-Gasto_o_ing_per_capita!V492+Gasto_o_ing_per_capita!$D492</f>
        <v>8.5263663824167395</v>
      </c>
    </row>
    <row r="493" spans="1:22" s="102" customFormat="1" ht="13.15">
      <c r="A493" s="355" t="str">
        <f>IF(B493="","",(IF(ISERROR(MATCH(B493,Tot_res!C:C,0)),"Eliminar!!!","")))</f>
        <v/>
      </c>
      <c r="B493" s="102" t="s">
        <v>662</v>
      </c>
      <c r="C493" s="333" t="str">
        <f>VLOOKUP(B493,Tot_res!C:D,2,FALSE)</f>
        <v>Impuesto sobre el patrimonio, recaudación real</v>
      </c>
      <c r="D493" s="336">
        <f>-Gasto_o_ing_per_capita!D493+Gasto_o_ing_per_capita!$D493</f>
        <v>0</v>
      </c>
      <c r="E493" s="336">
        <f>-Gasto_o_ing_per_capita!E493+Gasto_o_ing_per_capita!$D493</f>
        <v>0</v>
      </c>
      <c r="F493" s="336">
        <f>-Gasto_o_ing_per_capita!F493+Gasto_o_ing_per_capita!$D493</f>
        <v>0</v>
      </c>
      <c r="G493" s="336">
        <f>-Gasto_o_ing_per_capita!G493+Gasto_o_ing_per_capita!$D493</f>
        <v>0</v>
      </c>
      <c r="H493" s="336">
        <f>-Gasto_o_ing_per_capita!H493+Gasto_o_ing_per_capita!$D493</f>
        <v>0</v>
      </c>
      <c r="I493" s="336">
        <f>-Gasto_o_ing_per_capita!I493+Gasto_o_ing_per_capita!$D493</f>
        <v>0</v>
      </c>
      <c r="J493" s="336">
        <f>-Gasto_o_ing_per_capita!J493+Gasto_o_ing_per_capita!$D493</f>
        <v>0</v>
      </c>
      <c r="K493" s="336">
        <f>-Gasto_o_ing_per_capita!K493+Gasto_o_ing_per_capita!$D493</f>
        <v>0</v>
      </c>
      <c r="L493" s="336">
        <f>-Gasto_o_ing_per_capita!L493+Gasto_o_ing_per_capita!$D493</f>
        <v>0</v>
      </c>
      <c r="M493" s="336">
        <f>-Gasto_o_ing_per_capita!M493+Gasto_o_ing_per_capita!$D493</f>
        <v>0</v>
      </c>
      <c r="N493" s="336">
        <f>-Gasto_o_ing_per_capita!N493+Gasto_o_ing_per_capita!$D493</f>
        <v>0</v>
      </c>
      <c r="O493" s="336">
        <f>-Gasto_o_ing_per_capita!O493+Gasto_o_ing_per_capita!$D493</f>
        <v>0</v>
      </c>
      <c r="P493" s="336">
        <f>-Gasto_o_ing_per_capita!P493+Gasto_o_ing_per_capita!$D493</f>
        <v>0</v>
      </c>
      <c r="Q493" s="336">
        <f>-Gasto_o_ing_per_capita!Q493+Gasto_o_ing_per_capita!$D493</f>
        <v>0</v>
      </c>
      <c r="R493" s="336">
        <f>-Gasto_o_ing_per_capita!R493+Gasto_o_ing_per_capita!$D493</f>
        <v>0</v>
      </c>
      <c r="S493" s="336">
        <f>-Gasto_o_ing_per_capita!S493+Gasto_o_ing_per_capita!$D493</f>
        <v>0</v>
      </c>
      <c r="T493" s="336">
        <f>-Gasto_o_ing_per_capita!T493+Gasto_o_ing_per_capita!$D493</f>
        <v>0</v>
      </c>
      <c r="U493" s="336">
        <f>-Gasto_o_ing_per_capita!U493+Gasto_o_ing_per_capita!$D493</f>
        <v>0</v>
      </c>
      <c r="V493" s="336">
        <f>-Gasto_o_ing_per_capita!V493+Gasto_o_ing_per_capita!$D493</f>
        <v>0</v>
      </c>
    </row>
    <row r="494" spans="1:22" s="102" customFormat="1" ht="13.15">
      <c r="A494" s="356"/>
      <c r="C494" s="119"/>
      <c r="D494" s="110"/>
      <c r="E494" s="110"/>
      <c r="F494" s="110"/>
      <c r="G494" s="110"/>
      <c r="H494" s="110"/>
      <c r="I494" s="110"/>
      <c r="J494" s="110"/>
      <c r="K494" s="110"/>
      <c r="L494" s="110"/>
      <c r="M494" s="110"/>
      <c r="N494" s="110"/>
      <c r="O494" s="110"/>
      <c r="P494" s="110"/>
      <c r="Q494" s="110"/>
      <c r="R494" s="110"/>
      <c r="S494" s="110"/>
      <c r="T494" s="110"/>
      <c r="U494" s="110"/>
      <c r="V494" s="110"/>
    </row>
    <row r="495" spans="1:22" s="102" customFormat="1" ht="13.15">
      <c r="A495" s="356"/>
      <c r="C495" s="112" t="s">
        <v>109</v>
      </c>
      <c r="D495" s="110">
        <f>-Gasto_o_ing_per_capita!D495+Gasto_o_ing_per_capita!$D495</f>
        <v>0</v>
      </c>
      <c r="E495" s="110">
        <f>-Gasto_o_ing_per_capita!E495+Gasto_o_ing_per_capita!$D495</f>
        <v>181.59182263505318</v>
      </c>
      <c r="F495" s="110">
        <f>-Gasto_o_ing_per_capita!F495+Gasto_o_ing_per_capita!$D495</f>
        <v>-63.54110974572427</v>
      </c>
      <c r="G495" s="110">
        <f>-Gasto_o_ing_per_capita!G495+Gasto_o_ing_per_capita!$D495</f>
        <v>-4.425772424204979</v>
      </c>
      <c r="H495" s="110">
        <f>-Gasto_o_ing_per_capita!H495+Gasto_o_ing_per_capita!$D495</f>
        <v>-109.77854092835651</v>
      </c>
      <c r="I495" s="110">
        <f>-Gasto_o_ing_per_capita!I495+Gasto_o_ing_per_capita!$D495</f>
        <v>226.48818247480813</v>
      </c>
      <c r="J495" s="110">
        <f>-Gasto_o_ing_per_capita!J495+Gasto_o_ing_per_capita!$D495</f>
        <v>-94.178280892674593</v>
      </c>
      <c r="K495" s="110">
        <f>-Gasto_o_ing_per_capita!K495+Gasto_o_ing_per_capita!$D495</f>
        <v>50.857735128456397</v>
      </c>
      <c r="L495" s="110">
        <f>-Gasto_o_ing_per_capita!L495+Gasto_o_ing_per_capita!$D495</f>
        <v>156.50199704764805</v>
      </c>
      <c r="M495" s="110">
        <f>-Gasto_o_ing_per_capita!M495+Gasto_o_ing_per_capita!$D495</f>
        <v>-123.66262568976026</v>
      </c>
      <c r="N495" s="110">
        <f>-Gasto_o_ing_per_capita!N495+Gasto_o_ing_per_capita!$D495</f>
        <v>121.58844142997691</v>
      </c>
      <c r="O495" s="110">
        <f>-Gasto_o_ing_per_capita!O495+Gasto_o_ing_per_capita!$D495</f>
        <v>231.75885018167878</v>
      </c>
      <c r="P495" s="110">
        <f>-Gasto_o_ing_per_capita!P495+Gasto_o_ing_per_capita!$D495</f>
        <v>63.602363761549441</v>
      </c>
      <c r="Q495" s="110">
        <f>-Gasto_o_ing_per_capita!Q495+Gasto_o_ing_per_capita!$D495</f>
        <v>-271.84003247583223</v>
      </c>
      <c r="R495" s="110">
        <f>-Gasto_o_ing_per_capita!R495+Gasto_o_ing_per_capita!$D495</f>
        <v>247.38857363749639</v>
      </c>
      <c r="S495" s="110">
        <f>-Gasto_o_ing_per_capita!S495+Gasto_o_ing_per_capita!$D495</f>
        <v>-192.27714957734815</v>
      </c>
      <c r="T495" s="110">
        <f>-Gasto_o_ing_per_capita!T495+Gasto_o_ing_per_capita!$D495</f>
        <v>-377.11079387504196</v>
      </c>
      <c r="U495" s="110">
        <f>-Gasto_o_ing_per_capita!U495+Gasto_o_ing_per_capita!$D495</f>
        <v>-9.9066065611880276</v>
      </c>
      <c r="V495" s="110">
        <f>-Gasto_o_ing_per_capita!V495+Gasto_o_ing_per_capita!$D495</f>
        <v>238.03271821324597</v>
      </c>
    </row>
    <row r="496" spans="1:22" s="102" customFormat="1" ht="13.15">
      <c r="A496" s="355" t="str">
        <f>IF(B496="","",(IF(ISERROR(MATCH(B496,Tot_res!C:C,0)),"Eliminar!!!","")))</f>
        <v/>
      </c>
      <c r="B496" s="102" t="s">
        <v>443</v>
      </c>
      <c r="C496" s="333" t="str">
        <f>VLOOKUP(B496,Tot_res!C:D,2,FALSE)</f>
        <v>IVA</v>
      </c>
      <c r="D496" s="336">
        <f>-Gasto_o_ing_per_capita!D496+Gasto_o_ing_per_capita!$D496</f>
        <v>0</v>
      </c>
      <c r="E496" s="336">
        <f>-Gasto_o_ing_per_capita!E496+Gasto_o_ing_per_capita!$D496</f>
        <v>102.03646816432069</v>
      </c>
      <c r="F496" s="336">
        <f>-Gasto_o_ing_per_capita!F496+Gasto_o_ing_per_capita!$D496</f>
        <v>-111.06055834806261</v>
      </c>
      <c r="G496" s="336">
        <f>-Gasto_o_ing_per_capita!G496+Gasto_o_ing_per_capita!$D496</f>
        <v>-52.509856862914603</v>
      </c>
      <c r="H496" s="336">
        <f>-Gasto_o_ing_per_capita!H496+Gasto_o_ing_per_capita!$D496</f>
        <v>-103.10613139487782</v>
      </c>
      <c r="I496" s="336">
        <f>-Gasto_o_ing_per_capita!I496+Gasto_o_ing_per_capita!$D496</f>
        <v>1119.5046612054441</v>
      </c>
      <c r="J496" s="336">
        <f>-Gasto_o_ing_per_capita!J496+Gasto_o_ing_per_capita!$D496</f>
        <v>-101.42140115638267</v>
      </c>
      <c r="K496" s="336">
        <f>-Gasto_o_ing_per_capita!K496+Gasto_o_ing_per_capita!$D496</f>
        <v>-16.721109459353329</v>
      </c>
      <c r="L496" s="336">
        <f>-Gasto_o_ing_per_capita!L496+Gasto_o_ing_per_capita!$D496</f>
        <v>90.964757285833684</v>
      </c>
      <c r="M496" s="336">
        <f>-Gasto_o_ing_per_capita!M496+Gasto_o_ing_per_capita!$D496</f>
        <v>-159.3667290878775</v>
      </c>
      <c r="N496" s="336">
        <f>-Gasto_o_ing_per_capita!N496+Gasto_o_ing_per_capita!$D496</f>
        <v>49.449060495501726</v>
      </c>
      <c r="O496" s="336">
        <f>-Gasto_o_ing_per_capita!O496+Gasto_o_ing_per_capita!$D496</f>
        <v>134.34677406581159</v>
      </c>
      <c r="P496" s="336">
        <f>-Gasto_o_ing_per_capita!P496+Gasto_o_ing_per_capita!$D496</f>
        <v>-22.702265168073836</v>
      </c>
      <c r="Q496" s="336">
        <f>-Gasto_o_ing_per_capita!Q496+Gasto_o_ing_per_capita!$D496</f>
        <v>-226.84467259783696</v>
      </c>
      <c r="R496" s="336">
        <f>-Gasto_o_ing_per_capita!R496+Gasto_o_ing_per_capita!$D496</f>
        <v>143.73878333573521</v>
      </c>
      <c r="S496" s="336">
        <f>-Gasto_o_ing_per_capita!S496+Gasto_o_ing_per_capita!$D496</f>
        <v>-255.74403126890002</v>
      </c>
      <c r="T496" s="336">
        <f>-Gasto_o_ing_per_capita!T496+Gasto_o_ing_per_capita!$D496</f>
        <v>-392.47855876549124</v>
      </c>
      <c r="U496" s="336">
        <f>-Gasto_o_ing_per_capita!U496+Gasto_o_ing_per_capita!$D496</f>
        <v>-104.04685286132985</v>
      </c>
      <c r="V496" s="336">
        <f>-Gasto_o_ing_per_capita!V496+Gasto_o_ing_per_capita!$D496</f>
        <v>1109.9550105650499</v>
      </c>
    </row>
    <row r="497" spans="1:22" s="102" customFormat="1" ht="13.15">
      <c r="A497" s="355" t="str">
        <f>IF(B497="","",(IF(ISERROR(MATCH(B497,Tot_res!C:C,0)),"Eliminar!!!","")))</f>
        <v/>
      </c>
      <c r="B497" s="102" t="s">
        <v>444</v>
      </c>
      <c r="C497" s="333" t="str">
        <f>VLOOKUP(B497,Tot_res!C:D,2,FALSE)</f>
        <v>Impuestos especiales* (sin electricidad ni matriculación)</v>
      </c>
      <c r="D497" s="336">
        <f>-Gasto_o_ing_per_capita!D497+Gasto_o_ing_per_capita!$D497</f>
        <v>0</v>
      </c>
      <c r="E497" s="336">
        <f>-Gasto_o_ing_per_capita!E497+Gasto_o_ing_per_capita!$D497</f>
        <v>-11.837824611247811</v>
      </c>
      <c r="F497" s="336">
        <f>-Gasto_o_ing_per_capita!F497+Gasto_o_ing_per_capita!$D497</f>
        <v>-18.411104142553938</v>
      </c>
      <c r="G497" s="336">
        <f>-Gasto_o_ing_per_capita!G497+Gasto_o_ing_per_capita!$D497</f>
        <v>-26.687358298909089</v>
      </c>
      <c r="H497" s="336">
        <f>-Gasto_o_ing_per_capita!H497+Gasto_o_ing_per_capita!$D497</f>
        <v>-40.175851267560915</v>
      </c>
      <c r="I497" s="336">
        <f>-Gasto_o_ing_per_capita!I497+Gasto_o_ing_per_capita!$D497</f>
        <v>334.420832081453</v>
      </c>
      <c r="J497" s="336">
        <f>-Gasto_o_ing_per_capita!J497+Gasto_o_ing_per_capita!$D497</f>
        <v>-57.094159246604306</v>
      </c>
      <c r="K497" s="336">
        <f>-Gasto_o_ing_per_capita!K497+Gasto_o_ing_per_capita!$D497</f>
        <v>-7.2144573246264372</v>
      </c>
      <c r="L497" s="336">
        <f>-Gasto_o_ing_per_capita!L497+Gasto_o_ing_per_capita!$D497</f>
        <v>-29.582898459643786</v>
      </c>
      <c r="M497" s="336">
        <f>-Gasto_o_ing_per_capita!M497+Gasto_o_ing_per_capita!$D497</f>
        <v>-14.792893021533189</v>
      </c>
      <c r="N497" s="336">
        <f>-Gasto_o_ing_per_capita!N497+Gasto_o_ing_per_capita!$D497</f>
        <v>-0.50486437749566448</v>
      </c>
      <c r="O497" s="336">
        <f>-Gasto_o_ing_per_capita!O497+Gasto_o_ing_per_capita!$D497</f>
        <v>-11.814383472097006</v>
      </c>
      <c r="P497" s="336">
        <f>-Gasto_o_ing_per_capita!P497+Gasto_o_ing_per_capita!$D497</f>
        <v>-3.5159814494305124</v>
      </c>
      <c r="Q497" s="336">
        <f>-Gasto_o_ing_per_capita!Q497+Gasto_o_ing_per_capita!$D497</f>
        <v>-44.456107023764957</v>
      </c>
      <c r="R497" s="336">
        <f>-Gasto_o_ing_per_capita!R497+Gasto_o_ing_per_capita!$D497</f>
        <v>1.3417530582922268</v>
      </c>
      <c r="S497" s="336">
        <f>-Gasto_o_ing_per_capita!S497+Gasto_o_ing_per_capita!$D497</f>
        <v>5.4080026802171233</v>
      </c>
      <c r="T497" s="336">
        <f>-Gasto_o_ing_per_capita!T497+Gasto_o_ing_per_capita!$D497</f>
        <v>-10.17266392561163</v>
      </c>
      <c r="U497" s="336">
        <f>-Gasto_o_ing_per_capita!U497+Gasto_o_ing_per_capita!$D497</f>
        <v>14.191079358370985</v>
      </c>
      <c r="V497" s="336">
        <f>-Gasto_o_ing_per_capita!V497+Gasto_o_ing_per_capita!$D497</f>
        <v>246.04509748872124</v>
      </c>
    </row>
    <row r="498" spans="1:22" s="102" customFormat="1" ht="13.15">
      <c r="A498" s="355" t="str">
        <f>IF(B498="","",(IF(ISERROR(MATCH(B498,Tot_res!C:C,0)),"Eliminar!!!","")))</f>
        <v/>
      </c>
      <c r="B498" s="102" t="s">
        <v>445</v>
      </c>
      <c r="C498" s="333" t="str">
        <f>VLOOKUP(B498,Tot_res!C:D,2,FALSE)</f>
        <v>Electricidad</v>
      </c>
      <c r="D498" s="336">
        <f>-Gasto_o_ing_per_capita!D498+Gasto_o_ing_per_capita!$D498</f>
        <v>0</v>
      </c>
      <c r="E498" s="336">
        <f>-Gasto_o_ing_per_capita!E498+Gasto_o_ing_per_capita!$D498</f>
        <v>1.3808046821807274</v>
      </c>
      <c r="F498" s="336">
        <f>-Gasto_o_ing_per_capita!F498+Gasto_o_ing_per_capita!$D498</f>
        <v>0.14153153359858806</v>
      </c>
      <c r="G498" s="336">
        <f>-Gasto_o_ing_per_capita!G498+Gasto_o_ing_per_capita!$D498</f>
        <v>0.39447612561582446</v>
      </c>
      <c r="H498" s="336">
        <f>-Gasto_o_ing_per_capita!H498+Gasto_o_ing_per_capita!$D498</f>
        <v>-6.3660737968639722</v>
      </c>
      <c r="I498" s="336">
        <f>-Gasto_o_ing_per_capita!I498+Gasto_o_ing_per_capita!$D498</f>
        <v>3.740218633415644</v>
      </c>
      <c r="J498" s="336">
        <f>-Gasto_o_ing_per_capita!J498+Gasto_o_ing_per_capita!$D498</f>
        <v>0.19696091557549522</v>
      </c>
      <c r="K498" s="336">
        <f>-Gasto_o_ing_per_capita!K498+Gasto_o_ing_per_capita!$D498</f>
        <v>1.6409605454179506</v>
      </c>
      <c r="L498" s="336">
        <f>-Gasto_o_ing_per_capita!L498+Gasto_o_ing_per_capita!$D498</f>
        <v>1.5604855789981009</v>
      </c>
      <c r="M498" s="336">
        <f>-Gasto_o_ing_per_capita!M498+Gasto_o_ing_per_capita!$D498</f>
        <v>-2.2924841003645255</v>
      </c>
      <c r="N498" s="336">
        <f>-Gasto_o_ing_per_capita!N498+Gasto_o_ing_per_capita!$D498</f>
        <v>0.14615271946436081</v>
      </c>
      <c r="O498" s="336">
        <f>-Gasto_o_ing_per_capita!O498+Gasto_o_ing_per_capita!$D498</f>
        <v>2.7609344011242953</v>
      </c>
      <c r="P498" s="336">
        <f>-Gasto_o_ing_per_capita!P498+Gasto_o_ing_per_capita!$D498</f>
        <v>1.4357440218052986</v>
      </c>
      <c r="Q498" s="336">
        <f>-Gasto_o_ing_per_capita!Q498+Gasto_o_ing_per_capita!$D498</f>
        <v>-1.855600493398434</v>
      </c>
      <c r="R498" s="336">
        <f>-Gasto_o_ing_per_capita!R498+Gasto_o_ing_per_capita!$D498</f>
        <v>2.5621660190824329</v>
      </c>
      <c r="S498" s="336">
        <f>-Gasto_o_ing_per_capita!S498+Gasto_o_ing_per_capita!$D498</f>
        <v>0.93061993418751143</v>
      </c>
      <c r="T498" s="336">
        <f>-Gasto_o_ing_per_capita!T498+Gasto_o_ing_per_capita!$D498</f>
        <v>-2.2641394287331664</v>
      </c>
      <c r="U498" s="336">
        <f>-Gasto_o_ing_per_capita!U498+Gasto_o_ing_per_capita!$D498</f>
        <v>1.9204010313025819</v>
      </c>
      <c r="V498" s="336">
        <f>-Gasto_o_ing_per_capita!V498+Gasto_o_ing_per_capita!$D498</f>
        <v>5.6646783556912297</v>
      </c>
    </row>
    <row r="499" spans="1:22" s="102" customFormat="1" ht="13.15">
      <c r="A499" s="355" t="str">
        <f>IF(B499="","",(IF(ISERROR(MATCH(B499,Tot_res!C:C,0)),"Eliminar!!!","")))</f>
        <v/>
      </c>
      <c r="B499" s="102" t="s">
        <v>446</v>
      </c>
      <c r="C499" s="333" t="str">
        <f>VLOOKUP(B499,Tot_res!C:D,2,FALSE)</f>
        <v>Determinados medios de transporte, homogeneizado</v>
      </c>
      <c r="D499" s="336">
        <f>-Gasto_o_ing_per_capita!D499+Gasto_o_ing_per_capita!$D499</f>
        <v>0</v>
      </c>
      <c r="E499" s="336">
        <f>-Gasto_o_ing_per_capita!E499+Gasto_o_ing_per_capita!$D499</f>
        <v>0.65644961992575368</v>
      </c>
      <c r="F499" s="336">
        <f>-Gasto_o_ing_per_capita!F499+Gasto_o_ing_per_capita!$D499</f>
        <v>1.0673269470999651</v>
      </c>
      <c r="G499" s="336">
        <f>-Gasto_o_ing_per_capita!G499+Gasto_o_ing_per_capita!$D499</f>
        <v>2.013370441832806</v>
      </c>
      <c r="H499" s="336">
        <f>-Gasto_o_ing_per_capita!H499+Gasto_o_ing_per_capita!$D499</f>
        <v>-0.68266849419237285</v>
      </c>
      <c r="I499" s="336">
        <f>-Gasto_o_ing_per_capita!I499+Gasto_o_ing_per_capita!$D499</f>
        <v>5.6855175250504226</v>
      </c>
      <c r="J499" s="336">
        <f>-Gasto_o_ing_per_capita!J499+Gasto_o_ing_per_capita!$D499</f>
        <v>-1.1048869750587036</v>
      </c>
      <c r="K499" s="336">
        <f>-Gasto_o_ing_per_capita!K499+Gasto_o_ing_per_capita!$D499</f>
        <v>1.7542894946094858</v>
      </c>
      <c r="L499" s="336">
        <f>-Gasto_o_ing_per_capita!L499+Gasto_o_ing_per_capita!$D499</f>
        <v>1.2653938809568732</v>
      </c>
      <c r="M499" s="336">
        <f>-Gasto_o_ing_per_capita!M499+Gasto_o_ing_per_capita!$D499</f>
        <v>-2.1017933595372051</v>
      </c>
      <c r="N499" s="336">
        <f>-Gasto_o_ing_per_capita!N499+Gasto_o_ing_per_capita!$D499</f>
        <v>-0.15128862813666633</v>
      </c>
      <c r="O499" s="336">
        <f>-Gasto_o_ing_per_capita!O499+Gasto_o_ing_per_capita!$D499</f>
        <v>1.8394255704231277</v>
      </c>
      <c r="P499" s="336">
        <f>-Gasto_o_ing_per_capita!P499+Gasto_o_ing_per_capita!$D499</f>
        <v>1.0988581685143606</v>
      </c>
      <c r="Q499" s="336">
        <f>-Gasto_o_ing_per_capita!Q499+Gasto_o_ing_per_capita!$D499</f>
        <v>-1.9862787538614475</v>
      </c>
      <c r="R499" s="336">
        <f>-Gasto_o_ing_per_capita!R499+Gasto_o_ing_per_capita!$D499</f>
        <v>-0.15175094710191228</v>
      </c>
      <c r="S499" s="336">
        <f>-Gasto_o_ing_per_capita!S499+Gasto_o_ing_per_capita!$D499</f>
        <v>-1.0741195673299648</v>
      </c>
      <c r="T499" s="336">
        <f>-Gasto_o_ing_per_capita!T499+Gasto_o_ing_per_capita!$D499</f>
        <v>-1.2979113317956559</v>
      </c>
      <c r="U499" s="336">
        <f>-Gasto_o_ing_per_capita!U499+Gasto_o_ing_per_capita!$D499</f>
        <v>1.8887578214051555</v>
      </c>
      <c r="V499" s="336">
        <f>-Gasto_o_ing_per_capita!V499+Gasto_o_ing_per_capita!$D499</f>
        <v>4.8659719841435365</v>
      </c>
    </row>
    <row r="500" spans="1:22" s="102" customFormat="1" ht="13.15">
      <c r="A500" s="355" t="str">
        <f>IF(B500="","",(IF(ISERROR(MATCH(B500,Tot_res!C:C,0)),"Eliminar!!!","")))</f>
        <v/>
      </c>
      <c r="B500" s="102" t="s">
        <v>448</v>
      </c>
      <c r="C500" s="333" t="str">
        <f>VLOOKUP(B500,Tot_res!C:D,2,FALSE)</f>
        <v xml:space="preserve">Tráfico exterior </v>
      </c>
      <c r="D500" s="336">
        <f>-Gasto_o_ing_per_capita!D500+Gasto_o_ing_per_capita!$D500</f>
        <v>0</v>
      </c>
      <c r="E500" s="336">
        <f>-Gasto_o_ing_per_capita!E500+Gasto_o_ing_per_capita!$D500</f>
        <v>2.0615342883602636</v>
      </c>
      <c r="F500" s="336">
        <f>-Gasto_o_ing_per_capita!F500+Gasto_o_ing_per_capita!$D500</f>
        <v>-1.4055632230091355</v>
      </c>
      <c r="G500" s="336">
        <f>-Gasto_o_ing_per_capita!G500+Gasto_o_ing_per_capita!$D500</f>
        <v>-1.6811620090494017</v>
      </c>
      <c r="H500" s="336">
        <f>-Gasto_o_ing_per_capita!H500+Gasto_o_ing_per_capita!$D500</f>
        <v>-4.2235554019369417</v>
      </c>
      <c r="I500" s="336">
        <f>-Gasto_o_ing_per_capita!I500+Gasto_o_ing_per_capita!$D500</f>
        <v>25.658363594280484</v>
      </c>
      <c r="J500" s="336">
        <f>-Gasto_o_ing_per_capita!J500+Gasto_o_ing_per_capita!$D500</f>
        <v>-2.3337015067367197</v>
      </c>
      <c r="K500" s="336">
        <f>-Gasto_o_ing_per_capita!K500+Gasto_o_ing_per_capita!$D500</f>
        <v>-0.26889840366390771</v>
      </c>
      <c r="L500" s="336">
        <f>-Gasto_o_ing_per_capita!L500+Gasto_o_ing_per_capita!$D500</f>
        <v>2.4785193536032466</v>
      </c>
      <c r="M500" s="336">
        <f>-Gasto_o_ing_per_capita!M500+Gasto_o_ing_per_capita!$D500</f>
        <v>-4.1806560638623864</v>
      </c>
      <c r="N500" s="336">
        <f>-Gasto_o_ing_per_capita!N500+Gasto_o_ing_per_capita!$D500</f>
        <v>0.62383909876513499</v>
      </c>
      <c r="O500" s="336">
        <f>-Gasto_o_ing_per_capita!O500+Gasto_o_ing_per_capita!$D500</f>
        <v>3.5070093950534158</v>
      </c>
      <c r="P500" s="336">
        <f>-Gasto_o_ing_per_capita!P500+Gasto_o_ing_per_capita!$D500</f>
        <v>0.15082154212472787</v>
      </c>
      <c r="Q500" s="336">
        <f>-Gasto_o_ing_per_capita!Q500+Gasto_o_ing_per_capita!$D500</f>
        <v>-5.3934683988984204</v>
      </c>
      <c r="R500" s="336">
        <f>-Gasto_o_ing_per_capita!R500+Gasto_o_ing_per_capita!$D500</f>
        <v>3.2097948891734518</v>
      </c>
      <c r="S500" s="336">
        <f>-Gasto_o_ing_per_capita!S500+Gasto_o_ing_per_capita!$D500</f>
        <v>-2.7392441214618763</v>
      </c>
      <c r="T500" s="336">
        <f>-Gasto_o_ing_per_capita!T500+Gasto_o_ing_per_capita!$D500</f>
        <v>-6.5687470345640904</v>
      </c>
      <c r="U500" s="336">
        <f>-Gasto_o_ing_per_capita!U500+Gasto_o_ing_per_capita!$D500</f>
        <v>-0.82642127647126173</v>
      </c>
      <c r="V500" s="336">
        <f>-Gasto_o_ing_per_capita!V500+Gasto_o_ing_per_capita!$D500</f>
        <v>25.869162088454555</v>
      </c>
    </row>
    <row r="501" spans="1:22" s="102" customFormat="1" ht="13.15">
      <c r="A501" s="355" t="str">
        <f>IF(B501="","",(IF(ISERROR(MATCH(B501,Tot_res!C:C,0)),"Eliminar!!!","")))</f>
        <v/>
      </c>
      <c r="B501" s="102" t="s">
        <v>449</v>
      </c>
      <c r="C501" s="333" t="str">
        <f>VLOOKUP(B501,Tot_res!C:D,2,FALSE)</f>
        <v>Impuesto sobre las primas de seguros</v>
      </c>
      <c r="D501" s="336">
        <f>-Gasto_o_ing_per_capita!D501+Gasto_o_ing_per_capita!$D501</f>
        <v>0</v>
      </c>
      <c r="E501" s="336">
        <f>-Gasto_o_ing_per_capita!E501+Gasto_o_ing_per_capita!$D501</f>
        <v>2.8262822511670898</v>
      </c>
      <c r="F501" s="336">
        <f>-Gasto_o_ing_per_capita!F501+Gasto_o_ing_per_capita!$D501</f>
        <v>-0.13972503689240057</v>
      </c>
      <c r="G501" s="336">
        <f>-Gasto_o_ing_per_capita!G501+Gasto_o_ing_per_capita!$D501</f>
        <v>-1.2971855085089778</v>
      </c>
      <c r="H501" s="336">
        <f>-Gasto_o_ing_per_capita!H501+Gasto_o_ing_per_capita!$D501</f>
        <v>-2.4944285669607069</v>
      </c>
      <c r="I501" s="336">
        <f>-Gasto_o_ing_per_capita!I501+Gasto_o_ing_per_capita!$D501</f>
        <v>3.9965736896979926</v>
      </c>
      <c r="J501" s="336">
        <f>-Gasto_o_ing_per_capita!J501+Gasto_o_ing_per_capita!$D501</f>
        <v>-3.1439697923966605</v>
      </c>
      <c r="K501" s="336">
        <f>-Gasto_o_ing_per_capita!K501+Gasto_o_ing_per_capita!$D501</f>
        <v>1.1105725497717209</v>
      </c>
      <c r="L501" s="336">
        <f>-Gasto_o_ing_per_capita!L501+Gasto_o_ing_per_capita!$D501</f>
        <v>2.9751470823280854</v>
      </c>
      <c r="M501" s="336">
        <f>-Gasto_o_ing_per_capita!M501+Gasto_o_ing_per_capita!$D501</f>
        <v>-0.72721963950920454</v>
      </c>
      <c r="N501" s="336">
        <f>-Gasto_o_ing_per_capita!N501+Gasto_o_ing_per_capita!$D501</f>
        <v>0.70181863062907013</v>
      </c>
      <c r="O501" s="336">
        <f>-Gasto_o_ing_per_capita!O501+Gasto_o_ing_per_capita!$D501</f>
        <v>2.8736052675415245</v>
      </c>
      <c r="P501" s="336">
        <f>-Gasto_o_ing_per_capita!P501+Gasto_o_ing_per_capita!$D501</f>
        <v>-0.44409516457987763</v>
      </c>
      <c r="Q501" s="336">
        <f>-Gasto_o_ing_per_capita!Q501+Gasto_o_ing_per_capita!$D501</f>
        <v>-4.5245222654129904</v>
      </c>
      <c r="R501" s="336">
        <f>-Gasto_o_ing_per_capita!R501+Gasto_o_ing_per_capita!$D501</f>
        <v>1.286368989582968</v>
      </c>
      <c r="S501" s="336">
        <f>-Gasto_o_ing_per_capita!S501+Gasto_o_ing_per_capita!$D501</f>
        <v>-0.86108323206244108</v>
      </c>
      <c r="T501" s="336">
        <f>-Gasto_o_ing_per_capita!T501+Gasto_o_ing_per_capita!$D501</f>
        <v>-3.7635065378231971</v>
      </c>
      <c r="U501" s="336">
        <f>-Gasto_o_ing_per_capita!U501+Gasto_o_ing_per_capita!$D501</f>
        <v>0.6484353547554349</v>
      </c>
      <c r="V501" s="336">
        <f>-Gasto_o_ing_per_capita!V501+Gasto_o_ing_per_capita!$D501</f>
        <v>5.4955537136610175</v>
      </c>
    </row>
    <row r="502" spans="1:22" s="102" customFormat="1" ht="13.15">
      <c r="A502" s="355" t="str">
        <f>IF(B502="","",(IF(ISERROR(MATCH(B502,Tot_res!C:C,0)),"Eliminar!!!","")))</f>
        <v/>
      </c>
      <c r="B502" s="102" t="s">
        <v>451</v>
      </c>
      <c r="C502" s="333" t="str">
        <f>VLOOKUP(B502,Tot_res!C:D,2,FALSE)</f>
        <v>Transmisiones patrim. y actos jurídicos documentados, ing. homog.</v>
      </c>
      <c r="D502" s="336">
        <f>-Gasto_o_ing_per_capita!D502+Gasto_o_ing_per_capita!$D502</f>
        <v>0</v>
      </c>
      <c r="E502" s="336">
        <f>-Gasto_o_ing_per_capita!E502+Gasto_o_ing_per_capita!$D502</f>
        <v>13.291987118582938</v>
      </c>
      <c r="F502" s="336">
        <f>-Gasto_o_ing_per_capita!F502+Gasto_o_ing_per_capita!$D502</f>
        <v>-0.30225036786353598</v>
      </c>
      <c r="G502" s="336">
        <f>-Gasto_o_ing_per_capita!G502+Gasto_o_ing_per_capita!$D502</f>
        <v>11.287190183419725</v>
      </c>
      <c r="H502" s="336">
        <f>-Gasto_o_ing_per_capita!H502+Gasto_o_ing_per_capita!$D502</f>
        <v>-12.71860470753272</v>
      </c>
      <c r="I502" s="336">
        <f>-Gasto_o_ing_per_capita!I502+Gasto_o_ing_per_capita!$D502</f>
        <v>14.368146118704701</v>
      </c>
      <c r="J502" s="336">
        <f>-Gasto_o_ing_per_capita!J502+Gasto_o_ing_per_capita!$D502</f>
        <v>8.3371471062671958</v>
      </c>
      <c r="K502" s="336">
        <f>-Gasto_o_ing_per_capita!K502+Gasto_o_ing_per_capita!$D502</f>
        <v>6.7409480974437059</v>
      </c>
      <c r="L502" s="336">
        <f>-Gasto_o_ing_per_capita!L502+Gasto_o_ing_per_capita!$D502</f>
        <v>18.514126242622723</v>
      </c>
      <c r="M502" s="336">
        <f>-Gasto_o_ing_per_capita!M502+Gasto_o_ing_per_capita!$D502</f>
        <v>-9.4051100018809279</v>
      </c>
      <c r="N502" s="336">
        <f>-Gasto_o_ing_per_capita!N502+Gasto_o_ing_per_capita!$D502</f>
        <v>9.4230558282253867</v>
      </c>
      <c r="O502" s="336">
        <f>-Gasto_o_ing_per_capita!O502+Gasto_o_ing_per_capita!$D502</f>
        <v>25.660370392194039</v>
      </c>
      <c r="P502" s="336">
        <f>-Gasto_o_ing_per_capita!P502+Gasto_o_ing_per_capita!$D502</f>
        <v>19.261330539406671</v>
      </c>
      <c r="Q502" s="336">
        <f>-Gasto_o_ing_per_capita!Q502+Gasto_o_ing_per_capita!$D502</f>
        <v>-34.416426959691705</v>
      </c>
      <c r="R502" s="336">
        <f>-Gasto_o_ing_per_capita!R502+Gasto_o_ing_per_capita!$D502</f>
        <v>21.664322417393649</v>
      </c>
      <c r="S502" s="336">
        <f>-Gasto_o_ing_per_capita!S502+Gasto_o_ing_per_capita!$D502</f>
        <v>-7.6752369053694878</v>
      </c>
      <c r="T502" s="336">
        <f>-Gasto_o_ing_per_capita!T502+Gasto_o_ing_per_capita!$D502</f>
        <v>-30.311527101543078</v>
      </c>
      <c r="U502" s="336">
        <f>-Gasto_o_ing_per_capita!U502+Gasto_o_ing_per_capita!$D502</f>
        <v>3.1731177553746335</v>
      </c>
      <c r="V502" s="336">
        <f>-Gasto_o_ing_per_capita!V502+Gasto_o_ing_per_capita!$D502</f>
        <v>16.722841786730569</v>
      </c>
    </row>
    <row r="503" spans="1:22" s="102" customFormat="1" ht="13.15">
      <c r="A503" s="355" t="str">
        <f>IF(B503="","",(IF(ISERROR(MATCH(B503,Tot_res!C:C,0)),"Eliminar!!!","")))</f>
        <v/>
      </c>
      <c r="B503" s="102" t="s">
        <v>452</v>
      </c>
      <c r="C503" s="333" t="str">
        <f>VLOOKUP(B503,Tot_res!C:D,2,FALSE)</f>
        <v>Venta Minorista de Hidrocarburos, ingr. Homog.</v>
      </c>
      <c r="D503" s="336">
        <f>-Gasto_o_ing_per_capita!D503+Gasto_o_ing_per_capita!$D503</f>
        <v>0</v>
      </c>
      <c r="E503" s="336">
        <f>-Gasto_o_ing_per_capita!E503+Gasto_o_ing_per_capita!$D503</f>
        <v>-2.0388075119686988E-2</v>
      </c>
      <c r="F503" s="336">
        <f>-Gasto_o_ing_per_capita!F503+Gasto_o_ing_per_capita!$D503</f>
        <v>7.6058619163594798E-2</v>
      </c>
      <c r="G503" s="336">
        <f>-Gasto_o_ing_per_capita!G503+Gasto_o_ing_per_capita!$D503</f>
        <v>-9.6135661598316879E-2</v>
      </c>
      <c r="H503" s="336">
        <f>-Gasto_o_ing_per_capita!H503+Gasto_o_ing_per_capita!$D503</f>
        <v>-0.55747514748877336</v>
      </c>
      <c r="I503" s="336">
        <f>-Gasto_o_ing_per_capita!I503+Gasto_o_ing_per_capita!$D503</f>
        <v>3.248827639068125</v>
      </c>
      <c r="J503" s="336">
        <f>-Gasto_o_ing_per_capita!J503+Gasto_o_ing_per_capita!$D503</f>
        <v>-0.8064158893019524</v>
      </c>
      <c r="K503" s="336">
        <f>-Gasto_o_ing_per_capita!K503+Gasto_o_ing_per_capita!$D503</f>
        <v>-9.1038876466717156E-2</v>
      </c>
      <c r="L503" s="336">
        <f>-Gasto_o_ing_per_capita!L503+Gasto_o_ing_per_capita!$D503</f>
        <v>-0.12850003481195316</v>
      </c>
      <c r="M503" s="336">
        <f>-Gasto_o_ing_per_capita!M503+Gasto_o_ing_per_capita!$D503</f>
        <v>-0.25826884055847543</v>
      </c>
      <c r="N503" s="336">
        <f>-Gasto_o_ing_per_capita!N503+Gasto_o_ing_per_capita!$D503</f>
        <v>0.11041290827680239</v>
      </c>
      <c r="O503" s="336">
        <f>-Gasto_o_ing_per_capita!O503+Gasto_o_ing_per_capita!$D503</f>
        <v>6.2518219828647581E-2</v>
      </c>
      <c r="P503" s="336">
        <f>-Gasto_o_ing_per_capita!P503+Gasto_o_ing_per_capita!$D503</f>
        <v>-0.19573064584012645</v>
      </c>
      <c r="Q503" s="336">
        <f>-Gasto_o_ing_per_capita!Q503+Gasto_o_ing_per_capita!$D503</f>
        <v>-0.50103527012912341</v>
      </c>
      <c r="R503" s="336">
        <f>-Gasto_o_ing_per_capita!R503+Gasto_o_ing_per_capita!$D503</f>
        <v>-0.14944686514983196</v>
      </c>
      <c r="S503" s="336">
        <f>-Gasto_o_ing_per_capita!S503+Gasto_o_ing_per_capita!$D503</f>
        <v>-0.25658662904967411</v>
      </c>
      <c r="T503" s="336">
        <f>-Gasto_o_ing_per_capita!T503+Gasto_o_ing_per_capita!$D503</f>
        <v>3.4827049240470309E-2</v>
      </c>
      <c r="U503" s="336">
        <f>-Gasto_o_ing_per_capita!U503+Gasto_o_ing_per_capita!$D503</f>
        <v>0.22790319051565078</v>
      </c>
      <c r="V503" s="336">
        <f>-Gasto_o_ing_per_capita!V503+Gasto_o_ing_per_capita!$D503</f>
        <v>1.4225015848248317</v>
      </c>
    </row>
    <row r="504" spans="1:22" s="102" customFormat="1" ht="13.15">
      <c r="A504" s="355" t="str">
        <f>IF(B504="","",(IF(ISERROR(MATCH(B504,Tot_res!C:C,0)),"Eliminar!!!","")))</f>
        <v/>
      </c>
      <c r="B504" s="102" t="s">
        <v>453</v>
      </c>
      <c r="C504" s="333" t="str">
        <f>VLOOKUP(B504,Tot_res!C:D,2,FALSE)</f>
        <v>Tasas sobre el juego, ingresos homogeneizados</v>
      </c>
      <c r="D504" s="336">
        <f>-Gasto_o_ing_per_capita!D504+Gasto_o_ing_per_capita!$D504</f>
        <v>0</v>
      </c>
      <c r="E504" s="336">
        <f>-Gasto_o_ing_per_capita!E504+Gasto_o_ing_per_capita!$D504</f>
        <v>4.6078721967745864</v>
      </c>
      <c r="F504" s="336">
        <f>-Gasto_o_ing_per_capita!F504+Gasto_o_ing_per_capita!$D504</f>
        <v>0.43363202656076183</v>
      </c>
      <c r="G504" s="336">
        <f>-Gasto_o_ing_per_capita!G504+Gasto_o_ing_per_capita!$D504</f>
        <v>2.3656223811265633</v>
      </c>
      <c r="H504" s="336">
        <f>-Gasto_o_ing_per_capita!H504+Gasto_o_ing_per_capita!$D504</f>
        <v>-5.6138991092628139</v>
      </c>
      <c r="I504" s="336">
        <f>-Gasto_o_ing_per_capita!I504+Gasto_o_ing_per_capita!$D504</f>
        <v>6.0277578651397263</v>
      </c>
      <c r="J504" s="336">
        <f>-Gasto_o_ing_per_capita!J504+Gasto_o_ing_per_capita!$D504</f>
        <v>-0.32857607928930932</v>
      </c>
      <c r="K504" s="336">
        <f>-Gasto_o_ing_per_capita!K504+Gasto_o_ing_per_capita!$D504</f>
        <v>-1.458610907636448</v>
      </c>
      <c r="L504" s="336">
        <f>-Gasto_o_ing_per_capita!L504+Gasto_o_ing_per_capita!$D504</f>
        <v>1.9489615561942628</v>
      </c>
      <c r="M504" s="336">
        <f>-Gasto_o_ing_per_capita!M504+Gasto_o_ing_per_capita!$D504</f>
        <v>3.4321109001738037</v>
      </c>
      <c r="N504" s="336">
        <f>-Gasto_o_ing_per_capita!N504+Gasto_o_ing_per_capita!$D504</f>
        <v>-4.5892419388126662</v>
      </c>
      <c r="O504" s="336">
        <f>-Gasto_o_ing_per_capita!O504+Gasto_o_ing_per_capita!$D504</f>
        <v>5.6926846754656815</v>
      </c>
      <c r="P504" s="336">
        <f>-Gasto_o_ing_per_capita!P504+Gasto_o_ing_per_capita!$D504</f>
        <v>4.4589892163519025</v>
      </c>
      <c r="Q504" s="336">
        <f>-Gasto_o_ing_per_capita!Q504+Gasto_o_ing_per_capita!$D504</f>
        <v>-16.205817034767897</v>
      </c>
      <c r="R504" s="336">
        <f>-Gasto_o_ing_per_capita!R504+Gasto_o_ing_per_capita!$D504</f>
        <v>7.1616215662921938</v>
      </c>
      <c r="S504" s="336">
        <f>-Gasto_o_ing_per_capita!S504+Gasto_o_ing_per_capita!$D504</f>
        <v>5.3823249656306942</v>
      </c>
      <c r="T504" s="336">
        <f>-Gasto_o_ing_per_capita!T504+Gasto_o_ing_per_capita!$D504</f>
        <v>7.8454564404817724</v>
      </c>
      <c r="U504" s="336">
        <f>-Gasto_o_ing_per_capita!U504+Gasto_o_ing_per_capita!$D504</f>
        <v>6.6530317005350668</v>
      </c>
      <c r="V504" s="336">
        <f>-Gasto_o_ing_per_capita!V504+Gasto_o_ing_per_capita!$D504</f>
        <v>10.57392994121785</v>
      </c>
    </row>
    <row r="505" spans="1:22" s="102" customFormat="1" ht="13.15">
      <c r="A505" s="355" t="str">
        <f>IF(B505="","",(IF(ISERROR(MATCH(B505,Tot_res!C:C,0)),"Eliminar!!!","")))</f>
        <v/>
      </c>
      <c r="B505" s="102" t="s">
        <v>454</v>
      </c>
      <c r="C505" s="333" t="str">
        <f>VLOOKUP(B505,Tot_res!C:D,2,FALSE)</f>
        <v>REF Canarias (bruto de comp IGTE e incl. Parte ccll), rec. Homog.</v>
      </c>
      <c r="D505" s="336">
        <f>-Gasto_o_ing_per_capita!D505+Gasto_o_ing_per_capita!$D505</f>
        <v>0</v>
      </c>
      <c r="E505" s="336">
        <f>-Gasto_o_ing_per_capita!E505+Gasto_o_ing_per_capita!$D505</f>
        <v>62.08058442977115</v>
      </c>
      <c r="F505" s="336">
        <f>-Gasto_o_ing_per_capita!F505+Gasto_o_ing_per_capita!$D505</f>
        <v>61.551489675897074</v>
      </c>
      <c r="G505" s="336">
        <f>-Gasto_o_ing_per_capita!G505+Gasto_o_ing_per_capita!$D505</f>
        <v>57.277214214443099</v>
      </c>
      <c r="H505" s="336">
        <f>-Gasto_o_ing_per_capita!H505+Gasto_o_ing_per_capita!$D505</f>
        <v>61.652094387982729</v>
      </c>
      <c r="I505" s="336">
        <f>-Gasto_o_ing_per_capita!I505+Gasto_o_ing_per_capita!$D505</f>
        <v>-1294.6707684477835</v>
      </c>
      <c r="J505" s="336">
        <f>-Gasto_o_ing_per_capita!J505+Gasto_o_ing_per_capita!$D505</f>
        <v>59.012669160916161</v>
      </c>
      <c r="K505" s="336">
        <f>-Gasto_o_ing_per_capita!K505+Gasto_o_ing_per_capita!$D505</f>
        <v>60.857026842622716</v>
      </c>
      <c r="L505" s="336">
        <f>-Gasto_o_ing_per_capita!L505+Gasto_o_ing_per_capita!$D505</f>
        <v>61.997951991229556</v>
      </c>
      <c r="M505" s="336">
        <f>-Gasto_o_ing_per_capita!M505+Gasto_o_ing_per_capita!$D505</f>
        <v>61.522364954851625</v>
      </c>
      <c r="N505" s="336">
        <f>-Gasto_o_ing_per_capita!N505+Gasto_o_ing_per_capita!$D505</f>
        <v>61.871444123222219</v>
      </c>
      <c r="O505" s="336">
        <f>-Gasto_o_ing_per_capita!O505+Gasto_o_ing_per_capita!$D505</f>
        <v>62.321859095996338</v>
      </c>
      <c r="P505" s="336">
        <f>-Gasto_o_ing_per_capita!P505+Gasto_o_ing_per_capita!$D505</f>
        <v>59.546640130933184</v>
      </c>
      <c r="Q505" s="336">
        <f>-Gasto_o_ing_per_capita!Q505+Gasto_o_ing_per_capita!$D505</f>
        <v>59.835843751591653</v>
      </c>
      <c r="R505" s="336">
        <f>-Gasto_o_ing_per_capita!R505+Gasto_o_ing_per_capita!$D505</f>
        <v>62.216908603858748</v>
      </c>
      <c r="S505" s="336">
        <f>-Gasto_o_ing_per_capita!S505+Gasto_o_ing_per_capita!$D505</f>
        <v>59.844151996452496</v>
      </c>
      <c r="T505" s="336">
        <f>-Gasto_o_ing_per_capita!T505+Gasto_o_ing_per_capita!$D505</f>
        <v>57.357924190460118</v>
      </c>
      <c r="U505" s="336">
        <f>-Gasto_o_ing_per_capita!U505+Gasto_o_ing_per_capita!$D505</f>
        <v>61.755888794016002</v>
      </c>
      <c r="V505" s="336">
        <f>-Gasto_o_ing_per_capita!V505+Gasto_o_ing_per_capita!$D505</f>
        <v>61.793707071004903</v>
      </c>
    </row>
    <row r="506" spans="1:22" s="102" customFormat="1" ht="13.15">
      <c r="A506" s="355" t="str">
        <f>IF(B506="","",(IF(ISERROR(MATCH(B506,Tot_res!C:C,0)),"Eliminar!!!","")))</f>
        <v/>
      </c>
      <c r="B506" s="102" t="s">
        <v>456</v>
      </c>
      <c r="C506" s="333" t="str">
        <f>VLOOKUP(B506,Tot_res!C:D,2,FALSE)</f>
        <v>IPSI, Ceuta y Melilla</v>
      </c>
      <c r="D506" s="336">
        <f>-Gasto_o_ing_per_capita!D506+Gasto_o_ing_per_capita!$D506</f>
        <v>0</v>
      </c>
      <c r="E506" s="336">
        <f>-Gasto_o_ing_per_capita!E506+Gasto_o_ing_per_capita!$D506</f>
        <v>4.5080525703373802</v>
      </c>
      <c r="F506" s="336">
        <f>-Gasto_o_ing_per_capita!F506+Gasto_o_ing_per_capita!$D506</f>
        <v>4.5080525703373802</v>
      </c>
      <c r="G506" s="336">
        <f>-Gasto_o_ing_per_capita!G506+Gasto_o_ing_per_capita!$D506</f>
        <v>4.5080525703373802</v>
      </c>
      <c r="H506" s="336">
        <f>-Gasto_o_ing_per_capita!H506+Gasto_o_ing_per_capita!$D506</f>
        <v>4.5080525703373802</v>
      </c>
      <c r="I506" s="336">
        <f>-Gasto_o_ing_per_capita!I506+Gasto_o_ing_per_capita!$D506</f>
        <v>4.5080525703373802</v>
      </c>
      <c r="J506" s="336">
        <f>-Gasto_o_ing_per_capita!J506+Gasto_o_ing_per_capita!$D506</f>
        <v>4.5080525703373802</v>
      </c>
      <c r="K506" s="336">
        <f>-Gasto_o_ing_per_capita!K506+Gasto_o_ing_per_capita!$D506</f>
        <v>4.5080525703373802</v>
      </c>
      <c r="L506" s="336">
        <f>-Gasto_o_ing_per_capita!L506+Gasto_o_ing_per_capita!$D506</f>
        <v>4.5080525703373802</v>
      </c>
      <c r="M506" s="336">
        <f>-Gasto_o_ing_per_capita!M506+Gasto_o_ing_per_capita!$D506</f>
        <v>4.5080525703373802</v>
      </c>
      <c r="N506" s="336">
        <f>-Gasto_o_ing_per_capita!N506+Gasto_o_ing_per_capita!$D506</f>
        <v>4.5080525703373802</v>
      </c>
      <c r="O506" s="336">
        <f>-Gasto_o_ing_per_capita!O506+Gasto_o_ing_per_capita!$D506</f>
        <v>4.5080525703373802</v>
      </c>
      <c r="P506" s="336">
        <f>-Gasto_o_ing_per_capita!P506+Gasto_o_ing_per_capita!$D506</f>
        <v>4.5080525703373802</v>
      </c>
      <c r="Q506" s="336">
        <f>-Gasto_o_ing_per_capita!Q506+Gasto_o_ing_per_capita!$D506</f>
        <v>4.5080525703373802</v>
      </c>
      <c r="R506" s="336">
        <f>-Gasto_o_ing_per_capita!R506+Gasto_o_ing_per_capita!$D506</f>
        <v>4.5080525703373802</v>
      </c>
      <c r="S506" s="336">
        <f>-Gasto_o_ing_per_capita!S506+Gasto_o_ing_per_capita!$D506</f>
        <v>4.5080525703373802</v>
      </c>
      <c r="T506" s="336">
        <f>-Gasto_o_ing_per_capita!T506+Gasto_o_ing_per_capita!$D506</f>
        <v>4.5080525703373802</v>
      </c>
      <c r="U506" s="336">
        <f>-Gasto_o_ing_per_capita!U506+Gasto_o_ing_per_capita!$D506</f>
        <v>4.5080525703373802</v>
      </c>
      <c r="V506" s="336">
        <f>-Gasto_o_ing_per_capita!V506+Gasto_o_ing_per_capita!$D506</f>
        <v>-1250.3757363662532</v>
      </c>
    </row>
    <row r="507" spans="1:22" s="102" customFormat="1" ht="13.15">
      <c r="A507" s="356"/>
      <c r="C507" s="115"/>
      <c r="D507" s="110"/>
      <c r="E507" s="110"/>
      <c r="F507" s="110"/>
      <c r="G507" s="110"/>
      <c r="H507" s="110"/>
      <c r="I507" s="110"/>
      <c r="J507" s="110"/>
      <c r="K507" s="110"/>
      <c r="L507" s="110"/>
      <c r="M507" s="110"/>
      <c r="N507" s="110"/>
      <c r="O507" s="110"/>
      <c r="P507" s="110"/>
      <c r="Q507" s="110"/>
      <c r="R507" s="110"/>
      <c r="S507" s="110"/>
      <c r="T507" s="110"/>
      <c r="U507" s="110"/>
      <c r="V507" s="110"/>
    </row>
    <row r="508" spans="1:22" s="102" customFormat="1" ht="13.15">
      <c r="A508" s="356"/>
      <c r="C508" s="112" t="s">
        <v>435</v>
      </c>
      <c r="D508" s="110">
        <f>-Gasto_o_ing_per_capita!D508+Gasto_o_ing_per_capita!$D508</f>
        <v>0</v>
      </c>
      <c r="E508" s="110">
        <f>-Gasto_o_ing_per_capita!E508+Gasto_o_ing_per_capita!$D508</f>
        <v>-73.47218136503102</v>
      </c>
      <c r="F508" s="110">
        <f>-Gasto_o_ing_per_capita!F508+Gasto_o_ing_per_capita!$D508</f>
        <v>-72.945707729434616</v>
      </c>
      <c r="G508" s="110">
        <f>-Gasto_o_ing_per_capita!G508+Gasto_o_ing_per_capita!$D508</f>
        <v>-159.02102163192598</v>
      </c>
      <c r="H508" s="110">
        <f>-Gasto_o_ing_per_capita!H508+Gasto_o_ing_per_capita!$D508</f>
        <v>-143.30257475804382</v>
      </c>
      <c r="I508" s="110">
        <f>-Gasto_o_ing_per_capita!I508+Gasto_o_ing_per_capita!$D508</f>
        <v>785.0007500503325</v>
      </c>
      <c r="J508" s="110">
        <f>-Gasto_o_ing_per_capita!J508+Gasto_o_ing_per_capita!$D508</f>
        <v>-120.76674358954213</v>
      </c>
      <c r="K508" s="110">
        <f>-Gasto_o_ing_per_capita!K508+Gasto_o_ing_per_capita!$D508</f>
        <v>-46.383736325626181</v>
      </c>
      <c r="L508" s="110">
        <f>-Gasto_o_ing_per_capita!L508+Gasto_o_ing_per_capita!$D508</f>
        <v>62.307526278277059</v>
      </c>
      <c r="M508" s="110">
        <f>-Gasto_o_ing_per_capita!M508+Gasto_o_ing_per_capita!$D508</f>
        <v>-163.4939699704241</v>
      </c>
      <c r="N508" s="110">
        <f>-Gasto_o_ing_per_capita!N508+Gasto_o_ing_per_capita!$D508</f>
        <v>-66.894228293162129</v>
      </c>
      <c r="O508" s="110">
        <f>-Gasto_o_ing_per_capita!O508+Gasto_o_ing_per_capita!$D508</f>
        <v>-196.6067045161692</v>
      </c>
      <c r="P508" s="110">
        <f>-Gasto_o_ing_per_capita!P508+Gasto_o_ing_per_capita!$D508</f>
        <v>-38.163194061081825</v>
      </c>
      <c r="Q508" s="110">
        <f>-Gasto_o_ing_per_capita!Q508+Gasto_o_ing_per_capita!$D508</f>
        <v>43.865248642824888</v>
      </c>
      <c r="R508" s="110">
        <f>-Gasto_o_ing_per_capita!R508+Gasto_o_ing_per_capita!$D508</f>
        <v>-74.798350418350651</v>
      </c>
      <c r="S508" s="110">
        <f>-Gasto_o_ing_per_capita!S508+Gasto_o_ing_per_capita!$D508</f>
        <v>428.66921177733803</v>
      </c>
      <c r="T508" s="110">
        <f>-Gasto_o_ing_per_capita!T508+Gasto_o_ing_per_capita!$D508</f>
        <v>379.01560138953647</v>
      </c>
      <c r="U508" s="110">
        <f>-Gasto_o_ing_per_capita!U508+Gasto_o_ing_per_capita!$D508</f>
        <v>-48.477698502095947</v>
      </c>
      <c r="V508" s="110">
        <f>-Gasto_o_ing_per_capita!V508+Gasto_o_ing_per_capita!$D508</f>
        <v>427.63411673041333</v>
      </c>
    </row>
    <row r="509" spans="1:22" s="102" customFormat="1" ht="13.15">
      <c r="A509" s="355" t="str">
        <f>IF(B509="","",(IF(ISERROR(MATCH(B509,Tot_res!C:C,0)),"Eliminar!!!","")))</f>
        <v/>
      </c>
      <c r="B509" s="102" t="s">
        <v>458</v>
      </c>
      <c r="C509" s="333" t="str">
        <f>VLOOKUP(B509,Tot_res!C:D,2,FALSE)</f>
        <v>IRPF, sobreesfuerzo fiscal</v>
      </c>
      <c r="D509" s="336">
        <f>-Gasto_o_ing_per_capita!D509+Gasto_o_ing_per_capita!$D509</f>
        <v>0</v>
      </c>
      <c r="E509" s="336">
        <f>-Gasto_o_ing_per_capita!E509+Gasto_o_ing_per_capita!$D509</f>
        <v>-33.335935066018607</v>
      </c>
      <c r="F509" s="336">
        <f>-Gasto_o_ing_per_capita!F509+Gasto_o_ing_per_capita!$D509</f>
        <v>-31.263332317687727</v>
      </c>
      <c r="G509" s="336">
        <f>-Gasto_o_ing_per_capita!G509+Gasto_o_ing_per_capita!$D509</f>
        <v>-31.208176901903361</v>
      </c>
      <c r="H509" s="336">
        <f>-Gasto_o_ing_per_capita!H509+Gasto_o_ing_per_capita!$D509</f>
        <v>-27.455511911835167</v>
      </c>
      <c r="I509" s="336">
        <f>-Gasto_o_ing_per_capita!I509+Gasto_o_ing_per_capita!$D509</f>
        <v>-17.398593000679476</v>
      </c>
      <c r="J509" s="336">
        <f>-Gasto_o_ing_per_capita!J509+Gasto_o_ing_per_capita!$D509</f>
        <v>-30.586839858207021</v>
      </c>
      <c r="K509" s="336">
        <f>-Gasto_o_ing_per_capita!K509+Gasto_o_ing_per_capita!$D509</f>
        <v>-18.383535438641545</v>
      </c>
      <c r="L509" s="336">
        <f>-Gasto_o_ing_per_capita!L509+Gasto_o_ing_per_capita!$D509</f>
        <v>-27.888837186313513</v>
      </c>
      <c r="M509" s="336">
        <f>-Gasto_o_ing_per_capita!M509+Gasto_o_ing_per_capita!$D509</f>
        <v>-30.422025382697829</v>
      </c>
      <c r="N509" s="336">
        <f>-Gasto_o_ing_per_capita!N509+Gasto_o_ing_per_capita!$D509</f>
        <v>-25.892340315920563</v>
      </c>
      <c r="O509" s="336">
        <f>-Gasto_o_ing_per_capita!O509+Gasto_o_ing_per_capita!$D509</f>
        <v>-29.399858574198682</v>
      </c>
      <c r="P509" s="336">
        <f>-Gasto_o_ing_per_capita!P509+Gasto_o_ing_per_capita!$D509</f>
        <v>-26.569221416263201</v>
      </c>
      <c r="Q509" s="336">
        <f>-Gasto_o_ing_per_capita!Q509+Gasto_o_ing_per_capita!$D509</f>
        <v>4.7592397819902779</v>
      </c>
      <c r="R509" s="336">
        <f>-Gasto_o_ing_per_capita!R509+Gasto_o_ing_per_capita!$D509</f>
        <v>-31.091128446211641</v>
      </c>
      <c r="S509" s="336">
        <f>-Gasto_o_ing_per_capita!S509+Gasto_o_ing_per_capita!$D509</f>
        <v>421.52373914730225</v>
      </c>
      <c r="T509" s="336">
        <f>-Gasto_o_ing_per_capita!T509+Gasto_o_ing_per_capita!$D509</f>
        <v>342.35284300791778</v>
      </c>
      <c r="U509" s="336">
        <f>-Gasto_o_ing_per_capita!U509+Gasto_o_ing_per_capita!$D509</f>
        <v>-13.410261219348328</v>
      </c>
      <c r="V509" s="336">
        <f>-Gasto_o_ing_per_capita!V509+Gasto_o_ing_per_capita!$D509</f>
        <v>57.273689722151403</v>
      </c>
    </row>
    <row r="510" spans="1:22" s="102" customFormat="1" ht="13.15">
      <c r="A510" s="355" t="str">
        <f>IF(B510="","",(IF(ISERROR(MATCH(B510,Tot_res!C:C,0)),"Eliminar!!!","")))</f>
        <v/>
      </c>
      <c r="B510" s="102" t="s">
        <v>460</v>
      </c>
      <c r="C510" s="333" t="str">
        <f>VLOOKUP(B510,Tot_res!C:D,2,FALSE)</f>
        <v>Sociedades, sobreesfuerzo fiscal</v>
      </c>
      <c r="D510" s="336">
        <f>-Gasto_o_ing_per_capita!D510+Gasto_o_ing_per_capita!$D510</f>
        <v>0</v>
      </c>
      <c r="E510" s="336">
        <f>-Gasto_o_ing_per_capita!E510+Gasto_o_ing_per_capita!$D510</f>
        <v>-2.2110382430167634</v>
      </c>
      <c r="F510" s="336">
        <f>-Gasto_o_ing_per_capita!F510+Gasto_o_ing_per_capita!$D510</f>
        <v>-1.690570805424934</v>
      </c>
      <c r="G510" s="336">
        <f>-Gasto_o_ing_per_capita!G510+Gasto_o_ing_per_capita!$D510</f>
        <v>-1.9242947396767214</v>
      </c>
      <c r="H510" s="336">
        <f>-Gasto_o_ing_per_capita!H510+Gasto_o_ing_per_capita!$D510</f>
        <v>-1.9007755433822684</v>
      </c>
      <c r="I510" s="336">
        <f>-Gasto_o_ing_per_capita!I510+Gasto_o_ing_per_capita!$D510</f>
        <v>-2.1462890562985821</v>
      </c>
      <c r="J510" s="336">
        <f>-Gasto_o_ing_per_capita!J510+Gasto_o_ing_per_capita!$D510</f>
        <v>-1.7453934133841678</v>
      </c>
      <c r="K510" s="336">
        <f>-Gasto_o_ing_per_capita!K510+Gasto_o_ing_per_capita!$D510</f>
        <v>-1.8572919348300867</v>
      </c>
      <c r="L510" s="336">
        <f>-Gasto_o_ing_per_capita!L510+Gasto_o_ing_per_capita!$D510</f>
        <v>-2.2120401800244514</v>
      </c>
      <c r="M510" s="336">
        <f>-Gasto_o_ing_per_capita!M510+Gasto_o_ing_per_capita!$D510</f>
        <v>-1.7745591131760095</v>
      </c>
      <c r="N510" s="336">
        <f>-Gasto_o_ing_per_capita!N510+Gasto_o_ing_per_capita!$D510</f>
        <v>-2.0953711391574523</v>
      </c>
      <c r="O510" s="336">
        <f>-Gasto_o_ing_per_capita!O510+Gasto_o_ing_per_capita!$D510</f>
        <v>-2.1625818586047698</v>
      </c>
      <c r="P510" s="336">
        <f>-Gasto_o_ing_per_capita!P510+Gasto_o_ing_per_capita!$D510</f>
        <v>-1.972179365485949</v>
      </c>
      <c r="Q510" s="336">
        <f>-Gasto_o_ing_per_capita!Q510+Gasto_o_ing_per_capita!$D510</f>
        <v>-1.3488679382465429</v>
      </c>
      <c r="R510" s="336">
        <f>-Gasto_o_ing_per_capita!R510+Gasto_o_ing_per_capita!$D510</f>
        <v>-2.1720432874485027</v>
      </c>
      <c r="S510" s="336">
        <f>-Gasto_o_ing_per_capita!S510+Gasto_o_ing_per_capita!$D510</f>
        <v>120.19887734280529</v>
      </c>
      <c r="T510" s="336">
        <f>-Gasto_o_ing_per_capita!T510+Gasto_o_ing_per_capita!$D510</f>
        <v>3.2562165006125845</v>
      </c>
      <c r="U510" s="336">
        <f>-Gasto_o_ing_per_capita!U510+Gasto_o_ing_per_capita!$D510</f>
        <v>-1.8234941212523577</v>
      </c>
      <c r="V510" s="336">
        <f>-Gasto_o_ing_per_capita!V510+Gasto_o_ing_per_capita!$D510</f>
        <v>-1.1555091027649205</v>
      </c>
    </row>
    <row r="511" spans="1:22" s="102" customFormat="1" ht="13.15">
      <c r="A511" s="355" t="str">
        <f>IF(B511="","",(IF(ISERROR(MATCH(B511,Tot_res!C:C,0)),"Eliminar!!!","")))</f>
        <v/>
      </c>
      <c r="B511" s="102" t="s">
        <v>461</v>
      </c>
      <c r="C511" s="333" t="str">
        <f>VLOOKUP(B511,Tot_res!C:D,2,FALSE)</f>
        <v>Sucesiones y donaciones, sobreesfuerzo fiscal</v>
      </c>
      <c r="D511" s="336">
        <f>-Gasto_o_ing_per_capita!D511+Gasto_o_ing_per_capita!$D511</f>
        <v>0</v>
      </c>
      <c r="E511" s="336">
        <f>-Gasto_o_ing_per_capita!E511+Gasto_o_ing_per_capita!$D511</f>
        <v>-12.873422840144368</v>
      </c>
      <c r="F511" s="336">
        <f>-Gasto_o_ing_per_capita!F511+Gasto_o_ing_per_capita!$D511</f>
        <v>-22.871029433181111</v>
      </c>
      <c r="G511" s="336">
        <f>-Gasto_o_ing_per_capita!G511+Gasto_o_ing_per_capita!$D511</f>
        <v>-44.842512222334051</v>
      </c>
      <c r="H511" s="336">
        <f>-Gasto_o_ing_per_capita!H511+Gasto_o_ing_per_capita!$D511</f>
        <v>-20.417393030430024</v>
      </c>
      <c r="I511" s="336">
        <f>-Gasto_o_ing_per_capita!I511+Gasto_o_ing_per_capita!$D511</f>
        <v>-0.53637804866154992</v>
      </c>
      <c r="J511" s="336">
        <f>-Gasto_o_ing_per_capita!J511+Gasto_o_ing_per_capita!$D511</f>
        <v>-56.556145748568831</v>
      </c>
      <c r="K511" s="336">
        <f>-Gasto_o_ing_per_capita!K511+Gasto_o_ing_per_capita!$D511</f>
        <v>9.0710765078222622</v>
      </c>
      <c r="L511" s="336">
        <f>-Gasto_o_ing_per_capita!L511+Gasto_o_ing_per_capita!$D511</f>
        <v>1.5728671256066944</v>
      </c>
      <c r="M511" s="336">
        <f>-Gasto_o_ing_per_capita!M511+Gasto_o_ing_per_capita!$D511</f>
        <v>16.718009720808823</v>
      </c>
      <c r="N511" s="336">
        <f>-Gasto_o_ing_per_capita!N511+Gasto_o_ing_per_capita!$D511</f>
        <v>15.364214843121449</v>
      </c>
      <c r="O511" s="336">
        <f>-Gasto_o_ing_per_capita!O511+Gasto_o_ing_per_capita!$D511</f>
        <v>-15.69528559532171</v>
      </c>
      <c r="P511" s="336">
        <f>-Gasto_o_ing_per_capita!P511+Gasto_o_ing_per_capita!$D511</f>
        <v>6.6280027917556072</v>
      </c>
      <c r="Q511" s="336">
        <f>-Gasto_o_ing_per_capita!Q511+Gasto_o_ing_per_capita!$D511</f>
        <v>-3.001332467775808</v>
      </c>
      <c r="R511" s="336">
        <f>-Gasto_o_ing_per_capita!R511+Gasto_o_ing_per_capita!$D511</f>
        <v>-1.477486567686364</v>
      </c>
      <c r="S511" s="336">
        <f>-Gasto_o_ing_per_capita!S511+Gasto_o_ing_per_capita!$D511</f>
        <v>-75.810941379199562</v>
      </c>
      <c r="T511" s="336">
        <f>-Gasto_o_ing_per_capita!T511+Gasto_o_ing_per_capita!$D511</f>
        <v>34.82248319905127</v>
      </c>
      <c r="U511" s="336">
        <f>-Gasto_o_ing_per_capita!U511+Gasto_o_ing_per_capita!$D511</f>
        <v>7.7360154087447031</v>
      </c>
      <c r="V511" s="336">
        <f>-Gasto_o_ing_per_capita!V511+Gasto_o_ing_per_capita!$D511</f>
        <v>27.814900705773375</v>
      </c>
    </row>
    <row r="512" spans="1:22" s="102" customFormat="1" ht="13.15">
      <c r="A512" s="355" t="str">
        <f>IF(B512="","",(IF(ISERROR(MATCH(B512,Tot_res!C:C,0)),"Eliminar!!!","")))</f>
        <v/>
      </c>
      <c r="B512" s="102" t="s">
        <v>664</v>
      </c>
      <c r="C512" s="333" t="str">
        <f>VLOOKUP(B512,Tot_res!C:D,2,FALSE)</f>
        <v>Patrimonio, sobreesfuerzo fiscal</v>
      </c>
      <c r="D512" s="336">
        <f>-Gasto_o_ing_per_capita!D512+Gasto_o_ing_per_capita!$D512</f>
        <v>0</v>
      </c>
      <c r="E512" s="336">
        <f>-Gasto_o_ing_per_capita!E512+Gasto_o_ing_per_capita!$D512</f>
        <v>6.0489158787918239E-2</v>
      </c>
      <c r="F512" s="336">
        <f>-Gasto_o_ing_per_capita!F512+Gasto_o_ing_per_capita!$D512</f>
        <v>6.0489158787918239E-2</v>
      </c>
      <c r="G512" s="336">
        <f>-Gasto_o_ing_per_capita!G512+Gasto_o_ing_per_capita!$D512</f>
        <v>6.0489158787918239E-2</v>
      </c>
      <c r="H512" s="336">
        <f>-Gasto_o_ing_per_capita!H512+Gasto_o_ing_per_capita!$D512</f>
        <v>6.0489158787918239E-2</v>
      </c>
      <c r="I512" s="336">
        <f>-Gasto_o_ing_per_capita!I512+Gasto_o_ing_per_capita!$D512</f>
        <v>6.0489158787918239E-2</v>
      </c>
      <c r="J512" s="336">
        <f>-Gasto_o_ing_per_capita!J512+Gasto_o_ing_per_capita!$D512</f>
        <v>6.0489158787918239E-2</v>
      </c>
      <c r="K512" s="336">
        <f>-Gasto_o_ing_per_capita!K512+Gasto_o_ing_per_capita!$D512</f>
        <v>6.0489158787918239E-2</v>
      </c>
      <c r="L512" s="336">
        <f>-Gasto_o_ing_per_capita!L512+Gasto_o_ing_per_capita!$D512</f>
        <v>6.0489158787918239E-2</v>
      </c>
      <c r="M512" s="336">
        <f>-Gasto_o_ing_per_capita!M512+Gasto_o_ing_per_capita!$D512</f>
        <v>6.0489158787918239E-2</v>
      </c>
      <c r="N512" s="336">
        <f>-Gasto_o_ing_per_capita!N512+Gasto_o_ing_per_capita!$D512</f>
        <v>6.0489158787918239E-2</v>
      </c>
      <c r="O512" s="336">
        <f>-Gasto_o_ing_per_capita!O512+Gasto_o_ing_per_capita!$D512</f>
        <v>6.0489158787918239E-2</v>
      </c>
      <c r="P512" s="336">
        <f>-Gasto_o_ing_per_capita!P512+Gasto_o_ing_per_capita!$D512</f>
        <v>6.0489158787918239E-2</v>
      </c>
      <c r="Q512" s="336">
        <f>-Gasto_o_ing_per_capita!Q512+Gasto_o_ing_per_capita!$D512</f>
        <v>6.0489158787918239E-2</v>
      </c>
      <c r="R512" s="336">
        <f>-Gasto_o_ing_per_capita!R512+Gasto_o_ing_per_capita!$D512</f>
        <v>6.0489158787918239E-2</v>
      </c>
      <c r="S512" s="336">
        <f>-Gasto_o_ing_per_capita!S512+Gasto_o_ing_per_capita!$D512</f>
        <v>6.0489158787918239E-2</v>
      </c>
      <c r="T512" s="336">
        <f>-Gasto_o_ing_per_capita!T512+Gasto_o_ing_per_capita!$D512</f>
        <v>6.0489158787918239E-2</v>
      </c>
      <c r="U512" s="336">
        <f>-Gasto_o_ing_per_capita!U512+Gasto_o_ing_per_capita!$D512</f>
        <v>6.0489158787918239E-2</v>
      </c>
      <c r="V512" s="336">
        <f>-Gasto_o_ing_per_capita!V512+Gasto_o_ing_per_capita!$D512</f>
        <v>-16.777571974046005</v>
      </c>
    </row>
    <row r="513" spans="1:22" s="102" customFormat="1" ht="13.15">
      <c r="A513" s="355" t="str">
        <f>IF(B513="","",(IF(ISERROR(MATCH(B513,Tot_res!C:C,0)),"Eliminar!!!","")))</f>
        <v/>
      </c>
      <c r="B513" s="102" t="s">
        <v>1125</v>
      </c>
      <c r="C513" s="333" t="str">
        <f>VLOOKUP(B513,Tot_res!C:D,2,FALSE)</f>
        <v>IH, sobreesfuerzo fiscal</v>
      </c>
      <c r="D513" s="336">
        <f>-Gasto_o_ing_per_capita!D513+Gasto_o_ing_per_capita!$D513</f>
        <v>0</v>
      </c>
      <c r="E513" s="336">
        <f>-Gasto_o_ing_per_capita!E513+Gasto_o_ing_per_capita!$D513</f>
        <v>-3.5515558237367806</v>
      </c>
      <c r="F513" s="336">
        <f>-Gasto_o_ing_per_capita!F513+Gasto_o_ing_per_capita!$D513</f>
        <v>16.91086140221142</v>
      </c>
      <c r="G513" s="336">
        <f>-Gasto_o_ing_per_capita!G513+Gasto_o_ing_per_capita!$D513</f>
        <v>-2.837960792824429</v>
      </c>
      <c r="H513" s="336">
        <f>-Gasto_o_ing_per_capita!H513+Gasto_o_ing_per_capita!$D513</f>
        <v>-9.4786790143978656</v>
      </c>
      <c r="I513" s="336">
        <f>-Gasto_o_ing_per_capita!I513+Gasto_o_ing_per_capita!$D513</f>
        <v>18.604641154557793</v>
      </c>
      <c r="J513" s="336">
        <f>-Gasto_o_ing_per_capita!J513+Gasto_o_ing_per_capita!$D513</f>
        <v>16.441968128123779</v>
      </c>
      <c r="K513" s="336">
        <f>-Gasto_o_ing_per_capita!K513+Gasto_o_ing_per_capita!$D513</f>
        <v>-9.3010815327072862</v>
      </c>
      <c r="L513" s="336">
        <f>-Gasto_o_ing_per_capita!L513+Gasto_o_ing_per_capita!$D513</f>
        <v>-12.869216100001879</v>
      </c>
      <c r="M513" s="336">
        <f>-Gasto_o_ing_per_capita!M513+Gasto_o_ing_per_capita!$D513</f>
        <v>-7.1402697700785787</v>
      </c>
      <c r="N513" s="336">
        <f>-Gasto_o_ing_per_capita!N513+Gasto_o_ing_per_capita!$D513</f>
        <v>-4.8578924436386011</v>
      </c>
      <c r="O513" s="336">
        <f>-Gasto_o_ing_per_capita!O513+Gasto_o_ing_per_capita!$D513</f>
        <v>-15.075603357342125</v>
      </c>
      <c r="P513" s="336">
        <f>-Gasto_o_ing_per_capita!P513+Gasto_o_ing_per_capita!$D513</f>
        <v>9.1368552032516188</v>
      </c>
      <c r="Q513" s="336">
        <f>-Gasto_o_ing_per_capita!Q513+Gasto_o_ing_per_capita!$D513</f>
        <v>9.6392957111694919</v>
      </c>
      <c r="R513" s="336">
        <f>-Gasto_o_ing_per_capita!R513+Gasto_o_ing_per_capita!$D513</f>
        <v>-11.146314705799671</v>
      </c>
      <c r="S513" s="336">
        <f>-Gasto_o_ing_per_capita!S513+Gasto_o_ing_per_capita!$D513</f>
        <v>1.976425296828527</v>
      </c>
      <c r="T513" s="336">
        <f>-Gasto_o_ing_per_capita!T513+Gasto_o_ing_per_capita!$D513</f>
        <v>16.499601879765773</v>
      </c>
      <c r="U513" s="336">
        <f>-Gasto_o_ing_per_capita!U513+Gasto_o_ing_per_capita!$D513</f>
        <v>16.956991396620758</v>
      </c>
      <c r="V513" s="336">
        <f>-Gasto_o_ing_per_capita!V513+Gasto_o_ing_per_capita!$D513</f>
        <v>17.662557966995173</v>
      </c>
    </row>
    <row r="514" spans="1:22" s="102" customFormat="1" ht="13.15">
      <c r="A514" s="355" t="str">
        <f>IF(B514="","",(IF(ISERROR(MATCH(B514,Tot_res!C:C,0)),"Eliminar!!!","")))</f>
        <v/>
      </c>
      <c r="B514" s="102" t="s">
        <v>463</v>
      </c>
      <c r="C514" s="333" t="str">
        <f>VLOOKUP(B514,Tot_res!C:D,2,FALSE)</f>
        <v>ITP y AJD, sobreesfuerzo fiscal</v>
      </c>
      <c r="D514" s="336">
        <f>-Gasto_o_ing_per_capita!D514+Gasto_o_ing_per_capita!$D514</f>
        <v>0</v>
      </c>
      <c r="E514" s="336">
        <f>-Gasto_o_ing_per_capita!E514+Gasto_o_ing_per_capita!$D514</f>
        <v>-1.3095623096564286</v>
      </c>
      <c r="F514" s="336">
        <f>-Gasto_o_ing_per_capita!F514+Gasto_o_ing_per_capita!$D514</f>
        <v>2.3459203088741241</v>
      </c>
      <c r="G514" s="336">
        <f>-Gasto_o_ing_per_capita!G514+Gasto_o_ing_per_capita!$D514</f>
        <v>-0.31082964377591749</v>
      </c>
      <c r="H514" s="336">
        <f>-Gasto_o_ing_per_capita!H514+Gasto_o_ing_per_capita!$D514</f>
        <v>-2.4366942863063312</v>
      </c>
      <c r="I514" s="336">
        <f>-Gasto_o_ing_per_capita!I514+Gasto_o_ing_per_capita!$D514</f>
        <v>4.7294045364015789</v>
      </c>
      <c r="J514" s="336">
        <f>-Gasto_o_ing_per_capita!J514+Gasto_o_ing_per_capita!$D514</f>
        <v>-1.0362228586909299</v>
      </c>
      <c r="K514" s="336">
        <f>-Gasto_o_ing_per_capita!K514+Gasto_o_ing_per_capita!$D514</f>
        <v>-1.4748466885619211</v>
      </c>
      <c r="L514" s="336">
        <f>-Gasto_o_ing_per_capita!L514+Gasto_o_ing_per_capita!$D514</f>
        <v>-0.58087802523374021</v>
      </c>
      <c r="M514" s="336">
        <f>-Gasto_o_ing_per_capita!M514+Gasto_o_ing_per_capita!$D514</f>
        <v>-6.7559239426467865</v>
      </c>
      <c r="N514" s="336">
        <f>-Gasto_o_ing_per_capita!N514+Gasto_o_ing_per_capita!$D514</f>
        <v>-2.1800696808259645</v>
      </c>
      <c r="O514" s="336">
        <f>-Gasto_o_ing_per_capita!O514+Gasto_o_ing_per_capita!$D514</f>
        <v>-1.2533338821888229E-2</v>
      </c>
      <c r="P514" s="336">
        <f>-Gasto_o_ing_per_capita!P514+Gasto_o_ing_per_capita!$D514</f>
        <v>-3.7262282981949117</v>
      </c>
      <c r="Q514" s="336">
        <f>-Gasto_o_ing_per_capita!Q514+Gasto_o_ing_per_capita!$D514</f>
        <v>1.9316850114989417</v>
      </c>
      <c r="R514" s="336">
        <f>-Gasto_o_ing_per_capita!R514+Gasto_o_ing_per_capita!$D514</f>
        <v>1.0848656419491083</v>
      </c>
      <c r="S514" s="336">
        <f>-Gasto_o_ing_per_capita!S514+Gasto_o_ing_per_capita!$D514</f>
        <v>16.020112615987419</v>
      </c>
      <c r="T514" s="336">
        <f>-Gasto_o_ing_per_capita!T514+Gasto_o_ing_per_capita!$D514</f>
        <v>28.888423899070791</v>
      </c>
      <c r="U514" s="336">
        <f>-Gasto_o_ing_per_capita!U514+Gasto_o_ing_per_capita!$D514</f>
        <v>2.2299255503857491</v>
      </c>
      <c r="V514" s="336">
        <f>-Gasto_o_ing_per_capita!V514+Gasto_o_ing_per_capita!$D514</f>
        <v>-57.480672079053157</v>
      </c>
    </row>
    <row r="515" spans="1:22" s="102" customFormat="1" ht="13.15">
      <c r="A515" s="355" t="str">
        <f>IF(B515="","",(IF(ISERROR(MATCH(B515,Tot_res!C:C,0)),"Eliminar!!!","")))</f>
        <v/>
      </c>
      <c r="B515" s="102" t="s">
        <v>464</v>
      </c>
      <c r="C515" s="333" t="str">
        <f>VLOOKUP(B515,Tot_res!C:D,2,FALSE)</f>
        <v>IVMH, sobreesfuerzo fiscal</v>
      </c>
      <c r="D515" s="336">
        <f>-Gasto_o_ing_per_capita!D515+Gasto_o_ing_per_capita!$D515</f>
        <v>0</v>
      </c>
      <c r="E515" s="336">
        <f>-Gasto_o_ing_per_capita!E515+Gasto_o_ing_per_capita!$D515</f>
        <v>-1.0546783258434802</v>
      </c>
      <c r="F515" s="336">
        <f>-Gasto_o_ing_per_capita!F515+Gasto_o_ing_per_capita!$D515</f>
        <v>4.5881018489878374</v>
      </c>
      <c r="G515" s="336">
        <f>-Gasto_o_ing_per_capita!G515+Gasto_o_ing_per_capita!$D515</f>
        <v>1.3990982803965979</v>
      </c>
      <c r="H515" s="336">
        <f>-Gasto_o_ing_per_capita!H515+Gasto_o_ing_per_capita!$D515</f>
        <v>-1.2637298428555805</v>
      </c>
      <c r="I515" s="336">
        <f>-Gasto_o_ing_per_capita!I515+Gasto_o_ing_per_capita!$D515</f>
        <v>5.0499510894616657</v>
      </c>
      <c r="J515" s="336">
        <f>-Gasto_o_ing_per_capita!J515+Gasto_o_ing_per_capita!$D515</f>
        <v>-1.8553928421014794</v>
      </c>
      <c r="K515" s="336">
        <f>-Gasto_o_ing_per_capita!K515+Gasto_o_ing_per_capita!$D515</f>
        <v>-3.2679043553589668</v>
      </c>
      <c r="L515" s="336">
        <f>-Gasto_o_ing_per_capita!L515+Gasto_o_ing_per_capita!$D515</f>
        <v>-3.0205389760824239</v>
      </c>
      <c r="M515" s="336">
        <f>-Gasto_o_ing_per_capita!M515+Gasto_o_ing_per_capita!$D515</f>
        <v>-2.1829900130933186</v>
      </c>
      <c r="N515" s="336">
        <f>-Gasto_o_ing_per_capita!N515+Gasto_o_ing_per_capita!$D515</f>
        <v>-0.95789472321354552</v>
      </c>
      <c r="O515" s="336">
        <f>-Gasto_o_ing_per_capita!O515+Gasto_o_ing_per_capita!$D515</f>
        <v>-2.5761500306654153</v>
      </c>
      <c r="P515" s="336">
        <f>-Gasto_o_ing_per_capita!P515+Gasto_o_ing_per_capita!$D515</f>
        <v>2.315510359389684</v>
      </c>
      <c r="Q515" s="336">
        <f>-Gasto_o_ing_per_capita!Q515+Gasto_o_ing_per_capita!$D515</f>
        <v>2.3260129802479326</v>
      </c>
      <c r="R515" s="336">
        <f>-Gasto_o_ing_per_capita!R515+Gasto_o_ing_per_capita!$D515</f>
        <v>-0.96394500264907812</v>
      </c>
      <c r="S515" s="336">
        <f>-Gasto_o_ing_per_capita!S515+Gasto_o_ing_per_capita!$D515</f>
        <v>-0.59447321843448186</v>
      </c>
      <c r="T515" s="336">
        <f>-Gasto_o_ing_per_capita!T515+Gasto_o_ing_per_capita!$D515</f>
        <v>4.4759621815865529</v>
      </c>
      <c r="U515" s="336">
        <f>-Gasto_o_ing_per_capita!U515+Gasto_o_ing_per_capita!$D515</f>
        <v>4.6006802865630299</v>
      </c>
      <c r="V515" s="336">
        <f>-Gasto_o_ing_per_capita!V515+Gasto_o_ing_per_capita!$D515</f>
        <v>4.7930697540718548</v>
      </c>
    </row>
    <row r="516" spans="1:22" s="102" customFormat="1" ht="13.15">
      <c r="A516" s="355" t="str">
        <f>IF(B516="","",(IF(ISERROR(MATCH(B516,Tot_res!C:C,0)),"Eliminar!!!","")))</f>
        <v/>
      </c>
      <c r="B516" s="102" t="s">
        <v>466</v>
      </c>
      <c r="C516" s="333" t="str">
        <f>VLOOKUP(B516,Tot_res!C:D,2,FALSE)</f>
        <v>Tasas sobre el juego, sobreesfuerzo fiscal</v>
      </c>
      <c r="D516" s="336">
        <f>-Gasto_o_ing_per_capita!D516+Gasto_o_ing_per_capita!$D516</f>
        <v>0</v>
      </c>
      <c r="E516" s="336">
        <f>-Gasto_o_ing_per_capita!E516+Gasto_o_ing_per_capita!$D516</f>
        <v>-1.1545242747068583</v>
      </c>
      <c r="F516" s="336">
        <f>-Gasto_o_ing_per_capita!F516+Gasto_o_ing_per_capita!$D516</f>
        <v>-6.2573913206145999</v>
      </c>
      <c r="G516" s="336">
        <f>-Gasto_o_ing_per_capita!G516+Gasto_o_ing_per_capita!$D516</f>
        <v>-3.4974121275204033</v>
      </c>
      <c r="H516" s="336">
        <f>-Gasto_o_ing_per_capita!H516+Gasto_o_ing_per_capita!$D516</f>
        <v>6.3742481983813555</v>
      </c>
      <c r="I516" s="336">
        <f>-Gasto_o_ing_per_capita!I516+Gasto_o_ing_per_capita!$D516</f>
        <v>-8.4510344948518057</v>
      </c>
      <c r="J516" s="336">
        <f>-Gasto_o_ing_per_capita!J516+Gasto_o_ing_per_capita!$D516</f>
        <v>-2.3818266348505364</v>
      </c>
      <c r="K516" s="336">
        <f>-Gasto_o_ing_per_capita!K516+Gasto_o_ing_per_capita!$D516</f>
        <v>-1.0027619086778807</v>
      </c>
      <c r="L516" s="336">
        <f>-Gasto_o_ing_per_capita!L516+Gasto_o_ing_per_capita!$D516</f>
        <v>2.9425884136013942</v>
      </c>
      <c r="M516" s="336">
        <f>-Gasto_o_ing_per_capita!M516+Gasto_o_ing_per_capita!$D516</f>
        <v>-5.8794467175364318</v>
      </c>
      <c r="N516" s="336">
        <f>-Gasto_o_ing_per_capita!N516+Gasto_o_ing_per_capita!$D516</f>
        <v>3.2651346290416403</v>
      </c>
      <c r="O516" s="336">
        <f>-Gasto_o_ing_per_capita!O516+Gasto_o_ing_per_capita!$D516</f>
        <v>-4.8631357653069447</v>
      </c>
      <c r="P516" s="336">
        <f>-Gasto_o_ing_per_capita!P516+Gasto_o_ing_per_capita!$D516</f>
        <v>0.14988655917315161</v>
      </c>
      <c r="Q516" s="336">
        <f>-Gasto_o_ing_per_capita!Q516+Gasto_o_ing_per_capita!$D516</f>
        <v>12.696113321746695</v>
      </c>
      <c r="R516" s="336">
        <f>-Gasto_o_ing_per_capita!R516+Gasto_o_ing_per_capita!$D516</f>
        <v>-0.49883785239957495</v>
      </c>
      <c r="S516" s="336">
        <f>-Gasto_o_ing_per_capita!S516+Gasto_o_ing_per_capita!$D516</f>
        <v>2.6771578493611123</v>
      </c>
      <c r="T516" s="336">
        <f>-Gasto_o_ing_per_capita!T516+Gasto_o_ing_per_capita!$D516</f>
        <v>-7.9549467239350014</v>
      </c>
      <c r="U516" s="336">
        <f>-Gasto_o_ing_per_capita!U516+Gasto_o_ing_per_capita!$D516</f>
        <v>-4.2417015362857677</v>
      </c>
      <c r="V516" s="336">
        <f>-Gasto_o_ing_per_capita!V516+Gasto_o_ing_per_capita!$D516</f>
        <v>-7.7688534325318921</v>
      </c>
    </row>
    <row r="517" spans="1:22" s="102" customFormat="1" ht="13.15">
      <c r="A517" s="355" t="str">
        <f>IF(B517="","",(IF(ISERROR(MATCH(B517,Tot_res!C:C,0)),"Eliminar!!!","")))</f>
        <v/>
      </c>
      <c r="B517" s="102" t="s">
        <v>467</v>
      </c>
      <c r="C517" s="333" t="str">
        <f>VLOOKUP(B517,Tot_res!C:D,2,FALSE)</f>
        <v>Canarias, sobreesfuerzo fiscal consumo</v>
      </c>
      <c r="D517" s="336">
        <f>-Gasto_o_ing_per_capita!D517+Gasto_o_ing_per_capita!$D517</f>
        <v>0</v>
      </c>
      <c r="E517" s="336">
        <f>-Gasto_o_ing_per_capita!E517+Gasto_o_ing_per_capita!$D517</f>
        <v>-36.631894837163777</v>
      </c>
      <c r="F517" s="336">
        <f>-Gasto_o_ing_per_capita!F517+Gasto_o_ing_per_capita!$D517</f>
        <v>-36.325656732961654</v>
      </c>
      <c r="G517" s="336">
        <f>-Gasto_o_ing_per_capita!G517+Gasto_o_ing_per_capita!$D517</f>
        <v>-33.851721762771362</v>
      </c>
      <c r="H517" s="336">
        <f>-Gasto_o_ing_per_capita!H517+Gasto_o_ing_per_capita!$D517</f>
        <v>-36.383886371561026</v>
      </c>
      <c r="I517" s="336">
        <f>-Gasto_o_ing_per_capita!I517+Gasto_o_ing_per_capita!$D517</f>
        <v>764.21128000863871</v>
      </c>
      <c r="J517" s="336">
        <f>-Gasto_o_ing_per_capita!J517+Gasto_o_ing_per_capita!$D517</f>
        <v>-34.856196724665594</v>
      </c>
      <c r="K517" s="336">
        <f>-Gasto_o_ing_per_capita!K517+Gasto_o_ing_per_capita!$D517</f>
        <v>-35.923704190541649</v>
      </c>
      <c r="L517" s="336">
        <f>-Gasto_o_ing_per_capita!L517+Gasto_o_ing_per_capita!$D517</f>
        <v>-36.584067484616263</v>
      </c>
      <c r="M517" s="336">
        <f>-Gasto_o_ing_per_capita!M517+Gasto_o_ing_per_capita!$D517</f>
        <v>-36.308799451174096</v>
      </c>
      <c r="N517" s="336">
        <f>-Gasto_o_ing_per_capita!N517+Gasto_o_ing_per_capita!$D517</f>
        <v>-36.510845194314669</v>
      </c>
      <c r="O517" s="336">
        <f>-Gasto_o_ing_per_capita!O517+Gasto_o_ing_per_capita!$D517</f>
        <v>-36.771543729608446</v>
      </c>
      <c r="P517" s="336">
        <f>-Gasto_o_ing_per_capita!P517+Gasto_o_ing_per_capita!$D517</f>
        <v>-35.165257164898009</v>
      </c>
      <c r="Q517" s="336">
        <f>-Gasto_o_ing_per_capita!Q517+Gasto_o_ing_per_capita!$D517</f>
        <v>-35.332647160490204</v>
      </c>
      <c r="R517" s="336">
        <f>-Gasto_o_ing_per_capita!R517+Gasto_o_ing_per_capita!$D517</f>
        <v>-36.710798769444004</v>
      </c>
      <c r="S517" s="336">
        <f>-Gasto_o_ing_per_capita!S517+Gasto_o_ing_per_capita!$D517</f>
        <v>-35.337455942162677</v>
      </c>
      <c r="T517" s="336">
        <f>-Gasto_o_ing_per_capita!T517+Gasto_o_ing_per_capita!$D517</f>
        <v>-33.89843640105623</v>
      </c>
      <c r="U517" s="336">
        <f>-Gasto_o_ing_per_capita!U517+Gasto_o_ing_per_capita!$D517</f>
        <v>-36.443962193325802</v>
      </c>
      <c r="V517" s="336">
        <f>-Gasto_o_ing_per_capita!V517+Gasto_o_ing_per_capita!$D517</f>
        <v>-36.465851273428122</v>
      </c>
    </row>
    <row r="518" spans="1:22" s="102" customFormat="1" ht="13.15">
      <c r="A518" s="355" t="str">
        <f>IF(B518="","",(IF(ISERROR(MATCH(B518,Tot_res!C:C,0)),"Eliminar!!!","")))</f>
        <v/>
      </c>
      <c r="B518" s="102" t="s">
        <v>468</v>
      </c>
      <c r="C518" s="333" t="str">
        <f>VLOOKUP(B518,Tot_res!C:D,2,FALSE)</f>
        <v>Ceuta y Melilla, sobreesfuerzo fiscal consumo</v>
      </c>
      <c r="D518" s="336">
        <f>-Gasto_o_ing_per_capita!D518+Gasto_o_ing_per_capita!$D518</f>
        <v>0</v>
      </c>
      <c r="E518" s="336">
        <f>-Gasto_o_ing_per_capita!E518+Gasto_o_ing_per_capita!$D518</f>
        <v>-1.3727546371624801</v>
      </c>
      <c r="F518" s="336">
        <f>-Gasto_o_ing_per_capita!F518+Gasto_o_ing_per_capita!$D518</f>
        <v>-1.3727546371624801</v>
      </c>
      <c r="G518" s="336">
        <f>-Gasto_o_ing_per_capita!G518+Gasto_o_ing_per_capita!$D518</f>
        <v>-1.3727546371624801</v>
      </c>
      <c r="H518" s="336">
        <f>-Gasto_o_ing_per_capita!H518+Gasto_o_ing_per_capita!$D518</f>
        <v>-1.3727546371624801</v>
      </c>
      <c r="I518" s="336">
        <f>-Gasto_o_ing_per_capita!I518+Gasto_o_ing_per_capita!$D518</f>
        <v>-1.3727546371624801</v>
      </c>
      <c r="J518" s="336">
        <f>-Gasto_o_ing_per_capita!J518+Gasto_o_ing_per_capita!$D518</f>
        <v>-1.3727546371624801</v>
      </c>
      <c r="K518" s="336">
        <f>-Gasto_o_ing_per_capita!K518+Gasto_o_ing_per_capita!$D518</f>
        <v>-1.3727546371624801</v>
      </c>
      <c r="L518" s="336">
        <f>-Gasto_o_ing_per_capita!L518+Gasto_o_ing_per_capita!$D518</f>
        <v>-1.3727546371624801</v>
      </c>
      <c r="M518" s="336">
        <f>-Gasto_o_ing_per_capita!M518+Gasto_o_ing_per_capita!$D518</f>
        <v>-1.3727546371624801</v>
      </c>
      <c r="N518" s="336">
        <f>-Gasto_o_ing_per_capita!N518+Gasto_o_ing_per_capita!$D518</f>
        <v>-1.3727546371624801</v>
      </c>
      <c r="O518" s="336">
        <f>-Gasto_o_ing_per_capita!O518+Gasto_o_ing_per_capita!$D518</f>
        <v>-1.3727546371624801</v>
      </c>
      <c r="P518" s="336">
        <f>-Gasto_o_ing_per_capita!P518+Gasto_o_ing_per_capita!$D518</f>
        <v>-1.3727546371624801</v>
      </c>
      <c r="Q518" s="336">
        <f>-Gasto_o_ing_per_capita!Q518+Gasto_o_ing_per_capita!$D518</f>
        <v>-1.3727546371624801</v>
      </c>
      <c r="R518" s="336">
        <f>-Gasto_o_ing_per_capita!R518+Gasto_o_ing_per_capita!$D518</f>
        <v>-1.3727546371624801</v>
      </c>
      <c r="S518" s="336">
        <f>-Gasto_o_ing_per_capita!S518+Gasto_o_ing_per_capita!$D518</f>
        <v>-1.3727546371624801</v>
      </c>
      <c r="T518" s="336">
        <f>-Gasto_o_ing_per_capita!T518+Gasto_o_ing_per_capita!$D518</f>
        <v>-1.3727546371624801</v>
      </c>
      <c r="U518" s="336">
        <f>-Gasto_o_ing_per_capita!U518+Gasto_o_ing_per_capita!$D518</f>
        <v>-1.3727546371624801</v>
      </c>
      <c r="V518" s="336">
        <f>-Gasto_o_ing_per_capita!V518+Gasto_o_ing_per_capita!$D518</f>
        <v>380.75400930024341</v>
      </c>
    </row>
    <row r="519" spans="1:22" s="102" customFormat="1" ht="13.15">
      <c r="A519" s="355" t="str">
        <f>IF(B519="","",(IF(ISERROR(MATCH(B519,Tot_res!C:C,0)),"Eliminar!!!","")))</f>
        <v/>
      </c>
      <c r="B519" s="102" t="s">
        <v>469</v>
      </c>
      <c r="C519" s="333" t="str">
        <f>VLOOKUP(B519,Tot_res!C:D,2,FALSE)</f>
        <v>Impuesto de matriculación, sobreesfuerzo fiscal</v>
      </c>
      <c r="D519" s="336">
        <f>-Gasto_o_ing_per_capita!D519+Gasto_o_ing_per_capita!$D519</f>
        <v>0</v>
      </c>
      <c r="E519" s="336">
        <f>-Gasto_o_ing_per_capita!E519+Gasto_o_ing_per_capita!$D519</f>
        <v>-5.0478578322081344E-2</v>
      </c>
      <c r="F519" s="336">
        <f>-Gasto_o_ing_per_capita!F519+Gasto_o_ing_per_capita!$D519</f>
        <v>3.9392306184901409E-2</v>
      </c>
      <c r="G519" s="336">
        <f>-Gasto_o_ing_per_capita!G519+Gasto_o_ing_per_capita!$D519</f>
        <v>2.8274637574233069E-3</v>
      </c>
      <c r="H519" s="336">
        <f>-Gasto_o_ing_per_capita!H519+Gasto_o_ing_per_capita!$D519</f>
        <v>-8.2736626171458882E-2</v>
      </c>
      <c r="I519" s="336">
        <f>-Gasto_o_ing_per_capita!I519+Gasto_o_ing_per_capita!$D519</f>
        <v>4.1881721096112885E-2</v>
      </c>
      <c r="J519" s="336">
        <f>-Gasto_o_ing_per_capita!J519+Gasto_o_ing_per_capita!$D519</f>
        <v>-9.6946108217195182E-2</v>
      </c>
      <c r="K519" s="336">
        <f>-Gasto_o_ing_per_capita!K519+Gasto_o_ing_per_capita!$D519</f>
        <v>3.9526031084009032E-2</v>
      </c>
      <c r="L519" s="336">
        <f>-Gasto_o_ing_per_capita!L519+Gasto_o_ing_per_capita!$D519</f>
        <v>3.9849255799109022E-2</v>
      </c>
      <c r="M519" s="336">
        <f>-Gasto_o_ing_per_capita!M519+Gasto_o_ing_per_capita!$D519</f>
        <v>-3.834480455022353E-2</v>
      </c>
      <c r="N519" s="336">
        <f>-Gasto_o_ing_per_capita!N519+Gasto_o_ing_per_capita!$D519</f>
        <v>3.9631058731922589E-2</v>
      </c>
      <c r="O519" s="336">
        <f>-Gasto_o_ing_per_capita!O519+Gasto_o_ing_per_capita!$D519</f>
        <v>-0.19379392616793811</v>
      </c>
      <c r="P519" s="336">
        <f>-Gasto_o_ing_per_capita!P519+Gasto_o_ing_per_capita!$D519</f>
        <v>3.9575409763148911E-2</v>
      </c>
      <c r="Q519" s="336">
        <f>-Gasto_o_ing_per_capita!Q519+Gasto_o_ing_per_capita!$D519</f>
        <v>3.8923142181388246E-2</v>
      </c>
      <c r="R519" s="336">
        <f>-Gasto_o_ing_per_capita!R519+Gasto_o_ing_per_capita!$D519</f>
        <v>3.9935287974601469E-2</v>
      </c>
      <c r="S519" s="336">
        <f>-Gasto_o_ing_per_capita!S519+Gasto_o_ing_per_capita!$D519</f>
        <v>3.9235402988328387E-2</v>
      </c>
      <c r="T519" s="336">
        <f>-Gasto_o_ing_per_capita!T519+Gasto_o_ing_per_capita!$D519</f>
        <v>3.8784874493057508E-2</v>
      </c>
      <c r="U519" s="336">
        <f>-Gasto_o_ing_per_capita!U519+Gasto_o_ing_per_capita!$D519</f>
        <v>3.9460440341120284E-2</v>
      </c>
      <c r="V519" s="336">
        <f>-Gasto_o_ing_per_capita!V519+Gasto_o_ing_per_capita!$D519</f>
        <v>4.0502564528305925E-2</v>
      </c>
    </row>
    <row r="520" spans="1:22" s="102" customFormat="1" ht="13.15">
      <c r="A520" s="355" t="str">
        <f>IF(B520="","",(IF(ISERROR(MATCH(B520,Tot_res!C:C,0)),"Eliminar!!!","")))</f>
        <v/>
      </c>
      <c r="B520" s="102" t="s">
        <v>470</v>
      </c>
      <c r="C520" s="333" t="str">
        <f>VLOOKUP(B520,Tot_res!C:D,2,FALSE)</f>
        <v>Impuestos propios de las CCAA</v>
      </c>
      <c r="D520" s="336">
        <f>-Gasto_o_ing_per_capita!D520+Gasto_o_ing_per_capita!$D520</f>
        <v>0</v>
      </c>
      <c r="E520" s="336">
        <f>-Gasto_o_ing_per_capita!E520+Gasto_o_ing_per_capita!$D520</f>
        <v>20.01317441195269</v>
      </c>
      <c r="F520" s="336">
        <f>-Gasto_o_ing_per_capita!F520+Gasto_o_ing_per_capita!$D520</f>
        <v>2.8902624925516776</v>
      </c>
      <c r="G520" s="336">
        <f>-Gasto_o_ing_per_capita!G520+Gasto_o_ing_per_capita!$D520</f>
        <v>-40.637773706899168</v>
      </c>
      <c r="H520" s="336">
        <f>-Gasto_o_ing_per_capita!H520+Gasto_o_ing_per_capita!$D520</f>
        <v>-48.945150851110881</v>
      </c>
      <c r="I520" s="336">
        <f>-Gasto_o_ing_per_capita!I520+Gasto_o_ing_per_capita!$D520</f>
        <v>22.208151619042617</v>
      </c>
      <c r="J520" s="336">
        <f>-Gasto_o_ing_per_capita!J520+Gasto_o_ing_per_capita!$D520</f>
        <v>-6.7814820506056321</v>
      </c>
      <c r="K520" s="336">
        <f>-Gasto_o_ing_per_capita!K520+Gasto_o_ing_per_capita!$D520</f>
        <v>17.029052663161451</v>
      </c>
      <c r="L520" s="336">
        <f>-Gasto_o_ing_per_capita!L520+Gasto_o_ing_per_capita!$D520</f>
        <v>142.2200649139167</v>
      </c>
      <c r="M520" s="336">
        <f>-Gasto_o_ing_per_capita!M520+Gasto_o_ing_per_capita!$D520</f>
        <v>-88.39735501790507</v>
      </c>
      <c r="N520" s="336">
        <f>-Gasto_o_ing_per_capita!N520+Gasto_o_ing_per_capita!$D520</f>
        <v>-11.756529848611805</v>
      </c>
      <c r="O520" s="336">
        <f>-Gasto_o_ing_per_capita!O520+Gasto_o_ing_per_capita!$D520</f>
        <v>-88.54395286175675</v>
      </c>
      <c r="P520" s="336">
        <f>-Gasto_o_ing_per_capita!P520+Gasto_o_ing_per_capita!$D520</f>
        <v>12.312127338801588</v>
      </c>
      <c r="Q520" s="336">
        <f>-Gasto_o_ing_per_capita!Q520+Gasto_o_ing_per_capita!$D520</f>
        <v>53.469091738877275</v>
      </c>
      <c r="R520" s="336">
        <f>-Gasto_o_ing_per_capita!R520+Gasto_o_ing_per_capita!$D520</f>
        <v>9.4496687617390265</v>
      </c>
      <c r="S520" s="336">
        <f>-Gasto_o_ing_per_capita!S520+Gasto_o_ing_per_capita!$D520</f>
        <v>-20.711199859763497</v>
      </c>
      <c r="T520" s="336">
        <f>-Gasto_o_ing_per_capita!T520+Gasto_o_ing_per_capita!$D520</f>
        <v>-8.153065549595695</v>
      </c>
      <c r="U520" s="336">
        <f>-Gasto_o_ing_per_capita!U520+Gasto_o_ing_per_capita!$D520</f>
        <v>-22.809087036164499</v>
      </c>
      <c r="V520" s="336">
        <f>-Gasto_o_ing_per_capita!V520+Gasto_o_ing_per_capita!$D520</f>
        <v>58.943844578473843</v>
      </c>
    </row>
    <row r="521" spans="1:22" s="102" customFormat="1" ht="13.15">
      <c r="A521" s="356"/>
      <c r="C521" s="115"/>
      <c r="D521" s="110"/>
      <c r="E521" s="110"/>
      <c r="F521" s="110"/>
      <c r="G521" s="110"/>
      <c r="H521" s="110"/>
      <c r="I521" s="110"/>
      <c r="J521" s="110"/>
      <c r="K521" s="110"/>
      <c r="L521" s="110"/>
      <c r="M521" s="110"/>
      <c r="N521" s="110"/>
      <c r="O521" s="110"/>
      <c r="P521" s="110"/>
      <c r="Q521" s="110"/>
      <c r="R521" s="110"/>
      <c r="S521" s="110"/>
      <c r="T521" s="110"/>
      <c r="U521" s="110"/>
      <c r="V521" s="110"/>
    </row>
    <row r="522" spans="1:22" s="102" customFormat="1" ht="13.15">
      <c r="A522" s="356"/>
      <c r="C522" s="137" t="s">
        <v>436</v>
      </c>
      <c r="D522" s="110">
        <f>-Gasto_o_ing_per_capita!D522+Gasto_o_ing_per_capita!$D522</f>
        <v>0</v>
      </c>
      <c r="E522" s="110">
        <f>-Gasto_o_ing_per_capita!E522+Gasto_o_ing_per_capita!$D522</f>
        <v>87.102600006770331</v>
      </c>
      <c r="F522" s="110">
        <f>-Gasto_o_ing_per_capita!F522+Gasto_o_ing_per_capita!$D522</f>
        <v>-25.351542587438075</v>
      </c>
      <c r="G522" s="110">
        <f>-Gasto_o_ing_per_capita!G522+Gasto_o_ing_per_capita!$D522</f>
        <v>24.960866371963562</v>
      </c>
      <c r="H522" s="110">
        <f>-Gasto_o_ing_per_capita!H522+Gasto_o_ing_per_capita!$D522</f>
        <v>-148.63258364396245</v>
      </c>
      <c r="I522" s="110">
        <f>-Gasto_o_ing_per_capita!I522+Gasto_o_ing_per_capita!$D522</f>
        <v>117.6270835601872</v>
      </c>
      <c r="J522" s="110">
        <f>-Gasto_o_ing_per_capita!J522+Gasto_o_ing_per_capita!$D522</f>
        <v>-38.202854870212605</v>
      </c>
      <c r="K522" s="110">
        <f>-Gasto_o_ing_per_capita!K522+Gasto_o_ing_per_capita!$D522</f>
        <v>24.865942322386616</v>
      </c>
      <c r="L522" s="110">
        <f>-Gasto_o_ing_per_capita!L522+Gasto_o_ing_per_capita!$D522</f>
        <v>51.472687787591269</v>
      </c>
      <c r="M522" s="110">
        <f>-Gasto_o_ing_per_capita!M522+Gasto_o_ing_per_capita!$D522</f>
        <v>-126.50414413135547</v>
      </c>
      <c r="N522" s="110">
        <f>-Gasto_o_ing_per_capita!N522+Gasto_o_ing_per_capita!$D522</f>
        <v>15.070044509178729</v>
      </c>
      <c r="O522" s="110">
        <f>-Gasto_o_ing_per_capita!O522+Gasto_o_ing_per_capita!$D522</f>
        <v>154.95925695980321</v>
      </c>
      <c r="P522" s="110">
        <f>-Gasto_o_ing_per_capita!P522+Gasto_o_ing_per_capita!$D522</f>
        <v>128.03533254211015</v>
      </c>
      <c r="Q522" s="110">
        <f>-Gasto_o_ing_per_capita!Q522+Gasto_o_ing_per_capita!$D522</f>
        <v>-116.21836385478343</v>
      </c>
      <c r="R522" s="110">
        <f>-Gasto_o_ing_per_capita!R522+Gasto_o_ing_per_capita!$D522</f>
        <v>51.698922686884657</v>
      </c>
      <c r="S522" s="110">
        <f>-Gasto_o_ing_per_capita!S522+Gasto_o_ing_per_capita!$D522</f>
        <v>30.219637275830053</v>
      </c>
      <c r="T522" s="110">
        <f>-Gasto_o_ing_per_capita!T522+Gasto_o_ing_per_capita!$D522</f>
        <v>1.2964319660670753</v>
      </c>
      <c r="U522" s="110">
        <f>-Gasto_o_ing_per_capita!U522+Gasto_o_ing_per_capita!$D522</f>
        <v>-34.854341877732168</v>
      </c>
      <c r="V522" s="110">
        <f>-Gasto_o_ing_per_capita!V522+Gasto_o_ing_per_capita!$D522</f>
        <v>364.29558504980025</v>
      </c>
    </row>
    <row r="523" spans="1:22" s="102" customFormat="1" ht="13.15">
      <c r="A523" s="355" t="str">
        <f>IF(B523="","",(IF(ISERROR(MATCH(B523,Tot_res!C:C,0)),"Eliminar!!!","")))</f>
        <v/>
      </c>
      <c r="B523" s="102" t="s">
        <v>625</v>
      </c>
      <c r="C523" s="333" t="str">
        <f>VLOOKUP(B523,Tot_res!C:D,2,FALSE)</f>
        <v>Impuestos y tasas municipales</v>
      </c>
      <c r="D523" s="336">
        <f>-Gasto_o_ing_per_capita!D523+Gasto_o_ing_per_capita!$D523</f>
        <v>0</v>
      </c>
      <c r="E523" s="336">
        <f>-Gasto_o_ing_per_capita!E523+Gasto_o_ing_per_capita!$D523</f>
        <v>87.102600006770331</v>
      </c>
      <c r="F523" s="336">
        <f>-Gasto_o_ing_per_capita!F523+Gasto_o_ing_per_capita!$D523</f>
        <v>-25.351542587438075</v>
      </c>
      <c r="G523" s="336">
        <f>-Gasto_o_ing_per_capita!G523+Gasto_o_ing_per_capita!$D523</f>
        <v>24.960866371963562</v>
      </c>
      <c r="H523" s="336">
        <f>-Gasto_o_ing_per_capita!H523+Gasto_o_ing_per_capita!$D523</f>
        <v>-148.63258364396245</v>
      </c>
      <c r="I523" s="336">
        <f>-Gasto_o_ing_per_capita!I523+Gasto_o_ing_per_capita!$D523</f>
        <v>117.6270835601872</v>
      </c>
      <c r="J523" s="336">
        <f>-Gasto_o_ing_per_capita!J523+Gasto_o_ing_per_capita!$D523</f>
        <v>-38.202854870212605</v>
      </c>
      <c r="K523" s="336">
        <f>-Gasto_o_ing_per_capita!K523+Gasto_o_ing_per_capita!$D523</f>
        <v>24.865942322386616</v>
      </c>
      <c r="L523" s="336">
        <f>-Gasto_o_ing_per_capita!L523+Gasto_o_ing_per_capita!$D523</f>
        <v>51.472687787591269</v>
      </c>
      <c r="M523" s="336">
        <f>-Gasto_o_ing_per_capita!M523+Gasto_o_ing_per_capita!$D523</f>
        <v>-126.50414413135547</v>
      </c>
      <c r="N523" s="336">
        <f>-Gasto_o_ing_per_capita!N523+Gasto_o_ing_per_capita!$D523</f>
        <v>15.070044509178729</v>
      </c>
      <c r="O523" s="336">
        <f>-Gasto_o_ing_per_capita!O523+Gasto_o_ing_per_capita!$D523</f>
        <v>154.95925695980321</v>
      </c>
      <c r="P523" s="336">
        <f>-Gasto_o_ing_per_capita!P523+Gasto_o_ing_per_capita!$D523</f>
        <v>128.03533254211015</v>
      </c>
      <c r="Q523" s="336">
        <f>-Gasto_o_ing_per_capita!Q523+Gasto_o_ing_per_capita!$D523</f>
        <v>-116.21836385478343</v>
      </c>
      <c r="R523" s="336">
        <f>-Gasto_o_ing_per_capita!R523+Gasto_o_ing_per_capita!$D523</f>
        <v>51.698922686884657</v>
      </c>
      <c r="S523" s="336">
        <f>-Gasto_o_ing_per_capita!S523+Gasto_o_ing_per_capita!$D523</f>
        <v>30.219637275830053</v>
      </c>
      <c r="T523" s="336">
        <f>-Gasto_o_ing_per_capita!T523+Gasto_o_ing_per_capita!$D523</f>
        <v>1.2964319660670753</v>
      </c>
      <c r="U523" s="336">
        <f>-Gasto_o_ing_per_capita!U523+Gasto_o_ing_per_capita!$D523</f>
        <v>-34.854341877732168</v>
      </c>
      <c r="V523" s="336">
        <f>-Gasto_o_ing_per_capita!V523+Gasto_o_ing_per_capita!$D523</f>
        <v>364.29558504980025</v>
      </c>
    </row>
    <row r="524" spans="1:22" s="102" customFormat="1" ht="13.15">
      <c r="A524" s="356"/>
      <c r="D524" s="110"/>
      <c r="E524" s="110"/>
      <c r="F524" s="110"/>
      <c r="G524" s="110"/>
      <c r="H524" s="110"/>
      <c r="I524" s="110"/>
      <c r="J524" s="110"/>
      <c r="K524" s="110"/>
      <c r="L524" s="110"/>
      <c r="M524" s="110"/>
      <c r="N524" s="110"/>
      <c r="O524" s="110"/>
      <c r="P524" s="110"/>
      <c r="Q524" s="110"/>
      <c r="R524" s="110"/>
      <c r="S524" s="110"/>
      <c r="T524" s="110"/>
      <c r="U524" s="110"/>
      <c r="V524" s="110"/>
    </row>
    <row r="525" spans="1:22" s="102" customFormat="1" ht="13.15">
      <c r="A525" s="356"/>
      <c r="C525" s="137" t="s">
        <v>94</v>
      </c>
      <c r="D525" s="110">
        <f>-Gasto_o_ing_per_capita!D525+Gasto_o_ing_per_capita!$D525</f>
        <v>0</v>
      </c>
      <c r="E525" s="110">
        <f>-Gasto_o_ing_per_capita!E525+Gasto_o_ing_per_capita!$D525</f>
        <v>907.69190402986851</v>
      </c>
      <c r="F525" s="110">
        <f>-Gasto_o_ing_per_capita!F525+Gasto_o_ing_per_capita!$D525</f>
        <v>-348.20711682883393</v>
      </c>
      <c r="G525" s="110">
        <f>-Gasto_o_ing_per_capita!G525+Gasto_o_ing_per_capita!$D525</f>
        <v>-253.63640674518774</v>
      </c>
      <c r="H525" s="110">
        <f>-Gasto_o_ing_per_capita!H525+Gasto_o_ing_per_capita!$D525</f>
        <v>-318.33464371989612</v>
      </c>
      <c r="I525" s="110">
        <f>-Gasto_o_ing_per_capita!I525+Gasto_o_ing_per_capita!$D525</f>
        <v>1727.5181725671268</v>
      </c>
      <c r="J525" s="110">
        <f>-Gasto_o_ing_per_capita!J525+Gasto_o_ing_per_capita!$D525</f>
        <v>-283.80019330630057</v>
      </c>
      <c r="K525" s="110">
        <f>-Gasto_o_ing_per_capita!K525+Gasto_o_ing_per_capita!$D525</f>
        <v>128.54842897614617</v>
      </c>
      <c r="L525" s="110">
        <f>-Gasto_o_ing_per_capita!L525+Gasto_o_ing_per_capita!$D525</f>
        <v>896.65036643784879</v>
      </c>
      <c r="M525" s="110">
        <f>-Gasto_o_ing_per_capita!M525+Gasto_o_ing_per_capita!$D525</f>
        <v>-842.9606990607308</v>
      </c>
      <c r="N525" s="110">
        <f>-Gasto_o_ing_per_capita!N525+Gasto_o_ing_per_capita!$D525</f>
        <v>492.03876902580669</v>
      </c>
      <c r="O525" s="110">
        <f>-Gasto_o_ing_per_capita!O525+Gasto_o_ing_per_capita!$D525</f>
        <v>964.28668533325708</v>
      </c>
      <c r="P525" s="110">
        <f>-Gasto_o_ing_per_capita!P525+Gasto_o_ing_per_capita!$D525</f>
        <v>435.57397246583514</v>
      </c>
      <c r="Q525" s="110">
        <f>-Gasto_o_ing_per_capita!Q525+Gasto_o_ing_per_capita!$D525</f>
        <v>-1591.7320466592128</v>
      </c>
      <c r="R525" s="110">
        <f>-Gasto_o_ing_per_capita!R525+Gasto_o_ing_per_capita!$D525</f>
        <v>869.62584331410471</v>
      </c>
      <c r="S525" s="110">
        <f>-Gasto_o_ing_per_capita!S525+Gasto_o_ing_per_capita!$D525</f>
        <v>-205.89048774039293</v>
      </c>
      <c r="T525" s="110">
        <f>-Gasto_o_ing_per_capita!T525+Gasto_o_ing_per_capita!$D525</f>
        <v>-775.35899174493716</v>
      </c>
      <c r="U525" s="110">
        <f>-Gasto_o_ing_per_capita!U525+Gasto_o_ing_per_capita!$D525</f>
        <v>-107.28321573805442</v>
      </c>
      <c r="V525" s="110">
        <f>-Gasto_o_ing_per_capita!V525+Gasto_o_ing_per_capita!$D525</f>
        <v>1546.5205095050842</v>
      </c>
    </row>
    <row r="526" spans="1:22" s="102" customFormat="1" ht="13.15">
      <c r="A526" s="356"/>
      <c r="D526" s="110"/>
      <c r="E526" s="110"/>
      <c r="F526" s="110"/>
      <c r="G526" s="110"/>
      <c r="H526" s="110"/>
      <c r="I526" s="110"/>
      <c r="J526" s="110"/>
      <c r="K526" s="110"/>
      <c r="L526" s="110"/>
      <c r="M526" s="110"/>
      <c r="N526" s="110"/>
      <c r="O526" s="110"/>
      <c r="P526" s="110"/>
      <c r="Q526" s="110"/>
      <c r="R526" s="110"/>
      <c r="S526" s="110"/>
      <c r="T526" s="110"/>
      <c r="U526" s="110"/>
      <c r="V526" s="110"/>
    </row>
    <row r="527" spans="1:22" s="102" customFormat="1" ht="13.15">
      <c r="A527" s="356"/>
      <c r="C527" s="154" t="s">
        <v>437</v>
      </c>
      <c r="D527" s="110">
        <f>-Gasto_o_ing_per_capita!D527+Gasto_o_ing_per_capita!$D527</f>
        <v>0</v>
      </c>
      <c r="E527" s="110">
        <f>-Gasto_o_ing_per_capita!E527+Gasto_o_ing_per_capita!$D527</f>
        <v>612.76065268228581</v>
      </c>
      <c r="F527" s="110">
        <f>-Gasto_o_ing_per_capita!F527+Gasto_o_ing_per_capita!$D527</f>
        <v>-216.40350994503206</v>
      </c>
      <c r="G527" s="110">
        <f>-Gasto_o_ing_per_capita!G527+Gasto_o_ing_per_capita!$D527</f>
        <v>-64.913561573970583</v>
      </c>
      <c r="H527" s="110">
        <f>-Gasto_o_ing_per_capita!H527+Gasto_o_ing_per_capita!$D527</f>
        <v>-136.38649509897414</v>
      </c>
      <c r="I527" s="110">
        <f>-Gasto_o_ing_per_capita!I527+Gasto_o_ing_per_capita!$D527</f>
        <v>371.74906681841321</v>
      </c>
      <c r="J527" s="110">
        <f>-Gasto_o_ing_per_capita!J527+Gasto_o_ing_per_capita!$D527</f>
        <v>-80.101935464519102</v>
      </c>
      <c r="K527" s="110">
        <f>-Gasto_o_ing_per_capita!K527+Gasto_o_ing_per_capita!$D527</f>
        <v>71.899392383994382</v>
      </c>
      <c r="L527" s="110">
        <f>-Gasto_o_ing_per_capita!L527+Gasto_o_ing_per_capita!$D527</f>
        <v>399.41835499541457</v>
      </c>
      <c r="M527" s="110">
        <f>-Gasto_o_ing_per_capita!M527+Gasto_o_ing_per_capita!$D527</f>
        <v>-459.61304428955373</v>
      </c>
      <c r="N527" s="110">
        <f>-Gasto_o_ing_per_capita!N527+Gasto_o_ing_per_capita!$D527</f>
        <v>386.52513225835401</v>
      </c>
      <c r="O527" s="110">
        <f>-Gasto_o_ing_per_capita!O527+Gasto_o_ing_per_capita!$D527</f>
        <v>663.29694899374431</v>
      </c>
      <c r="P527" s="110">
        <f>-Gasto_o_ing_per_capita!P527+Gasto_o_ing_per_capita!$D527</f>
        <v>188.33926626883704</v>
      </c>
      <c r="Q527" s="110">
        <f>-Gasto_o_ing_per_capita!Q527+Gasto_o_ing_per_capita!$D527</f>
        <v>-688.69727544961779</v>
      </c>
      <c r="R527" s="110">
        <f>-Gasto_o_ing_per_capita!R527+Gasto_o_ing_per_capita!$D527</f>
        <v>509.73657927410295</v>
      </c>
      <c r="S527" s="110">
        <f>-Gasto_o_ing_per_capita!S527+Gasto_o_ing_per_capita!$D527</f>
        <v>-659.64546883951152</v>
      </c>
      <c r="T527" s="110">
        <f>-Gasto_o_ing_per_capita!T527+Gasto_o_ing_per_capita!$D527</f>
        <v>-935.03755649080722</v>
      </c>
      <c r="U527" s="110">
        <f>-Gasto_o_ing_per_capita!U527+Gasto_o_ing_per_capita!$D527</f>
        <v>-150.82428702927837</v>
      </c>
      <c r="V527" s="110">
        <f>-Gasto_o_ing_per_capita!V527+Gasto_o_ing_per_capita!$D527</f>
        <v>504.12965638816013</v>
      </c>
    </row>
    <row r="528" spans="1:22" s="102" customFormat="1" ht="13.15">
      <c r="A528" s="355" t="str">
        <f>IF(B528="","",(IF(ISERROR(MATCH(B528,Tot_res!C:C,0)),"Eliminar!!!","")))</f>
        <v/>
      </c>
      <c r="B528" s="102" t="s">
        <v>624</v>
      </c>
      <c r="C528" s="333" t="str">
        <f>VLOOKUP(B528,Tot_res!C:D,2,FALSE)</f>
        <v>Cotizaciones sociales</v>
      </c>
      <c r="D528" s="336">
        <f>-Gasto_o_ing_per_capita!D528+Gasto_o_ing_per_capita!$D528</f>
        <v>0</v>
      </c>
      <c r="E528" s="336">
        <f>-Gasto_o_ing_per_capita!E528+Gasto_o_ing_per_capita!$D528</f>
        <v>612.76065268228581</v>
      </c>
      <c r="F528" s="336">
        <f>-Gasto_o_ing_per_capita!F528+Gasto_o_ing_per_capita!$D528</f>
        <v>-216.40350994503206</v>
      </c>
      <c r="G528" s="336">
        <f>-Gasto_o_ing_per_capita!G528+Gasto_o_ing_per_capita!$D528</f>
        <v>-64.913561573970583</v>
      </c>
      <c r="H528" s="336">
        <f>-Gasto_o_ing_per_capita!H528+Gasto_o_ing_per_capita!$D528</f>
        <v>-136.38649509897414</v>
      </c>
      <c r="I528" s="336">
        <f>-Gasto_o_ing_per_capita!I528+Gasto_o_ing_per_capita!$D528</f>
        <v>371.74906681841321</v>
      </c>
      <c r="J528" s="336">
        <f>-Gasto_o_ing_per_capita!J528+Gasto_o_ing_per_capita!$D528</f>
        <v>-80.101935464519102</v>
      </c>
      <c r="K528" s="336">
        <f>-Gasto_o_ing_per_capita!K528+Gasto_o_ing_per_capita!$D528</f>
        <v>71.899392383994382</v>
      </c>
      <c r="L528" s="336">
        <f>-Gasto_o_ing_per_capita!L528+Gasto_o_ing_per_capita!$D528</f>
        <v>399.41835499541457</v>
      </c>
      <c r="M528" s="336">
        <f>-Gasto_o_ing_per_capita!M528+Gasto_o_ing_per_capita!$D528</f>
        <v>-459.61304428955373</v>
      </c>
      <c r="N528" s="336">
        <f>-Gasto_o_ing_per_capita!N528+Gasto_o_ing_per_capita!$D528</f>
        <v>386.52513225835401</v>
      </c>
      <c r="O528" s="336">
        <f>-Gasto_o_ing_per_capita!O528+Gasto_o_ing_per_capita!$D528</f>
        <v>663.29694899374431</v>
      </c>
      <c r="P528" s="336">
        <f>-Gasto_o_ing_per_capita!P528+Gasto_o_ing_per_capita!$D528</f>
        <v>188.33926626883704</v>
      </c>
      <c r="Q528" s="336">
        <f>-Gasto_o_ing_per_capita!Q528+Gasto_o_ing_per_capita!$D528</f>
        <v>-688.69727544961779</v>
      </c>
      <c r="R528" s="336">
        <f>-Gasto_o_ing_per_capita!R528+Gasto_o_ing_per_capita!$D528</f>
        <v>509.73657927410295</v>
      </c>
      <c r="S528" s="336">
        <f>-Gasto_o_ing_per_capita!S528+Gasto_o_ing_per_capita!$D528</f>
        <v>-659.64546883951152</v>
      </c>
      <c r="T528" s="336">
        <f>-Gasto_o_ing_per_capita!T528+Gasto_o_ing_per_capita!$D528</f>
        <v>-935.03755649080722</v>
      </c>
      <c r="U528" s="336">
        <f>-Gasto_o_ing_per_capita!U528+Gasto_o_ing_per_capita!$D528</f>
        <v>-150.82428702927837</v>
      </c>
      <c r="V528" s="336">
        <f>-Gasto_o_ing_per_capita!V528+Gasto_o_ing_per_capita!$D528</f>
        <v>504.12965638816013</v>
      </c>
    </row>
    <row r="529" spans="1:22" ht="13.15">
      <c r="A529" s="356"/>
      <c r="C529" s="25"/>
      <c r="D529" s="19"/>
      <c r="E529" s="19"/>
      <c r="F529" s="19"/>
      <c r="G529" s="19"/>
      <c r="H529" s="19"/>
      <c r="I529" s="19"/>
      <c r="J529" s="19"/>
      <c r="K529" s="19"/>
      <c r="L529" s="19"/>
      <c r="M529" s="19"/>
      <c r="N529" s="19"/>
      <c r="O529" s="19"/>
      <c r="P529" s="19"/>
      <c r="Q529" s="19"/>
      <c r="R529" s="19"/>
      <c r="S529" s="19"/>
      <c r="T529" s="19"/>
      <c r="U529" s="19"/>
      <c r="V529" s="19"/>
    </row>
    <row r="530" spans="1:22" s="102" customFormat="1" ht="13.15">
      <c r="A530" s="356"/>
      <c r="C530" s="154" t="s">
        <v>95</v>
      </c>
      <c r="D530" s="110">
        <f>-Gasto_o_ing_per_capita!D530+Gasto_o_ing_per_capita!$D530</f>
        <v>0</v>
      </c>
      <c r="E530" s="110">
        <f>-Gasto_o_ing_per_capita!E530+Gasto_o_ing_per_capita!$D530</f>
        <v>0.18696636364325059</v>
      </c>
      <c r="F530" s="110">
        <f>-Gasto_o_ing_per_capita!F530+Gasto_o_ing_per_capita!$D530</f>
        <v>-3.2005262946938728E-2</v>
      </c>
      <c r="G530" s="110">
        <f>-Gasto_o_ing_per_capita!G530+Gasto_o_ing_per_capita!$D530</f>
        <v>-2.9762773356765138E-2</v>
      </c>
      <c r="H530" s="110">
        <f>-Gasto_o_ing_per_capita!H530+Gasto_o_ing_per_capita!$D530</f>
        <v>-0.18449401626139661</v>
      </c>
      <c r="I530" s="110">
        <f>-Gasto_o_ing_per_capita!I530+Gasto_o_ing_per_capita!$D530</f>
        <v>0.16619883647803135</v>
      </c>
      <c r="J530" s="110">
        <f>-Gasto_o_ing_per_capita!J530+Gasto_o_ing_per_capita!$D530</f>
        <v>-8.6293236902292847E-2</v>
      </c>
      <c r="K530" s="110">
        <f>-Gasto_o_ing_per_capita!K530+Gasto_o_ing_per_capita!$D530</f>
        <v>1.0768006011517173E-2</v>
      </c>
      <c r="L530" s="110">
        <f>-Gasto_o_ing_per_capita!L530+Gasto_o_ing_per_capita!$D530</f>
        <v>0.15289494187533137</v>
      </c>
      <c r="M530" s="110">
        <f>-Gasto_o_ing_per_capita!M530+Gasto_o_ing_per_capita!$D530</f>
        <v>-0.16655341165193249</v>
      </c>
      <c r="N530" s="110">
        <f>-Gasto_o_ing_per_capita!N530+Gasto_o_ing_per_capita!$D530</f>
        <v>0.1090256500765463</v>
      </c>
      <c r="O530" s="110">
        <f>-Gasto_o_ing_per_capita!O530+Gasto_o_ing_per_capita!$D530</f>
        <v>0.24159323734738791</v>
      </c>
      <c r="P530" s="110">
        <f>-Gasto_o_ing_per_capita!P530+Gasto_o_ing_per_capita!$D530</f>
        <v>7.1683238775619884E-2</v>
      </c>
      <c r="Q530" s="110">
        <f>-Gasto_o_ing_per_capita!Q530+Gasto_o_ing_per_capita!$D530</f>
        <v>-0.22083271652593339</v>
      </c>
      <c r="R530" s="110">
        <f>-Gasto_o_ing_per_capita!R530+Gasto_o_ing_per_capita!$D530</f>
        <v>0.24637580060294795</v>
      </c>
      <c r="S530" s="110">
        <f>-Gasto_o_ing_per_capita!S530+Gasto_o_ing_per_capita!$D530</f>
        <v>-0.10251914345002433</v>
      </c>
      <c r="T530" s="110">
        <f>-Gasto_o_ing_per_capita!T530+Gasto_o_ing_per_capita!$D530</f>
        <v>-0.28811116736403619</v>
      </c>
      <c r="U530" s="110">
        <f>-Gasto_o_ing_per_capita!U530+Gasto_o_ing_per_capita!$D530</f>
        <v>2.2448963849910797E-2</v>
      </c>
      <c r="V530" s="110">
        <f>-Gasto_o_ing_per_capita!V530+Gasto_o_ing_per_capita!$D530</f>
        <v>0.32670323886901542</v>
      </c>
    </row>
    <row r="531" spans="1:22" s="102" customFormat="1" ht="13.15">
      <c r="A531" s="355" t="str">
        <f>IF(B531="","",(IF(ISERROR(MATCH(B531,Tot_res!C:C,0)),"Eliminar!!!","")))</f>
        <v/>
      </c>
      <c r="B531" s="102" t="s">
        <v>665</v>
      </c>
      <c r="C531" s="333" t="str">
        <f>VLOOKUP(B531,Tot_res!C:D,2,FALSE)</f>
        <v>Tasas, precios públicos e ingresos procedentes de la venta de bienes y servicios de la AC</v>
      </c>
      <c r="D531" s="336">
        <f>-Gasto_o_ing_per_capita!D531+Gasto_o_ing_per_capita!$D531</f>
        <v>0</v>
      </c>
      <c r="E531" s="336">
        <f>-Gasto_o_ing_per_capita!E531+Gasto_o_ing_per_capita!$D531</f>
        <v>0</v>
      </c>
      <c r="F531" s="336">
        <f>-Gasto_o_ing_per_capita!F531+Gasto_o_ing_per_capita!$D531</f>
        <v>0</v>
      </c>
      <c r="G531" s="336">
        <f>-Gasto_o_ing_per_capita!G531+Gasto_o_ing_per_capita!$D531</f>
        <v>0</v>
      </c>
      <c r="H531" s="336">
        <f>-Gasto_o_ing_per_capita!H531+Gasto_o_ing_per_capita!$D531</f>
        <v>0</v>
      </c>
      <c r="I531" s="336">
        <f>-Gasto_o_ing_per_capita!I531+Gasto_o_ing_per_capita!$D531</f>
        <v>0</v>
      </c>
      <c r="J531" s="336">
        <f>-Gasto_o_ing_per_capita!J531+Gasto_o_ing_per_capita!$D531</f>
        <v>0</v>
      </c>
      <c r="K531" s="336">
        <f>-Gasto_o_ing_per_capita!K531+Gasto_o_ing_per_capita!$D531</f>
        <v>0</v>
      </c>
      <c r="L531" s="336">
        <f>-Gasto_o_ing_per_capita!L531+Gasto_o_ing_per_capita!$D531</f>
        <v>0</v>
      </c>
      <c r="M531" s="336">
        <f>-Gasto_o_ing_per_capita!M531+Gasto_o_ing_per_capita!$D531</f>
        <v>0</v>
      </c>
      <c r="N531" s="336">
        <f>-Gasto_o_ing_per_capita!N531+Gasto_o_ing_per_capita!$D531</f>
        <v>0</v>
      </c>
      <c r="O531" s="336">
        <f>-Gasto_o_ing_per_capita!O531+Gasto_o_ing_per_capita!$D531</f>
        <v>0</v>
      </c>
      <c r="P531" s="336">
        <f>-Gasto_o_ing_per_capita!P531+Gasto_o_ing_per_capita!$D531</f>
        <v>0</v>
      </c>
      <c r="Q531" s="336">
        <f>-Gasto_o_ing_per_capita!Q531+Gasto_o_ing_per_capita!$D531</f>
        <v>0</v>
      </c>
      <c r="R531" s="336">
        <f>-Gasto_o_ing_per_capita!R531+Gasto_o_ing_per_capita!$D531</f>
        <v>0</v>
      </c>
      <c r="S531" s="336">
        <f>-Gasto_o_ing_per_capita!S531+Gasto_o_ing_per_capita!$D531</f>
        <v>0</v>
      </c>
      <c r="T531" s="336">
        <f>-Gasto_o_ing_per_capita!T531+Gasto_o_ing_per_capita!$D531</f>
        <v>0</v>
      </c>
      <c r="U531" s="336">
        <f>-Gasto_o_ing_per_capita!U531+Gasto_o_ing_per_capita!$D531</f>
        <v>0</v>
      </c>
      <c r="V531" s="336">
        <f>-Gasto_o_ing_per_capita!V531+Gasto_o_ing_per_capita!$D531</f>
        <v>0</v>
      </c>
    </row>
    <row r="532" spans="1:22" s="102" customFormat="1" ht="13.15">
      <c r="A532" s="355" t="str">
        <f>IF(B532="","",(IF(ISERROR(MATCH(B532,Tot_res!C:C,0)),"Eliminar!!!","")))</f>
        <v/>
      </c>
      <c r="B532" s="102" t="s">
        <v>472</v>
      </c>
      <c r="C532" s="333" t="str">
        <f>VLOOKUP(B532,Tot_res!C:D,2,FALSE)</f>
        <v>Tasas, Comisión del Mercado de Telecomunicaciones, CMT</v>
      </c>
      <c r="D532" s="336">
        <f>-Gasto_o_ing_per_capita!D532+Gasto_o_ing_per_capita!$D532</f>
        <v>0</v>
      </c>
      <c r="E532" s="336">
        <f>-Gasto_o_ing_per_capita!E532+Gasto_o_ing_per_capita!$D532</f>
        <v>3.4380190409564915E-2</v>
      </c>
      <c r="F532" s="336">
        <f>-Gasto_o_ing_per_capita!F532+Gasto_o_ing_per_capita!$D532</f>
        <v>-3.7955624059187176E-3</v>
      </c>
      <c r="G532" s="336">
        <f>-Gasto_o_ing_per_capita!G532+Gasto_o_ing_per_capita!$D532</f>
        <v>-8.3603853190464816E-3</v>
      </c>
      <c r="H532" s="336">
        <f>-Gasto_o_ing_per_capita!H532+Gasto_o_ing_per_capita!$D532</f>
        <v>-6.982781987093406E-2</v>
      </c>
      <c r="I532" s="336">
        <f>-Gasto_o_ing_per_capita!I532+Gasto_o_ing_per_capita!$D532</f>
        <v>6.1753730397229867E-3</v>
      </c>
      <c r="J532" s="336">
        <f>-Gasto_o_ing_per_capita!J532+Gasto_o_ing_per_capita!$D532</f>
        <v>-1.1311538553152534E-2</v>
      </c>
      <c r="K532" s="336">
        <f>-Gasto_o_ing_per_capita!K532+Gasto_o_ing_per_capita!$D532</f>
        <v>1.2889619550226605E-2</v>
      </c>
      <c r="L532" s="336">
        <f>-Gasto_o_ing_per_capita!L532+Gasto_o_ing_per_capita!$D532</f>
        <v>4.7952653578098525E-2</v>
      </c>
      <c r="M532" s="336">
        <f>-Gasto_o_ing_per_capita!M532+Gasto_o_ing_per_capita!$D532</f>
        <v>-3.6586819081295574E-2</v>
      </c>
      <c r="N532" s="336">
        <f>-Gasto_o_ing_per_capita!N532+Gasto_o_ing_per_capita!$D532</f>
        <v>2.1351985915500193E-2</v>
      </c>
      <c r="O532" s="336">
        <f>-Gasto_o_ing_per_capita!O532+Gasto_o_ing_per_capita!$D532</f>
        <v>5.254199156745587E-2</v>
      </c>
      <c r="P532" s="336">
        <f>-Gasto_o_ing_per_capita!P532+Gasto_o_ing_per_capita!$D532</f>
        <v>2.6790134769660301E-2</v>
      </c>
      <c r="Q532" s="336">
        <f>-Gasto_o_ing_per_capita!Q532+Gasto_o_ing_per_capita!$D532</f>
        <v>-4.192751224741581E-2</v>
      </c>
      <c r="R532" s="336">
        <f>-Gasto_o_ing_per_capita!R532+Gasto_o_ing_per_capita!$D532</f>
        <v>6.1829819151720811E-2</v>
      </c>
      <c r="S532" s="336">
        <f>-Gasto_o_ing_per_capita!S532+Gasto_o_ing_per_capita!$D532</f>
        <v>-2.9165789203940418E-3</v>
      </c>
      <c r="T532" s="336">
        <f>-Gasto_o_ing_per_capita!T532+Gasto_o_ing_per_capita!$D532</f>
        <v>-6.1701085526505939E-2</v>
      </c>
      <c r="U532" s="336">
        <f>-Gasto_o_ing_per_capita!U532+Gasto_o_ing_per_capita!$D532</f>
        <v>1.6157122422615688E-2</v>
      </c>
      <c r="V532" s="336">
        <f>-Gasto_o_ing_per_capita!V532+Gasto_o_ing_per_capita!$D532</f>
        <v>6.70077891518715E-2</v>
      </c>
    </row>
    <row r="533" spans="1:22" s="102" customFormat="1" ht="13.15">
      <c r="A533" s="355" t="str">
        <f>IF(B533="","",(IF(ISERROR(MATCH(B533,Tot_res!C:C,0)),"Eliminar!!!","")))</f>
        <v/>
      </c>
      <c r="B533" s="102" t="s">
        <v>473</v>
      </c>
      <c r="C533" s="333" t="str">
        <f>VLOOKUP(B533,Tot_res!C:D,2,FALSE)</f>
        <v>Tasas, Comisión Nacional de la Energía, CME</v>
      </c>
      <c r="D533" s="336">
        <f>-Gasto_o_ing_per_capita!D533+Gasto_o_ing_per_capita!$D533</f>
        <v>0</v>
      </c>
      <c r="E533" s="336">
        <f>-Gasto_o_ing_per_capita!E533+Gasto_o_ing_per_capita!$D533</f>
        <v>5.082556891839074E-2</v>
      </c>
      <c r="F533" s="336">
        <f>-Gasto_o_ing_per_capita!F533+Gasto_o_ing_per_capita!$D533</f>
        <v>-1.0303735273398451E-2</v>
      </c>
      <c r="G533" s="336">
        <f>-Gasto_o_ing_per_capita!G533+Gasto_o_ing_per_capita!$D533</f>
        <v>-4.4039898524457222E-3</v>
      </c>
      <c r="H533" s="336">
        <f>-Gasto_o_ing_per_capita!H533+Gasto_o_ing_per_capita!$D533</f>
        <v>-5.5406288092293421E-2</v>
      </c>
      <c r="I533" s="336">
        <f>-Gasto_o_ing_per_capita!I533+Gasto_o_ing_per_capita!$D533</f>
        <v>7.4176456429722704E-2</v>
      </c>
      <c r="J533" s="336">
        <f>-Gasto_o_ing_per_capita!J533+Gasto_o_ing_per_capita!$D533</f>
        <v>-4.8103250331764658E-2</v>
      </c>
      <c r="K533" s="336">
        <f>-Gasto_o_ing_per_capita!K533+Gasto_o_ing_per_capita!$D533</f>
        <v>-1.7073340398757075E-2</v>
      </c>
      <c r="L533" s="336">
        <f>-Gasto_o_ing_per_capita!L533+Gasto_o_ing_per_capita!$D533</f>
        <v>9.722349274498554E-3</v>
      </c>
      <c r="M533" s="336">
        <f>-Gasto_o_ing_per_capita!M533+Gasto_o_ing_per_capita!$D533</f>
        <v>-4.2320173886691959E-2</v>
      </c>
      <c r="N533" s="336">
        <f>-Gasto_o_ing_per_capita!N533+Gasto_o_ing_per_capita!$D533</f>
        <v>3.763083950684265E-2</v>
      </c>
      <c r="O533" s="336">
        <f>-Gasto_o_ing_per_capita!O533+Gasto_o_ing_per_capita!$D533</f>
        <v>6.0615846819244479E-2</v>
      </c>
      <c r="P533" s="336">
        <f>-Gasto_o_ing_per_capita!P533+Gasto_o_ing_per_capita!$D533</f>
        <v>8.520382553125927E-3</v>
      </c>
      <c r="Q533" s="336">
        <f>-Gasto_o_ing_per_capita!Q533+Gasto_o_ing_per_capita!$D533</f>
        <v>-6.4534788388613595E-2</v>
      </c>
      <c r="R533" s="336">
        <f>-Gasto_o_ing_per_capita!R533+Gasto_o_ing_per_capita!$D533</f>
        <v>5.7015916321675353E-2</v>
      </c>
      <c r="S533" s="336">
        <f>-Gasto_o_ing_per_capita!S533+Gasto_o_ing_per_capita!$D533</f>
        <v>-3.38774707166698E-2</v>
      </c>
      <c r="T533" s="336">
        <f>-Gasto_o_ing_per_capita!T533+Gasto_o_ing_per_capita!$D533</f>
        <v>-3.8848483298200787E-2</v>
      </c>
      <c r="U533" s="336">
        <f>-Gasto_o_ing_per_capita!U533+Gasto_o_ing_per_capita!$D533</f>
        <v>1.4254390324993649E-3</v>
      </c>
      <c r="V533" s="336">
        <f>-Gasto_o_ing_per_capita!V533+Gasto_o_ing_per_capita!$D533</f>
        <v>0.14706470967688046</v>
      </c>
    </row>
    <row r="534" spans="1:22" s="102" customFormat="1" ht="13.15">
      <c r="A534" s="355" t="str">
        <f>IF(B534="","",(IF(ISERROR(MATCH(B534,Tot_res!C:C,0)),"Eliminar!!!","")))</f>
        <v/>
      </c>
      <c r="B534" s="102" t="s">
        <v>475</v>
      </c>
      <c r="C534" s="333" t="str">
        <f>VLOOKUP(B534,Tot_res!C:D,2,FALSE)</f>
        <v>Tasas, CNMV</v>
      </c>
      <c r="D534" s="336">
        <f>-Gasto_o_ing_per_capita!D534+Gasto_o_ing_per_capita!$D534</f>
        <v>0</v>
      </c>
      <c r="E534" s="336">
        <f>-Gasto_o_ing_per_capita!E534+Gasto_o_ing_per_capita!$D534</f>
        <v>0.10176060431527112</v>
      </c>
      <c r="F534" s="336">
        <f>-Gasto_o_ing_per_capita!F534+Gasto_o_ing_per_capita!$D534</f>
        <v>-1.7905965267699608E-2</v>
      </c>
      <c r="G534" s="336">
        <f>-Gasto_o_ing_per_capita!G534+Gasto_o_ing_per_capita!$D534</f>
        <v>-1.6998398185199104E-2</v>
      </c>
      <c r="H534" s="336">
        <f>-Gasto_o_ing_per_capita!H534+Gasto_o_ing_per_capita!$D534</f>
        <v>-5.9259908298152864E-2</v>
      </c>
      <c r="I534" s="336">
        <f>-Gasto_o_ing_per_capita!I534+Gasto_o_ing_per_capita!$D534</f>
        <v>8.5847007008543197E-2</v>
      </c>
      <c r="J534" s="336">
        <f>-Gasto_o_ing_per_capita!J534+Gasto_o_ing_per_capita!$D534</f>
        <v>-2.68784480174169E-2</v>
      </c>
      <c r="K534" s="336">
        <f>-Gasto_o_ing_per_capita!K534+Gasto_o_ing_per_capita!$D534</f>
        <v>1.4951726859977366E-2</v>
      </c>
      <c r="L534" s="336">
        <f>-Gasto_o_ing_per_capita!L534+Gasto_o_ing_per_capita!$D534</f>
        <v>9.5219939022753608E-2</v>
      </c>
      <c r="M534" s="336">
        <f>-Gasto_o_ing_per_capita!M534+Gasto_o_ing_per_capita!$D534</f>
        <v>-8.7646418683971605E-2</v>
      </c>
      <c r="N534" s="336">
        <f>-Gasto_o_ing_per_capita!N534+Gasto_o_ing_per_capita!$D534</f>
        <v>5.0042824654191631E-2</v>
      </c>
      <c r="O534" s="336">
        <f>-Gasto_o_ing_per_capita!O534+Gasto_o_ing_per_capita!$D534</f>
        <v>0.12843539896066081</v>
      </c>
      <c r="P534" s="336">
        <f>-Gasto_o_ing_per_capita!P534+Gasto_o_ing_per_capita!$D534</f>
        <v>3.6372721452779255E-2</v>
      </c>
      <c r="Q534" s="336">
        <f>-Gasto_o_ing_per_capita!Q534+Gasto_o_ing_per_capita!$D534</f>
        <v>-0.11437041588986596</v>
      </c>
      <c r="R534" s="336">
        <f>-Gasto_o_ing_per_capita!R534+Gasto_o_ing_per_capita!$D534</f>
        <v>0.12753006512947662</v>
      </c>
      <c r="S534" s="336">
        <f>-Gasto_o_ing_per_capita!S534+Gasto_o_ing_per_capita!$D534</f>
        <v>-6.572509381294811E-2</v>
      </c>
      <c r="T534" s="336">
        <f>-Gasto_o_ing_per_capita!T534+Gasto_o_ing_per_capita!$D534</f>
        <v>-0.18756159853939702</v>
      </c>
      <c r="U534" s="336">
        <f>-Gasto_o_ing_per_capita!U534+Gasto_o_ing_per_capita!$D534</f>
        <v>4.8664023947304624E-3</v>
      </c>
      <c r="V534" s="336">
        <f>-Gasto_o_ing_per_capita!V534+Gasto_o_ing_per_capita!$D534</f>
        <v>0.11263074004018359</v>
      </c>
    </row>
    <row r="535" spans="1:22" s="102" customFormat="1" ht="13.15">
      <c r="A535" s="355" t="str">
        <f>IF(B535="","",(IF(ISERROR(MATCH(B535,Tot_res!C:C,0)),"Eliminar!!!","")))</f>
        <v/>
      </c>
      <c r="B535" s="102" t="s">
        <v>471</v>
      </c>
      <c r="C535" s="333" t="str">
        <f>VLOOKUP(B535,Tot_res!C:D,2,FALSE)</f>
        <v>Ingresos financieros, patrimoniales y similares de la Administración Central</v>
      </c>
      <c r="D535" s="336">
        <f>-Gasto_o_ing_per_capita!D535+Gasto_o_ing_per_capita!$D535</f>
        <v>0</v>
      </c>
      <c r="E535" s="336">
        <f>-Gasto_o_ing_per_capita!E535+Gasto_o_ing_per_capita!$D535</f>
        <v>0</v>
      </c>
      <c r="F535" s="336">
        <f>-Gasto_o_ing_per_capita!F535+Gasto_o_ing_per_capita!$D535</f>
        <v>0</v>
      </c>
      <c r="G535" s="336">
        <f>-Gasto_o_ing_per_capita!G535+Gasto_o_ing_per_capita!$D535</f>
        <v>0</v>
      </c>
      <c r="H535" s="336">
        <f>-Gasto_o_ing_per_capita!H535+Gasto_o_ing_per_capita!$D535</f>
        <v>0</v>
      </c>
      <c r="I535" s="336">
        <f>-Gasto_o_ing_per_capita!I535+Gasto_o_ing_per_capita!$D535</f>
        <v>0</v>
      </c>
      <c r="J535" s="336">
        <f>-Gasto_o_ing_per_capita!J535+Gasto_o_ing_per_capita!$D535</f>
        <v>0</v>
      </c>
      <c r="K535" s="336">
        <f>-Gasto_o_ing_per_capita!K535+Gasto_o_ing_per_capita!$D535</f>
        <v>0</v>
      </c>
      <c r="L535" s="336">
        <f>-Gasto_o_ing_per_capita!L535+Gasto_o_ing_per_capita!$D535</f>
        <v>0</v>
      </c>
      <c r="M535" s="336">
        <f>-Gasto_o_ing_per_capita!M535+Gasto_o_ing_per_capita!$D535</f>
        <v>0</v>
      </c>
      <c r="N535" s="336">
        <f>-Gasto_o_ing_per_capita!N535+Gasto_o_ing_per_capita!$D535</f>
        <v>0</v>
      </c>
      <c r="O535" s="336">
        <f>-Gasto_o_ing_per_capita!O535+Gasto_o_ing_per_capita!$D535</f>
        <v>0</v>
      </c>
      <c r="P535" s="336">
        <f>-Gasto_o_ing_per_capita!P535+Gasto_o_ing_per_capita!$D535</f>
        <v>0</v>
      </c>
      <c r="Q535" s="336">
        <f>-Gasto_o_ing_per_capita!Q535+Gasto_o_ing_per_capita!$D535</f>
        <v>0</v>
      </c>
      <c r="R535" s="336">
        <f>-Gasto_o_ing_per_capita!R535+Gasto_o_ing_per_capita!$D535</f>
        <v>0</v>
      </c>
      <c r="S535" s="336">
        <f>-Gasto_o_ing_per_capita!S535+Gasto_o_ing_per_capita!$D535</f>
        <v>0</v>
      </c>
      <c r="T535" s="336">
        <f>-Gasto_o_ing_per_capita!T535+Gasto_o_ing_per_capita!$D535</f>
        <v>0</v>
      </c>
      <c r="U535" s="336">
        <f>-Gasto_o_ing_per_capita!U535+Gasto_o_ing_per_capita!$D535</f>
        <v>0</v>
      </c>
      <c r="V535" s="336">
        <f>-Gasto_o_ing_per_capita!V535+Gasto_o_ing_per_capita!$D535</f>
        <v>0</v>
      </c>
    </row>
    <row r="536" spans="1:22" s="102" customFormat="1" ht="13.15">
      <c r="A536" s="355" t="str">
        <f>IF(B536="","",(IF(ISERROR(MATCH(B536,Tot_res!C:C,0)),"Eliminar!!!","")))</f>
        <v/>
      </c>
      <c r="B536" s="102" t="s">
        <v>476</v>
      </c>
      <c r="C536" s="333" t="str">
        <f>VLOOKUP(B536,Tot_res!C:D,2,FALSE)</f>
        <v>Ingresos del Banco de España, BdE</v>
      </c>
      <c r="D536" s="336">
        <f>-Gasto_o_ing_per_capita!D536+Gasto_o_ing_per_capita!$D536</f>
        <v>0</v>
      </c>
      <c r="E536" s="336">
        <f>-Gasto_o_ing_per_capita!E536+Gasto_o_ing_per_capita!$D536</f>
        <v>0</v>
      </c>
      <c r="F536" s="336">
        <f>-Gasto_o_ing_per_capita!F536+Gasto_o_ing_per_capita!$D536</f>
        <v>0</v>
      </c>
      <c r="G536" s="336">
        <f>-Gasto_o_ing_per_capita!G536+Gasto_o_ing_per_capita!$D536</f>
        <v>0</v>
      </c>
      <c r="H536" s="336">
        <f>-Gasto_o_ing_per_capita!H536+Gasto_o_ing_per_capita!$D536</f>
        <v>0</v>
      </c>
      <c r="I536" s="336">
        <f>-Gasto_o_ing_per_capita!I536+Gasto_o_ing_per_capita!$D536</f>
        <v>0</v>
      </c>
      <c r="J536" s="336">
        <f>-Gasto_o_ing_per_capita!J536+Gasto_o_ing_per_capita!$D536</f>
        <v>0</v>
      </c>
      <c r="K536" s="336">
        <f>-Gasto_o_ing_per_capita!K536+Gasto_o_ing_per_capita!$D536</f>
        <v>0</v>
      </c>
      <c r="L536" s="336">
        <f>-Gasto_o_ing_per_capita!L536+Gasto_o_ing_per_capita!$D536</f>
        <v>0</v>
      </c>
      <c r="M536" s="336">
        <f>-Gasto_o_ing_per_capita!M536+Gasto_o_ing_per_capita!$D536</f>
        <v>0</v>
      </c>
      <c r="N536" s="336">
        <f>-Gasto_o_ing_per_capita!N536+Gasto_o_ing_per_capita!$D536</f>
        <v>0</v>
      </c>
      <c r="O536" s="336">
        <f>-Gasto_o_ing_per_capita!O536+Gasto_o_ing_per_capita!$D536</f>
        <v>0</v>
      </c>
      <c r="P536" s="336">
        <f>-Gasto_o_ing_per_capita!P536+Gasto_o_ing_per_capita!$D536</f>
        <v>0</v>
      </c>
      <c r="Q536" s="336">
        <f>-Gasto_o_ing_per_capita!Q536+Gasto_o_ing_per_capita!$D536</f>
        <v>0</v>
      </c>
      <c r="R536" s="336">
        <f>-Gasto_o_ing_per_capita!R536+Gasto_o_ing_per_capita!$D536</f>
        <v>0</v>
      </c>
      <c r="S536" s="336">
        <f>-Gasto_o_ing_per_capita!S536+Gasto_o_ing_per_capita!$D536</f>
        <v>0</v>
      </c>
      <c r="T536" s="336">
        <f>-Gasto_o_ing_per_capita!T536+Gasto_o_ing_per_capita!$D536</f>
        <v>0</v>
      </c>
      <c r="U536" s="336">
        <f>-Gasto_o_ing_per_capita!U536+Gasto_o_ing_per_capita!$D536</f>
        <v>0</v>
      </c>
      <c r="V536" s="336">
        <f>-Gasto_o_ing_per_capita!V536+Gasto_o_ing_per_capita!$D536</f>
        <v>0</v>
      </c>
    </row>
    <row r="537" spans="1:22" s="102" customFormat="1" ht="13.15">
      <c r="A537" s="353" t="s">
        <v>1114</v>
      </c>
      <c r="C537" s="154"/>
      <c r="D537" s="116"/>
      <c r="E537" s="116"/>
      <c r="F537" s="116"/>
      <c r="G537" s="116"/>
      <c r="H537" s="116"/>
      <c r="I537" s="116"/>
      <c r="J537" s="116"/>
      <c r="K537" s="116"/>
      <c r="L537" s="116"/>
      <c r="M537" s="116"/>
      <c r="N537" s="116"/>
      <c r="O537" s="116"/>
      <c r="P537" s="116"/>
      <c r="Q537" s="116"/>
      <c r="R537" s="116"/>
      <c r="S537" s="116"/>
      <c r="T537" s="116"/>
      <c r="U537" s="116"/>
      <c r="V537" s="116"/>
    </row>
    <row r="538" spans="1:22" s="102" customFormat="1">
      <c r="A538" s="353" t="str">
        <f>IF(B538="","",(IF(ISERROR(MATCH(B538,Tot_res!C:C,0)),"Eliminar!!!","")))</f>
        <v/>
      </c>
      <c r="D538" s="116"/>
      <c r="E538" s="116"/>
      <c r="F538" s="116"/>
      <c r="G538" s="116"/>
      <c r="H538" s="116"/>
      <c r="I538" s="116"/>
      <c r="J538" s="116"/>
      <c r="K538" s="116"/>
      <c r="L538" s="116"/>
      <c r="M538" s="116"/>
      <c r="N538" s="116"/>
      <c r="O538" s="116"/>
      <c r="P538" s="116"/>
      <c r="Q538" s="116"/>
      <c r="R538" s="116"/>
      <c r="S538" s="116"/>
      <c r="T538" s="116"/>
      <c r="U538" s="116"/>
      <c r="V538" s="116"/>
    </row>
    <row r="539" spans="1:22" s="102" customFormat="1">
      <c r="A539" s="353" t="str">
        <f>IF(B539="","",(IF(ISERROR(MATCH(B539,Tot_res!C:C,0)),"Eliminar!!!","")))</f>
        <v/>
      </c>
      <c r="C539" s="103" t="s">
        <v>96</v>
      </c>
      <c r="D539" s="110">
        <f>-Gasto_o_ing_per_capita!D539+Gasto_o_ing_per_capita!$D539</f>
        <v>0</v>
      </c>
      <c r="E539" s="110">
        <f>-Gasto_o_ing_per_capita!E539+Gasto_o_ing_per_capita!$D539</f>
        <v>1520.639523075798</v>
      </c>
      <c r="F539" s="110">
        <f>-Gasto_o_ing_per_capita!F539+Gasto_o_ing_per_capita!$D539</f>
        <v>-564.64263203681276</v>
      </c>
      <c r="G539" s="110">
        <f>-Gasto_o_ing_per_capita!G539+Gasto_o_ing_per_capita!$D539</f>
        <v>-318.57973109251361</v>
      </c>
      <c r="H539" s="110">
        <f>-Gasto_o_ing_per_capita!H539+Gasto_o_ing_per_capita!$D539</f>
        <v>-454.90563283513166</v>
      </c>
      <c r="I539" s="110">
        <f>-Gasto_o_ing_per_capita!I539+Gasto_o_ing_per_capita!$D539</f>
        <v>2099.4334382220195</v>
      </c>
      <c r="J539" s="110">
        <f>-Gasto_o_ing_per_capita!J539+Gasto_o_ing_per_capita!$D539</f>
        <v>-363.98842200772015</v>
      </c>
      <c r="K539" s="110">
        <f>-Gasto_o_ing_per_capita!K539+Gasto_o_ing_per_capita!$D539</f>
        <v>200.45858936615332</v>
      </c>
      <c r="L539" s="110">
        <f>-Gasto_o_ing_per_capita!L539+Gasto_o_ing_per_capita!$D539</f>
        <v>1296.2216163751391</v>
      </c>
      <c r="M539" s="110">
        <f>-Gasto_o_ing_per_capita!M539+Gasto_o_ing_per_capita!$D539</f>
        <v>-1302.7402967619364</v>
      </c>
      <c r="N539" s="110">
        <f>-Gasto_o_ing_per_capita!N539+Gasto_o_ing_per_capita!$D539</f>
        <v>878.6729269342386</v>
      </c>
      <c r="O539" s="110">
        <f>-Gasto_o_ing_per_capita!O539+Gasto_o_ing_per_capita!$D539</f>
        <v>1627.8252275643499</v>
      </c>
      <c r="P539" s="110">
        <f>-Gasto_o_ing_per_capita!P539+Gasto_o_ing_per_capita!$D539</f>
        <v>623.98492197344694</v>
      </c>
      <c r="Q539" s="110">
        <f>-Gasto_o_ing_per_capita!Q539+Gasto_o_ing_per_capita!$D539</f>
        <v>-2280.6501548253564</v>
      </c>
      <c r="R539" s="110">
        <f>-Gasto_o_ing_per_capita!R539+Gasto_o_ing_per_capita!$D539</f>
        <v>1379.608798388811</v>
      </c>
      <c r="S539" s="110">
        <f>-Gasto_o_ing_per_capita!S539+Gasto_o_ing_per_capita!$D539</f>
        <v>-865.6384757233518</v>
      </c>
      <c r="T539" s="110">
        <f>-Gasto_o_ing_per_capita!T539+Gasto_o_ing_per_capita!$D539</f>
        <v>-1710.6846594031085</v>
      </c>
      <c r="U539" s="110">
        <f>-Gasto_o_ing_per_capita!U539+Gasto_o_ing_per_capita!$D539</f>
        <v>-258.08505380348106</v>
      </c>
      <c r="V539" s="110">
        <f>-Gasto_o_ing_per_capita!V539+Gasto_o_ing_per_capita!$D539</f>
        <v>2050.9768691321133</v>
      </c>
    </row>
    <row r="540" spans="1:22" s="102" customFormat="1">
      <c r="A540" s="353" t="str">
        <f>IF(B540="","",(IF(ISERROR(MATCH(B540,Tot_res!C:C,0)),"Eliminar!!!","")))</f>
        <v/>
      </c>
      <c r="C540" s="103" t="s">
        <v>97</v>
      </c>
      <c r="D540" s="110">
        <f>-Gasto_o_ing_per_capita!D540+Gasto_o_ing_per_capita!$D540</f>
        <v>0</v>
      </c>
      <c r="E540" s="110">
        <f>-Gasto_o_ing_per_capita!E540+Gasto_o_ing_per_capita!$D540</f>
        <v>1594.1117044408275</v>
      </c>
      <c r="F540" s="110">
        <f>-Gasto_o_ing_per_capita!F540+Gasto_o_ing_per_capita!$D540</f>
        <v>-491.69692430737905</v>
      </c>
      <c r="G540" s="110">
        <f>-Gasto_o_ing_per_capita!G540+Gasto_o_ing_per_capita!$D540</f>
        <v>-159.55870946058803</v>
      </c>
      <c r="H540" s="110">
        <f>-Gasto_o_ing_per_capita!H540+Gasto_o_ing_per_capita!$D540</f>
        <v>-311.60305807708846</v>
      </c>
      <c r="I540" s="110">
        <f>-Gasto_o_ing_per_capita!I540+Gasto_o_ing_per_capita!$D540</f>
        <v>1314.4326881716861</v>
      </c>
      <c r="J540" s="110">
        <f>-Gasto_o_ing_per_capita!J540+Gasto_o_ing_per_capita!$D540</f>
        <v>-243.22167841818009</v>
      </c>
      <c r="K540" s="110">
        <f>-Gasto_o_ing_per_capita!K540+Gasto_o_ing_per_capita!$D540</f>
        <v>246.84232569177766</v>
      </c>
      <c r="L540" s="110">
        <f>-Gasto_o_ing_per_capita!L540+Gasto_o_ing_per_capita!$D540</f>
        <v>1233.9140900968605</v>
      </c>
      <c r="M540" s="110">
        <f>-Gasto_o_ing_per_capita!M540+Gasto_o_ing_per_capita!$D540</f>
        <v>-1139.2463267915118</v>
      </c>
      <c r="N540" s="110">
        <f>-Gasto_o_ing_per_capita!N540+Gasto_o_ing_per_capita!$D540</f>
        <v>945.56715522739887</v>
      </c>
      <c r="O540" s="110">
        <f>-Gasto_o_ing_per_capita!O540+Gasto_o_ing_per_capita!$D540</f>
        <v>1824.431932080518</v>
      </c>
      <c r="P540" s="110">
        <f>-Gasto_o_ing_per_capita!P540+Gasto_o_ing_per_capita!$D540</f>
        <v>662.14811603452745</v>
      </c>
      <c r="Q540" s="110">
        <f>-Gasto_o_ing_per_capita!Q540+Gasto_o_ing_per_capita!$D540</f>
        <v>-2324.5154034681818</v>
      </c>
      <c r="R540" s="110">
        <f>-Gasto_o_ing_per_capita!R540+Gasto_o_ing_per_capita!$D540</f>
        <v>1454.4071488071604</v>
      </c>
      <c r="S540" s="110">
        <f>-Gasto_o_ing_per_capita!S540+Gasto_o_ing_per_capita!$D540</f>
        <v>-1294.3076875006936</v>
      </c>
      <c r="T540" s="110">
        <f>-Gasto_o_ing_per_capita!T540+Gasto_o_ing_per_capita!$D540</f>
        <v>-2089.7002607926461</v>
      </c>
      <c r="U540" s="110">
        <f>-Gasto_o_ing_per_capita!U540+Gasto_o_ing_per_capita!$D540</f>
        <v>-209.60735530138481</v>
      </c>
      <c r="V540" s="110">
        <f>-Gasto_o_ing_per_capita!V540+Gasto_o_ing_per_capita!$D540</f>
        <v>1623.3427524016997</v>
      </c>
    </row>
    <row r="543" spans="1:22" s="102" customFormat="1" ht="15.65">
      <c r="A543" s="353"/>
      <c r="B543" s="104"/>
      <c r="C543" s="222" t="s">
        <v>1029</v>
      </c>
      <c r="D543" s="179">
        <f>SUM(E543:V543)</f>
        <v>46950562</v>
      </c>
      <c r="E543" s="179">
        <f>VLOOKUP(E7,Resumen!$B7:$C24,2,FALSE)</f>
        <v>8421302.5</v>
      </c>
      <c r="F543" s="179">
        <f>VLOOKUP(F7,Resumen!$B7:$C24,2,FALSE)</f>
        <v>1336267.5</v>
      </c>
      <c r="G543" s="179">
        <f>VLOOKUP(G7,Resumen!$B7:$C24,2,FALSE)</f>
        <v>1064960.5</v>
      </c>
      <c r="H543" s="179">
        <f>VLOOKUP(H7,Resumen!$B7:$C24,2,FALSE)</f>
        <v>1107558</v>
      </c>
      <c r="I543" s="179">
        <f>VLOOKUP(I7,Resumen!$B7:$C24,2,FALSE)</f>
        <v>2111747</v>
      </c>
      <c r="J543" s="179">
        <f>VLOOKUP(J7,Resumen!$B7:$C24,2,FALSE)</f>
        <v>590272</v>
      </c>
      <c r="K543" s="179">
        <f>VLOOKUP(K7,Resumen!$B7:$C24,2,FALSE)</f>
        <v>2507332.5</v>
      </c>
      <c r="L543" s="179">
        <f>VLOOKUP(L7,Resumen!$B7:$C24,2,FALSE)</f>
        <v>2089804.5</v>
      </c>
      <c r="M543" s="179">
        <f>VLOOKUP(M7,Resumen!$B7:$C24,2,FALSE)</f>
        <v>7536276.5</v>
      </c>
      <c r="N543" s="179">
        <f>VLOOKUP(N7,Resumen!$B7:$C24,2,FALSE)</f>
        <v>5059329.5</v>
      </c>
      <c r="O543" s="179">
        <f>VLOOKUP(O7,Resumen!$B7:$C24,2,FALSE)</f>
        <v>1101818</v>
      </c>
      <c r="P543" s="179">
        <f>VLOOKUP(P7,Resumen!$B7:$C24,2,FALSE)</f>
        <v>2757317.5</v>
      </c>
      <c r="Q543" s="179">
        <f>VLOOKUP(Q7,Resumen!$B7:$C24,2,FALSE)</f>
        <v>6474995.5</v>
      </c>
      <c r="R543" s="179">
        <f>VLOOKUP(R7,Resumen!$B7:$C24,2,FALSE)</f>
        <v>1469433.5</v>
      </c>
      <c r="S543" s="179">
        <f>VLOOKUP(S7,Resumen!$B7:$C24,2,FALSE)</f>
        <v>642633.5</v>
      </c>
      <c r="T543" s="179">
        <f>VLOOKUP(T7,Resumen!$B7:$C24,2,FALSE)</f>
        <v>2190333.5</v>
      </c>
      <c r="U543" s="179">
        <f>VLOOKUP(U7,Resumen!$B7:$C24,2,FALSE)</f>
        <v>320514.5</v>
      </c>
      <c r="V543" s="179">
        <f>VLOOKUP(V7,Resumen!$B7:$C24,2,FALSE)</f>
        <v>168665.5</v>
      </c>
    </row>
  </sheetData>
  <pageMargins left="0.75" right="0.75" top="1" bottom="1" header="0.5" footer="0.5"/>
  <pageSetup paperSize="9" orientation="portrait"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4:X545"/>
  <sheetViews>
    <sheetView zoomScaleNormal="100" workbookViewId="0">
      <pane xSplit="3" ySplit="7" topLeftCell="D94" activePane="bottomRight" state="frozen"/>
      <selection activeCell="A537" sqref="A537"/>
      <selection pane="topRight" activeCell="A537" sqref="A537"/>
      <selection pane="bottomLeft" activeCell="A537" sqref="A537"/>
      <selection pane="bottomRight" activeCell="C5" sqref="C5"/>
    </sheetView>
  </sheetViews>
  <sheetFormatPr baseColWidth="10" defaultColWidth="11" defaultRowHeight="13.15"/>
  <cols>
    <col min="1" max="1" width="11" style="353"/>
    <col min="2" max="2" width="6.09765625" style="29" customWidth="1"/>
    <col min="3" max="3" width="53.69921875" style="29" customWidth="1"/>
    <col min="4" max="16384" width="11" style="29"/>
  </cols>
  <sheetData>
    <row r="4" spans="1:23">
      <c r="C4" s="103" t="s">
        <v>92</v>
      </c>
    </row>
    <row r="5" spans="1:23">
      <c r="C5" s="103" t="s">
        <v>93</v>
      </c>
    </row>
    <row r="6" spans="1:23">
      <c r="C6" s="15"/>
      <c r="D6" s="35"/>
      <c r="E6" s="35"/>
      <c r="F6" s="35"/>
      <c r="G6" s="35"/>
      <c r="H6" s="35"/>
      <c r="I6" s="35"/>
      <c r="J6" s="35"/>
      <c r="K6" s="35"/>
      <c r="L6" s="35"/>
      <c r="M6" s="35"/>
      <c r="N6" s="35"/>
      <c r="O6" s="35"/>
      <c r="P6" s="35"/>
      <c r="Q6" s="35"/>
      <c r="R6" s="35"/>
      <c r="S6" s="35"/>
      <c r="T6" s="35"/>
      <c r="U6" s="35"/>
      <c r="V6" s="35"/>
      <c r="W6" s="35"/>
    </row>
    <row r="7" spans="1:23" s="115" customFormat="1">
      <c r="A7" s="354"/>
      <c r="B7" s="225"/>
      <c r="C7" s="225"/>
      <c r="D7" s="226" t="s">
        <v>84</v>
      </c>
      <c r="E7" s="227" t="s">
        <v>66</v>
      </c>
      <c r="F7" s="227" t="s">
        <v>67</v>
      </c>
      <c r="G7" s="227" t="s">
        <v>56</v>
      </c>
      <c r="H7" s="227" t="s">
        <v>48</v>
      </c>
      <c r="I7" s="227" t="s">
        <v>49</v>
      </c>
      <c r="J7" s="227" t="s">
        <v>50</v>
      </c>
      <c r="K7" s="227" t="s">
        <v>51</v>
      </c>
      <c r="L7" s="227" t="s">
        <v>24</v>
      </c>
      <c r="M7" s="227" t="s">
        <v>46</v>
      </c>
      <c r="N7" s="227" t="s">
        <v>72</v>
      </c>
      <c r="O7" s="227" t="s">
        <v>73</v>
      </c>
      <c r="P7" s="227" t="s">
        <v>74</v>
      </c>
      <c r="Q7" s="227" t="s">
        <v>37</v>
      </c>
      <c r="R7" s="227" t="s">
        <v>38</v>
      </c>
      <c r="S7" s="227" t="s">
        <v>33</v>
      </c>
      <c r="T7" s="227" t="s">
        <v>34</v>
      </c>
      <c r="U7" s="227" t="s">
        <v>88</v>
      </c>
      <c r="V7" s="227" t="s">
        <v>89</v>
      </c>
      <c r="W7" s="227"/>
    </row>
    <row r="8" spans="1:23" s="115" customFormat="1">
      <c r="A8" s="353"/>
      <c r="C8" s="109" t="s">
        <v>83</v>
      </c>
      <c r="D8" s="216">
        <f>Saldo_relativo_per_capita!D8*Saldo_relativo_per_capita!D$543/1000000</f>
        <v>0</v>
      </c>
      <c r="E8" s="216">
        <f>Saldo_relativo_per_capita!E8*Saldo_relativo_per_capita!E$543/1000000</f>
        <v>0</v>
      </c>
      <c r="F8" s="216">
        <f>Saldo_relativo_per_capita!F8*Saldo_relativo_per_capita!F$543/1000000</f>
        <v>0</v>
      </c>
      <c r="G8" s="216">
        <f>Saldo_relativo_per_capita!G8*Saldo_relativo_per_capita!G$543/1000000</f>
        <v>0</v>
      </c>
      <c r="H8" s="216">
        <f>Saldo_relativo_per_capita!H8*Saldo_relativo_per_capita!H$543/1000000</f>
        <v>0</v>
      </c>
      <c r="I8" s="216">
        <f>Saldo_relativo_per_capita!I8*Saldo_relativo_per_capita!I$543/1000000</f>
        <v>0</v>
      </c>
      <c r="J8" s="216">
        <f>Saldo_relativo_per_capita!J8*Saldo_relativo_per_capita!J$543/1000000</f>
        <v>0</v>
      </c>
      <c r="K8" s="216">
        <f>Saldo_relativo_per_capita!K8*Saldo_relativo_per_capita!K$543/1000000</f>
        <v>0</v>
      </c>
      <c r="L8" s="216">
        <f>Saldo_relativo_per_capita!L8*Saldo_relativo_per_capita!L$543/1000000</f>
        <v>0</v>
      </c>
      <c r="M8" s="216">
        <f>Saldo_relativo_per_capita!M8*Saldo_relativo_per_capita!M$543/1000000</f>
        <v>0</v>
      </c>
      <c r="N8" s="216">
        <f>Saldo_relativo_per_capita!N8*Saldo_relativo_per_capita!N$543/1000000</f>
        <v>0</v>
      </c>
      <c r="O8" s="216">
        <f>Saldo_relativo_per_capita!O8*Saldo_relativo_per_capita!O$543/1000000</f>
        <v>0</v>
      </c>
      <c r="P8" s="216">
        <f>Saldo_relativo_per_capita!P8*Saldo_relativo_per_capita!P$543/1000000</f>
        <v>0</v>
      </c>
      <c r="Q8" s="216">
        <f>Saldo_relativo_per_capita!Q8*Saldo_relativo_per_capita!Q$543/1000000</f>
        <v>0</v>
      </c>
      <c r="R8" s="216">
        <f>Saldo_relativo_per_capita!R8*Saldo_relativo_per_capita!R$543/1000000</f>
        <v>0</v>
      </c>
      <c r="S8" s="216">
        <f>Saldo_relativo_per_capita!S8*Saldo_relativo_per_capita!S$543/1000000</f>
        <v>0</v>
      </c>
      <c r="T8" s="216">
        <f>Saldo_relativo_per_capita!T8*Saldo_relativo_per_capita!T$543/1000000</f>
        <v>0</v>
      </c>
      <c r="U8" s="216">
        <f>Saldo_relativo_per_capita!U8*Saldo_relativo_per_capita!U$543/1000000</f>
        <v>0</v>
      </c>
      <c r="V8" s="216">
        <f>Saldo_relativo_per_capita!V8*Saldo_relativo_per_capita!V$543/1000000</f>
        <v>0</v>
      </c>
      <c r="W8" s="217"/>
    </row>
    <row r="9" spans="1:23" s="115" customFormat="1">
      <c r="A9" s="353"/>
      <c r="D9" s="218"/>
      <c r="E9" s="218"/>
      <c r="F9" s="218"/>
      <c r="G9" s="218"/>
      <c r="H9" s="218"/>
      <c r="I9" s="218"/>
      <c r="J9" s="218"/>
      <c r="K9" s="218"/>
      <c r="L9" s="218"/>
      <c r="M9" s="218"/>
      <c r="N9" s="218"/>
      <c r="O9" s="218"/>
      <c r="P9" s="218"/>
      <c r="Q9" s="218"/>
      <c r="R9" s="218"/>
      <c r="S9" s="218"/>
      <c r="T9" s="218"/>
      <c r="U9" s="218"/>
      <c r="V9" s="218"/>
      <c r="W9" s="148"/>
    </row>
    <row r="10" spans="1:23" s="115" customFormat="1">
      <c r="A10" s="353"/>
      <c r="C10" s="112" t="s">
        <v>32</v>
      </c>
      <c r="D10" s="219">
        <f>Saldo_relativo_per_capita!D10*Saldo_relativo_per_capita!D$543/1000000</f>
        <v>0</v>
      </c>
      <c r="E10" s="219">
        <f>Saldo_relativo_per_capita!E10*Saldo_relativo_per_capita!E$543/1000000</f>
        <v>0</v>
      </c>
      <c r="F10" s="219">
        <f>Saldo_relativo_per_capita!F10*Saldo_relativo_per_capita!F$543/1000000</f>
        <v>0</v>
      </c>
      <c r="G10" s="219">
        <f>Saldo_relativo_per_capita!G10*Saldo_relativo_per_capita!G$543/1000000</f>
        <v>0</v>
      </c>
      <c r="H10" s="219">
        <f>Saldo_relativo_per_capita!H10*Saldo_relativo_per_capita!H$543/1000000</f>
        <v>0</v>
      </c>
      <c r="I10" s="219">
        <f>Saldo_relativo_per_capita!I10*Saldo_relativo_per_capita!I$543/1000000</f>
        <v>0</v>
      </c>
      <c r="J10" s="219">
        <f>Saldo_relativo_per_capita!J10*Saldo_relativo_per_capita!J$543/1000000</f>
        <v>0</v>
      </c>
      <c r="K10" s="219">
        <f>Saldo_relativo_per_capita!K10*Saldo_relativo_per_capita!K$543/1000000</f>
        <v>0</v>
      </c>
      <c r="L10" s="219">
        <f>Saldo_relativo_per_capita!L10*Saldo_relativo_per_capita!L$543/1000000</f>
        <v>0</v>
      </c>
      <c r="M10" s="219">
        <f>Saldo_relativo_per_capita!M10*Saldo_relativo_per_capita!M$543/1000000</f>
        <v>0</v>
      </c>
      <c r="N10" s="219">
        <f>Saldo_relativo_per_capita!N10*Saldo_relativo_per_capita!N$543/1000000</f>
        <v>0</v>
      </c>
      <c r="O10" s="219">
        <f>Saldo_relativo_per_capita!O10*Saldo_relativo_per_capita!O$543/1000000</f>
        <v>0</v>
      </c>
      <c r="P10" s="219">
        <f>Saldo_relativo_per_capita!P10*Saldo_relativo_per_capita!P$543/1000000</f>
        <v>0</v>
      </c>
      <c r="Q10" s="219">
        <f>Saldo_relativo_per_capita!Q10*Saldo_relativo_per_capita!Q$543/1000000</f>
        <v>0</v>
      </c>
      <c r="R10" s="219">
        <f>Saldo_relativo_per_capita!R10*Saldo_relativo_per_capita!R$543/1000000</f>
        <v>0</v>
      </c>
      <c r="S10" s="219">
        <f>Saldo_relativo_per_capita!S10*Saldo_relativo_per_capita!S$543/1000000</f>
        <v>0</v>
      </c>
      <c r="T10" s="219">
        <f>Saldo_relativo_per_capita!T10*Saldo_relativo_per_capita!T$543/1000000</f>
        <v>0</v>
      </c>
      <c r="U10" s="219">
        <f>Saldo_relativo_per_capita!U10*Saldo_relativo_per_capita!U$543/1000000</f>
        <v>0</v>
      </c>
      <c r="V10" s="219">
        <f>Saldo_relativo_per_capita!V10*Saldo_relativo_per_capita!V$543/1000000</f>
        <v>0</v>
      </c>
      <c r="W10" s="220"/>
    </row>
    <row r="11" spans="1:23" s="115" customFormat="1">
      <c r="A11" s="355" t="str">
        <f>IF(B11="","",(IF(ISERROR(MATCH(B11,Tot_res!C:C,0)),"Eliminar!!!","")))</f>
        <v/>
      </c>
      <c r="B11" s="115" t="s">
        <v>114</v>
      </c>
      <c r="C11" s="333" t="str">
        <f>VLOOKUP(B11,Tot_res!C:D,2,FALSE)</f>
        <v>Gobierno del poder judicial</v>
      </c>
      <c r="D11" s="340">
        <f>Saldo_relativo_per_capita!D11*Saldo_relativo_per_capita!D$543/1000000</f>
        <v>0</v>
      </c>
      <c r="E11" s="340">
        <f>Saldo_relativo_per_capita!E11*Saldo_relativo_per_capita!E$543/1000000</f>
        <v>0</v>
      </c>
      <c r="F11" s="340">
        <f>Saldo_relativo_per_capita!F11*Saldo_relativo_per_capita!F$543/1000000</f>
        <v>0</v>
      </c>
      <c r="G11" s="340">
        <f>Saldo_relativo_per_capita!G11*Saldo_relativo_per_capita!G$543/1000000</f>
        <v>0</v>
      </c>
      <c r="H11" s="340">
        <f>Saldo_relativo_per_capita!H11*Saldo_relativo_per_capita!H$543/1000000</f>
        <v>0</v>
      </c>
      <c r="I11" s="340">
        <f>Saldo_relativo_per_capita!I11*Saldo_relativo_per_capita!I$543/1000000</f>
        <v>0</v>
      </c>
      <c r="J11" s="340">
        <f>Saldo_relativo_per_capita!J11*Saldo_relativo_per_capita!J$543/1000000</f>
        <v>0</v>
      </c>
      <c r="K11" s="340">
        <f>Saldo_relativo_per_capita!K11*Saldo_relativo_per_capita!K$543/1000000</f>
        <v>0</v>
      </c>
      <c r="L11" s="340">
        <f>Saldo_relativo_per_capita!L11*Saldo_relativo_per_capita!L$543/1000000</f>
        <v>0</v>
      </c>
      <c r="M11" s="340">
        <f>Saldo_relativo_per_capita!M11*Saldo_relativo_per_capita!M$543/1000000</f>
        <v>0</v>
      </c>
      <c r="N11" s="340">
        <f>Saldo_relativo_per_capita!N11*Saldo_relativo_per_capita!N$543/1000000</f>
        <v>0</v>
      </c>
      <c r="O11" s="340">
        <f>Saldo_relativo_per_capita!O11*Saldo_relativo_per_capita!O$543/1000000</f>
        <v>0</v>
      </c>
      <c r="P11" s="340">
        <f>Saldo_relativo_per_capita!P11*Saldo_relativo_per_capita!P$543/1000000</f>
        <v>0</v>
      </c>
      <c r="Q11" s="340">
        <f>Saldo_relativo_per_capita!Q11*Saldo_relativo_per_capita!Q$543/1000000</f>
        <v>0</v>
      </c>
      <c r="R11" s="340">
        <f>Saldo_relativo_per_capita!R11*Saldo_relativo_per_capita!R$543/1000000</f>
        <v>0</v>
      </c>
      <c r="S11" s="340">
        <f>Saldo_relativo_per_capita!S11*Saldo_relativo_per_capita!S$543/1000000</f>
        <v>0</v>
      </c>
      <c r="T11" s="340">
        <f>Saldo_relativo_per_capita!T11*Saldo_relativo_per_capita!T$543/1000000</f>
        <v>0</v>
      </c>
      <c r="U11" s="340">
        <f>Saldo_relativo_per_capita!U11*Saldo_relativo_per_capita!U$543/1000000</f>
        <v>0</v>
      </c>
      <c r="V11" s="340">
        <f>Saldo_relativo_per_capita!V11*Saldo_relativo_per_capita!V$543/1000000</f>
        <v>0</v>
      </c>
      <c r="W11" s="148"/>
    </row>
    <row r="12" spans="1:23" s="115" customFormat="1">
      <c r="A12" s="355" t="str">
        <f>IF(B12="","",(IF(ISERROR(MATCH(B12,Tot_res!C:C,0)),"Eliminar!!!","")))</f>
        <v/>
      </c>
      <c r="B12" s="115" t="s">
        <v>115</v>
      </c>
      <c r="C12" s="333" t="str">
        <f>VLOOKUP(B12,Tot_res!C:D,2,FALSE)</f>
        <v>Selección y formación de jueces</v>
      </c>
      <c r="D12" s="340">
        <f>Saldo_relativo_per_capita!D12*Saldo_relativo_per_capita!D$543/1000000</f>
        <v>0</v>
      </c>
      <c r="E12" s="340">
        <f>Saldo_relativo_per_capita!E12*Saldo_relativo_per_capita!E$543/1000000</f>
        <v>0</v>
      </c>
      <c r="F12" s="340">
        <f>Saldo_relativo_per_capita!F12*Saldo_relativo_per_capita!F$543/1000000</f>
        <v>0</v>
      </c>
      <c r="G12" s="340">
        <f>Saldo_relativo_per_capita!G12*Saldo_relativo_per_capita!G$543/1000000</f>
        <v>0</v>
      </c>
      <c r="H12" s="340">
        <f>Saldo_relativo_per_capita!H12*Saldo_relativo_per_capita!H$543/1000000</f>
        <v>0</v>
      </c>
      <c r="I12" s="340">
        <f>Saldo_relativo_per_capita!I12*Saldo_relativo_per_capita!I$543/1000000</f>
        <v>0</v>
      </c>
      <c r="J12" s="340">
        <f>Saldo_relativo_per_capita!J12*Saldo_relativo_per_capita!J$543/1000000</f>
        <v>0</v>
      </c>
      <c r="K12" s="340">
        <f>Saldo_relativo_per_capita!K12*Saldo_relativo_per_capita!K$543/1000000</f>
        <v>0</v>
      </c>
      <c r="L12" s="340">
        <f>Saldo_relativo_per_capita!L12*Saldo_relativo_per_capita!L$543/1000000</f>
        <v>0</v>
      </c>
      <c r="M12" s="340">
        <f>Saldo_relativo_per_capita!M12*Saldo_relativo_per_capita!M$543/1000000</f>
        <v>0</v>
      </c>
      <c r="N12" s="340">
        <f>Saldo_relativo_per_capita!N12*Saldo_relativo_per_capita!N$543/1000000</f>
        <v>0</v>
      </c>
      <c r="O12" s="340">
        <f>Saldo_relativo_per_capita!O12*Saldo_relativo_per_capita!O$543/1000000</f>
        <v>0</v>
      </c>
      <c r="P12" s="340">
        <f>Saldo_relativo_per_capita!P12*Saldo_relativo_per_capita!P$543/1000000</f>
        <v>0</v>
      </c>
      <c r="Q12" s="340">
        <f>Saldo_relativo_per_capita!Q12*Saldo_relativo_per_capita!Q$543/1000000</f>
        <v>0</v>
      </c>
      <c r="R12" s="340">
        <f>Saldo_relativo_per_capita!R12*Saldo_relativo_per_capita!R$543/1000000</f>
        <v>0</v>
      </c>
      <c r="S12" s="340">
        <f>Saldo_relativo_per_capita!S12*Saldo_relativo_per_capita!S$543/1000000</f>
        <v>0</v>
      </c>
      <c r="T12" s="340">
        <f>Saldo_relativo_per_capita!T12*Saldo_relativo_per_capita!T$543/1000000</f>
        <v>0</v>
      </c>
      <c r="U12" s="340">
        <f>Saldo_relativo_per_capita!U12*Saldo_relativo_per_capita!U$543/1000000</f>
        <v>0</v>
      </c>
      <c r="V12" s="340">
        <f>Saldo_relativo_per_capita!V12*Saldo_relativo_per_capita!V$543/1000000</f>
        <v>0</v>
      </c>
      <c r="W12" s="148"/>
    </row>
    <row r="13" spans="1:23" s="115" customFormat="1">
      <c r="A13" s="355" t="str">
        <f>IF(B13="","",(IF(ISERROR(MATCH(B13,Tot_res!C:C,0)),"Eliminar!!!","")))</f>
        <v/>
      </c>
      <c r="B13" s="115" t="s">
        <v>116</v>
      </c>
      <c r="C13" s="333" t="str">
        <f>VLOOKUP(B13,Tot_res!C:D,2,FALSE)</f>
        <v>Documentación y publicaciones judiciales</v>
      </c>
      <c r="D13" s="340">
        <f>Saldo_relativo_per_capita!D13*Saldo_relativo_per_capita!D$543/1000000</f>
        <v>0</v>
      </c>
      <c r="E13" s="340">
        <f>Saldo_relativo_per_capita!E13*Saldo_relativo_per_capita!E$543/1000000</f>
        <v>0</v>
      </c>
      <c r="F13" s="340">
        <f>Saldo_relativo_per_capita!F13*Saldo_relativo_per_capita!F$543/1000000</f>
        <v>0</v>
      </c>
      <c r="G13" s="340">
        <f>Saldo_relativo_per_capita!G13*Saldo_relativo_per_capita!G$543/1000000</f>
        <v>0</v>
      </c>
      <c r="H13" s="340">
        <f>Saldo_relativo_per_capita!H13*Saldo_relativo_per_capita!H$543/1000000</f>
        <v>0</v>
      </c>
      <c r="I13" s="340">
        <f>Saldo_relativo_per_capita!I13*Saldo_relativo_per_capita!I$543/1000000</f>
        <v>0</v>
      </c>
      <c r="J13" s="340">
        <f>Saldo_relativo_per_capita!J13*Saldo_relativo_per_capita!J$543/1000000</f>
        <v>0</v>
      </c>
      <c r="K13" s="340">
        <f>Saldo_relativo_per_capita!K13*Saldo_relativo_per_capita!K$543/1000000</f>
        <v>0</v>
      </c>
      <c r="L13" s="340">
        <f>Saldo_relativo_per_capita!L13*Saldo_relativo_per_capita!L$543/1000000</f>
        <v>0</v>
      </c>
      <c r="M13" s="340">
        <f>Saldo_relativo_per_capita!M13*Saldo_relativo_per_capita!M$543/1000000</f>
        <v>0</v>
      </c>
      <c r="N13" s="340">
        <f>Saldo_relativo_per_capita!N13*Saldo_relativo_per_capita!N$543/1000000</f>
        <v>0</v>
      </c>
      <c r="O13" s="340">
        <f>Saldo_relativo_per_capita!O13*Saldo_relativo_per_capita!O$543/1000000</f>
        <v>0</v>
      </c>
      <c r="P13" s="340">
        <f>Saldo_relativo_per_capita!P13*Saldo_relativo_per_capita!P$543/1000000</f>
        <v>0</v>
      </c>
      <c r="Q13" s="340">
        <f>Saldo_relativo_per_capita!Q13*Saldo_relativo_per_capita!Q$543/1000000</f>
        <v>0</v>
      </c>
      <c r="R13" s="340">
        <f>Saldo_relativo_per_capita!R13*Saldo_relativo_per_capita!R$543/1000000</f>
        <v>0</v>
      </c>
      <c r="S13" s="340">
        <f>Saldo_relativo_per_capita!S13*Saldo_relativo_per_capita!S$543/1000000</f>
        <v>0</v>
      </c>
      <c r="T13" s="340">
        <f>Saldo_relativo_per_capita!T13*Saldo_relativo_per_capita!T$543/1000000</f>
        <v>0</v>
      </c>
      <c r="U13" s="340">
        <f>Saldo_relativo_per_capita!U13*Saldo_relativo_per_capita!U$543/1000000</f>
        <v>0</v>
      </c>
      <c r="V13" s="340">
        <f>Saldo_relativo_per_capita!V13*Saldo_relativo_per_capita!V$543/1000000</f>
        <v>0</v>
      </c>
      <c r="W13" s="148"/>
    </row>
    <row r="14" spans="1:23" s="115" customFormat="1">
      <c r="A14" s="355" t="str">
        <f>IF(B14="","",(IF(ISERROR(MATCH(B14,Tot_res!C:C,0)),"Eliminar!!!","")))</f>
        <v/>
      </c>
      <c r="B14" s="115" t="s">
        <v>117</v>
      </c>
      <c r="C14" s="333" t="str">
        <f>VLOOKUP(B14,Tot_res!C:D,2,FALSE)</f>
        <v>Jefatura del estado</v>
      </c>
      <c r="D14" s="340">
        <f>Saldo_relativo_per_capita!D14*Saldo_relativo_per_capita!D$543/1000000</f>
        <v>0</v>
      </c>
      <c r="E14" s="340">
        <f>Saldo_relativo_per_capita!E14*Saldo_relativo_per_capita!E$543/1000000</f>
        <v>0</v>
      </c>
      <c r="F14" s="340">
        <f>Saldo_relativo_per_capita!F14*Saldo_relativo_per_capita!F$543/1000000</f>
        <v>0</v>
      </c>
      <c r="G14" s="340">
        <f>Saldo_relativo_per_capita!G14*Saldo_relativo_per_capita!G$543/1000000</f>
        <v>0</v>
      </c>
      <c r="H14" s="340">
        <f>Saldo_relativo_per_capita!H14*Saldo_relativo_per_capita!H$543/1000000</f>
        <v>0</v>
      </c>
      <c r="I14" s="340">
        <f>Saldo_relativo_per_capita!I14*Saldo_relativo_per_capita!I$543/1000000</f>
        <v>0</v>
      </c>
      <c r="J14" s="340">
        <f>Saldo_relativo_per_capita!J14*Saldo_relativo_per_capita!J$543/1000000</f>
        <v>0</v>
      </c>
      <c r="K14" s="340">
        <f>Saldo_relativo_per_capita!K14*Saldo_relativo_per_capita!K$543/1000000</f>
        <v>0</v>
      </c>
      <c r="L14" s="340">
        <f>Saldo_relativo_per_capita!L14*Saldo_relativo_per_capita!L$543/1000000</f>
        <v>0</v>
      </c>
      <c r="M14" s="340">
        <f>Saldo_relativo_per_capita!M14*Saldo_relativo_per_capita!M$543/1000000</f>
        <v>0</v>
      </c>
      <c r="N14" s="340">
        <f>Saldo_relativo_per_capita!N14*Saldo_relativo_per_capita!N$543/1000000</f>
        <v>0</v>
      </c>
      <c r="O14" s="340">
        <f>Saldo_relativo_per_capita!O14*Saldo_relativo_per_capita!O$543/1000000</f>
        <v>0</v>
      </c>
      <c r="P14" s="340">
        <f>Saldo_relativo_per_capita!P14*Saldo_relativo_per_capita!P$543/1000000</f>
        <v>0</v>
      </c>
      <c r="Q14" s="340">
        <f>Saldo_relativo_per_capita!Q14*Saldo_relativo_per_capita!Q$543/1000000</f>
        <v>0</v>
      </c>
      <c r="R14" s="340">
        <f>Saldo_relativo_per_capita!R14*Saldo_relativo_per_capita!R$543/1000000</f>
        <v>0</v>
      </c>
      <c r="S14" s="340">
        <f>Saldo_relativo_per_capita!S14*Saldo_relativo_per_capita!S$543/1000000</f>
        <v>0</v>
      </c>
      <c r="T14" s="340">
        <f>Saldo_relativo_per_capita!T14*Saldo_relativo_per_capita!T$543/1000000</f>
        <v>0</v>
      </c>
      <c r="U14" s="340">
        <f>Saldo_relativo_per_capita!U14*Saldo_relativo_per_capita!U$543/1000000</f>
        <v>0</v>
      </c>
      <c r="V14" s="340">
        <f>Saldo_relativo_per_capita!V14*Saldo_relativo_per_capita!V$543/1000000</f>
        <v>0</v>
      </c>
      <c r="W14" s="148"/>
    </row>
    <row r="15" spans="1:23" s="115" customFormat="1">
      <c r="A15" s="355" t="str">
        <f>IF(B15="","",(IF(ISERROR(MATCH(B15,Tot_res!C:C,0)),"Eliminar!!!","")))</f>
        <v/>
      </c>
      <c r="B15" s="115" t="s">
        <v>118</v>
      </c>
      <c r="C15" s="333" t="str">
        <f>VLOOKUP(B15,Tot_res!C:D,2,FALSE)</f>
        <v>Actividad legislativa</v>
      </c>
      <c r="D15" s="340">
        <f>Saldo_relativo_per_capita!D15*Saldo_relativo_per_capita!D$543/1000000</f>
        <v>0</v>
      </c>
      <c r="E15" s="340">
        <f>Saldo_relativo_per_capita!E15*Saldo_relativo_per_capita!E$543/1000000</f>
        <v>0</v>
      </c>
      <c r="F15" s="340">
        <f>Saldo_relativo_per_capita!F15*Saldo_relativo_per_capita!F$543/1000000</f>
        <v>0</v>
      </c>
      <c r="G15" s="340">
        <f>Saldo_relativo_per_capita!G15*Saldo_relativo_per_capita!G$543/1000000</f>
        <v>0</v>
      </c>
      <c r="H15" s="340">
        <f>Saldo_relativo_per_capita!H15*Saldo_relativo_per_capita!H$543/1000000</f>
        <v>0</v>
      </c>
      <c r="I15" s="340">
        <f>Saldo_relativo_per_capita!I15*Saldo_relativo_per_capita!I$543/1000000</f>
        <v>0</v>
      </c>
      <c r="J15" s="340">
        <f>Saldo_relativo_per_capita!J15*Saldo_relativo_per_capita!J$543/1000000</f>
        <v>0</v>
      </c>
      <c r="K15" s="340">
        <f>Saldo_relativo_per_capita!K15*Saldo_relativo_per_capita!K$543/1000000</f>
        <v>0</v>
      </c>
      <c r="L15" s="340">
        <f>Saldo_relativo_per_capita!L15*Saldo_relativo_per_capita!L$543/1000000</f>
        <v>0</v>
      </c>
      <c r="M15" s="340">
        <f>Saldo_relativo_per_capita!M15*Saldo_relativo_per_capita!M$543/1000000</f>
        <v>0</v>
      </c>
      <c r="N15" s="340">
        <f>Saldo_relativo_per_capita!N15*Saldo_relativo_per_capita!N$543/1000000</f>
        <v>0</v>
      </c>
      <c r="O15" s="340">
        <f>Saldo_relativo_per_capita!O15*Saldo_relativo_per_capita!O$543/1000000</f>
        <v>0</v>
      </c>
      <c r="P15" s="340">
        <f>Saldo_relativo_per_capita!P15*Saldo_relativo_per_capita!P$543/1000000</f>
        <v>0</v>
      </c>
      <c r="Q15" s="340">
        <f>Saldo_relativo_per_capita!Q15*Saldo_relativo_per_capita!Q$543/1000000</f>
        <v>0</v>
      </c>
      <c r="R15" s="340">
        <f>Saldo_relativo_per_capita!R15*Saldo_relativo_per_capita!R$543/1000000</f>
        <v>0</v>
      </c>
      <c r="S15" s="340">
        <f>Saldo_relativo_per_capita!S15*Saldo_relativo_per_capita!S$543/1000000</f>
        <v>0</v>
      </c>
      <c r="T15" s="340">
        <f>Saldo_relativo_per_capita!T15*Saldo_relativo_per_capita!T$543/1000000</f>
        <v>0</v>
      </c>
      <c r="U15" s="340">
        <f>Saldo_relativo_per_capita!U15*Saldo_relativo_per_capita!U$543/1000000</f>
        <v>0</v>
      </c>
      <c r="V15" s="340">
        <f>Saldo_relativo_per_capita!V15*Saldo_relativo_per_capita!V$543/1000000</f>
        <v>0</v>
      </c>
      <c r="W15" s="148"/>
    </row>
    <row r="16" spans="1:23" s="115" customFormat="1">
      <c r="A16" s="355" t="str">
        <f>IF(B16="","",(IF(ISERROR(MATCH(B16,Tot_res!C:C,0)),"Eliminar!!!","")))</f>
        <v/>
      </c>
      <c r="B16" s="115" t="s">
        <v>120</v>
      </c>
      <c r="C16" s="333" t="str">
        <f>VLOOKUP(B16,Tot_res!C:D,2,FALSE)</f>
        <v>Control externo del sector público</v>
      </c>
      <c r="D16" s="340">
        <f>Saldo_relativo_per_capita!D16*Saldo_relativo_per_capita!D$543/1000000</f>
        <v>0</v>
      </c>
      <c r="E16" s="340">
        <f>Saldo_relativo_per_capita!E16*Saldo_relativo_per_capita!E$543/1000000</f>
        <v>0</v>
      </c>
      <c r="F16" s="340">
        <f>Saldo_relativo_per_capita!F16*Saldo_relativo_per_capita!F$543/1000000</f>
        <v>0</v>
      </c>
      <c r="G16" s="340">
        <f>Saldo_relativo_per_capita!G16*Saldo_relativo_per_capita!G$543/1000000</f>
        <v>0</v>
      </c>
      <c r="H16" s="340">
        <f>Saldo_relativo_per_capita!H16*Saldo_relativo_per_capita!H$543/1000000</f>
        <v>0</v>
      </c>
      <c r="I16" s="340">
        <f>Saldo_relativo_per_capita!I16*Saldo_relativo_per_capita!I$543/1000000</f>
        <v>0</v>
      </c>
      <c r="J16" s="340">
        <f>Saldo_relativo_per_capita!J16*Saldo_relativo_per_capita!J$543/1000000</f>
        <v>0</v>
      </c>
      <c r="K16" s="340">
        <f>Saldo_relativo_per_capita!K16*Saldo_relativo_per_capita!K$543/1000000</f>
        <v>0</v>
      </c>
      <c r="L16" s="340">
        <f>Saldo_relativo_per_capita!L16*Saldo_relativo_per_capita!L$543/1000000</f>
        <v>0</v>
      </c>
      <c r="M16" s="340">
        <f>Saldo_relativo_per_capita!M16*Saldo_relativo_per_capita!M$543/1000000</f>
        <v>0</v>
      </c>
      <c r="N16" s="340">
        <f>Saldo_relativo_per_capita!N16*Saldo_relativo_per_capita!N$543/1000000</f>
        <v>0</v>
      </c>
      <c r="O16" s="340">
        <f>Saldo_relativo_per_capita!O16*Saldo_relativo_per_capita!O$543/1000000</f>
        <v>0</v>
      </c>
      <c r="P16" s="340">
        <f>Saldo_relativo_per_capita!P16*Saldo_relativo_per_capita!P$543/1000000</f>
        <v>0</v>
      </c>
      <c r="Q16" s="340">
        <f>Saldo_relativo_per_capita!Q16*Saldo_relativo_per_capita!Q$543/1000000</f>
        <v>0</v>
      </c>
      <c r="R16" s="340">
        <f>Saldo_relativo_per_capita!R16*Saldo_relativo_per_capita!R$543/1000000</f>
        <v>0</v>
      </c>
      <c r="S16" s="340">
        <f>Saldo_relativo_per_capita!S16*Saldo_relativo_per_capita!S$543/1000000</f>
        <v>0</v>
      </c>
      <c r="T16" s="340">
        <f>Saldo_relativo_per_capita!T16*Saldo_relativo_per_capita!T$543/1000000</f>
        <v>0</v>
      </c>
      <c r="U16" s="340">
        <f>Saldo_relativo_per_capita!U16*Saldo_relativo_per_capita!U$543/1000000</f>
        <v>0</v>
      </c>
      <c r="V16" s="340">
        <f>Saldo_relativo_per_capita!V16*Saldo_relativo_per_capita!V$543/1000000</f>
        <v>0</v>
      </c>
      <c r="W16" s="148"/>
    </row>
    <row r="17" spans="1:23" s="115" customFormat="1">
      <c r="A17" s="355" t="str">
        <f>IF(B17="","",(IF(ISERROR(MATCH(B17,Tot_res!C:C,0)),"Eliminar!!!","")))</f>
        <v/>
      </c>
      <c r="B17" s="115" t="s">
        <v>121</v>
      </c>
      <c r="C17" s="333" t="str">
        <f>VLOOKUP(B17,Tot_res!C:D,2,FALSE)</f>
        <v>Control constitucional</v>
      </c>
      <c r="D17" s="340">
        <f>Saldo_relativo_per_capita!D17*Saldo_relativo_per_capita!D$543/1000000</f>
        <v>0</v>
      </c>
      <c r="E17" s="340">
        <f>Saldo_relativo_per_capita!E17*Saldo_relativo_per_capita!E$543/1000000</f>
        <v>0</v>
      </c>
      <c r="F17" s="340">
        <f>Saldo_relativo_per_capita!F17*Saldo_relativo_per_capita!F$543/1000000</f>
        <v>0</v>
      </c>
      <c r="G17" s="340">
        <f>Saldo_relativo_per_capita!G17*Saldo_relativo_per_capita!G$543/1000000</f>
        <v>0</v>
      </c>
      <c r="H17" s="340">
        <f>Saldo_relativo_per_capita!H17*Saldo_relativo_per_capita!H$543/1000000</f>
        <v>0</v>
      </c>
      <c r="I17" s="340">
        <f>Saldo_relativo_per_capita!I17*Saldo_relativo_per_capita!I$543/1000000</f>
        <v>0</v>
      </c>
      <c r="J17" s="340">
        <f>Saldo_relativo_per_capita!J17*Saldo_relativo_per_capita!J$543/1000000</f>
        <v>0</v>
      </c>
      <c r="K17" s="340">
        <f>Saldo_relativo_per_capita!K17*Saldo_relativo_per_capita!K$543/1000000</f>
        <v>0</v>
      </c>
      <c r="L17" s="340">
        <f>Saldo_relativo_per_capita!L17*Saldo_relativo_per_capita!L$543/1000000</f>
        <v>0</v>
      </c>
      <c r="M17" s="340">
        <f>Saldo_relativo_per_capita!M17*Saldo_relativo_per_capita!M$543/1000000</f>
        <v>0</v>
      </c>
      <c r="N17" s="340">
        <f>Saldo_relativo_per_capita!N17*Saldo_relativo_per_capita!N$543/1000000</f>
        <v>0</v>
      </c>
      <c r="O17" s="340">
        <f>Saldo_relativo_per_capita!O17*Saldo_relativo_per_capita!O$543/1000000</f>
        <v>0</v>
      </c>
      <c r="P17" s="340">
        <f>Saldo_relativo_per_capita!P17*Saldo_relativo_per_capita!P$543/1000000</f>
        <v>0</v>
      </c>
      <c r="Q17" s="340">
        <f>Saldo_relativo_per_capita!Q17*Saldo_relativo_per_capita!Q$543/1000000</f>
        <v>0</v>
      </c>
      <c r="R17" s="340">
        <f>Saldo_relativo_per_capita!R17*Saldo_relativo_per_capita!R$543/1000000</f>
        <v>0</v>
      </c>
      <c r="S17" s="340">
        <f>Saldo_relativo_per_capita!S17*Saldo_relativo_per_capita!S$543/1000000</f>
        <v>0</v>
      </c>
      <c r="T17" s="340">
        <f>Saldo_relativo_per_capita!T17*Saldo_relativo_per_capita!T$543/1000000</f>
        <v>0</v>
      </c>
      <c r="U17" s="340">
        <f>Saldo_relativo_per_capita!U17*Saldo_relativo_per_capita!U$543/1000000</f>
        <v>0</v>
      </c>
      <c r="V17" s="340">
        <f>Saldo_relativo_per_capita!V17*Saldo_relativo_per_capita!V$543/1000000</f>
        <v>0</v>
      </c>
      <c r="W17" s="148"/>
    </row>
    <row r="18" spans="1:23" s="115" customFormat="1">
      <c r="A18" s="355" t="str">
        <f>IF(B18="","",(IF(ISERROR(MATCH(B18,Tot_res!C:C,0)),"Eliminar!!!","")))</f>
        <v/>
      </c>
      <c r="B18" s="115" t="s">
        <v>122</v>
      </c>
      <c r="C18" s="333" t="str">
        <f>VLOOKUP(B18,Tot_res!C:D,2,FALSE)</f>
        <v>Apoyo a la gestión administrativa de la jefatura del estado</v>
      </c>
      <c r="D18" s="340">
        <f>Saldo_relativo_per_capita!D18*Saldo_relativo_per_capita!D$543/1000000</f>
        <v>0</v>
      </c>
      <c r="E18" s="340">
        <f>Saldo_relativo_per_capita!E18*Saldo_relativo_per_capita!E$543/1000000</f>
        <v>0</v>
      </c>
      <c r="F18" s="340">
        <f>Saldo_relativo_per_capita!F18*Saldo_relativo_per_capita!F$543/1000000</f>
        <v>0</v>
      </c>
      <c r="G18" s="340">
        <f>Saldo_relativo_per_capita!G18*Saldo_relativo_per_capita!G$543/1000000</f>
        <v>0</v>
      </c>
      <c r="H18" s="340">
        <f>Saldo_relativo_per_capita!H18*Saldo_relativo_per_capita!H$543/1000000</f>
        <v>0</v>
      </c>
      <c r="I18" s="340">
        <f>Saldo_relativo_per_capita!I18*Saldo_relativo_per_capita!I$543/1000000</f>
        <v>0</v>
      </c>
      <c r="J18" s="340">
        <f>Saldo_relativo_per_capita!J18*Saldo_relativo_per_capita!J$543/1000000</f>
        <v>0</v>
      </c>
      <c r="K18" s="340">
        <f>Saldo_relativo_per_capita!K18*Saldo_relativo_per_capita!K$543/1000000</f>
        <v>0</v>
      </c>
      <c r="L18" s="340">
        <f>Saldo_relativo_per_capita!L18*Saldo_relativo_per_capita!L$543/1000000</f>
        <v>0</v>
      </c>
      <c r="M18" s="340">
        <f>Saldo_relativo_per_capita!M18*Saldo_relativo_per_capita!M$543/1000000</f>
        <v>0</v>
      </c>
      <c r="N18" s="340">
        <f>Saldo_relativo_per_capita!N18*Saldo_relativo_per_capita!N$543/1000000</f>
        <v>0</v>
      </c>
      <c r="O18" s="340">
        <f>Saldo_relativo_per_capita!O18*Saldo_relativo_per_capita!O$543/1000000</f>
        <v>0</v>
      </c>
      <c r="P18" s="340">
        <f>Saldo_relativo_per_capita!P18*Saldo_relativo_per_capita!P$543/1000000</f>
        <v>0</v>
      </c>
      <c r="Q18" s="340">
        <f>Saldo_relativo_per_capita!Q18*Saldo_relativo_per_capita!Q$543/1000000</f>
        <v>0</v>
      </c>
      <c r="R18" s="340">
        <f>Saldo_relativo_per_capita!R18*Saldo_relativo_per_capita!R$543/1000000</f>
        <v>0</v>
      </c>
      <c r="S18" s="340">
        <f>Saldo_relativo_per_capita!S18*Saldo_relativo_per_capita!S$543/1000000</f>
        <v>0</v>
      </c>
      <c r="T18" s="340">
        <f>Saldo_relativo_per_capita!T18*Saldo_relativo_per_capita!T$543/1000000</f>
        <v>0</v>
      </c>
      <c r="U18" s="340">
        <f>Saldo_relativo_per_capita!U18*Saldo_relativo_per_capita!U$543/1000000</f>
        <v>0</v>
      </c>
      <c r="V18" s="340">
        <f>Saldo_relativo_per_capita!V18*Saldo_relativo_per_capita!V$543/1000000</f>
        <v>0</v>
      </c>
      <c r="W18" s="148"/>
    </row>
    <row r="19" spans="1:23" s="115" customFormat="1">
      <c r="A19" s="355" t="str">
        <f>IF(B19="","",(IF(ISERROR(MATCH(B19,Tot_res!C:C,0)),"Eliminar!!!","")))</f>
        <v/>
      </c>
      <c r="B19" s="115" t="s">
        <v>123</v>
      </c>
      <c r="C19" s="333" t="str">
        <f>VLOOKUP(B19,Tot_res!C:D,2,FALSE)</f>
        <v>Presidencia del gobierno</v>
      </c>
      <c r="D19" s="340">
        <f>Saldo_relativo_per_capita!D19*Saldo_relativo_per_capita!D$543/1000000</f>
        <v>0</v>
      </c>
      <c r="E19" s="340">
        <f>Saldo_relativo_per_capita!E19*Saldo_relativo_per_capita!E$543/1000000</f>
        <v>0</v>
      </c>
      <c r="F19" s="340">
        <f>Saldo_relativo_per_capita!F19*Saldo_relativo_per_capita!F$543/1000000</f>
        <v>0</v>
      </c>
      <c r="G19" s="340">
        <f>Saldo_relativo_per_capita!G19*Saldo_relativo_per_capita!G$543/1000000</f>
        <v>0</v>
      </c>
      <c r="H19" s="340">
        <f>Saldo_relativo_per_capita!H19*Saldo_relativo_per_capita!H$543/1000000</f>
        <v>0</v>
      </c>
      <c r="I19" s="340">
        <f>Saldo_relativo_per_capita!I19*Saldo_relativo_per_capita!I$543/1000000</f>
        <v>0</v>
      </c>
      <c r="J19" s="340">
        <f>Saldo_relativo_per_capita!J19*Saldo_relativo_per_capita!J$543/1000000</f>
        <v>0</v>
      </c>
      <c r="K19" s="340">
        <f>Saldo_relativo_per_capita!K19*Saldo_relativo_per_capita!K$543/1000000</f>
        <v>0</v>
      </c>
      <c r="L19" s="340">
        <f>Saldo_relativo_per_capita!L19*Saldo_relativo_per_capita!L$543/1000000</f>
        <v>0</v>
      </c>
      <c r="M19" s="340">
        <f>Saldo_relativo_per_capita!M19*Saldo_relativo_per_capita!M$543/1000000</f>
        <v>0</v>
      </c>
      <c r="N19" s="340">
        <f>Saldo_relativo_per_capita!N19*Saldo_relativo_per_capita!N$543/1000000</f>
        <v>0</v>
      </c>
      <c r="O19" s="340">
        <f>Saldo_relativo_per_capita!O19*Saldo_relativo_per_capita!O$543/1000000</f>
        <v>0</v>
      </c>
      <c r="P19" s="340">
        <f>Saldo_relativo_per_capita!P19*Saldo_relativo_per_capita!P$543/1000000</f>
        <v>0</v>
      </c>
      <c r="Q19" s="340">
        <f>Saldo_relativo_per_capita!Q19*Saldo_relativo_per_capita!Q$543/1000000</f>
        <v>0</v>
      </c>
      <c r="R19" s="340">
        <f>Saldo_relativo_per_capita!R19*Saldo_relativo_per_capita!R$543/1000000</f>
        <v>0</v>
      </c>
      <c r="S19" s="340">
        <f>Saldo_relativo_per_capita!S19*Saldo_relativo_per_capita!S$543/1000000</f>
        <v>0</v>
      </c>
      <c r="T19" s="340">
        <f>Saldo_relativo_per_capita!T19*Saldo_relativo_per_capita!T$543/1000000</f>
        <v>0</v>
      </c>
      <c r="U19" s="340">
        <f>Saldo_relativo_per_capita!U19*Saldo_relativo_per_capita!U$543/1000000</f>
        <v>0</v>
      </c>
      <c r="V19" s="340">
        <f>Saldo_relativo_per_capita!V19*Saldo_relativo_per_capita!V$543/1000000</f>
        <v>0</v>
      </c>
      <c r="W19" s="148"/>
    </row>
    <row r="20" spans="1:23" s="115" customFormat="1">
      <c r="A20" s="355" t="str">
        <f>IF(B20="","",(IF(ISERROR(MATCH(B20,Tot_res!C:C,0)),"Eliminar!!!","")))</f>
        <v/>
      </c>
      <c r="B20" s="115" t="s">
        <v>124</v>
      </c>
      <c r="C20" s="333" t="str">
        <f>VLOOKUP(B20,Tot_res!C:D,2,FALSE)</f>
        <v>Alto asesoramiento del estado</v>
      </c>
      <c r="D20" s="340">
        <f>Saldo_relativo_per_capita!D20*Saldo_relativo_per_capita!D$543/1000000</f>
        <v>0</v>
      </c>
      <c r="E20" s="340">
        <f>Saldo_relativo_per_capita!E20*Saldo_relativo_per_capita!E$543/1000000</f>
        <v>0</v>
      </c>
      <c r="F20" s="340">
        <f>Saldo_relativo_per_capita!F20*Saldo_relativo_per_capita!F$543/1000000</f>
        <v>0</v>
      </c>
      <c r="G20" s="340">
        <f>Saldo_relativo_per_capita!G20*Saldo_relativo_per_capita!G$543/1000000</f>
        <v>0</v>
      </c>
      <c r="H20" s="340">
        <f>Saldo_relativo_per_capita!H20*Saldo_relativo_per_capita!H$543/1000000</f>
        <v>0</v>
      </c>
      <c r="I20" s="340">
        <f>Saldo_relativo_per_capita!I20*Saldo_relativo_per_capita!I$543/1000000</f>
        <v>0</v>
      </c>
      <c r="J20" s="340">
        <f>Saldo_relativo_per_capita!J20*Saldo_relativo_per_capita!J$543/1000000</f>
        <v>0</v>
      </c>
      <c r="K20" s="340">
        <f>Saldo_relativo_per_capita!K20*Saldo_relativo_per_capita!K$543/1000000</f>
        <v>0</v>
      </c>
      <c r="L20" s="340">
        <f>Saldo_relativo_per_capita!L20*Saldo_relativo_per_capita!L$543/1000000</f>
        <v>0</v>
      </c>
      <c r="M20" s="340">
        <f>Saldo_relativo_per_capita!M20*Saldo_relativo_per_capita!M$543/1000000</f>
        <v>0</v>
      </c>
      <c r="N20" s="340">
        <f>Saldo_relativo_per_capita!N20*Saldo_relativo_per_capita!N$543/1000000</f>
        <v>0</v>
      </c>
      <c r="O20" s="340">
        <f>Saldo_relativo_per_capita!O20*Saldo_relativo_per_capita!O$543/1000000</f>
        <v>0</v>
      </c>
      <c r="P20" s="340">
        <f>Saldo_relativo_per_capita!P20*Saldo_relativo_per_capita!P$543/1000000</f>
        <v>0</v>
      </c>
      <c r="Q20" s="340">
        <f>Saldo_relativo_per_capita!Q20*Saldo_relativo_per_capita!Q$543/1000000</f>
        <v>0</v>
      </c>
      <c r="R20" s="340">
        <f>Saldo_relativo_per_capita!R20*Saldo_relativo_per_capita!R$543/1000000</f>
        <v>0</v>
      </c>
      <c r="S20" s="340">
        <f>Saldo_relativo_per_capita!S20*Saldo_relativo_per_capita!S$543/1000000</f>
        <v>0</v>
      </c>
      <c r="T20" s="340">
        <f>Saldo_relativo_per_capita!T20*Saldo_relativo_per_capita!T$543/1000000</f>
        <v>0</v>
      </c>
      <c r="U20" s="340">
        <f>Saldo_relativo_per_capita!U20*Saldo_relativo_per_capita!U$543/1000000</f>
        <v>0</v>
      </c>
      <c r="V20" s="340">
        <f>Saldo_relativo_per_capita!V20*Saldo_relativo_per_capita!V$543/1000000</f>
        <v>0</v>
      </c>
      <c r="W20" s="148"/>
    </row>
    <row r="21" spans="1:23" s="115" customFormat="1">
      <c r="A21" s="355" t="str">
        <f>IF(B21="","",(IF(ISERROR(MATCH(B21,Tot_res!C:C,0)),"Eliminar!!!","")))</f>
        <v/>
      </c>
      <c r="B21" s="115" t="s">
        <v>125</v>
      </c>
      <c r="C21" s="333" t="str">
        <f>VLOOKUP(B21,Tot_res!C:D,2,FALSE)</f>
        <v>Relaciones con las cortes generales, secretariado del gobierno y apoyo a la alta dirección</v>
      </c>
      <c r="D21" s="340">
        <f>Saldo_relativo_per_capita!D21*Saldo_relativo_per_capita!D$543/1000000</f>
        <v>0</v>
      </c>
      <c r="E21" s="340">
        <f>Saldo_relativo_per_capita!E21*Saldo_relativo_per_capita!E$543/1000000</f>
        <v>0</v>
      </c>
      <c r="F21" s="340">
        <f>Saldo_relativo_per_capita!F21*Saldo_relativo_per_capita!F$543/1000000</f>
        <v>0</v>
      </c>
      <c r="G21" s="340">
        <f>Saldo_relativo_per_capita!G21*Saldo_relativo_per_capita!G$543/1000000</f>
        <v>0</v>
      </c>
      <c r="H21" s="340">
        <f>Saldo_relativo_per_capita!H21*Saldo_relativo_per_capita!H$543/1000000</f>
        <v>0</v>
      </c>
      <c r="I21" s="340">
        <f>Saldo_relativo_per_capita!I21*Saldo_relativo_per_capita!I$543/1000000</f>
        <v>0</v>
      </c>
      <c r="J21" s="340">
        <f>Saldo_relativo_per_capita!J21*Saldo_relativo_per_capita!J$543/1000000</f>
        <v>0</v>
      </c>
      <c r="K21" s="340">
        <f>Saldo_relativo_per_capita!K21*Saldo_relativo_per_capita!K$543/1000000</f>
        <v>0</v>
      </c>
      <c r="L21" s="340">
        <f>Saldo_relativo_per_capita!L21*Saldo_relativo_per_capita!L$543/1000000</f>
        <v>0</v>
      </c>
      <c r="M21" s="340">
        <f>Saldo_relativo_per_capita!M21*Saldo_relativo_per_capita!M$543/1000000</f>
        <v>0</v>
      </c>
      <c r="N21" s="340">
        <f>Saldo_relativo_per_capita!N21*Saldo_relativo_per_capita!N$543/1000000</f>
        <v>0</v>
      </c>
      <c r="O21" s="340">
        <f>Saldo_relativo_per_capita!O21*Saldo_relativo_per_capita!O$543/1000000</f>
        <v>0</v>
      </c>
      <c r="P21" s="340">
        <f>Saldo_relativo_per_capita!P21*Saldo_relativo_per_capita!P$543/1000000</f>
        <v>0</v>
      </c>
      <c r="Q21" s="340">
        <f>Saldo_relativo_per_capita!Q21*Saldo_relativo_per_capita!Q$543/1000000</f>
        <v>0</v>
      </c>
      <c r="R21" s="340">
        <f>Saldo_relativo_per_capita!R21*Saldo_relativo_per_capita!R$543/1000000</f>
        <v>0</v>
      </c>
      <c r="S21" s="340">
        <f>Saldo_relativo_per_capita!S21*Saldo_relativo_per_capita!S$543/1000000</f>
        <v>0</v>
      </c>
      <c r="T21" s="340">
        <f>Saldo_relativo_per_capita!T21*Saldo_relativo_per_capita!T$543/1000000</f>
        <v>0</v>
      </c>
      <c r="U21" s="340">
        <f>Saldo_relativo_per_capita!U21*Saldo_relativo_per_capita!U$543/1000000</f>
        <v>0</v>
      </c>
      <c r="V21" s="340">
        <f>Saldo_relativo_per_capita!V21*Saldo_relativo_per_capita!V$543/1000000</f>
        <v>0</v>
      </c>
      <c r="W21" s="148"/>
    </row>
    <row r="22" spans="1:23" s="115" customFormat="1">
      <c r="A22" s="355" t="str">
        <f>IF(B22="","",(IF(ISERROR(MATCH(B22,Tot_res!C:C,0)),"Eliminar!!!","")))</f>
        <v/>
      </c>
      <c r="B22" s="115" t="s">
        <v>126</v>
      </c>
      <c r="C22" s="333" t="str">
        <f>VLOOKUP(B22,Tot_res!C:D,2,FALSE)</f>
        <v>Asesoramiento del gobierno en materia social, económica y laboral</v>
      </c>
      <c r="D22" s="340">
        <f>Saldo_relativo_per_capita!D22*Saldo_relativo_per_capita!D$543/1000000</f>
        <v>0</v>
      </c>
      <c r="E22" s="340">
        <f>Saldo_relativo_per_capita!E22*Saldo_relativo_per_capita!E$543/1000000</f>
        <v>0</v>
      </c>
      <c r="F22" s="340">
        <f>Saldo_relativo_per_capita!F22*Saldo_relativo_per_capita!F$543/1000000</f>
        <v>0</v>
      </c>
      <c r="G22" s="340">
        <f>Saldo_relativo_per_capita!G22*Saldo_relativo_per_capita!G$543/1000000</f>
        <v>0</v>
      </c>
      <c r="H22" s="340">
        <f>Saldo_relativo_per_capita!H22*Saldo_relativo_per_capita!H$543/1000000</f>
        <v>0</v>
      </c>
      <c r="I22" s="340">
        <f>Saldo_relativo_per_capita!I22*Saldo_relativo_per_capita!I$543/1000000</f>
        <v>0</v>
      </c>
      <c r="J22" s="340">
        <f>Saldo_relativo_per_capita!J22*Saldo_relativo_per_capita!J$543/1000000</f>
        <v>0</v>
      </c>
      <c r="K22" s="340">
        <f>Saldo_relativo_per_capita!K22*Saldo_relativo_per_capita!K$543/1000000</f>
        <v>0</v>
      </c>
      <c r="L22" s="340">
        <f>Saldo_relativo_per_capita!L22*Saldo_relativo_per_capita!L$543/1000000</f>
        <v>0</v>
      </c>
      <c r="M22" s="340">
        <f>Saldo_relativo_per_capita!M22*Saldo_relativo_per_capita!M$543/1000000</f>
        <v>0</v>
      </c>
      <c r="N22" s="340">
        <f>Saldo_relativo_per_capita!N22*Saldo_relativo_per_capita!N$543/1000000</f>
        <v>0</v>
      </c>
      <c r="O22" s="340">
        <f>Saldo_relativo_per_capita!O22*Saldo_relativo_per_capita!O$543/1000000</f>
        <v>0</v>
      </c>
      <c r="P22" s="340">
        <f>Saldo_relativo_per_capita!P22*Saldo_relativo_per_capita!P$543/1000000</f>
        <v>0</v>
      </c>
      <c r="Q22" s="340">
        <f>Saldo_relativo_per_capita!Q22*Saldo_relativo_per_capita!Q$543/1000000</f>
        <v>0</v>
      </c>
      <c r="R22" s="340">
        <f>Saldo_relativo_per_capita!R22*Saldo_relativo_per_capita!R$543/1000000</f>
        <v>0</v>
      </c>
      <c r="S22" s="340">
        <f>Saldo_relativo_per_capita!S22*Saldo_relativo_per_capita!S$543/1000000</f>
        <v>0</v>
      </c>
      <c r="T22" s="340">
        <f>Saldo_relativo_per_capita!T22*Saldo_relativo_per_capita!T$543/1000000</f>
        <v>0</v>
      </c>
      <c r="U22" s="340">
        <f>Saldo_relativo_per_capita!U22*Saldo_relativo_per_capita!U$543/1000000</f>
        <v>0</v>
      </c>
      <c r="V22" s="340">
        <f>Saldo_relativo_per_capita!V22*Saldo_relativo_per_capita!V$543/1000000</f>
        <v>0</v>
      </c>
      <c r="W22" s="148"/>
    </row>
    <row r="23" spans="1:23" s="115" customFormat="1">
      <c r="A23" s="355" t="str">
        <f>IF(B23="","",(IF(ISERROR(MATCH(B23,Tot_res!C:C,0)),"Eliminar!!!","")))</f>
        <v/>
      </c>
      <c r="B23" s="115" t="s">
        <v>127</v>
      </c>
      <c r="C23" s="333" t="str">
        <f>VLOOKUP(B23,Tot_res!C:D,2,FALSE)</f>
        <v>Cobertura informativa</v>
      </c>
      <c r="D23" s="340">
        <f>Saldo_relativo_per_capita!D23*Saldo_relativo_per_capita!D$543/1000000</f>
        <v>0</v>
      </c>
      <c r="E23" s="340">
        <f>Saldo_relativo_per_capita!E23*Saldo_relativo_per_capita!E$543/1000000</f>
        <v>0</v>
      </c>
      <c r="F23" s="340">
        <f>Saldo_relativo_per_capita!F23*Saldo_relativo_per_capita!F$543/1000000</f>
        <v>0</v>
      </c>
      <c r="G23" s="340">
        <f>Saldo_relativo_per_capita!G23*Saldo_relativo_per_capita!G$543/1000000</f>
        <v>0</v>
      </c>
      <c r="H23" s="340">
        <f>Saldo_relativo_per_capita!H23*Saldo_relativo_per_capita!H$543/1000000</f>
        <v>0</v>
      </c>
      <c r="I23" s="340">
        <f>Saldo_relativo_per_capita!I23*Saldo_relativo_per_capita!I$543/1000000</f>
        <v>0</v>
      </c>
      <c r="J23" s="340">
        <f>Saldo_relativo_per_capita!J23*Saldo_relativo_per_capita!J$543/1000000</f>
        <v>0</v>
      </c>
      <c r="K23" s="340">
        <f>Saldo_relativo_per_capita!K23*Saldo_relativo_per_capita!K$543/1000000</f>
        <v>0</v>
      </c>
      <c r="L23" s="340">
        <f>Saldo_relativo_per_capita!L23*Saldo_relativo_per_capita!L$543/1000000</f>
        <v>0</v>
      </c>
      <c r="M23" s="340">
        <f>Saldo_relativo_per_capita!M23*Saldo_relativo_per_capita!M$543/1000000</f>
        <v>0</v>
      </c>
      <c r="N23" s="340">
        <f>Saldo_relativo_per_capita!N23*Saldo_relativo_per_capita!N$543/1000000</f>
        <v>0</v>
      </c>
      <c r="O23" s="340">
        <f>Saldo_relativo_per_capita!O23*Saldo_relativo_per_capita!O$543/1000000</f>
        <v>0</v>
      </c>
      <c r="P23" s="340">
        <f>Saldo_relativo_per_capita!P23*Saldo_relativo_per_capita!P$543/1000000</f>
        <v>0</v>
      </c>
      <c r="Q23" s="340">
        <f>Saldo_relativo_per_capita!Q23*Saldo_relativo_per_capita!Q$543/1000000</f>
        <v>0</v>
      </c>
      <c r="R23" s="340">
        <f>Saldo_relativo_per_capita!R23*Saldo_relativo_per_capita!R$543/1000000</f>
        <v>0</v>
      </c>
      <c r="S23" s="340">
        <f>Saldo_relativo_per_capita!S23*Saldo_relativo_per_capita!S$543/1000000</f>
        <v>0</v>
      </c>
      <c r="T23" s="340">
        <f>Saldo_relativo_per_capita!T23*Saldo_relativo_per_capita!T$543/1000000</f>
        <v>0</v>
      </c>
      <c r="U23" s="340">
        <f>Saldo_relativo_per_capita!U23*Saldo_relativo_per_capita!U$543/1000000</f>
        <v>0</v>
      </c>
      <c r="V23" s="340">
        <f>Saldo_relativo_per_capita!V23*Saldo_relativo_per_capita!V$543/1000000</f>
        <v>0</v>
      </c>
      <c r="W23" s="148"/>
    </row>
    <row r="24" spans="1:23" s="115" customFormat="1">
      <c r="A24" s="356"/>
      <c r="D24" s="218"/>
      <c r="E24" s="218"/>
      <c r="F24" s="218"/>
      <c r="G24" s="218"/>
      <c r="H24" s="218"/>
      <c r="I24" s="218"/>
      <c r="J24" s="218"/>
      <c r="K24" s="218"/>
      <c r="L24" s="218"/>
      <c r="M24" s="218"/>
      <c r="N24" s="218"/>
      <c r="O24" s="218"/>
      <c r="P24" s="218"/>
      <c r="Q24" s="218"/>
      <c r="R24" s="218"/>
      <c r="S24" s="218"/>
      <c r="T24" s="218"/>
      <c r="U24" s="218"/>
      <c r="V24" s="218"/>
      <c r="W24" s="148"/>
    </row>
    <row r="25" spans="1:23" s="115" customFormat="1">
      <c r="A25" s="356"/>
      <c r="C25" s="117" t="s">
        <v>47</v>
      </c>
      <c r="D25" s="219">
        <f>Saldo_relativo_per_capita!D25*Saldo_relativo_per_capita!D$543/1000000</f>
        <v>0</v>
      </c>
      <c r="E25" s="219">
        <f>Saldo_relativo_per_capita!E25*Saldo_relativo_per_capita!E$543/1000000</f>
        <v>0</v>
      </c>
      <c r="F25" s="219">
        <f>Saldo_relativo_per_capita!F25*Saldo_relativo_per_capita!F$543/1000000</f>
        <v>0</v>
      </c>
      <c r="G25" s="219">
        <f>Saldo_relativo_per_capita!G25*Saldo_relativo_per_capita!G$543/1000000</f>
        <v>0</v>
      </c>
      <c r="H25" s="219">
        <f>Saldo_relativo_per_capita!H25*Saldo_relativo_per_capita!H$543/1000000</f>
        <v>0</v>
      </c>
      <c r="I25" s="219">
        <f>Saldo_relativo_per_capita!I25*Saldo_relativo_per_capita!I$543/1000000</f>
        <v>0</v>
      </c>
      <c r="J25" s="219">
        <f>Saldo_relativo_per_capita!J25*Saldo_relativo_per_capita!J$543/1000000</f>
        <v>0</v>
      </c>
      <c r="K25" s="219">
        <f>Saldo_relativo_per_capita!K25*Saldo_relativo_per_capita!K$543/1000000</f>
        <v>0</v>
      </c>
      <c r="L25" s="219">
        <f>Saldo_relativo_per_capita!L25*Saldo_relativo_per_capita!L$543/1000000</f>
        <v>0</v>
      </c>
      <c r="M25" s="219">
        <f>Saldo_relativo_per_capita!M25*Saldo_relativo_per_capita!M$543/1000000</f>
        <v>0</v>
      </c>
      <c r="N25" s="219">
        <f>Saldo_relativo_per_capita!N25*Saldo_relativo_per_capita!N$543/1000000</f>
        <v>0</v>
      </c>
      <c r="O25" s="219">
        <f>Saldo_relativo_per_capita!O25*Saldo_relativo_per_capita!O$543/1000000</f>
        <v>0</v>
      </c>
      <c r="P25" s="219">
        <f>Saldo_relativo_per_capita!P25*Saldo_relativo_per_capita!P$543/1000000</f>
        <v>0</v>
      </c>
      <c r="Q25" s="219">
        <f>Saldo_relativo_per_capita!Q25*Saldo_relativo_per_capita!Q$543/1000000</f>
        <v>0</v>
      </c>
      <c r="R25" s="219">
        <f>Saldo_relativo_per_capita!R25*Saldo_relativo_per_capita!R$543/1000000</f>
        <v>0</v>
      </c>
      <c r="S25" s="219">
        <f>Saldo_relativo_per_capita!S25*Saldo_relativo_per_capita!S$543/1000000</f>
        <v>0</v>
      </c>
      <c r="T25" s="219">
        <f>Saldo_relativo_per_capita!T25*Saldo_relativo_per_capita!T$543/1000000</f>
        <v>0</v>
      </c>
      <c r="U25" s="219">
        <f>Saldo_relativo_per_capita!U25*Saldo_relativo_per_capita!U$543/1000000</f>
        <v>0</v>
      </c>
      <c r="V25" s="219">
        <f>Saldo_relativo_per_capita!V25*Saldo_relativo_per_capita!V$543/1000000</f>
        <v>0</v>
      </c>
      <c r="W25" s="148"/>
    </row>
    <row r="26" spans="1:23" s="115" customFormat="1">
      <c r="A26" s="355" t="str">
        <f>IF(B26="","",(IF(ISERROR(MATCH(B26,Tot_res!C:C,0)),"Eliminar!!!","")))</f>
        <v/>
      </c>
      <c r="B26" s="115" t="s">
        <v>129</v>
      </c>
      <c r="C26" s="333" t="str">
        <f>VLOOKUP(B26,Tot_res!C:D,2,FALSE)</f>
        <v>Dirección y servicios generales de asuntos exteriores</v>
      </c>
      <c r="D26" s="340">
        <f>Saldo_relativo_per_capita!D26*Saldo_relativo_per_capita!D$543/1000000</f>
        <v>0</v>
      </c>
      <c r="E26" s="340">
        <f>Saldo_relativo_per_capita!E26*Saldo_relativo_per_capita!E$543/1000000</f>
        <v>0</v>
      </c>
      <c r="F26" s="340">
        <f>Saldo_relativo_per_capita!F26*Saldo_relativo_per_capita!F$543/1000000</f>
        <v>0</v>
      </c>
      <c r="G26" s="340">
        <f>Saldo_relativo_per_capita!G26*Saldo_relativo_per_capita!G$543/1000000</f>
        <v>0</v>
      </c>
      <c r="H26" s="340">
        <f>Saldo_relativo_per_capita!H26*Saldo_relativo_per_capita!H$543/1000000</f>
        <v>0</v>
      </c>
      <c r="I26" s="340">
        <f>Saldo_relativo_per_capita!I26*Saldo_relativo_per_capita!I$543/1000000</f>
        <v>0</v>
      </c>
      <c r="J26" s="340">
        <f>Saldo_relativo_per_capita!J26*Saldo_relativo_per_capita!J$543/1000000</f>
        <v>0</v>
      </c>
      <c r="K26" s="340">
        <f>Saldo_relativo_per_capita!K26*Saldo_relativo_per_capita!K$543/1000000</f>
        <v>0</v>
      </c>
      <c r="L26" s="340">
        <f>Saldo_relativo_per_capita!L26*Saldo_relativo_per_capita!L$543/1000000</f>
        <v>0</v>
      </c>
      <c r="M26" s="340">
        <f>Saldo_relativo_per_capita!M26*Saldo_relativo_per_capita!M$543/1000000</f>
        <v>0</v>
      </c>
      <c r="N26" s="340">
        <f>Saldo_relativo_per_capita!N26*Saldo_relativo_per_capita!N$543/1000000</f>
        <v>0</v>
      </c>
      <c r="O26" s="340">
        <f>Saldo_relativo_per_capita!O26*Saldo_relativo_per_capita!O$543/1000000</f>
        <v>0</v>
      </c>
      <c r="P26" s="340">
        <f>Saldo_relativo_per_capita!P26*Saldo_relativo_per_capita!P$543/1000000</f>
        <v>0</v>
      </c>
      <c r="Q26" s="340">
        <f>Saldo_relativo_per_capita!Q26*Saldo_relativo_per_capita!Q$543/1000000</f>
        <v>0</v>
      </c>
      <c r="R26" s="340">
        <f>Saldo_relativo_per_capita!R26*Saldo_relativo_per_capita!R$543/1000000</f>
        <v>0</v>
      </c>
      <c r="S26" s="340">
        <f>Saldo_relativo_per_capita!S26*Saldo_relativo_per_capita!S$543/1000000</f>
        <v>0</v>
      </c>
      <c r="T26" s="340">
        <f>Saldo_relativo_per_capita!T26*Saldo_relativo_per_capita!T$543/1000000</f>
        <v>0</v>
      </c>
      <c r="U26" s="340">
        <f>Saldo_relativo_per_capita!U26*Saldo_relativo_per_capita!U$543/1000000</f>
        <v>0</v>
      </c>
      <c r="V26" s="340">
        <f>Saldo_relativo_per_capita!V26*Saldo_relativo_per_capita!V$543/1000000</f>
        <v>0</v>
      </c>
      <c r="W26" s="228"/>
    </row>
    <row r="27" spans="1:23" s="115" customFormat="1">
      <c r="A27" s="355" t="str">
        <f>IF(B27="","",(IF(ISERROR(MATCH(B27,Tot_res!C:C,0)),"Eliminar!!!","")))</f>
        <v/>
      </c>
      <c r="B27" s="115" t="s">
        <v>130</v>
      </c>
      <c r="C27" s="333" t="str">
        <f>VLOOKUP(B27,Tot_res!C:D,2,FALSE)</f>
        <v>Acción del estado en el exterior</v>
      </c>
      <c r="D27" s="340">
        <f>Saldo_relativo_per_capita!D27*Saldo_relativo_per_capita!D$543/1000000</f>
        <v>0</v>
      </c>
      <c r="E27" s="340">
        <f>Saldo_relativo_per_capita!E27*Saldo_relativo_per_capita!E$543/1000000</f>
        <v>0</v>
      </c>
      <c r="F27" s="340">
        <f>Saldo_relativo_per_capita!F27*Saldo_relativo_per_capita!F$543/1000000</f>
        <v>0</v>
      </c>
      <c r="G27" s="340">
        <f>Saldo_relativo_per_capita!G27*Saldo_relativo_per_capita!G$543/1000000</f>
        <v>0</v>
      </c>
      <c r="H27" s="340">
        <f>Saldo_relativo_per_capita!H27*Saldo_relativo_per_capita!H$543/1000000</f>
        <v>0</v>
      </c>
      <c r="I27" s="340">
        <f>Saldo_relativo_per_capita!I27*Saldo_relativo_per_capita!I$543/1000000</f>
        <v>0</v>
      </c>
      <c r="J27" s="340">
        <f>Saldo_relativo_per_capita!J27*Saldo_relativo_per_capita!J$543/1000000</f>
        <v>0</v>
      </c>
      <c r="K27" s="340">
        <f>Saldo_relativo_per_capita!K27*Saldo_relativo_per_capita!K$543/1000000</f>
        <v>0</v>
      </c>
      <c r="L27" s="340">
        <f>Saldo_relativo_per_capita!L27*Saldo_relativo_per_capita!L$543/1000000</f>
        <v>0</v>
      </c>
      <c r="M27" s="340">
        <f>Saldo_relativo_per_capita!M27*Saldo_relativo_per_capita!M$543/1000000</f>
        <v>0</v>
      </c>
      <c r="N27" s="340">
        <f>Saldo_relativo_per_capita!N27*Saldo_relativo_per_capita!N$543/1000000</f>
        <v>0</v>
      </c>
      <c r="O27" s="340">
        <f>Saldo_relativo_per_capita!O27*Saldo_relativo_per_capita!O$543/1000000</f>
        <v>0</v>
      </c>
      <c r="P27" s="340">
        <f>Saldo_relativo_per_capita!P27*Saldo_relativo_per_capita!P$543/1000000</f>
        <v>0</v>
      </c>
      <c r="Q27" s="340">
        <f>Saldo_relativo_per_capita!Q27*Saldo_relativo_per_capita!Q$543/1000000</f>
        <v>0</v>
      </c>
      <c r="R27" s="340">
        <f>Saldo_relativo_per_capita!R27*Saldo_relativo_per_capita!R$543/1000000</f>
        <v>0</v>
      </c>
      <c r="S27" s="340">
        <f>Saldo_relativo_per_capita!S27*Saldo_relativo_per_capita!S$543/1000000</f>
        <v>0</v>
      </c>
      <c r="T27" s="340">
        <f>Saldo_relativo_per_capita!T27*Saldo_relativo_per_capita!T$543/1000000</f>
        <v>0</v>
      </c>
      <c r="U27" s="340">
        <f>Saldo_relativo_per_capita!U27*Saldo_relativo_per_capita!U$543/1000000</f>
        <v>0</v>
      </c>
      <c r="V27" s="340">
        <f>Saldo_relativo_per_capita!V27*Saldo_relativo_per_capita!V$543/1000000</f>
        <v>0</v>
      </c>
      <c r="W27" s="148"/>
    </row>
    <row r="28" spans="1:23" s="115" customFormat="1">
      <c r="A28" s="355" t="str">
        <f>IF(B28="","",(IF(ISERROR(MATCH(B28,Tot_res!C:C,0)),"Eliminar!!!","")))</f>
        <v/>
      </c>
      <c r="B28" s="115" t="s">
        <v>131</v>
      </c>
      <c r="C28" s="333" t="str">
        <f>VLOOKUP(B28,Tot_res!C:D,2,FALSE)</f>
        <v>Acción diplomática ante la unión europea</v>
      </c>
      <c r="D28" s="340">
        <f>Saldo_relativo_per_capita!D28*Saldo_relativo_per_capita!D$543/1000000</f>
        <v>0</v>
      </c>
      <c r="E28" s="340">
        <f>Saldo_relativo_per_capita!E28*Saldo_relativo_per_capita!E$543/1000000</f>
        <v>0</v>
      </c>
      <c r="F28" s="340">
        <f>Saldo_relativo_per_capita!F28*Saldo_relativo_per_capita!F$543/1000000</f>
        <v>0</v>
      </c>
      <c r="G28" s="340">
        <f>Saldo_relativo_per_capita!G28*Saldo_relativo_per_capita!G$543/1000000</f>
        <v>0</v>
      </c>
      <c r="H28" s="340">
        <f>Saldo_relativo_per_capita!H28*Saldo_relativo_per_capita!H$543/1000000</f>
        <v>0</v>
      </c>
      <c r="I28" s="340">
        <f>Saldo_relativo_per_capita!I28*Saldo_relativo_per_capita!I$543/1000000</f>
        <v>0</v>
      </c>
      <c r="J28" s="340">
        <f>Saldo_relativo_per_capita!J28*Saldo_relativo_per_capita!J$543/1000000</f>
        <v>0</v>
      </c>
      <c r="K28" s="340">
        <f>Saldo_relativo_per_capita!K28*Saldo_relativo_per_capita!K$543/1000000</f>
        <v>0</v>
      </c>
      <c r="L28" s="340">
        <f>Saldo_relativo_per_capita!L28*Saldo_relativo_per_capita!L$543/1000000</f>
        <v>0</v>
      </c>
      <c r="M28" s="340">
        <f>Saldo_relativo_per_capita!M28*Saldo_relativo_per_capita!M$543/1000000</f>
        <v>0</v>
      </c>
      <c r="N28" s="340">
        <f>Saldo_relativo_per_capita!N28*Saldo_relativo_per_capita!N$543/1000000</f>
        <v>0</v>
      </c>
      <c r="O28" s="340">
        <f>Saldo_relativo_per_capita!O28*Saldo_relativo_per_capita!O$543/1000000</f>
        <v>0</v>
      </c>
      <c r="P28" s="340">
        <f>Saldo_relativo_per_capita!P28*Saldo_relativo_per_capita!P$543/1000000</f>
        <v>0</v>
      </c>
      <c r="Q28" s="340">
        <f>Saldo_relativo_per_capita!Q28*Saldo_relativo_per_capita!Q$543/1000000</f>
        <v>0</v>
      </c>
      <c r="R28" s="340">
        <f>Saldo_relativo_per_capita!R28*Saldo_relativo_per_capita!R$543/1000000</f>
        <v>0</v>
      </c>
      <c r="S28" s="340">
        <f>Saldo_relativo_per_capita!S28*Saldo_relativo_per_capita!S$543/1000000</f>
        <v>0</v>
      </c>
      <c r="T28" s="340">
        <f>Saldo_relativo_per_capita!T28*Saldo_relativo_per_capita!T$543/1000000</f>
        <v>0</v>
      </c>
      <c r="U28" s="340">
        <f>Saldo_relativo_per_capita!U28*Saldo_relativo_per_capita!U$543/1000000</f>
        <v>0</v>
      </c>
      <c r="V28" s="340">
        <f>Saldo_relativo_per_capita!V28*Saldo_relativo_per_capita!V$543/1000000</f>
        <v>0</v>
      </c>
      <c r="W28" s="148"/>
    </row>
    <row r="29" spans="1:23" s="115" customFormat="1">
      <c r="A29" s="355" t="str">
        <f>IF(B29="","",(IF(ISERROR(MATCH(B29,Tot_res!C:C,0)),"Eliminar!!!","")))</f>
        <v/>
      </c>
      <c r="B29" s="115" t="s">
        <v>132</v>
      </c>
      <c r="C29" s="333" t="str">
        <f>VLOOKUP(B29,Tot_res!C:D,2,FALSE)</f>
        <v>Cooperación para el desarrollo</v>
      </c>
      <c r="D29" s="340">
        <f>Saldo_relativo_per_capita!D29*Saldo_relativo_per_capita!D$543/1000000</f>
        <v>0</v>
      </c>
      <c r="E29" s="340">
        <f>Saldo_relativo_per_capita!E29*Saldo_relativo_per_capita!E$543/1000000</f>
        <v>0</v>
      </c>
      <c r="F29" s="340">
        <f>Saldo_relativo_per_capita!F29*Saldo_relativo_per_capita!F$543/1000000</f>
        <v>0</v>
      </c>
      <c r="G29" s="340">
        <f>Saldo_relativo_per_capita!G29*Saldo_relativo_per_capita!G$543/1000000</f>
        <v>0</v>
      </c>
      <c r="H29" s="340">
        <f>Saldo_relativo_per_capita!H29*Saldo_relativo_per_capita!H$543/1000000</f>
        <v>0</v>
      </c>
      <c r="I29" s="340">
        <f>Saldo_relativo_per_capita!I29*Saldo_relativo_per_capita!I$543/1000000</f>
        <v>0</v>
      </c>
      <c r="J29" s="340">
        <f>Saldo_relativo_per_capita!J29*Saldo_relativo_per_capita!J$543/1000000</f>
        <v>0</v>
      </c>
      <c r="K29" s="340">
        <f>Saldo_relativo_per_capita!K29*Saldo_relativo_per_capita!K$543/1000000</f>
        <v>0</v>
      </c>
      <c r="L29" s="340">
        <f>Saldo_relativo_per_capita!L29*Saldo_relativo_per_capita!L$543/1000000</f>
        <v>0</v>
      </c>
      <c r="M29" s="340">
        <f>Saldo_relativo_per_capita!M29*Saldo_relativo_per_capita!M$543/1000000</f>
        <v>0</v>
      </c>
      <c r="N29" s="340">
        <f>Saldo_relativo_per_capita!N29*Saldo_relativo_per_capita!N$543/1000000</f>
        <v>0</v>
      </c>
      <c r="O29" s="340">
        <f>Saldo_relativo_per_capita!O29*Saldo_relativo_per_capita!O$543/1000000</f>
        <v>0</v>
      </c>
      <c r="P29" s="340">
        <f>Saldo_relativo_per_capita!P29*Saldo_relativo_per_capita!P$543/1000000</f>
        <v>0</v>
      </c>
      <c r="Q29" s="340">
        <f>Saldo_relativo_per_capita!Q29*Saldo_relativo_per_capita!Q$543/1000000</f>
        <v>0</v>
      </c>
      <c r="R29" s="340">
        <f>Saldo_relativo_per_capita!R29*Saldo_relativo_per_capita!R$543/1000000</f>
        <v>0</v>
      </c>
      <c r="S29" s="340">
        <f>Saldo_relativo_per_capita!S29*Saldo_relativo_per_capita!S$543/1000000</f>
        <v>0</v>
      </c>
      <c r="T29" s="340">
        <f>Saldo_relativo_per_capita!T29*Saldo_relativo_per_capita!T$543/1000000</f>
        <v>0</v>
      </c>
      <c r="U29" s="340">
        <f>Saldo_relativo_per_capita!U29*Saldo_relativo_per_capita!U$543/1000000</f>
        <v>0</v>
      </c>
      <c r="V29" s="340">
        <f>Saldo_relativo_per_capita!V29*Saldo_relativo_per_capita!V$543/1000000</f>
        <v>0</v>
      </c>
      <c r="W29" s="148"/>
    </row>
    <row r="30" spans="1:23" s="115" customFormat="1">
      <c r="A30" s="355" t="str">
        <f>IF(B30="","",(IF(ISERROR(MATCH(B30,Tot_res!C:C,0)),"Eliminar!!!","")))</f>
        <v/>
      </c>
      <c r="B30" s="115" t="s">
        <v>134</v>
      </c>
      <c r="C30" s="333" t="str">
        <f>VLOOKUP(B30,Tot_res!C:D,2,FALSE)</f>
        <v>Cooperación, promoción y difusión cultural en el exterior</v>
      </c>
      <c r="D30" s="340">
        <f>Saldo_relativo_per_capita!D30*Saldo_relativo_per_capita!D$543/1000000</f>
        <v>0</v>
      </c>
      <c r="E30" s="340">
        <f>Saldo_relativo_per_capita!E30*Saldo_relativo_per_capita!E$543/1000000</f>
        <v>0</v>
      </c>
      <c r="F30" s="340">
        <f>Saldo_relativo_per_capita!F30*Saldo_relativo_per_capita!F$543/1000000</f>
        <v>0</v>
      </c>
      <c r="G30" s="340">
        <f>Saldo_relativo_per_capita!G30*Saldo_relativo_per_capita!G$543/1000000</f>
        <v>0</v>
      </c>
      <c r="H30" s="340">
        <f>Saldo_relativo_per_capita!H30*Saldo_relativo_per_capita!H$543/1000000</f>
        <v>0</v>
      </c>
      <c r="I30" s="340">
        <f>Saldo_relativo_per_capita!I30*Saldo_relativo_per_capita!I$543/1000000</f>
        <v>0</v>
      </c>
      <c r="J30" s="340">
        <f>Saldo_relativo_per_capita!J30*Saldo_relativo_per_capita!J$543/1000000</f>
        <v>0</v>
      </c>
      <c r="K30" s="340">
        <f>Saldo_relativo_per_capita!K30*Saldo_relativo_per_capita!K$543/1000000</f>
        <v>0</v>
      </c>
      <c r="L30" s="340">
        <f>Saldo_relativo_per_capita!L30*Saldo_relativo_per_capita!L$543/1000000</f>
        <v>0</v>
      </c>
      <c r="M30" s="340">
        <f>Saldo_relativo_per_capita!M30*Saldo_relativo_per_capita!M$543/1000000</f>
        <v>0</v>
      </c>
      <c r="N30" s="340">
        <f>Saldo_relativo_per_capita!N30*Saldo_relativo_per_capita!N$543/1000000</f>
        <v>0</v>
      </c>
      <c r="O30" s="340">
        <f>Saldo_relativo_per_capita!O30*Saldo_relativo_per_capita!O$543/1000000</f>
        <v>0</v>
      </c>
      <c r="P30" s="340">
        <f>Saldo_relativo_per_capita!P30*Saldo_relativo_per_capita!P$543/1000000</f>
        <v>0</v>
      </c>
      <c r="Q30" s="340">
        <f>Saldo_relativo_per_capita!Q30*Saldo_relativo_per_capita!Q$543/1000000</f>
        <v>0</v>
      </c>
      <c r="R30" s="340">
        <f>Saldo_relativo_per_capita!R30*Saldo_relativo_per_capita!R$543/1000000</f>
        <v>0</v>
      </c>
      <c r="S30" s="340">
        <f>Saldo_relativo_per_capita!S30*Saldo_relativo_per_capita!S$543/1000000</f>
        <v>0</v>
      </c>
      <c r="T30" s="340">
        <f>Saldo_relativo_per_capita!T30*Saldo_relativo_per_capita!T$543/1000000</f>
        <v>0</v>
      </c>
      <c r="U30" s="340">
        <f>Saldo_relativo_per_capita!U30*Saldo_relativo_per_capita!U$543/1000000</f>
        <v>0</v>
      </c>
      <c r="V30" s="340">
        <f>Saldo_relativo_per_capita!V30*Saldo_relativo_per_capita!V$543/1000000</f>
        <v>0</v>
      </c>
      <c r="W30" s="148"/>
    </row>
    <row r="31" spans="1:23" s="115" customFormat="1">
      <c r="A31" s="355" t="str">
        <f>IF(B31="","",(IF(ISERROR(MATCH(B31,Tot_res!C:C,0)),"Eliminar!!!","")))</f>
        <v/>
      </c>
      <c r="B31" s="119" t="s">
        <v>136</v>
      </c>
      <c r="C31" s="333" t="str">
        <f>VLOOKUP(B31,Tot_res!C:D,2,FALSE)</f>
        <v>Educación en el exterior</v>
      </c>
      <c r="D31" s="340">
        <f>Saldo_relativo_per_capita!D31*Saldo_relativo_per_capita!D$543/1000000</f>
        <v>0</v>
      </c>
      <c r="E31" s="340">
        <f>Saldo_relativo_per_capita!E31*Saldo_relativo_per_capita!E$543/1000000</f>
        <v>0</v>
      </c>
      <c r="F31" s="340">
        <f>Saldo_relativo_per_capita!F31*Saldo_relativo_per_capita!F$543/1000000</f>
        <v>0</v>
      </c>
      <c r="G31" s="340">
        <f>Saldo_relativo_per_capita!G31*Saldo_relativo_per_capita!G$543/1000000</f>
        <v>0</v>
      </c>
      <c r="H31" s="340">
        <f>Saldo_relativo_per_capita!H31*Saldo_relativo_per_capita!H$543/1000000</f>
        <v>0</v>
      </c>
      <c r="I31" s="340">
        <f>Saldo_relativo_per_capita!I31*Saldo_relativo_per_capita!I$543/1000000</f>
        <v>0</v>
      </c>
      <c r="J31" s="340">
        <f>Saldo_relativo_per_capita!J31*Saldo_relativo_per_capita!J$543/1000000</f>
        <v>0</v>
      </c>
      <c r="K31" s="340">
        <f>Saldo_relativo_per_capita!K31*Saldo_relativo_per_capita!K$543/1000000</f>
        <v>0</v>
      </c>
      <c r="L31" s="340">
        <f>Saldo_relativo_per_capita!L31*Saldo_relativo_per_capita!L$543/1000000</f>
        <v>0</v>
      </c>
      <c r="M31" s="340">
        <f>Saldo_relativo_per_capita!M31*Saldo_relativo_per_capita!M$543/1000000</f>
        <v>0</v>
      </c>
      <c r="N31" s="340">
        <f>Saldo_relativo_per_capita!N31*Saldo_relativo_per_capita!N$543/1000000</f>
        <v>0</v>
      </c>
      <c r="O31" s="340">
        <f>Saldo_relativo_per_capita!O31*Saldo_relativo_per_capita!O$543/1000000</f>
        <v>0</v>
      </c>
      <c r="P31" s="340">
        <f>Saldo_relativo_per_capita!P31*Saldo_relativo_per_capita!P$543/1000000</f>
        <v>0</v>
      </c>
      <c r="Q31" s="340">
        <f>Saldo_relativo_per_capita!Q31*Saldo_relativo_per_capita!Q$543/1000000</f>
        <v>0</v>
      </c>
      <c r="R31" s="340">
        <f>Saldo_relativo_per_capita!R31*Saldo_relativo_per_capita!R$543/1000000</f>
        <v>0</v>
      </c>
      <c r="S31" s="340">
        <f>Saldo_relativo_per_capita!S31*Saldo_relativo_per_capita!S$543/1000000</f>
        <v>0</v>
      </c>
      <c r="T31" s="340">
        <f>Saldo_relativo_per_capita!T31*Saldo_relativo_per_capita!T$543/1000000</f>
        <v>0</v>
      </c>
      <c r="U31" s="340">
        <f>Saldo_relativo_per_capita!U31*Saldo_relativo_per_capita!U$543/1000000</f>
        <v>0</v>
      </c>
      <c r="V31" s="340">
        <f>Saldo_relativo_per_capita!V31*Saldo_relativo_per_capita!V$543/1000000</f>
        <v>0</v>
      </c>
      <c r="W31" s="148"/>
    </row>
    <row r="32" spans="1:23" s="115" customFormat="1">
      <c r="A32" s="355" t="str">
        <f>IF(B32="","",(IF(ISERROR(MATCH(B32,Tot_res!C:C,0)),"Eliminar!!!","")))</f>
        <v/>
      </c>
      <c r="B32" s="115" t="s">
        <v>138</v>
      </c>
      <c r="C32" s="333" t="str">
        <f>VLOOKUP(B32,Tot_res!C:D,2,FALSE)</f>
        <v>Relaciones con los organismos financieros multilaterales</v>
      </c>
      <c r="D32" s="340">
        <f>Saldo_relativo_per_capita!D32*Saldo_relativo_per_capita!D$543/1000000</f>
        <v>0</v>
      </c>
      <c r="E32" s="340">
        <f>Saldo_relativo_per_capita!E32*Saldo_relativo_per_capita!E$543/1000000</f>
        <v>0</v>
      </c>
      <c r="F32" s="340">
        <f>Saldo_relativo_per_capita!F32*Saldo_relativo_per_capita!F$543/1000000</f>
        <v>0</v>
      </c>
      <c r="G32" s="340">
        <f>Saldo_relativo_per_capita!G32*Saldo_relativo_per_capita!G$543/1000000</f>
        <v>0</v>
      </c>
      <c r="H32" s="340">
        <f>Saldo_relativo_per_capita!H32*Saldo_relativo_per_capita!H$543/1000000</f>
        <v>0</v>
      </c>
      <c r="I32" s="340">
        <f>Saldo_relativo_per_capita!I32*Saldo_relativo_per_capita!I$543/1000000</f>
        <v>0</v>
      </c>
      <c r="J32" s="340">
        <f>Saldo_relativo_per_capita!J32*Saldo_relativo_per_capita!J$543/1000000</f>
        <v>0</v>
      </c>
      <c r="K32" s="340">
        <f>Saldo_relativo_per_capita!K32*Saldo_relativo_per_capita!K$543/1000000</f>
        <v>0</v>
      </c>
      <c r="L32" s="340">
        <f>Saldo_relativo_per_capita!L32*Saldo_relativo_per_capita!L$543/1000000</f>
        <v>0</v>
      </c>
      <c r="M32" s="340">
        <f>Saldo_relativo_per_capita!M32*Saldo_relativo_per_capita!M$543/1000000</f>
        <v>0</v>
      </c>
      <c r="N32" s="340">
        <f>Saldo_relativo_per_capita!N32*Saldo_relativo_per_capita!N$543/1000000</f>
        <v>0</v>
      </c>
      <c r="O32" s="340">
        <f>Saldo_relativo_per_capita!O32*Saldo_relativo_per_capita!O$543/1000000</f>
        <v>0</v>
      </c>
      <c r="P32" s="340">
        <f>Saldo_relativo_per_capita!P32*Saldo_relativo_per_capita!P$543/1000000</f>
        <v>0</v>
      </c>
      <c r="Q32" s="340">
        <f>Saldo_relativo_per_capita!Q32*Saldo_relativo_per_capita!Q$543/1000000</f>
        <v>0</v>
      </c>
      <c r="R32" s="340">
        <f>Saldo_relativo_per_capita!R32*Saldo_relativo_per_capita!R$543/1000000</f>
        <v>0</v>
      </c>
      <c r="S32" s="340">
        <f>Saldo_relativo_per_capita!S32*Saldo_relativo_per_capita!S$543/1000000</f>
        <v>0</v>
      </c>
      <c r="T32" s="340">
        <f>Saldo_relativo_per_capita!T32*Saldo_relativo_per_capita!T$543/1000000</f>
        <v>0</v>
      </c>
      <c r="U32" s="340">
        <f>Saldo_relativo_per_capita!U32*Saldo_relativo_per_capita!U$543/1000000</f>
        <v>0</v>
      </c>
      <c r="V32" s="340">
        <f>Saldo_relativo_per_capita!V32*Saldo_relativo_per_capita!V$543/1000000</f>
        <v>0</v>
      </c>
      <c r="W32" s="148"/>
    </row>
    <row r="33" spans="1:23" s="115" customFormat="1">
      <c r="A33" s="355" t="str">
        <f>IF(B33="","",(IF(ISERROR(MATCH(B33,Tot_res!C:C,0)),"Eliminar!!!","")))</f>
        <v/>
      </c>
      <c r="B33" s="115" t="s">
        <v>139</v>
      </c>
      <c r="C33" s="333" t="str">
        <f>VLOOKUP(B33,Tot_res!C:D,2,FALSE)</f>
        <v>Transferencias al presupuesto general de la unión europea</v>
      </c>
      <c r="D33" s="340">
        <f>Saldo_relativo_per_capita!D33*Saldo_relativo_per_capita!D$543/1000000</f>
        <v>0</v>
      </c>
      <c r="E33" s="340">
        <f>Saldo_relativo_per_capita!E33*Saldo_relativo_per_capita!E$543/1000000</f>
        <v>0</v>
      </c>
      <c r="F33" s="340">
        <f>Saldo_relativo_per_capita!F33*Saldo_relativo_per_capita!F$543/1000000</f>
        <v>0</v>
      </c>
      <c r="G33" s="340">
        <f>Saldo_relativo_per_capita!G33*Saldo_relativo_per_capita!G$543/1000000</f>
        <v>0</v>
      </c>
      <c r="H33" s="340">
        <f>Saldo_relativo_per_capita!H33*Saldo_relativo_per_capita!H$543/1000000</f>
        <v>0</v>
      </c>
      <c r="I33" s="340">
        <f>Saldo_relativo_per_capita!I33*Saldo_relativo_per_capita!I$543/1000000</f>
        <v>0</v>
      </c>
      <c r="J33" s="340">
        <f>Saldo_relativo_per_capita!J33*Saldo_relativo_per_capita!J$543/1000000</f>
        <v>0</v>
      </c>
      <c r="K33" s="340">
        <f>Saldo_relativo_per_capita!K33*Saldo_relativo_per_capita!K$543/1000000</f>
        <v>0</v>
      </c>
      <c r="L33" s="340">
        <f>Saldo_relativo_per_capita!L33*Saldo_relativo_per_capita!L$543/1000000</f>
        <v>0</v>
      </c>
      <c r="M33" s="340">
        <f>Saldo_relativo_per_capita!M33*Saldo_relativo_per_capita!M$543/1000000</f>
        <v>0</v>
      </c>
      <c r="N33" s="340">
        <f>Saldo_relativo_per_capita!N33*Saldo_relativo_per_capita!N$543/1000000</f>
        <v>0</v>
      </c>
      <c r="O33" s="340">
        <f>Saldo_relativo_per_capita!O33*Saldo_relativo_per_capita!O$543/1000000</f>
        <v>0</v>
      </c>
      <c r="P33" s="340">
        <f>Saldo_relativo_per_capita!P33*Saldo_relativo_per_capita!P$543/1000000</f>
        <v>0</v>
      </c>
      <c r="Q33" s="340">
        <f>Saldo_relativo_per_capita!Q33*Saldo_relativo_per_capita!Q$543/1000000</f>
        <v>0</v>
      </c>
      <c r="R33" s="340">
        <f>Saldo_relativo_per_capita!R33*Saldo_relativo_per_capita!R$543/1000000</f>
        <v>0</v>
      </c>
      <c r="S33" s="340">
        <f>Saldo_relativo_per_capita!S33*Saldo_relativo_per_capita!S$543/1000000</f>
        <v>0</v>
      </c>
      <c r="T33" s="340">
        <f>Saldo_relativo_per_capita!T33*Saldo_relativo_per_capita!T$543/1000000</f>
        <v>0</v>
      </c>
      <c r="U33" s="340">
        <f>Saldo_relativo_per_capita!U33*Saldo_relativo_per_capita!U$543/1000000</f>
        <v>0</v>
      </c>
      <c r="V33" s="340">
        <f>Saldo_relativo_per_capita!V33*Saldo_relativo_per_capita!V$543/1000000</f>
        <v>0</v>
      </c>
      <c r="W33" s="148"/>
    </row>
    <row r="34" spans="1:23">
      <c r="A34" s="356"/>
      <c r="D34" s="39"/>
      <c r="E34" s="39"/>
      <c r="F34" s="39"/>
      <c r="G34" s="39"/>
      <c r="H34" s="39"/>
      <c r="I34" s="39"/>
      <c r="J34" s="39"/>
      <c r="K34" s="39"/>
      <c r="L34" s="39"/>
      <c r="M34" s="39"/>
      <c r="N34" s="39"/>
      <c r="O34" s="39"/>
      <c r="P34" s="39"/>
      <c r="Q34" s="39"/>
      <c r="R34" s="39"/>
      <c r="S34" s="39"/>
      <c r="T34" s="39"/>
      <c r="U34" s="39"/>
      <c r="V34" s="39"/>
      <c r="W34" s="35"/>
    </row>
    <row r="35" spans="1:23" s="115" customFormat="1">
      <c r="A35" s="356"/>
      <c r="C35" s="128" t="s">
        <v>35</v>
      </c>
      <c r="D35" s="219">
        <f>Saldo_relativo_per_capita!D35*Saldo_relativo_per_capita!D$543/1000000</f>
        <v>0</v>
      </c>
      <c r="E35" s="219">
        <f>Saldo_relativo_per_capita!E35*Saldo_relativo_per_capita!E$543/1000000</f>
        <v>0</v>
      </c>
      <c r="F35" s="219">
        <f>Saldo_relativo_per_capita!F35*Saldo_relativo_per_capita!F$543/1000000</f>
        <v>0</v>
      </c>
      <c r="G35" s="219">
        <f>Saldo_relativo_per_capita!G35*Saldo_relativo_per_capita!G$543/1000000</f>
        <v>0</v>
      </c>
      <c r="H35" s="219">
        <f>Saldo_relativo_per_capita!H35*Saldo_relativo_per_capita!H$543/1000000</f>
        <v>0</v>
      </c>
      <c r="I35" s="219">
        <f>Saldo_relativo_per_capita!I35*Saldo_relativo_per_capita!I$543/1000000</f>
        <v>0</v>
      </c>
      <c r="J35" s="219">
        <f>Saldo_relativo_per_capita!J35*Saldo_relativo_per_capita!J$543/1000000</f>
        <v>0</v>
      </c>
      <c r="K35" s="219">
        <f>Saldo_relativo_per_capita!K35*Saldo_relativo_per_capita!K$543/1000000</f>
        <v>0</v>
      </c>
      <c r="L35" s="219">
        <f>Saldo_relativo_per_capita!L35*Saldo_relativo_per_capita!L$543/1000000</f>
        <v>0</v>
      </c>
      <c r="M35" s="219">
        <f>Saldo_relativo_per_capita!M35*Saldo_relativo_per_capita!M$543/1000000</f>
        <v>0</v>
      </c>
      <c r="N35" s="219">
        <f>Saldo_relativo_per_capita!N35*Saldo_relativo_per_capita!N$543/1000000</f>
        <v>0</v>
      </c>
      <c r="O35" s="219">
        <f>Saldo_relativo_per_capita!O35*Saldo_relativo_per_capita!O$543/1000000</f>
        <v>0</v>
      </c>
      <c r="P35" s="219">
        <f>Saldo_relativo_per_capita!P35*Saldo_relativo_per_capita!P$543/1000000</f>
        <v>0</v>
      </c>
      <c r="Q35" s="219">
        <f>Saldo_relativo_per_capita!Q35*Saldo_relativo_per_capita!Q$543/1000000</f>
        <v>0</v>
      </c>
      <c r="R35" s="219">
        <f>Saldo_relativo_per_capita!R35*Saldo_relativo_per_capita!R$543/1000000</f>
        <v>0</v>
      </c>
      <c r="S35" s="219">
        <f>Saldo_relativo_per_capita!S35*Saldo_relativo_per_capita!S$543/1000000</f>
        <v>0</v>
      </c>
      <c r="T35" s="219">
        <f>Saldo_relativo_per_capita!T35*Saldo_relativo_per_capita!T$543/1000000</f>
        <v>0</v>
      </c>
      <c r="U35" s="219">
        <f>Saldo_relativo_per_capita!U35*Saldo_relativo_per_capita!U$543/1000000</f>
        <v>0</v>
      </c>
      <c r="V35" s="219">
        <f>Saldo_relativo_per_capita!V35*Saldo_relativo_per_capita!V$543/1000000</f>
        <v>0</v>
      </c>
      <c r="W35" s="148"/>
    </row>
    <row r="36" spans="1:23" s="115" customFormat="1">
      <c r="A36" s="355" t="str">
        <f>IF(B36="","",(IF(ISERROR(MATCH(B36,Tot_res!C:C,0)),"Eliminar!!!","")))</f>
        <v/>
      </c>
      <c r="B36" s="115" t="s">
        <v>140</v>
      </c>
      <c r="C36" s="333" t="str">
        <f>VLOOKUP(B36,Tot_res!C:D,2,FALSE)</f>
        <v>Administración y servicios generales de defensa</v>
      </c>
      <c r="D36" s="340">
        <f>Saldo_relativo_per_capita!D36*Saldo_relativo_per_capita!D$543/1000000</f>
        <v>0</v>
      </c>
      <c r="E36" s="340">
        <f>Saldo_relativo_per_capita!E36*Saldo_relativo_per_capita!E$543/1000000</f>
        <v>0</v>
      </c>
      <c r="F36" s="340">
        <f>Saldo_relativo_per_capita!F36*Saldo_relativo_per_capita!F$543/1000000</f>
        <v>0</v>
      </c>
      <c r="G36" s="340">
        <f>Saldo_relativo_per_capita!G36*Saldo_relativo_per_capita!G$543/1000000</f>
        <v>0</v>
      </c>
      <c r="H36" s="340">
        <f>Saldo_relativo_per_capita!H36*Saldo_relativo_per_capita!H$543/1000000</f>
        <v>0</v>
      </c>
      <c r="I36" s="340">
        <f>Saldo_relativo_per_capita!I36*Saldo_relativo_per_capita!I$543/1000000</f>
        <v>0</v>
      </c>
      <c r="J36" s="340">
        <f>Saldo_relativo_per_capita!J36*Saldo_relativo_per_capita!J$543/1000000</f>
        <v>0</v>
      </c>
      <c r="K36" s="340">
        <f>Saldo_relativo_per_capita!K36*Saldo_relativo_per_capita!K$543/1000000</f>
        <v>0</v>
      </c>
      <c r="L36" s="340">
        <f>Saldo_relativo_per_capita!L36*Saldo_relativo_per_capita!L$543/1000000</f>
        <v>0</v>
      </c>
      <c r="M36" s="340">
        <f>Saldo_relativo_per_capita!M36*Saldo_relativo_per_capita!M$543/1000000</f>
        <v>0</v>
      </c>
      <c r="N36" s="340">
        <f>Saldo_relativo_per_capita!N36*Saldo_relativo_per_capita!N$543/1000000</f>
        <v>0</v>
      </c>
      <c r="O36" s="340">
        <f>Saldo_relativo_per_capita!O36*Saldo_relativo_per_capita!O$543/1000000</f>
        <v>0</v>
      </c>
      <c r="P36" s="340">
        <f>Saldo_relativo_per_capita!P36*Saldo_relativo_per_capita!P$543/1000000</f>
        <v>0</v>
      </c>
      <c r="Q36" s="340">
        <f>Saldo_relativo_per_capita!Q36*Saldo_relativo_per_capita!Q$543/1000000</f>
        <v>0</v>
      </c>
      <c r="R36" s="340">
        <f>Saldo_relativo_per_capita!R36*Saldo_relativo_per_capita!R$543/1000000</f>
        <v>0</v>
      </c>
      <c r="S36" s="340">
        <f>Saldo_relativo_per_capita!S36*Saldo_relativo_per_capita!S$543/1000000</f>
        <v>0</v>
      </c>
      <c r="T36" s="340">
        <f>Saldo_relativo_per_capita!T36*Saldo_relativo_per_capita!T$543/1000000</f>
        <v>0</v>
      </c>
      <c r="U36" s="340">
        <f>Saldo_relativo_per_capita!U36*Saldo_relativo_per_capita!U$543/1000000</f>
        <v>0</v>
      </c>
      <c r="V36" s="340">
        <f>Saldo_relativo_per_capita!V36*Saldo_relativo_per_capita!V$543/1000000</f>
        <v>0</v>
      </c>
      <c r="W36" s="228"/>
    </row>
    <row r="37" spans="1:23" s="115" customFormat="1">
      <c r="A37" s="355" t="str">
        <f>IF(B37="","",(IF(ISERROR(MATCH(B37,Tot_res!C:C,0)),"Eliminar!!!","")))</f>
        <v/>
      </c>
      <c r="B37" s="115" t="s">
        <v>141</v>
      </c>
      <c r="C37" s="333" t="str">
        <f>VLOOKUP(B37,Tot_res!C:D,2,FALSE)</f>
        <v>Formación del personal de las fuerzas armadas</v>
      </c>
      <c r="D37" s="340">
        <f>Saldo_relativo_per_capita!D37*Saldo_relativo_per_capita!D$543/1000000</f>
        <v>0</v>
      </c>
      <c r="E37" s="340">
        <f>Saldo_relativo_per_capita!E37*Saldo_relativo_per_capita!E$543/1000000</f>
        <v>0</v>
      </c>
      <c r="F37" s="340">
        <f>Saldo_relativo_per_capita!F37*Saldo_relativo_per_capita!F$543/1000000</f>
        <v>0</v>
      </c>
      <c r="G37" s="340">
        <f>Saldo_relativo_per_capita!G37*Saldo_relativo_per_capita!G$543/1000000</f>
        <v>0</v>
      </c>
      <c r="H37" s="340">
        <f>Saldo_relativo_per_capita!H37*Saldo_relativo_per_capita!H$543/1000000</f>
        <v>0</v>
      </c>
      <c r="I37" s="340">
        <f>Saldo_relativo_per_capita!I37*Saldo_relativo_per_capita!I$543/1000000</f>
        <v>0</v>
      </c>
      <c r="J37" s="340">
        <f>Saldo_relativo_per_capita!J37*Saldo_relativo_per_capita!J$543/1000000</f>
        <v>0</v>
      </c>
      <c r="K37" s="340">
        <f>Saldo_relativo_per_capita!K37*Saldo_relativo_per_capita!K$543/1000000</f>
        <v>0</v>
      </c>
      <c r="L37" s="340">
        <f>Saldo_relativo_per_capita!L37*Saldo_relativo_per_capita!L$543/1000000</f>
        <v>0</v>
      </c>
      <c r="M37" s="340">
        <f>Saldo_relativo_per_capita!M37*Saldo_relativo_per_capita!M$543/1000000</f>
        <v>0</v>
      </c>
      <c r="N37" s="340">
        <f>Saldo_relativo_per_capita!N37*Saldo_relativo_per_capita!N$543/1000000</f>
        <v>0</v>
      </c>
      <c r="O37" s="340">
        <f>Saldo_relativo_per_capita!O37*Saldo_relativo_per_capita!O$543/1000000</f>
        <v>0</v>
      </c>
      <c r="P37" s="340">
        <f>Saldo_relativo_per_capita!P37*Saldo_relativo_per_capita!P$543/1000000</f>
        <v>0</v>
      </c>
      <c r="Q37" s="340">
        <f>Saldo_relativo_per_capita!Q37*Saldo_relativo_per_capita!Q$543/1000000</f>
        <v>0</v>
      </c>
      <c r="R37" s="340">
        <f>Saldo_relativo_per_capita!R37*Saldo_relativo_per_capita!R$543/1000000</f>
        <v>0</v>
      </c>
      <c r="S37" s="340">
        <f>Saldo_relativo_per_capita!S37*Saldo_relativo_per_capita!S$543/1000000</f>
        <v>0</v>
      </c>
      <c r="T37" s="340">
        <f>Saldo_relativo_per_capita!T37*Saldo_relativo_per_capita!T$543/1000000</f>
        <v>0</v>
      </c>
      <c r="U37" s="340">
        <f>Saldo_relativo_per_capita!U37*Saldo_relativo_per_capita!U$543/1000000</f>
        <v>0</v>
      </c>
      <c r="V37" s="340">
        <f>Saldo_relativo_per_capita!V37*Saldo_relativo_per_capita!V$543/1000000</f>
        <v>0</v>
      </c>
      <c r="W37" s="148"/>
    </row>
    <row r="38" spans="1:23" s="115" customFormat="1">
      <c r="A38" s="355" t="str">
        <f>IF(B38="","",(IF(ISERROR(MATCH(B38,Tot_res!C:C,0)),"Eliminar!!!","")))</f>
        <v/>
      </c>
      <c r="B38" s="115" t="s">
        <v>142</v>
      </c>
      <c r="C38" s="333" t="str">
        <f>VLOOKUP(B38,Tot_res!C:D,2,FALSE)</f>
        <v>Personal en reserva</v>
      </c>
      <c r="D38" s="340">
        <f>Saldo_relativo_per_capita!D38*Saldo_relativo_per_capita!D$543/1000000</f>
        <v>0</v>
      </c>
      <c r="E38" s="340">
        <f>Saldo_relativo_per_capita!E38*Saldo_relativo_per_capita!E$543/1000000</f>
        <v>0</v>
      </c>
      <c r="F38" s="340">
        <f>Saldo_relativo_per_capita!F38*Saldo_relativo_per_capita!F$543/1000000</f>
        <v>0</v>
      </c>
      <c r="G38" s="340">
        <f>Saldo_relativo_per_capita!G38*Saldo_relativo_per_capita!G$543/1000000</f>
        <v>0</v>
      </c>
      <c r="H38" s="340">
        <f>Saldo_relativo_per_capita!H38*Saldo_relativo_per_capita!H$543/1000000</f>
        <v>0</v>
      </c>
      <c r="I38" s="340">
        <f>Saldo_relativo_per_capita!I38*Saldo_relativo_per_capita!I$543/1000000</f>
        <v>0</v>
      </c>
      <c r="J38" s="340">
        <f>Saldo_relativo_per_capita!J38*Saldo_relativo_per_capita!J$543/1000000</f>
        <v>0</v>
      </c>
      <c r="K38" s="340">
        <f>Saldo_relativo_per_capita!K38*Saldo_relativo_per_capita!K$543/1000000</f>
        <v>0</v>
      </c>
      <c r="L38" s="340">
        <f>Saldo_relativo_per_capita!L38*Saldo_relativo_per_capita!L$543/1000000</f>
        <v>0</v>
      </c>
      <c r="M38" s="340">
        <f>Saldo_relativo_per_capita!M38*Saldo_relativo_per_capita!M$543/1000000</f>
        <v>0</v>
      </c>
      <c r="N38" s="340">
        <f>Saldo_relativo_per_capita!N38*Saldo_relativo_per_capita!N$543/1000000</f>
        <v>0</v>
      </c>
      <c r="O38" s="340">
        <f>Saldo_relativo_per_capita!O38*Saldo_relativo_per_capita!O$543/1000000</f>
        <v>0</v>
      </c>
      <c r="P38" s="340">
        <f>Saldo_relativo_per_capita!P38*Saldo_relativo_per_capita!P$543/1000000</f>
        <v>0</v>
      </c>
      <c r="Q38" s="340">
        <f>Saldo_relativo_per_capita!Q38*Saldo_relativo_per_capita!Q$543/1000000</f>
        <v>0</v>
      </c>
      <c r="R38" s="340">
        <f>Saldo_relativo_per_capita!R38*Saldo_relativo_per_capita!R$543/1000000</f>
        <v>0</v>
      </c>
      <c r="S38" s="340">
        <f>Saldo_relativo_per_capita!S38*Saldo_relativo_per_capita!S$543/1000000</f>
        <v>0</v>
      </c>
      <c r="T38" s="340">
        <f>Saldo_relativo_per_capita!T38*Saldo_relativo_per_capita!T$543/1000000</f>
        <v>0</v>
      </c>
      <c r="U38" s="340">
        <f>Saldo_relativo_per_capita!U38*Saldo_relativo_per_capita!U$543/1000000</f>
        <v>0</v>
      </c>
      <c r="V38" s="340">
        <f>Saldo_relativo_per_capita!V38*Saldo_relativo_per_capita!V$543/1000000</f>
        <v>0</v>
      </c>
      <c r="W38" s="148"/>
    </row>
    <row r="39" spans="1:23" s="115" customFormat="1">
      <c r="A39" s="355" t="str">
        <f>IF(B39="","",(IF(ISERROR(MATCH(B39,Tot_res!C:C,0)),"Eliminar!!!","")))</f>
        <v/>
      </c>
      <c r="B39" s="115" t="s">
        <v>144</v>
      </c>
      <c r="C39" s="333" t="str">
        <f>VLOOKUP(B39,Tot_res!C:D,2,FALSE)</f>
        <v>Modernización de las fuerzas armadas</v>
      </c>
      <c r="D39" s="340">
        <f>Saldo_relativo_per_capita!D39*Saldo_relativo_per_capita!D$543/1000000</f>
        <v>0</v>
      </c>
      <c r="E39" s="340">
        <f>Saldo_relativo_per_capita!E39*Saldo_relativo_per_capita!E$543/1000000</f>
        <v>0</v>
      </c>
      <c r="F39" s="340">
        <f>Saldo_relativo_per_capita!F39*Saldo_relativo_per_capita!F$543/1000000</f>
        <v>0</v>
      </c>
      <c r="G39" s="340">
        <f>Saldo_relativo_per_capita!G39*Saldo_relativo_per_capita!G$543/1000000</f>
        <v>0</v>
      </c>
      <c r="H39" s="340">
        <f>Saldo_relativo_per_capita!H39*Saldo_relativo_per_capita!H$543/1000000</f>
        <v>0</v>
      </c>
      <c r="I39" s="340">
        <f>Saldo_relativo_per_capita!I39*Saldo_relativo_per_capita!I$543/1000000</f>
        <v>0</v>
      </c>
      <c r="J39" s="340">
        <f>Saldo_relativo_per_capita!J39*Saldo_relativo_per_capita!J$543/1000000</f>
        <v>0</v>
      </c>
      <c r="K39" s="340">
        <f>Saldo_relativo_per_capita!K39*Saldo_relativo_per_capita!K$543/1000000</f>
        <v>0</v>
      </c>
      <c r="L39" s="340">
        <f>Saldo_relativo_per_capita!L39*Saldo_relativo_per_capita!L$543/1000000</f>
        <v>0</v>
      </c>
      <c r="M39" s="340">
        <f>Saldo_relativo_per_capita!M39*Saldo_relativo_per_capita!M$543/1000000</f>
        <v>0</v>
      </c>
      <c r="N39" s="340">
        <f>Saldo_relativo_per_capita!N39*Saldo_relativo_per_capita!N$543/1000000</f>
        <v>0</v>
      </c>
      <c r="O39" s="340">
        <f>Saldo_relativo_per_capita!O39*Saldo_relativo_per_capita!O$543/1000000</f>
        <v>0</v>
      </c>
      <c r="P39" s="340">
        <f>Saldo_relativo_per_capita!P39*Saldo_relativo_per_capita!P$543/1000000</f>
        <v>0</v>
      </c>
      <c r="Q39" s="340">
        <f>Saldo_relativo_per_capita!Q39*Saldo_relativo_per_capita!Q$543/1000000</f>
        <v>0</v>
      </c>
      <c r="R39" s="340">
        <f>Saldo_relativo_per_capita!R39*Saldo_relativo_per_capita!R$543/1000000</f>
        <v>0</v>
      </c>
      <c r="S39" s="340">
        <f>Saldo_relativo_per_capita!S39*Saldo_relativo_per_capita!S$543/1000000</f>
        <v>0</v>
      </c>
      <c r="T39" s="340">
        <f>Saldo_relativo_per_capita!T39*Saldo_relativo_per_capita!T$543/1000000</f>
        <v>0</v>
      </c>
      <c r="U39" s="340">
        <f>Saldo_relativo_per_capita!U39*Saldo_relativo_per_capita!U$543/1000000</f>
        <v>0</v>
      </c>
      <c r="V39" s="340">
        <f>Saldo_relativo_per_capita!V39*Saldo_relativo_per_capita!V$543/1000000</f>
        <v>0</v>
      </c>
      <c r="W39" s="148"/>
    </row>
    <row r="40" spans="1:23" s="115" customFormat="1">
      <c r="A40" s="355" t="str">
        <f>IF(B40="","",(IF(ISERROR(MATCH(B40,Tot_res!C:C,0)),"Eliminar!!!","")))</f>
        <v/>
      </c>
      <c r="B40" s="115" t="s">
        <v>145</v>
      </c>
      <c r="C40" s="333" t="str">
        <f>VLOOKUP(B40,Tot_res!C:D,2,FALSE)</f>
        <v>Programas especiales de modernización</v>
      </c>
      <c r="D40" s="340">
        <f>Saldo_relativo_per_capita!D40*Saldo_relativo_per_capita!D$543/1000000</f>
        <v>0</v>
      </c>
      <c r="E40" s="340">
        <f>Saldo_relativo_per_capita!E40*Saldo_relativo_per_capita!E$543/1000000</f>
        <v>0</v>
      </c>
      <c r="F40" s="340">
        <f>Saldo_relativo_per_capita!F40*Saldo_relativo_per_capita!F$543/1000000</f>
        <v>0</v>
      </c>
      <c r="G40" s="340">
        <f>Saldo_relativo_per_capita!G40*Saldo_relativo_per_capita!G$543/1000000</f>
        <v>0</v>
      </c>
      <c r="H40" s="340">
        <f>Saldo_relativo_per_capita!H40*Saldo_relativo_per_capita!H$543/1000000</f>
        <v>0</v>
      </c>
      <c r="I40" s="340">
        <f>Saldo_relativo_per_capita!I40*Saldo_relativo_per_capita!I$543/1000000</f>
        <v>0</v>
      </c>
      <c r="J40" s="340">
        <f>Saldo_relativo_per_capita!J40*Saldo_relativo_per_capita!J$543/1000000</f>
        <v>0</v>
      </c>
      <c r="K40" s="340">
        <f>Saldo_relativo_per_capita!K40*Saldo_relativo_per_capita!K$543/1000000</f>
        <v>0</v>
      </c>
      <c r="L40" s="340">
        <f>Saldo_relativo_per_capita!L40*Saldo_relativo_per_capita!L$543/1000000</f>
        <v>0</v>
      </c>
      <c r="M40" s="340">
        <f>Saldo_relativo_per_capita!M40*Saldo_relativo_per_capita!M$543/1000000</f>
        <v>0</v>
      </c>
      <c r="N40" s="340">
        <f>Saldo_relativo_per_capita!N40*Saldo_relativo_per_capita!N$543/1000000</f>
        <v>0</v>
      </c>
      <c r="O40" s="340">
        <f>Saldo_relativo_per_capita!O40*Saldo_relativo_per_capita!O$543/1000000</f>
        <v>0</v>
      </c>
      <c r="P40" s="340">
        <f>Saldo_relativo_per_capita!P40*Saldo_relativo_per_capita!P$543/1000000</f>
        <v>0</v>
      </c>
      <c r="Q40" s="340">
        <f>Saldo_relativo_per_capita!Q40*Saldo_relativo_per_capita!Q$543/1000000</f>
        <v>0</v>
      </c>
      <c r="R40" s="340">
        <f>Saldo_relativo_per_capita!R40*Saldo_relativo_per_capita!R$543/1000000</f>
        <v>0</v>
      </c>
      <c r="S40" s="340">
        <f>Saldo_relativo_per_capita!S40*Saldo_relativo_per_capita!S$543/1000000</f>
        <v>0</v>
      </c>
      <c r="T40" s="340">
        <f>Saldo_relativo_per_capita!T40*Saldo_relativo_per_capita!T$543/1000000</f>
        <v>0</v>
      </c>
      <c r="U40" s="340">
        <f>Saldo_relativo_per_capita!U40*Saldo_relativo_per_capita!U$543/1000000</f>
        <v>0</v>
      </c>
      <c r="V40" s="340">
        <f>Saldo_relativo_per_capita!V40*Saldo_relativo_per_capita!V$543/1000000</f>
        <v>0</v>
      </c>
      <c r="W40" s="148"/>
    </row>
    <row r="41" spans="1:23" s="115" customFormat="1">
      <c r="A41" s="355" t="str">
        <f>IF(B41="","",(IF(ISERROR(MATCH(B41,Tot_res!C:C,0)),"Eliminar!!!","")))</f>
        <v/>
      </c>
      <c r="B41" s="115" t="s">
        <v>147</v>
      </c>
      <c r="C41" s="333" t="str">
        <f>VLOOKUP(B41,Tot_res!C:D,2,FALSE)</f>
        <v>Gastos operativos de las fuerzas armadas</v>
      </c>
      <c r="D41" s="340">
        <f>Saldo_relativo_per_capita!D41*Saldo_relativo_per_capita!D$543/1000000</f>
        <v>0</v>
      </c>
      <c r="E41" s="340">
        <f>Saldo_relativo_per_capita!E41*Saldo_relativo_per_capita!E$543/1000000</f>
        <v>0</v>
      </c>
      <c r="F41" s="340">
        <f>Saldo_relativo_per_capita!F41*Saldo_relativo_per_capita!F$543/1000000</f>
        <v>0</v>
      </c>
      <c r="G41" s="340">
        <f>Saldo_relativo_per_capita!G41*Saldo_relativo_per_capita!G$543/1000000</f>
        <v>0</v>
      </c>
      <c r="H41" s="340">
        <f>Saldo_relativo_per_capita!H41*Saldo_relativo_per_capita!H$543/1000000</f>
        <v>0</v>
      </c>
      <c r="I41" s="340">
        <f>Saldo_relativo_per_capita!I41*Saldo_relativo_per_capita!I$543/1000000</f>
        <v>0</v>
      </c>
      <c r="J41" s="340">
        <f>Saldo_relativo_per_capita!J41*Saldo_relativo_per_capita!J$543/1000000</f>
        <v>0</v>
      </c>
      <c r="K41" s="340">
        <f>Saldo_relativo_per_capita!K41*Saldo_relativo_per_capita!K$543/1000000</f>
        <v>0</v>
      </c>
      <c r="L41" s="340">
        <f>Saldo_relativo_per_capita!L41*Saldo_relativo_per_capita!L$543/1000000</f>
        <v>0</v>
      </c>
      <c r="M41" s="340">
        <f>Saldo_relativo_per_capita!M41*Saldo_relativo_per_capita!M$543/1000000</f>
        <v>0</v>
      </c>
      <c r="N41" s="340">
        <f>Saldo_relativo_per_capita!N41*Saldo_relativo_per_capita!N$543/1000000</f>
        <v>0</v>
      </c>
      <c r="O41" s="340">
        <f>Saldo_relativo_per_capita!O41*Saldo_relativo_per_capita!O$543/1000000</f>
        <v>0</v>
      </c>
      <c r="P41" s="340">
        <f>Saldo_relativo_per_capita!P41*Saldo_relativo_per_capita!P$543/1000000</f>
        <v>0</v>
      </c>
      <c r="Q41" s="340">
        <f>Saldo_relativo_per_capita!Q41*Saldo_relativo_per_capita!Q$543/1000000</f>
        <v>0</v>
      </c>
      <c r="R41" s="340">
        <f>Saldo_relativo_per_capita!R41*Saldo_relativo_per_capita!R$543/1000000</f>
        <v>0</v>
      </c>
      <c r="S41" s="340">
        <f>Saldo_relativo_per_capita!S41*Saldo_relativo_per_capita!S$543/1000000</f>
        <v>0</v>
      </c>
      <c r="T41" s="340">
        <f>Saldo_relativo_per_capita!T41*Saldo_relativo_per_capita!T$543/1000000</f>
        <v>0</v>
      </c>
      <c r="U41" s="340">
        <f>Saldo_relativo_per_capita!U41*Saldo_relativo_per_capita!U$543/1000000</f>
        <v>0</v>
      </c>
      <c r="V41" s="340">
        <f>Saldo_relativo_per_capita!V41*Saldo_relativo_per_capita!V$543/1000000</f>
        <v>0</v>
      </c>
      <c r="W41" s="148"/>
    </row>
    <row r="42" spans="1:23" s="115" customFormat="1">
      <c r="A42" s="355" t="str">
        <f>IF(B42="","",(IF(ISERROR(MATCH(B42,Tot_res!C:C,0)),"Eliminar!!!","")))</f>
        <v/>
      </c>
      <c r="B42" s="115" t="s">
        <v>148</v>
      </c>
      <c r="C42" s="333" t="str">
        <f>VLOOKUP(B42,Tot_res!C:D,2,FALSE)</f>
        <v>Apoyo logístico</v>
      </c>
      <c r="D42" s="340">
        <f>Saldo_relativo_per_capita!D42*Saldo_relativo_per_capita!D$543/1000000</f>
        <v>0</v>
      </c>
      <c r="E42" s="340">
        <f>Saldo_relativo_per_capita!E42*Saldo_relativo_per_capita!E$543/1000000</f>
        <v>0</v>
      </c>
      <c r="F42" s="340">
        <f>Saldo_relativo_per_capita!F42*Saldo_relativo_per_capita!F$543/1000000</f>
        <v>0</v>
      </c>
      <c r="G42" s="340">
        <f>Saldo_relativo_per_capita!G42*Saldo_relativo_per_capita!G$543/1000000</f>
        <v>0</v>
      </c>
      <c r="H42" s="340">
        <f>Saldo_relativo_per_capita!H42*Saldo_relativo_per_capita!H$543/1000000</f>
        <v>0</v>
      </c>
      <c r="I42" s="340">
        <f>Saldo_relativo_per_capita!I42*Saldo_relativo_per_capita!I$543/1000000</f>
        <v>0</v>
      </c>
      <c r="J42" s="340">
        <f>Saldo_relativo_per_capita!J42*Saldo_relativo_per_capita!J$543/1000000</f>
        <v>0</v>
      </c>
      <c r="K42" s="340">
        <f>Saldo_relativo_per_capita!K42*Saldo_relativo_per_capita!K$543/1000000</f>
        <v>0</v>
      </c>
      <c r="L42" s="340">
        <f>Saldo_relativo_per_capita!L42*Saldo_relativo_per_capita!L$543/1000000</f>
        <v>0</v>
      </c>
      <c r="M42" s="340">
        <f>Saldo_relativo_per_capita!M42*Saldo_relativo_per_capita!M$543/1000000</f>
        <v>0</v>
      </c>
      <c r="N42" s="340">
        <f>Saldo_relativo_per_capita!N42*Saldo_relativo_per_capita!N$543/1000000</f>
        <v>0</v>
      </c>
      <c r="O42" s="340">
        <f>Saldo_relativo_per_capita!O42*Saldo_relativo_per_capita!O$543/1000000</f>
        <v>0</v>
      </c>
      <c r="P42" s="340">
        <f>Saldo_relativo_per_capita!P42*Saldo_relativo_per_capita!P$543/1000000</f>
        <v>0</v>
      </c>
      <c r="Q42" s="340">
        <f>Saldo_relativo_per_capita!Q42*Saldo_relativo_per_capita!Q$543/1000000</f>
        <v>0</v>
      </c>
      <c r="R42" s="340">
        <f>Saldo_relativo_per_capita!R42*Saldo_relativo_per_capita!R$543/1000000</f>
        <v>0</v>
      </c>
      <c r="S42" s="340">
        <f>Saldo_relativo_per_capita!S42*Saldo_relativo_per_capita!S$543/1000000</f>
        <v>0</v>
      </c>
      <c r="T42" s="340">
        <f>Saldo_relativo_per_capita!T42*Saldo_relativo_per_capita!T$543/1000000</f>
        <v>0</v>
      </c>
      <c r="U42" s="340">
        <f>Saldo_relativo_per_capita!U42*Saldo_relativo_per_capita!U$543/1000000</f>
        <v>0</v>
      </c>
      <c r="V42" s="340">
        <f>Saldo_relativo_per_capita!V42*Saldo_relativo_per_capita!V$543/1000000</f>
        <v>0</v>
      </c>
      <c r="W42" s="148"/>
    </row>
    <row r="43" spans="1:23" s="115" customFormat="1">
      <c r="A43" s="355" t="str">
        <f>IF(B43="","",(IF(ISERROR(MATCH(B43,Tot_res!C:C,0)),"Eliminar!!!","")))</f>
        <v/>
      </c>
      <c r="B43" s="115" t="s">
        <v>149</v>
      </c>
      <c r="C43" s="333" t="str">
        <f>VLOOKUP(B43,Tot_res!C:D,2,FALSE)</f>
        <v>Asistencia hospitalaria en las fuerzas armadas</v>
      </c>
      <c r="D43" s="340">
        <f>Saldo_relativo_per_capita!D43*Saldo_relativo_per_capita!D$543/1000000</f>
        <v>0</v>
      </c>
      <c r="E43" s="340">
        <f>Saldo_relativo_per_capita!E43*Saldo_relativo_per_capita!E$543/1000000</f>
        <v>0</v>
      </c>
      <c r="F43" s="340">
        <f>Saldo_relativo_per_capita!F43*Saldo_relativo_per_capita!F$543/1000000</f>
        <v>0</v>
      </c>
      <c r="G43" s="340">
        <f>Saldo_relativo_per_capita!G43*Saldo_relativo_per_capita!G$543/1000000</f>
        <v>0</v>
      </c>
      <c r="H43" s="340">
        <f>Saldo_relativo_per_capita!H43*Saldo_relativo_per_capita!H$543/1000000</f>
        <v>0</v>
      </c>
      <c r="I43" s="340">
        <f>Saldo_relativo_per_capita!I43*Saldo_relativo_per_capita!I$543/1000000</f>
        <v>0</v>
      </c>
      <c r="J43" s="340">
        <f>Saldo_relativo_per_capita!J43*Saldo_relativo_per_capita!J$543/1000000</f>
        <v>0</v>
      </c>
      <c r="K43" s="340">
        <f>Saldo_relativo_per_capita!K43*Saldo_relativo_per_capita!K$543/1000000</f>
        <v>0</v>
      </c>
      <c r="L43" s="340">
        <f>Saldo_relativo_per_capita!L43*Saldo_relativo_per_capita!L$543/1000000</f>
        <v>0</v>
      </c>
      <c r="M43" s="340">
        <f>Saldo_relativo_per_capita!M43*Saldo_relativo_per_capita!M$543/1000000</f>
        <v>0</v>
      </c>
      <c r="N43" s="340">
        <f>Saldo_relativo_per_capita!N43*Saldo_relativo_per_capita!N$543/1000000</f>
        <v>0</v>
      </c>
      <c r="O43" s="340">
        <f>Saldo_relativo_per_capita!O43*Saldo_relativo_per_capita!O$543/1000000</f>
        <v>0</v>
      </c>
      <c r="P43" s="340">
        <f>Saldo_relativo_per_capita!P43*Saldo_relativo_per_capita!P$543/1000000</f>
        <v>0</v>
      </c>
      <c r="Q43" s="340">
        <f>Saldo_relativo_per_capita!Q43*Saldo_relativo_per_capita!Q$543/1000000</f>
        <v>0</v>
      </c>
      <c r="R43" s="340">
        <f>Saldo_relativo_per_capita!R43*Saldo_relativo_per_capita!R$543/1000000</f>
        <v>0</v>
      </c>
      <c r="S43" s="340">
        <f>Saldo_relativo_per_capita!S43*Saldo_relativo_per_capita!S$543/1000000</f>
        <v>0</v>
      </c>
      <c r="T43" s="340">
        <f>Saldo_relativo_per_capita!T43*Saldo_relativo_per_capita!T$543/1000000</f>
        <v>0</v>
      </c>
      <c r="U43" s="340">
        <f>Saldo_relativo_per_capita!U43*Saldo_relativo_per_capita!U$543/1000000</f>
        <v>0</v>
      </c>
      <c r="V43" s="340">
        <f>Saldo_relativo_per_capita!V43*Saldo_relativo_per_capita!V$543/1000000</f>
        <v>0</v>
      </c>
      <c r="W43" s="148"/>
    </row>
    <row r="44" spans="1:23" s="115" customFormat="1">
      <c r="A44" s="355" t="str">
        <f>IF(B44="","",(IF(ISERROR(MATCH(B44,Tot_res!C:C,0)),"Eliminar!!!","")))</f>
        <v/>
      </c>
      <c r="B44" s="115" t="s">
        <v>150</v>
      </c>
      <c r="C44" s="333" t="str">
        <f>VLOOKUP(B44,Tot_res!C:D,2,FALSE)</f>
        <v>Investigación y estudios de las fuerzas armadas</v>
      </c>
      <c r="D44" s="340">
        <f>Saldo_relativo_per_capita!D44*Saldo_relativo_per_capita!D$543/1000000</f>
        <v>0</v>
      </c>
      <c r="E44" s="340">
        <f>Saldo_relativo_per_capita!E44*Saldo_relativo_per_capita!E$543/1000000</f>
        <v>0</v>
      </c>
      <c r="F44" s="340">
        <f>Saldo_relativo_per_capita!F44*Saldo_relativo_per_capita!F$543/1000000</f>
        <v>0</v>
      </c>
      <c r="G44" s="340">
        <f>Saldo_relativo_per_capita!G44*Saldo_relativo_per_capita!G$543/1000000</f>
        <v>0</v>
      </c>
      <c r="H44" s="340">
        <f>Saldo_relativo_per_capita!H44*Saldo_relativo_per_capita!H$543/1000000</f>
        <v>0</v>
      </c>
      <c r="I44" s="340">
        <f>Saldo_relativo_per_capita!I44*Saldo_relativo_per_capita!I$543/1000000</f>
        <v>0</v>
      </c>
      <c r="J44" s="340">
        <f>Saldo_relativo_per_capita!J44*Saldo_relativo_per_capita!J$543/1000000</f>
        <v>0</v>
      </c>
      <c r="K44" s="340">
        <f>Saldo_relativo_per_capita!K44*Saldo_relativo_per_capita!K$543/1000000</f>
        <v>0</v>
      </c>
      <c r="L44" s="340">
        <f>Saldo_relativo_per_capita!L44*Saldo_relativo_per_capita!L$543/1000000</f>
        <v>0</v>
      </c>
      <c r="M44" s="340">
        <f>Saldo_relativo_per_capita!M44*Saldo_relativo_per_capita!M$543/1000000</f>
        <v>0</v>
      </c>
      <c r="N44" s="340">
        <f>Saldo_relativo_per_capita!N44*Saldo_relativo_per_capita!N$543/1000000</f>
        <v>0</v>
      </c>
      <c r="O44" s="340">
        <f>Saldo_relativo_per_capita!O44*Saldo_relativo_per_capita!O$543/1000000</f>
        <v>0</v>
      </c>
      <c r="P44" s="340">
        <f>Saldo_relativo_per_capita!P44*Saldo_relativo_per_capita!P$543/1000000</f>
        <v>0</v>
      </c>
      <c r="Q44" s="340">
        <f>Saldo_relativo_per_capita!Q44*Saldo_relativo_per_capita!Q$543/1000000</f>
        <v>0</v>
      </c>
      <c r="R44" s="340">
        <f>Saldo_relativo_per_capita!R44*Saldo_relativo_per_capita!R$543/1000000</f>
        <v>0</v>
      </c>
      <c r="S44" s="340">
        <f>Saldo_relativo_per_capita!S44*Saldo_relativo_per_capita!S$543/1000000</f>
        <v>0</v>
      </c>
      <c r="T44" s="340">
        <f>Saldo_relativo_per_capita!T44*Saldo_relativo_per_capita!T$543/1000000</f>
        <v>0</v>
      </c>
      <c r="U44" s="340">
        <f>Saldo_relativo_per_capita!U44*Saldo_relativo_per_capita!U$543/1000000</f>
        <v>0</v>
      </c>
      <c r="V44" s="340">
        <f>Saldo_relativo_per_capita!V44*Saldo_relativo_per_capita!V$543/1000000</f>
        <v>0</v>
      </c>
      <c r="W44" s="148"/>
    </row>
    <row r="45" spans="1:23" s="115" customFormat="1">
      <c r="A45" s="355" t="str">
        <f>IF(B45="","",(IF(ISERROR(MATCH(B45,Tot_res!C:C,0)),"Eliminar!!!","")))</f>
        <v/>
      </c>
      <c r="B45" s="115" t="s">
        <v>152</v>
      </c>
      <c r="C45" s="333" t="str">
        <f>VLOOKUP(B45,Tot_res!C:D,2,FALSE)</f>
        <v>Apoyo a la innovación tecnológica en el sector de la defensa</v>
      </c>
      <c r="D45" s="340">
        <f>Saldo_relativo_per_capita!D45*Saldo_relativo_per_capita!D$543/1000000</f>
        <v>0</v>
      </c>
      <c r="E45" s="340">
        <f>Saldo_relativo_per_capita!E45*Saldo_relativo_per_capita!E$543/1000000</f>
        <v>0</v>
      </c>
      <c r="F45" s="340">
        <f>Saldo_relativo_per_capita!F45*Saldo_relativo_per_capita!F$543/1000000</f>
        <v>0</v>
      </c>
      <c r="G45" s="340">
        <f>Saldo_relativo_per_capita!G45*Saldo_relativo_per_capita!G$543/1000000</f>
        <v>0</v>
      </c>
      <c r="H45" s="340">
        <f>Saldo_relativo_per_capita!H45*Saldo_relativo_per_capita!H$543/1000000</f>
        <v>0</v>
      </c>
      <c r="I45" s="340">
        <f>Saldo_relativo_per_capita!I45*Saldo_relativo_per_capita!I$543/1000000</f>
        <v>0</v>
      </c>
      <c r="J45" s="340">
        <f>Saldo_relativo_per_capita!J45*Saldo_relativo_per_capita!J$543/1000000</f>
        <v>0</v>
      </c>
      <c r="K45" s="340">
        <f>Saldo_relativo_per_capita!K45*Saldo_relativo_per_capita!K$543/1000000</f>
        <v>0</v>
      </c>
      <c r="L45" s="340">
        <f>Saldo_relativo_per_capita!L45*Saldo_relativo_per_capita!L$543/1000000</f>
        <v>0</v>
      </c>
      <c r="M45" s="340">
        <f>Saldo_relativo_per_capita!M45*Saldo_relativo_per_capita!M$543/1000000</f>
        <v>0</v>
      </c>
      <c r="N45" s="340">
        <f>Saldo_relativo_per_capita!N45*Saldo_relativo_per_capita!N$543/1000000</f>
        <v>0</v>
      </c>
      <c r="O45" s="340">
        <f>Saldo_relativo_per_capita!O45*Saldo_relativo_per_capita!O$543/1000000</f>
        <v>0</v>
      </c>
      <c r="P45" s="340">
        <f>Saldo_relativo_per_capita!P45*Saldo_relativo_per_capita!P$543/1000000</f>
        <v>0</v>
      </c>
      <c r="Q45" s="340">
        <f>Saldo_relativo_per_capita!Q45*Saldo_relativo_per_capita!Q$543/1000000</f>
        <v>0</v>
      </c>
      <c r="R45" s="340">
        <f>Saldo_relativo_per_capita!R45*Saldo_relativo_per_capita!R$543/1000000</f>
        <v>0</v>
      </c>
      <c r="S45" s="340">
        <f>Saldo_relativo_per_capita!S45*Saldo_relativo_per_capita!S$543/1000000</f>
        <v>0</v>
      </c>
      <c r="T45" s="340">
        <f>Saldo_relativo_per_capita!T45*Saldo_relativo_per_capita!T$543/1000000</f>
        <v>0</v>
      </c>
      <c r="U45" s="340">
        <f>Saldo_relativo_per_capita!U45*Saldo_relativo_per_capita!U$543/1000000</f>
        <v>0</v>
      </c>
      <c r="V45" s="340">
        <f>Saldo_relativo_per_capita!V45*Saldo_relativo_per_capita!V$543/1000000</f>
        <v>0</v>
      </c>
      <c r="W45" s="148"/>
    </row>
    <row r="46" spans="1:23" s="115" customFormat="1">
      <c r="A46" s="356"/>
      <c r="D46" s="218"/>
      <c r="E46" s="218"/>
      <c r="F46" s="218"/>
      <c r="G46" s="218"/>
      <c r="H46" s="218"/>
      <c r="I46" s="218"/>
      <c r="J46" s="218"/>
      <c r="K46" s="218"/>
      <c r="L46" s="218"/>
      <c r="M46" s="218"/>
      <c r="N46" s="218"/>
      <c r="O46" s="218"/>
      <c r="P46" s="218"/>
      <c r="Q46" s="218"/>
      <c r="R46" s="218"/>
      <c r="S46" s="218"/>
      <c r="T46" s="218"/>
      <c r="U46" s="218"/>
      <c r="V46" s="218"/>
      <c r="W46" s="148"/>
    </row>
    <row r="47" spans="1:23" s="115" customFormat="1">
      <c r="A47" s="356"/>
      <c r="C47" s="128" t="s">
        <v>30</v>
      </c>
      <c r="D47" s="219">
        <f>Saldo_relativo_per_capita!D47*Saldo_relativo_per_capita!D$543/1000000</f>
        <v>0</v>
      </c>
      <c r="E47" s="219">
        <f>Saldo_relativo_per_capita!E47*Saldo_relativo_per_capita!E$543/1000000</f>
        <v>0</v>
      </c>
      <c r="F47" s="219">
        <f>Saldo_relativo_per_capita!F47*Saldo_relativo_per_capita!F$543/1000000</f>
        <v>0</v>
      </c>
      <c r="G47" s="219">
        <f>Saldo_relativo_per_capita!G47*Saldo_relativo_per_capita!G$543/1000000</f>
        <v>0</v>
      </c>
      <c r="H47" s="219">
        <f>Saldo_relativo_per_capita!H47*Saldo_relativo_per_capita!H$543/1000000</f>
        <v>0</v>
      </c>
      <c r="I47" s="219">
        <f>Saldo_relativo_per_capita!I47*Saldo_relativo_per_capita!I$543/1000000</f>
        <v>0</v>
      </c>
      <c r="J47" s="219">
        <f>Saldo_relativo_per_capita!J47*Saldo_relativo_per_capita!J$543/1000000</f>
        <v>0</v>
      </c>
      <c r="K47" s="219">
        <f>Saldo_relativo_per_capita!K47*Saldo_relativo_per_capita!K$543/1000000</f>
        <v>0</v>
      </c>
      <c r="L47" s="219">
        <f>Saldo_relativo_per_capita!L47*Saldo_relativo_per_capita!L$543/1000000</f>
        <v>0</v>
      </c>
      <c r="M47" s="219">
        <f>Saldo_relativo_per_capita!M47*Saldo_relativo_per_capita!M$543/1000000</f>
        <v>0</v>
      </c>
      <c r="N47" s="219">
        <f>Saldo_relativo_per_capita!N47*Saldo_relativo_per_capita!N$543/1000000</f>
        <v>0</v>
      </c>
      <c r="O47" s="219">
        <f>Saldo_relativo_per_capita!O47*Saldo_relativo_per_capita!O$543/1000000</f>
        <v>0</v>
      </c>
      <c r="P47" s="219">
        <f>Saldo_relativo_per_capita!P47*Saldo_relativo_per_capita!P$543/1000000</f>
        <v>0</v>
      </c>
      <c r="Q47" s="219">
        <f>Saldo_relativo_per_capita!Q47*Saldo_relativo_per_capita!Q$543/1000000</f>
        <v>0</v>
      </c>
      <c r="R47" s="219">
        <f>Saldo_relativo_per_capita!R47*Saldo_relativo_per_capita!R$543/1000000</f>
        <v>0</v>
      </c>
      <c r="S47" s="219">
        <f>Saldo_relativo_per_capita!S47*Saldo_relativo_per_capita!S$543/1000000</f>
        <v>0</v>
      </c>
      <c r="T47" s="219">
        <f>Saldo_relativo_per_capita!T47*Saldo_relativo_per_capita!T$543/1000000</f>
        <v>0</v>
      </c>
      <c r="U47" s="219">
        <f>Saldo_relativo_per_capita!U47*Saldo_relativo_per_capita!U$543/1000000</f>
        <v>0</v>
      </c>
      <c r="V47" s="219">
        <f>Saldo_relativo_per_capita!V47*Saldo_relativo_per_capita!V$543/1000000</f>
        <v>0</v>
      </c>
      <c r="W47" s="229"/>
    </row>
    <row r="48" spans="1:23" s="115" customFormat="1">
      <c r="A48" s="355" t="str">
        <f>IF(B48="","",(IF(ISERROR(MATCH(B48,Tot_res!C:C,0)),"Eliminar!!!","")))</f>
        <v/>
      </c>
      <c r="B48" s="115" t="s">
        <v>153</v>
      </c>
      <c r="C48" s="333" t="str">
        <f>VLOOKUP(B48,Tot_res!C:D,2,FALSE)</f>
        <v>Coordinación y relaciones financieras con los entes territoriales</v>
      </c>
      <c r="D48" s="340">
        <f>Saldo_relativo_per_capita!D48*Saldo_relativo_per_capita!D$543/1000000</f>
        <v>0</v>
      </c>
      <c r="E48" s="340">
        <f>Saldo_relativo_per_capita!E48*Saldo_relativo_per_capita!E$543/1000000</f>
        <v>0</v>
      </c>
      <c r="F48" s="340">
        <f>Saldo_relativo_per_capita!F48*Saldo_relativo_per_capita!F$543/1000000</f>
        <v>0</v>
      </c>
      <c r="G48" s="340">
        <f>Saldo_relativo_per_capita!G48*Saldo_relativo_per_capita!G$543/1000000</f>
        <v>0</v>
      </c>
      <c r="H48" s="340">
        <f>Saldo_relativo_per_capita!H48*Saldo_relativo_per_capita!H$543/1000000</f>
        <v>0</v>
      </c>
      <c r="I48" s="340">
        <f>Saldo_relativo_per_capita!I48*Saldo_relativo_per_capita!I$543/1000000</f>
        <v>0</v>
      </c>
      <c r="J48" s="340">
        <f>Saldo_relativo_per_capita!J48*Saldo_relativo_per_capita!J$543/1000000</f>
        <v>0</v>
      </c>
      <c r="K48" s="340">
        <f>Saldo_relativo_per_capita!K48*Saldo_relativo_per_capita!K$543/1000000</f>
        <v>0</v>
      </c>
      <c r="L48" s="340">
        <f>Saldo_relativo_per_capita!L48*Saldo_relativo_per_capita!L$543/1000000</f>
        <v>0</v>
      </c>
      <c r="M48" s="340">
        <f>Saldo_relativo_per_capita!M48*Saldo_relativo_per_capita!M$543/1000000</f>
        <v>0</v>
      </c>
      <c r="N48" s="340">
        <f>Saldo_relativo_per_capita!N48*Saldo_relativo_per_capita!N$543/1000000</f>
        <v>0</v>
      </c>
      <c r="O48" s="340">
        <f>Saldo_relativo_per_capita!O48*Saldo_relativo_per_capita!O$543/1000000</f>
        <v>0</v>
      </c>
      <c r="P48" s="340">
        <f>Saldo_relativo_per_capita!P48*Saldo_relativo_per_capita!P$543/1000000</f>
        <v>0</v>
      </c>
      <c r="Q48" s="340">
        <f>Saldo_relativo_per_capita!Q48*Saldo_relativo_per_capita!Q$543/1000000</f>
        <v>0</v>
      </c>
      <c r="R48" s="340">
        <f>Saldo_relativo_per_capita!R48*Saldo_relativo_per_capita!R$543/1000000</f>
        <v>0</v>
      </c>
      <c r="S48" s="340">
        <f>Saldo_relativo_per_capita!S48*Saldo_relativo_per_capita!S$543/1000000</f>
        <v>0</v>
      </c>
      <c r="T48" s="340">
        <f>Saldo_relativo_per_capita!T48*Saldo_relativo_per_capita!T$543/1000000</f>
        <v>0</v>
      </c>
      <c r="U48" s="340">
        <f>Saldo_relativo_per_capita!U48*Saldo_relativo_per_capita!U$543/1000000</f>
        <v>0</v>
      </c>
      <c r="V48" s="340">
        <f>Saldo_relativo_per_capita!V48*Saldo_relativo_per_capita!V$543/1000000</f>
        <v>0</v>
      </c>
      <c r="W48" s="148"/>
    </row>
    <row r="49" spans="1:23" s="115" customFormat="1">
      <c r="A49" s="355" t="str">
        <f>IF(B49="","",(IF(ISERROR(MATCH(B49,Tot_res!C:C,0)),"Eliminar!!!","")))</f>
        <v/>
      </c>
      <c r="B49" s="115" t="s">
        <v>630</v>
      </c>
      <c r="C49" s="333" t="str">
        <f>VLOOKUP(B49,Tot_res!C:D,2,FALSE)</f>
        <v>Gestión del patrimonio del estado</v>
      </c>
      <c r="D49" s="340">
        <f>Saldo_relativo_per_capita!D49*Saldo_relativo_per_capita!D$543/1000000</f>
        <v>0</v>
      </c>
      <c r="E49" s="340">
        <f>Saldo_relativo_per_capita!E49*Saldo_relativo_per_capita!E$543/1000000</f>
        <v>0</v>
      </c>
      <c r="F49" s="340">
        <f>Saldo_relativo_per_capita!F49*Saldo_relativo_per_capita!F$543/1000000</f>
        <v>0</v>
      </c>
      <c r="G49" s="340">
        <f>Saldo_relativo_per_capita!G49*Saldo_relativo_per_capita!G$543/1000000</f>
        <v>0</v>
      </c>
      <c r="H49" s="340">
        <f>Saldo_relativo_per_capita!H49*Saldo_relativo_per_capita!H$543/1000000</f>
        <v>0</v>
      </c>
      <c r="I49" s="340">
        <f>Saldo_relativo_per_capita!I49*Saldo_relativo_per_capita!I$543/1000000</f>
        <v>0</v>
      </c>
      <c r="J49" s="340">
        <f>Saldo_relativo_per_capita!J49*Saldo_relativo_per_capita!J$543/1000000</f>
        <v>0</v>
      </c>
      <c r="K49" s="340">
        <f>Saldo_relativo_per_capita!K49*Saldo_relativo_per_capita!K$543/1000000</f>
        <v>0</v>
      </c>
      <c r="L49" s="340">
        <f>Saldo_relativo_per_capita!L49*Saldo_relativo_per_capita!L$543/1000000</f>
        <v>0</v>
      </c>
      <c r="M49" s="340">
        <f>Saldo_relativo_per_capita!M49*Saldo_relativo_per_capita!M$543/1000000</f>
        <v>0</v>
      </c>
      <c r="N49" s="340">
        <f>Saldo_relativo_per_capita!N49*Saldo_relativo_per_capita!N$543/1000000</f>
        <v>0</v>
      </c>
      <c r="O49" s="340">
        <f>Saldo_relativo_per_capita!O49*Saldo_relativo_per_capita!O$543/1000000</f>
        <v>0</v>
      </c>
      <c r="P49" s="340">
        <f>Saldo_relativo_per_capita!P49*Saldo_relativo_per_capita!P$543/1000000</f>
        <v>0</v>
      </c>
      <c r="Q49" s="340">
        <f>Saldo_relativo_per_capita!Q49*Saldo_relativo_per_capita!Q$543/1000000</f>
        <v>0</v>
      </c>
      <c r="R49" s="340">
        <f>Saldo_relativo_per_capita!R49*Saldo_relativo_per_capita!R$543/1000000</f>
        <v>0</v>
      </c>
      <c r="S49" s="340">
        <f>Saldo_relativo_per_capita!S49*Saldo_relativo_per_capita!S$543/1000000</f>
        <v>0</v>
      </c>
      <c r="T49" s="340">
        <f>Saldo_relativo_per_capita!T49*Saldo_relativo_per_capita!T$543/1000000</f>
        <v>0</v>
      </c>
      <c r="U49" s="340">
        <f>Saldo_relativo_per_capita!U49*Saldo_relativo_per_capita!U$543/1000000</f>
        <v>0</v>
      </c>
      <c r="V49" s="340">
        <f>Saldo_relativo_per_capita!V49*Saldo_relativo_per_capita!V$543/1000000</f>
        <v>0</v>
      </c>
      <c r="W49" s="148"/>
    </row>
    <row r="50" spans="1:23" s="115" customFormat="1">
      <c r="A50" s="355" t="str">
        <f>IF(B50="","",(IF(ISERROR(MATCH(B50,Tot_res!C:C,0)),"Eliminar!!!","")))</f>
        <v/>
      </c>
      <c r="B50" s="115" t="s">
        <v>696</v>
      </c>
      <c r="C50" s="333" t="str">
        <f>VLOOKUP(B50,Tot_res!C:D,2,FALSE)</f>
        <v>Dirección y servicios generales de hacienda y administraciones públicas</v>
      </c>
      <c r="D50" s="340">
        <f>Saldo_relativo_per_capita!D50*Saldo_relativo_per_capita!D$543/1000000</f>
        <v>0</v>
      </c>
      <c r="E50" s="340">
        <f>Saldo_relativo_per_capita!E50*Saldo_relativo_per_capita!E$543/1000000</f>
        <v>0</v>
      </c>
      <c r="F50" s="340">
        <f>Saldo_relativo_per_capita!F50*Saldo_relativo_per_capita!F$543/1000000</f>
        <v>0</v>
      </c>
      <c r="G50" s="340">
        <f>Saldo_relativo_per_capita!G50*Saldo_relativo_per_capita!G$543/1000000</f>
        <v>0</v>
      </c>
      <c r="H50" s="340">
        <f>Saldo_relativo_per_capita!H50*Saldo_relativo_per_capita!H$543/1000000</f>
        <v>0</v>
      </c>
      <c r="I50" s="340">
        <f>Saldo_relativo_per_capita!I50*Saldo_relativo_per_capita!I$543/1000000</f>
        <v>0</v>
      </c>
      <c r="J50" s="340">
        <f>Saldo_relativo_per_capita!J50*Saldo_relativo_per_capita!J$543/1000000</f>
        <v>0</v>
      </c>
      <c r="K50" s="340">
        <f>Saldo_relativo_per_capita!K50*Saldo_relativo_per_capita!K$543/1000000</f>
        <v>0</v>
      </c>
      <c r="L50" s="340">
        <f>Saldo_relativo_per_capita!L50*Saldo_relativo_per_capita!L$543/1000000</f>
        <v>0</v>
      </c>
      <c r="M50" s="340">
        <f>Saldo_relativo_per_capita!M50*Saldo_relativo_per_capita!M$543/1000000</f>
        <v>0</v>
      </c>
      <c r="N50" s="340">
        <f>Saldo_relativo_per_capita!N50*Saldo_relativo_per_capita!N$543/1000000</f>
        <v>0</v>
      </c>
      <c r="O50" s="340">
        <f>Saldo_relativo_per_capita!O50*Saldo_relativo_per_capita!O$543/1000000</f>
        <v>0</v>
      </c>
      <c r="P50" s="340">
        <f>Saldo_relativo_per_capita!P50*Saldo_relativo_per_capita!P$543/1000000</f>
        <v>0</v>
      </c>
      <c r="Q50" s="340">
        <f>Saldo_relativo_per_capita!Q50*Saldo_relativo_per_capita!Q$543/1000000</f>
        <v>0</v>
      </c>
      <c r="R50" s="340">
        <f>Saldo_relativo_per_capita!R50*Saldo_relativo_per_capita!R$543/1000000</f>
        <v>0</v>
      </c>
      <c r="S50" s="340">
        <f>Saldo_relativo_per_capita!S50*Saldo_relativo_per_capita!S$543/1000000</f>
        <v>0</v>
      </c>
      <c r="T50" s="340">
        <f>Saldo_relativo_per_capita!T50*Saldo_relativo_per_capita!T$543/1000000</f>
        <v>0</v>
      </c>
      <c r="U50" s="340">
        <f>Saldo_relativo_per_capita!U50*Saldo_relativo_per_capita!U$543/1000000</f>
        <v>0</v>
      </c>
      <c r="V50" s="340">
        <f>Saldo_relativo_per_capita!V50*Saldo_relativo_per_capita!V$543/1000000</f>
        <v>0</v>
      </c>
      <c r="W50" s="148"/>
    </row>
    <row r="51" spans="1:23" s="115" customFormat="1">
      <c r="A51" s="355" t="str">
        <f>IF(B51="","",(IF(ISERROR(MATCH(B51,Tot_res!C:C,0)),"Eliminar!!!","")))</f>
        <v/>
      </c>
      <c r="B51" s="115" t="s">
        <v>154</v>
      </c>
      <c r="C51" s="333" t="str">
        <f>VLOOKUP(B51,Tot_res!C:D,2,FALSE)</f>
        <v>Formación del personal de economía y hacienda</v>
      </c>
      <c r="D51" s="340">
        <f>Saldo_relativo_per_capita!D51*Saldo_relativo_per_capita!D$543/1000000</f>
        <v>0</v>
      </c>
      <c r="E51" s="340">
        <f>Saldo_relativo_per_capita!E51*Saldo_relativo_per_capita!E$543/1000000</f>
        <v>0</v>
      </c>
      <c r="F51" s="340">
        <f>Saldo_relativo_per_capita!F51*Saldo_relativo_per_capita!F$543/1000000</f>
        <v>0</v>
      </c>
      <c r="G51" s="340">
        <f>Saldo_relativo_per_capita!G51*Saldo_relativo_per_capita!G$543/1000000</f>
        <v>0</v>
      </c>
      <c r="H51" s="340">
        <f>Saldo_relativo_per_capita!H51*Saldo_relativo_per_capita!H$543/1000000</f>
        <v>0</v>
      </c>
      <c r="I51" s="340">
        <f>Saldo_relativo_per_capita!I51*Saldo_relativo_per_capita!I$543/1000000</f>
        <v>0</v>
      </c>
      <c r="J51" s="340">
        <f>Saldo_relativo_per_capita!J51*Saldo_relativo_per_capita!J$543/1000000</f>
        <v>0</v>
      </c>
      <c r="K51" s="340">
        <f>Saldo_relativo_per_capita!K51*Saldo_relativo_per_capita!K$543/1000000</f>
        <v>0</v>
      </c>
      <c r="L51" s="340">
        <f>Saldo_relativo_per_capita!L51*Saldo_relativo_per_capita!L$543/1000000</f>
        <v>0</v>
      </c>
      <c r="M51" s="340">
        <f>Saldo_relativo_per_capita!M51*Saldo_relativo_per_capita!M$543/1000000</f>
        <v>0</v>
      </c>
      <c r="N51" s="340">
        <f>Saldo_relativo_per_capita!N51*Saldo_relativo_per_capita!N$543/1000000</f>
        <v>0</v>
      </c>
      <c r="O51" s="340">
        <f>Saldo_relativo_per_capita!O51*Saldo_relativo_per_capita!O$543/1000000</f>
        <v>0</v>
      </c>
      <c r="P51" s="340">
        <f>Saldo_relativo_per_capita!P51*Saldo_relativo_per_capita!P$543/1000000</f>
        <v>0</v>
      </c>
      <c r="Q51" s="340">
        <f>Saldo_relativo_per_capita!Q51*Saldo_relativo_per_capita!Q$543/1000000</f>
        <v>0</v>
      </c>
      <c r="R51" s="340">
        <f>Saldo_relativo_per_capita!R51*Saldo_relativo_per_capita!R$543/1000000</f>
        <v>0</v>
      </c>
      <c r="S51" s="340">
        <f>Saldo_relativo_per_capita!S51*Saldo_relativo_per_capita!S$543/1000000</f>
        <v>0</v>
      </c>
      <c r="T51" s="340">
        <f>Saldo_relativo_per_capita!T51*Saldo_relativo_per_capita!T$543/1000000</f>
        <v>0</v>
      </c>
      <c r="U51" s="340">
        <f>Saldo_relativo_per_capita!U51*Saldo_relativo_per_capita!U$543/1000000</f>
        <v>0</v>
      </c>
      <c r="V51" s="340">
        <f>Saldo_relativo_per_capita!V51*Saldo_relativo_per_capita!V$543/1000000</f>
        <v>0</v>
      </c>
      <c r="W51" s="148"/>
    </row>
    <row r="52" spans="1:23" s="115" customFormat="1">
      <c r="A52" s="355" t="str">
        <f>IF(B52="","",(IF(ISERROR(MATCH(B52,Tot_res!C:C,0)),"Eliminar!!!","")))</f>
        <v/>
      </c>
      <c r="B52" s="115" t="s">
        <v>698</v>
      </c>
      <c r="C52" s="333" t="str">
        <f>VLOOKUP(B52,Tot_res!C:D,2,FALSE)</f>
        <v>Gestión de la deuda y de la tesorería del estado</v>
      </c>
      <c r="D52" s="340">
        <f>Saldo_relativo_per_capita!D52*Saldo_relativo_per_capita!D$543/1000000</f>
        <v>0</v>
      </c>
      <c r="E52" s="340">
        <f>Saldo_relativo_per_capita!E52*Saldo_relativo_per_capita!E$543/1000000</f>
        <v>0</v>
      </c>
      <c r="F52" s="340">
        <f>Saldo_relativo_per_capita!F52*Saldo_relativo_per_capita!F$543/1000000</f>
        <v>0</v>
      </c>
      <c r="G52" s="340">
        <f>Saldo_relativo_per_capita!G52*Saldo_relativo_per_capita!G$543/1000000</f>
        <v>0</v>
      </c>
      <c r="H52" s="340">
        <f>Saldo_relativo_per_capita!H52*Saldo_relativo_per_capita!H$543/1000000</f>
        <v>0</v>
      </c>
      <c r="I52" s="340">
        <f>Saldo_relativo_per_capita!I52*Saldo_relativo_per_capita!I$543/1000000</f>
        <v>0</v>
      </c>
      <c r="J52" s="340">
        <f>Saldo_relativo_per_capita!J52*Saldo_relativo_per_capita!J$543/1000000</f>
        <v>0</v>
      </c>
      <c r="K52" s="340">
        <f>Saldo_relativo_per_capita!K52*Saldo_relativo_per_capita!K$543/1000000</f>
        <v>0</v>
      </c>
      <c r="L52" s="340">
        <f>Saldo_relativo_per_capita!L52*Saldo_relativo_per_capita!L$543/1000000</f>
        <v>0</v>
      </c>
      <c r="M52" s="340">
        <f>Saldo_relativo_per_capita!M52*Saldo_relativo_per_capita!M$543/1000000</f>
        <v>0</v>
      </c>
      <c r="N52" s="340">
        <f>Saldo_relativo_per_capita!N52*Saldo_relativo_per_capita!N$543/1000000</f>
        <v>0</v>
      </c>
      <c r="O52" s="340">
        <f>Saldo_relativo_per_capita!O52*Saldo_relativo_per_capita!O$543/1000000</f>
        <v>0</v>
      </c>
      <c r="P52" s="340">
        <f>Saldo_relativo_per_capita!P52*Saldo_relativo_per_capita!P$543/1000000</f>
        <v>0</v>
      </c>
      <c r="Q52" s="340">
        <f>Saldo_relativo_per_capita!Q52*Saldo_relativo_per_capita!Q$543/1000000</f>
        <v>0</v>
      </c>
      <c r="R52" s="340">
        <f>Saldo_relativo_per_capita!R52*Saldo_relativo_per_capita!R$543/1000000</f>
        <v>0</v>
      </c>
      <c r="S52" s="340">
        <f>Saldo_relativo_per_capita!S52*Saldo_relativo_per_capita!S$543/1000000</f>
        <v>0</v>
      </c>
      <c r="T52" s="340">
        <f>Saldo_relativo_per_capita!T52*Saldo_relativo_per_capita!T$543/1000000</f>
        <v>0</v>
      </c>
      <c r="U52" s="340">
        <f>Saldo_relativo_per_capita!U52*Saldo_relativo_per_capita!U$543/1000000</f>
        <v>0</v>
      </c>
      <c r="V52" s="340">
        <f>Saldo_relativo_per_capita!V52*Saldo_relativo_per_capita!V$543/1000000</f>
        <v>0</v>
      </c>
      <c r="W52" s="148"/>
    </row>
    <row r="53" spans="1:23" s="115" customFormat="1">
      <c r="A53" s="355" t="str">
        <f>IF(B53="","",(IF(ISERROR(MATCH(B53,Tot_res!C:C,0)),"Eliminar!!!","")))</f>
        <v/>
      </c>
      <c r="B53" s="115" t="s">
        <v>700</v>
      </c>
      <c r="C53" s="333" t="str">
        <f>VLOOKUP(B53,Tot_res!C:D,2,FALSE)</f>
        <v>Previsión y política económica</v>
      </c>
      <c r="D53" s="340">
        <f>Saldo_relativo_per_capita!D53*Saldo_relativo_per_capita!D$543/1000000</f>
        <v>0</v>
      </c>
      <c r="E53" s="340">
        <f>Saldo_relativo_per_capita!E53*Saldo_relativo_per_capita!E$543/1000000</f>
        <v>0</v>
      </c>
      <c r="F53" s="340">
        <f>Saldo_relativo_per_capita!F53*Saldo_relativo_per_capita!F$543/1000000</f>
        <v>0</v>
      </c>
      <c r="G53" s="340">
        <f>Saldo_relativo_per_capita!G53*Saldo_relativo_per_capita!G$543/1000000</f>
        <v>0</v>
      </c>
      <c r="H53" s="340">
        <f>Saldo_relativo_per_capita!H53*Saldo_relativo_per_capita!H$543/1000000</f>
        <v>0</v>
      </c>
      <c r="I53" s="340">
        <f>Saldo_relativo_per_capita!I53*Saldo_relativo_per_capita!I$543/1000000</f>
        <v>0</v>
      </c>
      <c r="J53" s="340">
        <f>Saldo_relativo_per_capita!J53*Saldo_relativo_per_capita!J$543/1000000</f>
        <v>0</v>
      </c>
      <c r="K53" s="340">
        <f>Saldo_relativo_per_capita!K53*Saldo_relativo_per_capita!K$543/1000000</f>
        <v>0</v>
      </c>
      <c r="L53" s="340">
        <f>Saldo_relativo_per_capita!L53*Saldo_relativo_per_capita!L$543/1000000</f>
        <v>0</v>
      </c>
      <c r="M53" s="340">
        <f>Saldo_relativo_per_capita!M53*Saldo_relativo_per_capita!M$543/1000000</f>
        <v>0</v>
      </c>
      <c r="N53" s="340">
        <f>Saldo_relativo_per_capita!N53*Saldo_relativo_per_capita!N$543/1000000</f>
        <v>0</v>
      </c>
      <c r="O53" s="340">
        <f>Saldo_relativo_per_capita!O53*Saldo_relativo_per_capita!O$543/1000000</f>
        <v>0</v>
      </c>
      <c r="P53" s="340">
        <f>Saldo_relativo_per_capita!P53*Saldo_relativo_per_capita!P$543/1000000</f>
        <v>0</v>
      </c>
      <c r="Q53" s="340">
        <f>Saldo_relativo_per_capita!Q53*Saldo_relativo_per_capita!Q$543/1000000</f>
        <v>0</v>
      </c>
      <c r="R53" s="340">
        <f>Saldo_relativo_per_capita!R53*Saldo_relativo_per_capita!R$543/1000000</f>
        <v>0</v>
      </c>
      <c r="S53" s="340">
        <f>Saldo_relativo_per_capita!S53*Saldo_relativo_per_capita!S$543/1000000</f>
        <v>0</v>
      </c>
      <c r="T53" s="340">
        <f>Saldo_relativo_per_capita!T53*Saldo_relativo_per_capita!T$543/1000000</f>
        <v>0</v>
      </c>
      <c r="U53" s="340">
        <f>Saldo_relativo_per_capita!U53*Saldo_relativo_per_capita!U$543/1000000</f>
        <v>0</v>
      </c>
      <c r="V53" s="340">
        <f>Saldo_relativo_per_capita!V53*Saldo_relativo_per_capita!V$543/1000000</f>
        <v>0</v>
      </c>
      <c r="W53" s="148"/>
    </row>
    <row r="54" spans="1:23" s="115" customFormat="1">
      <c r="A54" s="355" t="str">
        <f>IF(B54="","",(IF(ISERROR(MATCH(B54,Tot_res!C:C,0)),"Eliminar!!!","")))</f>
        <v/>
      </c>
      <c r="B54" s="115" t="s">
        <v>156</v>
      </c>
      <c r="C54" s="333" t="str">
        <f>VLOOKUP(B54,Tot_res!C:D,2,FALSE)</f>
        <v>Política presupuestaria</v>
      </c>
      <c r="D54" s="340">
        <f>Saldo_relativo_per_capita!D54*Saldo_relativo_per_capita!D$543/1000000</f>
        <v>0</v>
      </c>
      <c r="E54" s="340">
        <f>Saldo_relativo_per_capita!E54*Saldo_relativo_per_capita!E$543/1000000</f>
        <v>0</v>
      </c>
      <c r="F54" s="340">
        <f>Saldo_relativo_per_capita!F54*Saldo_relativo_per_capita!F$543/1000000</f>
        <v>0</v>
      </c>
      <c r="G54" s="340">
        <f>Saldo_relativo_per_capita!G54*Saldo_relativo_per_capita!G$543/1000000</f>
        <v>0</v>
      </c>
      <c r="H54" s="340">
        <f>Saldo_relativo_per_capita!H54*Saldo_relativo_per_capita!H$543/1000000</f>
        <v>0</v>
      </c>
      <c r="I54" s="340">
        <f>Saldo_relativo_per_capita!I54*Saldo_relativo_per_capita!I$543/1000000</f>
        <v>0</v>
      </c>
      <c r="J54" s="340">
        <f>Saldo_relativo_per_capita!J54*Saldo_relativo_per_capita!J$543/1000000</f>
        <v>0</v>
      </c>
      <c r="K54" s="340">
        <f>Saldo_relativo_per_capita!K54*Saldo_relativo_per_capita!K$543/1000000</f>
        <v>0</v>
      </c>
      <c r="L54" s="340">
        <f>Saldo_relativo_per_capita!L54*Saldo_relativo_per_capita!L$543/1000000</f>
        <v>0</v>
      </c>
      <c r="M54" s="340">
        <f>Saldo_relativo_per_capita!M54*Saldo_relativo_per_capita!M$543/1000000</f>
        <v>0</v>
      </c>
      <c r="N54" s="340">
        <f>Saldo_relativo_per_capita!N54*Saldo_relativo_per_capita!N$543/1000000</f>
        <v>0</v>
      </c>
      <c r="O54" s="340">
        <f>Saldo_relativo_per_capita!O54*Saldo_relativo_per_capita!O$543/1000000</f>
        <v>0</v>
      </c>
      <c r="P54" s="340">
        <f>Saldo_relativo_per_capita!P54*Saldo_relativo_per_capita!P$543/1000000</f>
        <v>0</v>
      </c>
      <c r="Q54" s="340">
        <f>Saldo_relativo_per_capita!Q54*Saldo_relativo_per_capita!Q$543/1000000</f>
        <v>0</v>
      </c>
      <c r="R54" s="340">
        <f>Saldo_relativo_per_capita!R54*Saldo_relativo_per_capita!R$543/1000000</f>
        <v>0</v>
      </c>
      <c r="S54" s="340">
        <f>Saldo_relativo_per_capita!S54*Saldo_relativo_per_capita!S$543/1000000</f>
        <v>0</v>
      </c>
      <c r="T54" s="340">
        <f>Saldo_relativo_per_capita!T54*Saldo_relativo_per_capita!T$543/1000000</f>
        <v>0</v>
      </c>
      <c r="U54" s="340">
        <f>Saldo_relativo_per_capita!U54*Saldo_relativo_per_capita!U$543/1000000</f>
        <v>0</v>
      </c>
      <c r="V54" s="340">
        <f>Saldo_relativo_per_capita!V54*Saldo_relativo_per_capita!V$543/1000000</f>
        <v>0</v>
      </c>
      <c r="W54" s="148"/>
    </row>
    <row r="55" spans="1:23" s="115" customFormat="1">
      <c r="A55" s="355" t="str">
        <f>IF(B55="","",(IF(ISERROR(MATCH(B55,Tot_res!C:C,0)),"Eliminar!!!","")))</f>
        <v/>
      </c>
      <c r="B55" s="115" t="s">
        <v>158</v>
      </c>
      <c r="C55" s="333" t="str">
        <f>VLOOKUP(B55,Tot_res!C:D,2,FALSE)</f>
        <v>Política tributaria</v>
      </c>
      <c r="D55" s="340">
        <f>Saldo_relativo_per_capita!D55*Saldo_relativo_per_capita!D$543/1000000</f>
        <v>0</v>
      </c>
      <c r="E55" s="340">
        <f>Saldo_relativo_per_capita!E55*Saldo_relativo_per_capita!E$543/1000000</f>
        <v>0</v>
      </c>
      <c r="F55" s="340">
        <f>Saldo_relativo_per_capita!F55*Saldo_relativo_per_capita!F$543/1000000</f>
        <v>0</v>
      </c>
      <c r="G55" s="340">
        <f>Saldo_relativo_per_capita!G55*Saldo_relativo_per_capita!G$543/1000000</f>
        <v>0</v>
      </c>
      <c r="H55" s="340">
        <f>Saldo_relativo_per_capita!H55*Saldo_relativo_per_capita!H$543/1000000</f>
        <v>0</v>
      </c>
      <c r="I55" s="340">
        <f>Saldo_relativo_per_capita!I55*Saldo_relativo_per_capita!I$543/1000000</f>
        <v>0</v>
      </c>
      <c r="J55" s="340">
        <f>Saldo_relativo_per_capita!J55*Saldo_relativo_per_capita!J$543/1000000</f>
        <v>0</v>
      </c>
      <c r="K55" s="340">
        <f>Saldo_relativo_per_capita!K55*Saldo_relativo_per_capita!K$543/1000000</f>
        <v>0</v>
      </c>
      <c r="L55" s="340">
        <f>Saldo_relativo_per_capita!L55*Saldo_relativo_per_capita!L$543/1000000</f>
        <v>0</v>
      </c>
      <c r="M55" s="340">
        <f>Saldo_relativo_per_capita!M55*Saldo_relativo_per_capita!M$543/1000000</f>
        <v>0</v>
      </c>
      <c r="N55" s="340">
        <f>Saldo_relativo_per_capita!N55*Saldo_relativo_per_capita!N$543/1000000</f>
        <v>0</v>
      </c>
      <c r="O55" s="340">
        <f>Saldo_relativo_per_capita!O55*Saldo_relativo_per_capita!O$543/1000000</f>
        <v>0</v>
      </c>
      <c r="P55" s="340">
        <f>Saldo_relativo_per_capita!P55*Saldo_relativo_per_capita!P$543/1000000</f>
        <v>0</v>
      </c>
      <c r="Q55" s="340">
        <f>Saldo_relativo_per_capita!Q55*Saldo_relativo_per_capita!Q$543/1000000</f>
        <v>0</v>
      </c>
      <c r="R55" s="340">
        <f>Saldo_relativo_per_capita!R55*Saldo_relativo_per_capita!R$543/1000000</f>
        <v>0</v>
      </c>
      <c r="S55" s="340">
        <f>Saldo_relativo_per_capita!S55*Saldo_relativo_per_capita!S$543/1000000</f>
        <v>0</v>
      </c>
      <c r="T55" s="340">
        <f>Saldo_relativo_per_capita!T55*Saldo_relativo_per_capita!T$543/1000000</f>
        <v>0</v>
      </c>
      <c r="U55" s="340">
        <f>Saldo_relativo_per_capita!U55*Saldo_relativo_per_capita!U$543/1000000</f>
        <v>0</v>
      </c>
      <c r="V55" s="340">
        <f>Saldo_relativo_per_capita!V55*Saldo_relativo_per_capita!V$543/1000000</f>
        <v>0</v>
      </c>
      <c r="W55" s="148"/>
    </row>
    <row r="56" spans="1:23" s="115" customFormat="1">
      <c r="A56" s="355" t="str">
        <f>IF(B56="","",(IF(ISERROR(MATCH(B56,Tot_res!C:C,0)),"Eliminar!!!","")))</f>
        <v/>
      </c>
      <c r="B56" s="115" t="s">
        <v>160</v>
      </c>
      <c r="C56" s="333" t="str">
        <f>VLOOKUP(B56,Tot_res!C:D,2,FALSE)</f>
        <v>Control interno y contabilidad pública</v>
      </c>
      <c r="D56" s="340">
        <f>Saldo_relativo_per_capita!D56*Saldo_relativo_per_capita!D$543/1000000</f>
        <v>0</v>
      </c>
      <c r="E56" s="340">
        <f>Saldo_relativo_per_capita!E56*Saldo_relativo_per_capita!E$543/1000000</f>
        <v>0</v>
      </c>
      <c r="F56" s="340">
        <f>Saldo_relativo_per_capita!F56*Saldo_relativo_per_capita!F$543/1000000</f>
        <v>0</v>
      </c>
      <c r="G56" s="340">
        <f>Saldo_relativo_per_capita!G56*Saldo_relativo_per_capita!G$543/1000000</f>
        <v>0</v>
      </c>
      <c r="H56" s="340">
        <f>Saldo_relativo_per_capita!H56*Saldo_relativo_per_capita!H$543/1000000</f>
        <v>0</v>
      </c>
      <c r="I56" s="340">
        <f>Saldo_relativo_per_capita!I56*Saldo_relativo_per_capita!I$543/1000000</f>
        <v>0</v>
      </c>
      <c r="J56" s="340">
        <f>Saldo_relativo_per_capita!J56*Saldo_relativo_per_capita!J$543/1000000</f>
        <v>0</v>
      </c>
      <c r="K56" s="340">
        <f>Saldo_relativo_per_capita!K56*Saldo_relativo_per_capita!K$543/1000000</f>
        <v>0</v>
      </c>
      <c r="L56" s="340">
        <f>Saldo_relativo_per_capita!L56*Saldo_relativo_per_capita!L$543/1000000</f>
        <v>0</v>
      </c>
      <c r="M56" s="340">
        <f>Saldo_relativo_per_capita!M56*Saldo_relativo_per_capita!M$543/1000000</f>
        <v>0</v>
      </c>
      <c r="N56" s="340">
        <f>Saldo_relativo_per_capita!N56*Saldo_relativo_per_capita!N$543/1000000</f>
        <v>0</v>
      </c>
      <c r="O56" s="340">
        <f>Saldo_relativo_per_capita!O56*Saldo_relativo_per_capita!O$543/1000000</f>
        <v>0</v>
      </c>
      <c r="P56" s="340">
        <f>Saldo_relativo_per_capita!P56*Saldo_relativo_per_capita!P$543/1000000</f>
        <v>0</v>
      </c>
      <c r="Q56" s="340">
        <f>Saldo_relativo_per_capita!Q56*Saldo_relativo_per_capita!Q$543/1000000</f>
        <v>0</v>
      </c>
      <c r="R56" s="340">
        <f>Saldo_relativo_per_capita!R56*Saldo_relativo_per_capita!R$543/1000000</f>
        <v>0</v>
      </c>
      <c r="S56" s="340">
        <f>Saldo_relativo_per_capita!S56*Saldo_relativo_per_capita!S$543/1000000</f>
        <v>0</v>
      </c>
      <c r="T56" s="340">
        <f>Saldo_relativo_per_capita!T56*Saldo_relativo_per_capita!T$543/1000000</f>
        <v>0</v>
      </c>
      <c r="U56" s="340">
        <f>Saldo_relativo_per_capita!U56*Saldo_relativo_per_capita!U$543/1000000</f>
        <v>0</v>
      </c>
      <c r="V56" s="340">
        <f>Saldo_relativo_per_capita!V56*Saldo_relativo_per_capita!V$543/1000000</f>
        <v>0</v>
      </c>
      <c r="W56" s="148"/>
    </row>
    <row r="57" spans="1:23" s="115" customFormat="1">
      <c r="A57" s="355" t="str">
        <f>IF(B57="","",(IF(ISERROR(MATCH(B57,Tot_res!C:C,0)),"Eliminar!!!","")))</f>
        <v/>
      </c>
      <c r="B57" s="115" t="s">
        <v>161</v>
      </c>
      <c r="C57" s="333" t="str">
        <f>VLOOKUP(B57,Tot_res!C:D,2,FALSE)</f>
        <v>Aplicación del sistema tributario estatal +  AF01: ajuste forales, gestión tributaria</v>
      </c>
      <c r="D57" s="340">
        <f>Saldo_relativo_per_capita!D57*Saldo_relativo_per_capita!D$543/1000000</f>
        <v>0</v>
      </c>
      <c r="E57" s="340">
        <f>Saldo_relativo_per_capita!E57*Saldo_relativo_per_capita!E$543/1000000</f>
        <v>0</v>
      </c>
      <c r="F57" s="340">
        <f>Saldo_relativo_per_capita!F57*Saldo_relativo_per_capita!F$543/1000000</f>
        <v>0</v>
      </c>
      <c r="G57" s="340">
        <f>Saldo_relativo_per_capita!G57*Saldo_relativo_per_capita!G$543/1000000</f>
        <v>0</v>
      </c>
      <c r="H57" s="340">
        <f>Saldo_relativo_per_capita!H57*Saldo_relativo_per_capita!H$543/1000000</f>
        <v>0</v>
      </c>
      <c r="I57" s="340">
        <f>Saldo_relativo_per_capita!I57*Saldo_relativo_per_capita!I$543/1000000</f>
        <v>0</v>
      </c>
      <c r="J57" s="340">
        <f>Saldo_relativo_per_capita!J57*Saldo_relativo_per_capita!J$543/1000000</f>
        <v>0</v>
      </c>
      <c r="K57" s="340">
        <f>Saldo_relativo_per_capita!K57*Saldo_relativo_per_capita!K$543/1000000</f>
        <v>0</v>
      </c>
      <c r="L57" s="340">
        <f>Saldo_relativo_per_capita!L57*Saldo_relativo_per_capita!L$543/1000000</f>
        <v>0</v>
      </c>
      <c r="M57" s="340">
        <f>Saldo_relativo_per_capita!M57*Saldo_relativo_per_capita!M$543/1000000</f>
        <v>0</v>
      </c>
      <c r="N57" s="340">
        <f>Saldo_relativo_per_capita!N57*Saldo_relativo_per_capita!N$543/1000000</f>
        <v>0</v>
      </c>
      <c r="O57" s="340">
        <f>Saldo_relativo_per_capita!O57*Saldo_relativo_per_capita!O$543/1000000</f>
        <v>0</v>
      </c>
      <c r="P57" s="340">
        <f>Saldo_relativo_per_capita!P57*Saldo_relativo_per_capita!P$543/1000000</f>
        <v>0</v>
      </c>
      <c r="Q57" s="340">
        <f>Saldo_relativo_per_capita!Q57*Saldo_relativo_per_capita!Q$543/1000000</f>
        <v>0</v>
      </c>
      <c r="R57" s="340">
        <f>Saldo_relativo_per_capita!R57*Saldo_relativo_per_capita!R$543/1000000</f>
        <v>0</v>
      </c>
      <c r="S57" s="340">
        <f>Saldo_relativo_per_capita!S57*Saldo_relativo_per_capita!S$543/1000000</f>
        <v>0</v>
      </c>
      <c r="T57" s="340">
        <f>Saldo_relativo_per_capita!T57*Saldo_relativo_per_capita!T$543/1000000</f>
        <v>0</v>
      </c>
      <c r="U57" s="340">
        <f>Saldo_relativo_per_capita!U57*Saldo_relativo_per_capita!U$543/1000000</f>
        <v>0</v>
      </c>
      <c r="V57" s="340">
        <f>Saldo_relativo_per_capita!V57*Saldo_relativo_per_capita!V$543/1000000</f>
        <v>0</v>
      </c>
      <c r="W57" s="148"/>
    </row>
    <row r="58" spans="1:23" s="115" customFormat="1">
      <c r="A58" s="355" t="str">
        <f>IF(B58="","",(IF(ISERROR(MATCH(B58,Tot_res!C:C,0)),"Eliminar!!!","")))</f>
        <v/>
      </c>
      <c r="B58" s="115" t="s">
        <v>162</v>
      </c>
      <c r="C58" s="333" t="str">
        <f>VLOOKUP(B58,Tot_res!C:D,2,FALSE)</f>
        <v>Gestión del catastro inmobiliario + AF02: corrección forales, catastro</v>
      </c>
      <c r="D58" s="340">
        <f>Saldo_relativo_per_capita!D58*Saldo_relativo_per_capita!D$543/1000000</f>
        <v>0</v>
      </c>
      <c r="E58" s="340">
        <f>Saldo_relativo_per_capita!E58*Saldo_relativo_per_capita!E$543/1000000</f>
        <v>0</v>
      </c>
      <c r="F58" s="340">
        <f>Saldo_relativo_per_capita!F58*Saldo_relativo_per_capita!F$543/1000000</f>
        <v>0</v>
      </c>
      <c r="G58" s="340">
        <f>Saldo_relativo_per_capita!G58*Saldo_relativo_per_capita!G$543/1000000</f>
        <v>0</v>
      </c>
      <c r="H58" s="340">
        <f>Saldo_relativo_per_capita!H58*Saldo_relativo_per_capita!H$543/1000000</f>
        <v>0</v>
      </c>
      <c r="I58" s="340">
        <f>Saldo_relativo_per_capita!I58*Saldo_relativo_per_capita!I$543/1000000</f>
        <v>0</v>
      </c>
      <c r="J58" s="340">
        <f>Saldo_relativo_per_capita!J58*Saldo_relativo_per_capita!J$543/1000000</f>
        <v>0</v>
      </c>
      <c r="K58" s="340">
        <f>Saldo_relativo_per_capita!K58*Saldo_relativo_per_capita!K$543/1000000</f>
        <v>0</v>
      </c>
      <c r="L58" s="340">
        <f>Saldo_relativo_per_capita!L58*Saldo_relativo_per_capita!L$543/1000000</f>
        <v>0</v>
      </c>
      <c r="M58" s="340">
        <f>Saldo_relativo_per_capita!M58*Saldo_relativo_per_capita!M$543/1000000</f>
        <v>0</v>
      </c>
      <c r="N58" s="340">
        <f>Saldo_relativo_per_capita!N58*Saldo_relativo_per_capita!N$543/1000000</f>
        <v>0</v>
      </c>
      <c r="O58" s="340">
        <f>Saldo_relativo_per_capita!O58*Saldo_relativo_per_capita!O$543/1000000</f>
        <v>0</v>
      </c>
      <c r="P58" s="340">
        <f>Saldo_relativo_per_capita!P58*Saldo_relativo_per_capita!P$543/1000000</f>
        <v>0</v>
      </c>
      <c r="Q58" s="340">
        <f>Saldo_relativo_per_capita!Q58*Saldo_relativo_per_capita!Q$543/1000000</f>
        <v>0</v>
      </c>
      <c r="R58" s="340">
        <f>Saldo_relativo_per_capita!R58*Saldo_relativo_per_capita!R$543/1000000</f>
        <v>0</v>
      </c>
      <c r="S58" s="340">
        <f>Saldo_relativo_per_capita!S58*Saldo_relativo_per_capita!S$543/1000000</f>
        <v>0</v>
      </c>
      <c r="T58" s="340">
        <f>Saldo_relativo_per_capita!T58*Saldo_relativo_per_capita!T$543/1000000</f>
        <v>0</v>
      </c>
      <c r="U58" s="340">
        <f>Saldo_relativo_per_capita!U58*Saldo_relativo_per_capita!U$543/1000000</f>
        <v>0</v>
      </c>
      <c r="V58" s="340">
        <f>Saldo_relativo_per_capita!V58*Saldo_relativo_per_capita!V$543/1000000</f>
        <v>0</v>
      </c>
      <c r="W58" s="148"/>
    </row>
    <row r="59" spans="1:23" s="115" customFormat="1">
      <c r="A59" s="355" t="str">
        <f>IF(B59="","",(IF(ISERROR(MATCH(B59,Tot_res!C:C,0)),"Eliminar!!!","")))</f>
        <v/>
      </c>
      <c r="B59" s="115" t="s">
        <v>163</v>
      </c>
      <c r="C59" s="333" t="str">
        <f>VLOOKUP(B59,Tot_res!C:D,2,FALSE)</f>
        <v>Resolución de reclamaciones económico-administrativas</v>
      </c>
      <c r="D59" s="340">
        <f>Saldo_relativo_per_capita!D59*Saldo_relativo_per_capita!D$543/1000000</f>
        <v>0</v>
      </c>
      <c r="E59" s="340">
        <f>Saldo_relativo_per_capita!E59*Saldo_relativo_per_capita!E$543/1000000</f>
        <v>0</v>
      </c>
      <c r="F59" s="340">
        <f>Saldo_relativo_per_capita!F59*Saldo_relativo_per_capita!F$543/1000000</f>
        <v>0</v>
      </c>
      <c r="G59" s="340">
        <f>Saldo_relativo_per_capita!G59*Saldo_relativo_per_capita!G$543/1000000</f>
        <v>0</v>
      </c>
      <c r="H59" s="340">
        <f>Saldo_relativo_per_capita!H59*Saldo_relativo_per_capita!H$543/1000000</f>
        <v>0</v>
      </c>
      <c r="I59" s="340">
        <f>Saldo_relativo_per_capita!I59*Saldo_relativo_per_capita!I$543/1000000</f>
        <v>0</v>
      </c>
      <c r="J59" s="340">
        <f>Saldo_relativo_per_capita!J59*Saldo_relativo_per_capita!J$543/1000000</f>
        <v>0</v>
      </c>
      <c r="K59" s="340">
        <f>Saldo_relativo_per_capita!K59*Saldo_relativo_per_capita!K$543/1000000</f>
        <v>0</v>
      </c>
      <c r="L59" s="340">
        <f>Saldo_relativo_per_capita!L59*Saldo_relativo_per_capita!L$543/1000000</f>
        <v>0</v>
      </c>
      <c r="M59" s="340">
        <f>Saldo_relativo_per_capita!M59*Saldo_relativo_per_capita!M$543/1000000</f>
        <v>0</v>
      </c>
      <c r="N59" s="340">
        <f>Saldo_relativo_per_capita!N59*Saldo_relativo_per_capita!N$543/1000000</f>
        <v>0</v>
      </c>
      <c r="O59" s="340">
        <f>Saldo_relativo_per_capita!O59*Saldo_relativo_per_capita!O$543/1000000</f>
        <v>0</v>
      </c>
      <c r="P59" s="340">
        <f>Saldo_relativo_per_capita!P59*Saldo_relativo_per_capita!P$543/1000000</f>
        <v>0</v>
      </c>
      <c r="Q59" s="340">
        <f>Saldo_relativo_per_capita!Q59*Saldo_relativo_per_capita!Q$543/1000000</f>
        <v>0</v>
      </c>
      <c r="R59" s="340">
        <f>Saldo_relativo_per_capita!R59*Saldo_relativo_per_capita!R$543/1000000</f>
        <v>0</v>
      </c>
      <c r="S59" s="340">
        <f>Saldo_relativo_per_capita!S59*Saldo_relativo_per_capita!S$543/1000000</f>
        <v>0</v>
      </c>
      <c r="T59" s="340">
        <f>Saldo_relativo_per_capita!T59*Saldo_relativo_per_capita!T$543/1000000</f>
        <v>0</v>
      </c>
      <c r="U59" s="340">
        <f>Saldo_relativo_per_capita!U59*Saldo_relativo_per_capita!U$543/1000000</f>
        <v>0</v>
      </c>
      <c r="V59" s="340">
        <f>Saldo_relativo_per_capita!V59*Saldo_relativo_per_capita!V$543/1000000</f>
        <v>0</v>
      </c>
      <c r="W59" s="148"/>
    </row>
    <row r="60" spans="1:23">
      <c r="A60" s="356"/>
      <c r="D60" s="39"/>
      <c r="E60" s="39"/>
      <c r="F60" s="39"/>
      <c r="G60" s="39"/>
      <c r="H60" s="39"/>
      <c r="I60" s="39"/>
      <c r="J60" s="39"/>
      <c r="K60" s="39"/>
      <c r="L60" s="39"/>
      <c r="M60" s="39"/>
      <c r="N60" s="39"/>
      <c r="O60" s="39"/>
      <c r="P60" s="39"/>
      <c r="Q60" s="39"/>
      <c r="R60" s="39"/>
      <c r="S60" s="39"/>
      <c r="T60" s="39"/>
      <c r="U60" s="39"/>
      <c r="V60" s="39"/>
      <c r="W60" s="35"/>
    </row>
    <row r="61" spans="1:23" s="115" customFormat="1">
      <c r="A61" s="356"/>
      <c r="C61" s="128" t="s">
        <v>0</v>
      </c>
      <c r="D61" s="219">
        <f>Saldo_relativo_per_capita!D61*Saldo_relativo_per_capita!D$543/1000000</f>
        <v>0</v>
      </c>
      <c r="E61" s="219">
        <f>Saldo_relativo_per_capita!E61*Saldo_relativo_per_capita!E$543/1000000</f>
        <v>0</v>
      </c>
      <c r="F61" s="219">
        <f>Saldo_relativo_per_capita!F61*Saldo_relativo_per_capita!F$543/1000000</f>
        <v>0</v>
      </c>
      <c r="G61" s="219">
        <f>Saldo_relativo_per_capita!G61*Saldo_relativo_per_capita!G$543/1000000</f>
        <v>0</v>
      </c>
      <c r="H61" s="219">
        <f>Saldo_relativo_per_capita!H61*Saldo_relativo_per_capita!H$543/1000000</f>
        <v>0</v>
      </c>
      <c r="I61" s="219">
        <f>Saldo_relativo_per_capita!I61*Saldo_relativo_per_capita!I$543/1000000</f>
        <v>0</v>
      </c>
      <c r="J61" s="219">
        <f>Saldo_relativo_per_capita!J61*Saldo_relativo_per_capita!J$543/1000000</f>
        <v>0</v>
      </c>
      <c r="K61" s="219">
        <f>Saldo_relativo_per_capita!K61*Saldo_relativo_per_capita!K$543/1000000</f>
        <v>0</v>
      </c>
      <c r="L61" s="219">
        <f>Saldo_relativo_per_capita!L61*Saldo_relativo_per_capita!L$543/1000000</f>
        <v>0</v>
      </c>
      <c r="M61" s="219">
        <f>Saldo_relativo_per_capita!M61*Saldo_relativo_per_capita!M$543/1000000</f>
        <v>0</v>
      </c>
      <c r="N61" s="219">
        <f>Saldo_relativo_per_capita!N61*Saldo_relativo_per_capita!N$543/1000000</f>
        <v>0</v>
      </c>
      <c r="O61" s="219">
        <f>Saldo_relativo_per_capita!O61*Saldo_relativo_per_capita!O$543/1000000</f>
        <v>0</v>
      </c>
      <c r="P61" s="219">
        <f>Saldo_relativo_per_capita!P61*Saldo_relativo_per_capita!P$543/1000000</f>
        <v>0</v>
      </c>
      <c r="Q61" s="219">
        <f>Saldo_relativo_per_capita!Q61*Saldo_relativo_per_capita!Q$543/1000000</f>
        <v>0</v>
      </c>
      <c r="R61" s="219">
        <f>Saldo_relativo_per_capita!R61*Saldo_relativo_per_capita!R$543/1000000</f>
        <v>0</v>
      </c>
      <c r="S61" s="219">
        <f>Saldo_relativo_per_capita!S61*Saldo_relativo_per_capita!S$543/1000000</f>
        <v>0</v>
      </c>
      <c r="T61" s="219">
        <f>Saldo_relativo_per_capita!T61*Saldo_relativo_per_capita!T$543/1000000</f>
        <v>0</v>
      </c>
      <c r="U61" s="219">
        <f>Saldo_relativo_per_capita!U61*Saldo_relativo_per_capita!U$543/1000000</f>
        <v>0</v>
      </c>
      <c r="V61" s="219">
        <f>Saldo_relativo_per_capita!V61*Saldo_relativo_per_capita!V$543/1000000</f>
        <v>0</v>
      </c>
      <c r="W61" s="229"/>
    </row>
    <row r="62" spans="1:23" s="115" customFormat="1">
      <c r="A62" s="355" t="str">
        <f>IF(B62="","",(IF(ISERROR(MATCH(B62,Tot_res!C:C,0)),"Eliminar!!!","")))</f>
        <v/>
      </c>
      <c r="B62" s="115" t="s">
        <v>164</v>
      </c>
      <c r="C62" s="333" t="str">
        <f>VLOOKUP(B62,Tot_res!C:D,2,FALSE)</f>
        <v>Registros vinculados con la fe pública</v>
      </c>
      <c r="D62" s="340">
        <f>Saldo_relativo_per_capita!D62*Saldo_relativo_per_capita!D$543/1000000</f>
        <v>0</v>
      </c>
      <c r="E62" s="340">
        <f>Saldo_relativo_per_capita!E62*Saldo_relativo_per_capita!E$543/1000000</f>
        <v>0</v>
      </c>
      <c r="F62" s="340">
        <f>Saldo_relativo_per_capita!F62*Saldo_relativo_per_capita!F$543/1000000</f>
        <v>0</v>
      </c>
      <c r="G62" s="340">
        <f>Saldo_relativo_per_capita!G62*Saldo_relativo_per_capita!G$543/1000000</f>
        <v>0</v>
      </c>
      <c r="H62" s="340">
        <f>Saldo_relativo_per_capita!H62*Saldo_relativo_per_capita!H$543/1000000</f>
        <v>0</v>
      </c>
      <c r="I62" s="340">
        <f>Saldo_relativo_per_capita!I62*Saldo_relativo_per_capita!I$543/1000000</f>
        <v>0</v>
      </c>
      <c r="J62" s="340">
        <f>Saldo_relativo_per_capita!J62*Saldo_relativo_per_capita!J$543/1000000</f>
        <v>0</v>
      </c>
      <c r="K62" s="340">
        <f>Saldo_relativo_per_capita!K62*Saldo_relativo_per_capita!K$543/1000000</f>
        <v>0</v>
      </c>
      <c r="L62" s="340">
        <f>Saldo_relativo_per_capita!L62*Saldo_relativo_per_capita!L$543/1000000</f>
        <v>0</v>
      </c>
      <c r="M62" s="340">
        <f>Saldo_relativo_per_capita!M62*Saldo_relativo_per_capita!M$543/1000000</f>
        <v>0</v>
      </c>
      <c r="N62" s="340">
        <f>Saldo_relativo_per_capita!N62*Saldo_relativo_per_capita!N$543/1000000</f>
        <v>0</v>
      </c>
      <c r="O62" s="340">
        <f>Saldo_relativo_per_capita!O62*Saldo_relativo_per_capita!O$543/1000000</f>
        <v>0</v>
      </c>
      <c r="P62" s="340">
        <f>Saldo_relativo_per_capita!P62*Saldo_relativo_per_capita!P$543/1000000</f>
        <v>0</v>
      </c>
      <c r="Q62" s="340">
        <f>Saldo_relativo_per_capita!Q62*Saldo_relativo_per_capita!Q$543/1000000</f>
        <v>0</v>
      </c>
      <c r="R62" s="340">
        <f>Saldo_relativo_per_capita!R62*Saldo_relativo_per_capita!R$543/1000000</f>
        <v>0</v>
      </c>
      <c r="S62" s="340">
        <f>Saldo_relativo_per_capita!S62*Saldo_relativo_per_capita!S$543/1000000</f>
        <v>0</v>
      </c>
      <c r="T62" s="340">
        <f>Saldo_relativo_per_capita!T62*Saldo_relativo_per_capita!T$543/1000000</f>
        <v>0</v>
      </c>
      <c r="U62" s="340">
        <f>Saldo_relativo_per_capita!U62*Saldo_relativo_per_capita!U$543/1000000</f>
        <v>0</v>
      </c>
      <c r="V62" s="340">
        <f>Saldo_relativo_per_capita!V62*Saldo_relativo_per_capita!V$543/1000000</f>
        <v>0</v>
      </c>
      <c r="W62" s="148"/>
    </row>
    <row r="63" spans="1:23" s="115" customFormat="1">
      <c r="A63" s="355" t="str">
        <f>IF(B63="","",(IF(ISERROR(MATCH(B63,Tot_res!C:C,0)),"Eliminar!!!","")))</f>
        <v/>
      </c>
      <c r="B63" s="115" t="s">
        <v>165</v>
      </c>
      <c r="C63" s="333" t="str">
        <f>VLOOKUP(B63,Tot_res!C:D,2,FALSE)</f>
        <v>Derecho de asilo y apátridas</v>
      </c>
      <c r="D63" s="340">
        <f>Saldo_relativo_per_capita!D63*Saldo_relativo_per_capita!D$543/1000000</f>
        <v>0</v>
      </c>
      <c r="E63" s="340">
        <f>Saldo_relativo_per_capita!E63*Saldo_relativo_per_capita!E$543/1000000</f>
        <v>0</v>
      </c>
      <c r="F63" s="340">
        <f>Saldo_relativo_per_capita!F63*Saldo_relativo_per_capita!F$543/1000000</f>
        <v>0</v>
      </c>
      <c r="G63" s="340">
        <f>Saldo_relativo_per_capita!G63*Saldo_relativo_per_capita!G$543/1000000</f>
        <v>0</v>
      </c>
      <c r="H63" s="340">
        <f>Saldo_relativo_per_capita!H63*Saldo_relativo_per_capita!H$543/1000000</f>
        <v>0</v>
      </c>
      <c r="I63" s="340">
        <f>Saldo_relativo_per_capita!I63*Saldo_relativo_per_capita!I$543/1000000</f>
        <v>0</v>
      </c>
      <c r="J63" s="340">
        <f>Saldo_relativo_per_capita!J63*Saldo_relativo_per_capita!J$543/1000000</f>
        <v>0</v>
      </c>
      <c r="K63" s="340">
        <f>Saldo_relativo_per_capita!K63*Saldo_relativo_per_capita!K$543/1000000</f>
        <v>0</v>
      </c>
      <c r="L63" s="340">
        <f>Saldo_relativo_per_capita!L63*Saldo_relativo_per_capita!L$543/1000000</f>
        <v>0</v>
      </c>
      <c r="M63" s="340">
        <f>Saldo_relativo_per_capita!M63*Saldo_relativo_per_capita!M$543/1000000</f>
        <v>0</v>
      </c>
      <c r="N63" s="340">
        <f>Saldo_relativo_per_capita!N63*Saldo_relativo_per_capita!N$543/1000000</f>
        <v>0</v>
      </c>
      <c r="O63" s="340">
        <f>Saldo_relativo_per_capita!O63*Saldo_relativo_per_capita!O$543/1000000</f>
        <v>0</v>
      </c>
      <c r="P63" s="340">
        <f>Saldo_relativo_per_capita!P63*Saldo_relativo_per_capita!P$543/1000000</f>
        <v>0</v>
      </c>
      <c r="Q63" s="340">
        <f>Saldo_relativo_per_capita!Q63*Saldo_relativo_per_capita!Q$543/1000000</f>
        <v>0</v>
      </c>
      <c r="R63" s="340">
        <f>Saldo_relativo_per_capita!R63*Saldo_relativo_per_capita!R$543/1000000</f>
        <v>0</v>
      </c>
      <c r="S63" s="340">
        <f>Saldo_relativo_per_capita!S63*Saldo_relativo_per_capita!S$543/1000000</f>
        <v>0</v>
      </c>
      <c r="T63" s="340">
        <f>Saldo_relativo_per_capita!T63*Saldo_relativo_per_capita!T$543/1000000</f>
        <v>0</v>
      </c>
      <c r="U63" s="340">
        <f>Saldo_relativo_per_capita!U63*Saldo_relativo_per_capita!U$543/1000000</f>
        <v>0</v>
      </c>
      <c r="V63" s="340">
        <f>Saldo_relativo_per_capita!V63*Saldo_relativo_per_capita!V$543/1000000</f>
        <v>0</v>
      </c>
      <c r="W63" s="148"/>
    </row>
    <row r="64" spans="1:23" s="115" customFormat="1">
      <c r="A64" s="355" t="str">
        <f>IF(B64="","",(IF(ISERROR(MATCH(B64,Tot_res!C:C,0)),"Eliminar!!!","")))</f>
        <v/>
      </c>
      <c r="B64" s="115" t="s">
        <v>166</v>
      </c>
      <c r="C64" s="333" t="str">
        <f>VLOOKUP(B64,Tot_res!C:D,2,FALSE)</f>
        <v>Protección de datos de carácter personal</v>
      </c>
      <c r="D64" s="340">
        <f>Saldo_relativo_per_capita!D64*Saldo_relativo_per_capita!D$543/1000000</f>
        <v>0</v>
      </c>
      <c r="E64" s="340">
        <f>Saldo_relativo_per_capita!E64*Saldo_relativo_per_capita!E$543/1000000</f>
        <v>0</v>
      </c>
      <c r="F64" s="340">
        <f>Saldo_relativo_per_capita!F64*Saldo_relativo_per_capita!F$543/1000000</f>
        <v>0</v>
      </c>
      <c r="G64" s="340">
        <f>Saldo_relativo_per_capita!G64*Saldo_relativo_per_capita!G$543/1000000</f>
        <v>0</v>
      </c>
      <c r="H64" s="340">
        <f>Saldo_relativo_per_capita!H64*Saldo_relativo_per_capita!H$543/1000000</f>
        <v>0</v>
      </c>
      <c r="I64" s="340">
        <f>Saldo_relativo_per_capita!I64*Saldo_relativo_per_capita!I$543/1000000</f>
        <v>0</v>
      </c>
      <c r="J64" s="340">
        <f>Saldo_relativo_per_capita!J64*Saldo_relativo_per_capita!J$543/1000000</f>
        <v>0</v>
      </c>
      <c r="K64" s="340">
        <f>Saldo_relativo_per_capita!K64*Saldo_relativo_per_capita!K$543/1000000</f>
        <v>0</v>
      </c>
      <c r="L64" s="340">
        <f>Saldo_relativo_per_capita!L64*Saldo_relativo_per_capita!L$543/1000000</f>
        <v>0</v>
      </c>
      <c r="M64" s="340">
        <f>Saldo_relativo_per_capita!M64*Saldo_relativo_per_capita!M$543/1000000</f>
        <v>0</v>
      </c>
      <c r="N64" s="340">
        <f>Saldo_relativo_per_capita!N64*Saldo_relativo_per_capita!N$543/1000000</f>
        <v>0</v>
      </c>
      <c r="O64" s="340">
        <f>Saldo_relativo_per_capita!O64*Saldo_relativo_per_capita!O$543/1000000</f>
        <v>0</v>
      </c>
      <c r="P64" s="340">
        <f>Saldo_relativo_per_capita!P64*Saldo_relativo_per_capita!P$543/1000000</f>
        <v>0</v>
      </c>
      <c r="Q64" s="340">
        <f>Saldo_relativo_per_capita!Q64*Saldo_relativo_per_capita!Q$543/1000000</f>
        <v>0</v>
      </c>
      <c r="R64" s="340">
        <f>Saldo_relativo_per_capita!R64*Saldo_relativo_per_capita!R$543/1000000</f>
        <v>0</v>
      </c>
      <c r="S64" s="340">
        <f>Saldo_relativo_per_capita!S64*Saldo_relativo_per_capita!S$543/1000000</f>
        <v>0</v>
      </c>
      <c r="T64" s="340">
        <f>Saldo_relativo_per_capita!T64*Saldo_relativo_per_capita!T$543/1000000</f>
        <v>0</v>
      </c>
      <c r="U64" s="340">
        <f>Saldo_relativo_per_capita!U64*Saldo_relativo_per_capita!U$543/1000000</f>
        <v>0</v>
      </c>
      <c r="V64" s="340">
        <f>Saldo_relativo_per_capita!V64*Saldo_relativo_per_capita!V$543/1000000</f>
        <v>0</v>
      </c>
      <c r="W64" s="148"/>
    </row>
    <row r="65" spans="1:23" s="115" customFormat="1">
      <c r="A65" s="355" t="str">
        <f>IF(B65="","",(IF(ISERROR(MATCH(B65,Tot_res!C:C,0)),"Eliminar!!!","")))</f>
        <v/>
      </c>
      <c r="B65" s="115" t="s">
        <v>167</v>
      </c>
      <c r="C65" s="333" t="str">
        <f>VLOOKUP(B65,Tot_res!C:D,2,FALSE)</f>
        <v>Meteorología</v>
      </c>
      <c r="D65" s="340">
        <f>Saldo_relativo_per_capita!D65*Saldo_relativo_per_capita!D$543/1000000</f>
        <v>0</v>
      </c>
      <c r="E65" s="340">
        <f>Saldo_relativo_per_capita!E65*Saldo_relativo_per_capita!E$543/1000000</f>
        <v>0</v>
      </c>
      <c r="F65" s="340">
        <f>Saldo_relativo_per_capita!F65*Saldo_relativo_per_capita!F$543/1000000</f>
        <v>0</v>
      </c>
      <c r="G65" s="340">
        <f>Saldo_relativo_per_capita!G65*Saldo_relativo_per_capita!G$543/1000000</f>
        <v>0</v>
      </c>
      <c r="H65" s="340">
        <f>Saldo_relativo_per_capita!H65*Saldo_relativo_per_capita!H$543/1000000</f>
        <v>0</v>
      </c>
      <c r="I65" s="340">
        <f>Saldo_relativo_per_capita!I65*Saldo_relativo_per_capita!I$543/1000000</f>
        <v>0</v>
      </c>
      <c r="J65" s="340">
        <f>Saldo_relativo_per_capita!J65*Saldo_relativo_per_capita!J$543/1000000</f>
        <v>0</v>
      </c>
      <c r="K65" s="340">
        <f>Saldo_relativo_per_capita!K65*Saldo_relativo_per_capita!K$543/1000000</f>
        <v>0</v>
      </c>
      <c r="L65" s="340">
        <f>Saldo_relativo_per_capita!L65*Saldo_relativo_per_capita!L$543/1000000</f>
        <v>0</v>
      </c>
      <c r="M65" s="340">
        <f>Saldo_relativo_per_capita!M65*Saldo_relativo_per_capita!M$543/1000000</f>
        <v>0</v>
      </c>
      <c r="N65" s="340">
        <f>Saldo_relativo_per_capita!N65*Saldo_relativo_per_capita!N$543/1000000</f>
        <v>0</v>
      </c>
      <c r="O65" s="340">
        <f>Saldo_relativo_per_capita!O65*Saldo_relativo_per_capita!O$543/1000000</f>
        <v>0</v>
      </c>
      <c r="P65" s="340">
        <f>Saldo_relativo_per_capita!P65*Saldo_relativo_per_capita!P$543/1000000</f>
        <v>0</v>
      </c>
      <c r="Q65" s="340">
        <f>Saldo_relativo_per_capita!Q65*Saldo_relativo_per_capita!Q$543/1000000</f>
        <v>0</v>
      </c>
      <c r="R65" s="340">
        <f>Saldo_relativo_per_capita!R65*Saldo_relativo_per_capita!R$543/1000000</f>
        <v>0</v>
      </c>
      <c r="S65" s="340">
        <f>Saldo_relativo_per_capita!S65*Saldo_relativo_per_capita!S$543/1000000</f>
        <v>0</v>
      </c>
      <c r="T65" s="340">
        <f>Saldo_relativo_per_capita!T65*Saldo_relativo_per_capita!T$543/1000000</f>
        <v>0</v>
      </c>
      <c r="U65" s="340">
        <f>Saldo_relativo_per_capita!U65*Saldo_relativo_per_capita!U$543/1000000</f>
        <v>0</v>
      </c>
      <c r="V65" s="340">
        <f>Saldo_relativo_per_capita!V65*Saldo_relativo_per_capita!V$543/1000000</f>
        <v>0</v>
      </c>
      <c r="W65" s="148"/>
    </row>
    <row r="66" spans="1:23" s="115" customFormat="1">
      <c r="A66" s="355" t="str">
        <f>IF(B66="","",(IF(ISERROR(MATCH(B66,Tot_res!C:C,0)),"Eliminar!!!","")))</f>
        <v/>
      </c>
      <c r="B66" s="115" t="s">
        <v>169</v>
      </c>
      <c r="C66" s="333" t="str">
        <f>VLOOKUP(B66,Tot_res!C:D,2,FALSE)</f>
        <v>Metrología</v>
      </c>
      <c r="D66" s="340">
        <f>Saldo_relativo_per_capita!D66*Saldo_relativo_per_capita!D$543/1000000</f>
        <v>0</v>
      </c>
      <c r="E66" s="340">
        <f>Saldo_relativo_per_capita!E66*Saldo_relativo_per_capita!E$543/1000000</f>
        <v>0</v>
      </c>
      <c r="F66" s="340">
        <f>Saldo_relativo_per_capita!F66*Saldo_relativo_per_capita!F$543/1000000</f>
        <v>0</v>
      </c>
      <c r="G66" s="340">
        <f>Saldo_relativo_per_capita!G66*Saldo_relativo_per_capita!G$543/1000000</f>
        <v>0</v>
      </c>
      <c r="H66" s="340">
        <f>Saldo_relativo_per_capita!H66*Saldo_relativo_per_capita!H$543/1000000</f>
        <v>0</v>
      </c>
      <c r="I66" s="340">
        <f>Saldo_relativo_per_capita!I66*Saldo_relativo_per_capita!I$543/1000000</f>
        <v>0</v>
      </c>
      <c r="J66" s="340">
        <f>Saldo_relativo_per_capita!J66*Saldo_relativo_per_capita!J$543/1000000</f>
        <v>0</v>
      </c>
      <c r="K66" s="340">
        <f>Saldo_relativo_per_capita!K66*Saldo_relativo_per_capita!K$543/1000000</f>
        <v>0</v>
      </c>
      <c r="L66" s="340">
        <f>Saldo_relativo_per_capita!L66*Saldo_relativo_per_capita!L$543/1000000</f>
        <v>0</v>
      </c>
      <c r="M66" s="340">
        <f>Saldo_relativo_per_capita!M66*Saldo_relativo_per_capita!M$543/1000000</f>
        <v>0</v>
      </c>
      <c r="N66" s="340">
        <f>Saldo_relativo_per_capita!N66*Saldo_relativo_per_capita!N$543/1000000</f>
        <v>0</v>
      </c>
      <c r="O66" s="340">
        <f>Saldo_relativo_per_capita!O66*Saldo_relativo_per_capita!O$543/1000000</f>
        <v>0</v>
      </c>
      <c r="P66" s="340">
        <f>Saldo_relativo_per_capita!P66*Saldo_relativo_per_capita!P$543/1000000</f>
        <v>0</v>
      </c>
      <c r="Q66" s="340">
        <f>Saldo_relativo_per_capita!Q66*Saldo_relativo_per_capita!Q$543/1000000</f>
        <v>0</v>
      </c>
      <c r="R66" s="340">
        <f>Saldo_relativo_per_capita!R66*Saldo_relativo_per_capita!R$543/1000000</f>
        <v>0</v>
      </c>
      <c r="S66" s="340">
        <f>Saldo_relativo_per_capita!S66*Saldo_relativo_per_capita!S$543/1000000</f>
        <v>0</v>
      </c>
      <c r="T66" s="340">
        <f>Saldo_relativo_per_capita!T66*Saldo_relativo_per_capita!T$543/1000000</f>
        <v>0</v>
      </c>
      <c r="U66" s="340">
        <f>Saldo_relativo_per_capita!U66*Saldo_relativo_per_capita!U$543/1000000</f>
        <v>0</v>
      </c>
      <c r="V66" s="340">
        <f>Saldo_relativo_per_capita!V66*Saldo_relativo_per_capita!V$543/1000000</f>
        <v>0</v>
      </c>
      <c r="W66" s="148"/>
    </row>
    <row r="67" spans="1:23" s="115" customFormat="1">
      <c r="A67" s="355" t="str">
        <f>IF(B67="","",(IF(ISERROR(MATCH(B67,Tot_res!C:C,0)),"Eliminar!!!","")))</f>
        <v/>
      </c>
      <c r="B67" s="115" t="s">
        <v>170</v>
      </c>
      <c r="C67" s="333" t="str">
        <f>VLOOKUP(B67,Tot_res!C:D,2,FALSE)</f>
        <v>Dirección y organización de la administración pública</v>
      </c>
      <c r="D67" s="340">
        <f>Saldo_relativo_per_capita!D67*Saldo_relativo_per_capita!D$543/1000000</f>
        <v>0</v>
      </c>
      <c r="E67" s="340">
        <f>Saldo_relativo_per_capita!E67*Saldo_relativo_per_capita!E$543/1000000</f>
        <v>0</v>
      </c>
      <c r="F67" s="340">
        <f>Saldo_relativo_per_capita!F67*Saldo_relativo_per_capita!F$543/1000000</f>
        <v>0</v>
      </c>
      <c r="G67" s="340">
        <f>Saldo_relativo_per_capita!G67*Saldo_relativo_per_capita!G$543/1000000</f>
        <v>0</v>
      </c>
      <c r="H67" s="340">
        <f>Saldo_relativo_per_capita!H67*Saldo_relativo_per_capita!H$543/1000000</f>
        <v>0</v>
      </c>
      <c r="I67" s="340">
        <f>Saldo_relativo_per_capita!I67*Saldo_relativo_per_capita!I$543/1000000</f>
        <v>0</v>
      </c>
      <c r="J67" s="340">
        <f>Saldo_relativo_per_capita!J67*Saldo_relativo_per_capita!J$543/1000000</f>
        <v>0</v>
      </c>
      <c r="K67" s="340">
        <f>Saldo_relativo_per_capita!K67*Saldo_relativo_per_capita!K$543/1000000</f>
        <v>0</v>
      </c>
      <c r="L67" s="340">
        <f>Saldo_relativo_per_capita!L67*Saldo_relativo_per_capita!L$543/1000000</f>
        <v>0</v>
      </c>
      <c r="M67" s="340">
        <f>Saldo_relativo_per_capita!M67*Saldo_relativo_per_capita!M$543/1000000</f>
        <v>0</v>
      </c>
      <c r="N67" s="340">
        <f>Saldo_relativo_per_capita!N67*Saldo_relativo_per_capita!N$543/1000000</f>
        <v>0</v>
      </c>
      <c r="O67" s="340">
        <f>Saldo_relativo_per_capita!O67*Saldo_relativo_per_capita!O$543/1000000</f>
        <v>0</v>
      </c>
      <c r="P67" s="340">
        <f>Saldo_relativo_per_capita!P67*Saldo_relativo_per_capita!P$543/1000000</f>
        <v>0</v>
      </c>
      <c r="Q67" s="340">
        <f>Saldo_relativo_per_capita!Q67*Saldo_relativo_per_capita!Q$543/1000000</f>
        <v>0</v>
      </c>
      <c r="R67" s="340">
        <f>Saldo_relativo_per_capita!R67*Saldo_relativo_per_capita!R$543/1000000</f>
        <v>0</v>
      </c>
      <c r="S67" s="340">
        <f>Saldo_relativo_per_capita!S67*Saldo_relativo_per_capita!S$543/1000000</f>
        <v>0</v>
      </c>
      <c r="T67" s="340">
        <f>Saldo_relativo_per_capita!T67*Saldo_relativo_per_capita!T$543/1000000</f>
        <v>0</v>
      </c>
      <c r="U67" s="340">
        <f>Saldo_relativo_per_capita!U67*Saldo_relativo_per_capita!U$543/1000000</f>
        <v>0</v>
      </c>
      <c r="V67" s="340">
        <f>Saldo_relativo_per_capita!V67*Saldo_relativo_per_capita!V$543/1000000</f>
        <v>0</v>
      </c>
      <c r="W67" s="148"/>
    </row>
    <row r="68" spans="1:23" s="115" customFormat="1">
      <c r="A68" s="355" t="str">
        <f>IF(B68="","",(IF(ISERROR(MATCH(B68,Tot_res!C:C,0)),"Eliminar!!!","")))</f>
        <v/>
      </c>
      <c r="B68" s="115" t="s">
        <v>711</v>
      </c>
      <c r="C68" s="333" t="str">
        <f>VLOOKUP(B68,Tot_res!C:D,2,FALSE)</f>
        <v>Formación del personal de las administraciones públicas</v>
      </c>
      <c r="D68" s="340">
        <f>Saldo_relativo_per_capita!D68*Saldo_relativo_per_capita!D$543/1000000</f>
        <v>0</v>
      </c>
      <c r="E68" s="340">
        <f>Saldo_relativo_per_capita!E68*Saldo_relativo_per_capita!E$543/1000000</f>
        <v>0</v>
      </c>
      <c r="F68" s="340">
        <f>Saldo_relativo_per_capita!F68*Saldo_relativo_per_capita!F$543/1000000</f>
        <v>0</v>
      </c>
      <c r="G68" s="340">
        <f>Saldo_relativo_per_capita!G68*Saldo_relativo_per_capita!G$543/1000000</f>
        <v>0</v>
      </c>
      <c r="H68" s="340">
        <f>Saldo_relativo_per_capita!H68*Saldo_relativo_per_capita!H$543/1000000</f>
        <v>0</v>
      </c>
      <c r="I68" s="340">
        <f>Saldo_relativo_per_capita!I68*Saldo_relativo_per_capita!I$543/1000000</f>
        <v>0</v>
      </c>
      <c r="J68" s="340">
        <f>Saldo_relativo_per_capita!J68*Saldo_relativo_per_capita!J$543/1000000</f>
        <v>0</v>
      </c>
      <c r="K68" s="340">
        <f>Saldo_relativo_per_capita!K68*Saldo_relativo_per_capita!K$543/1000000</f>
        <v>0</v>
      </c>
      <c r="L68" s="340">
        <f>Saldo_relativo_per_capita!L68*Saldo_relativo_per_capita!L$543/1000000</f>
        <v>0</v>
      </c>
      <c r="M68" s="340">
        <f>Saldo_relativo_per_capita!M68*Saldo_relativo_per_capita!M$543/1000000</f>
        <v>0</v>
      </c>
      <c r="N68" s="340">
        <f>Saldo_relativo_per_capita!N68*Saldo_relativo_per_capita!N$543/1000000</f>
        <v>0</v>
      </c>
      <c r="O68" s="340">
        <f>Saldo_relativo_per_capita!O68*Saldo_relativo_per_capita!O$543/1000000</f>
        <v>0</v>
      </c>
      <c r="P68" s="340">
        <f>Saldo_relativo_per_capita!P68*Saldo_relativo_per_capita!P$543/1000000</f>
        <v>0</v>
      </c>
      <c r="Q68" s="340">
        <f>Saldo_relativo_per_capita!Q68*Saldo_relativo_per_capita!Q$543/1000000</f>
        <v>0</v>
      </c>
      <c r="R68" s="340">
        <f>Saldo_relativo_per_capita!R68*Saldo_relativo_per_capita!R$543/1000000</f>
        <v>0</v>
      </c>
      <c r="S68" s="340">
        <f>Saldo_relativo_per_capita!S68*Saldo_relativo_per_capita!S$543/1000000</f>
        <v>0</v>
      </c>
      <c r="T68" s="340">
        <f>Saldo_relativo_per_capita!T68*Saldo_relativo_per_capita!T$543/1000000</f>
        <v>0</v>
      </c>
      <c r="U68" s="340">
        <f>Saldo_relativo_per_capita!U68*Saldo_relativo_per_capita!U$543/1000000</f>
        <v>0</v>
      </c>
      <c r="V68" s="340">
        <f>Saldo_relativo_per_capita!V68*Saldo_relativo_per_capita!V$543/1000000</f>
        <v>0</v>
      </c>
      <c r="W68" s="148"/>
    </row>
    <row r="69" spans="1:23" s="115" customFormat="1">
      <c r="A69" s="355" t="str">
        <f>IF(B69="","",(IF(ISERROR(MATCH(B69,Tot_res!C:C,0)),"Eliminar!!!","")))</f>
        <v/>
      </c>
      <c r="B69" s="115" t="s">
        <v>171</v>
      </c>
      <c r="C69" s="333" t="str">
        <f>VLOOKUP(B69,Tot_res!C:D,2,FALSE)</f>
        <v>Administración periférica del estado</v>
      </c>
      <c r="D69" s="340">
        <f>Saldo_relativo_per_capita!D69*Saldo_relativo_per_capita!D$543/1000000</f>
        <v>0</v>
      </c>
      <c r="E69" s="340">
        <f>Saldo_relativo_per_capita!E69*Saldo_relativo_per_capita!E$543/1000000</f>
        <v>0</v>
      </c>
      <c r="F69" s="340">
        <f>Saldo_relativo_per_capita!F69*Saldo_relativo_per_capita!F$543/1000000</f>
        <v>0</v>
      </c>
      <c r="G69" s="340">
        <f>Saldo_relativo_per_capita!G69*Saldo_relativo_per_capita!G$543/1000000</f>
        <v>0</v>
      </c>
      <c r="H69" s="340">
        <f>Saldo_relativo_per_capita!H69*Saldo_relativo_per_capita!H$543/1000000</f>
        <v>0</v>
      </c>
      <c r="I69" s="340">
        <f>Saldo_relativo_per_capita!I69*Saldo_relativo_per_capita!I$543/1000000</f>
        <v>0</v>
      </c>
      <c r="J69" s="340">
        <f>Saldo_relativo_per_capita!J69*Saldo_relativo_per_capita!J$543/1000000</f>
        <v>0</v>
      </c>
      <c r="K69" s="340">
        <f>Saldo_relativo_per_capita!K69*Saldo_relativo_per_capita!K$543/1000000</f>
        <v>0</v>
      </c>
      <c r="L69" s="340">
        <f>Saldo_relativo_per_capita!L69*Saldo_relativo_per_capita!L$543/1000000</f>
        <v>0</v>
      </c>
      <c r="M69" s="340">
        <f>Saldo_relativo_per_capita!M69*Saldo_relativo_per_capita!M$543/1000000</f>
        <v>0</v>
      </c>
      <c r="N69" s="340">
        <f>Saldo_relativo_per_capita!N69*Saldo_relativo_per_capita!N$543/1000000</f>
        <v>0</v>
      </c>
      <c r="O69" s="340">
        <f>Saldo_relativo_per_capita!O69*Saldo_relativo_per_capita!O$543/1000000</f>
        <v>0</v>
      </c>
      <c r="P69" s="340">
        <f>Saldo_relativo_per_capita!P69*Saldo_relativo_per_capita!P$543/1000000</f>
        <v>0</v>
      </c>
      <c r="Q69" s="340">
        <f>Saldo_relativo_per_capita!Q69*Saldo_relativo_per_capita!Q$543/1000000</f>
        <v>0</v>
      </c>
      <c r="R69" s="340">
        <f>Saldo_relativo_per_capita!R69*Saldo_relativo_per_capita!R$543/1000000</f>
        <v>0</v>
      </c>
      <c r="S69" s="340">
        <f>Saldo_relativo_per_capita!S69*Saldo_relativo_per_capita!S$543/1000000</f>
        <v>0</v>
      </c>
      <c r="T69" s="340">
        <f>Saldo_relativo_per_capita!T69*Saldo_relativo_per_capita!T$543/1000000</f>
        <v>0</v>
      </c>
      <c r="U69" s="340">
        <f>Saldo_relativo_per_capita!U69*Saldo_relativo_per_capita!U$543/1000000</f>
        <v>0</v>
      </c>
      <c r="V69" s="340">
        <f>Saldo_relativo_per_capita!V69*Saldo_relativo_per_capita!V$543/1000000</f>
        <v>0</v>
      </c>
      <c r="W69" s="148"/>
    </row>
    <row r="70" spans="1:23" s="115" customFormat="1">
      <c r="A70" s="355" t="str">
        <f>IF(B70="","",(IF(ISERROR(MATCH(B70,Tot_res!C:C,0)),"Eliminar!!!","")))</f>
        <v/>
      </c>
      <c r="B70" s="115" t="s">
        <v>172</v>
      </c>
      <c r="C70" s="333" t="str">
        <f>VLOOKUP(B70,Tot_res!C:D,2,FALSE)</f>
        <v>Publicidad de las normas legales</v>
      </c>
      <c r="D70" s="340">
        <f>Saldo_relativo_per_capita!D70*Saldo_relativo_per_capita!D$543/1000000</f>
        <v>0</v>
      </c>
      <c r="E70" s="340">
        <f>Saldo_relativo_per_capita!E70*Saldo_relativo_per_capita!E$543/1000000</f>
        <v>0</v>
      </c>
      <c r="F70" s="340">
        <f>Saldo_relativo_per_capita!F70*Saldo_relativo_per_capita!F$543/1000000</f>
        <v>0</v>
      </c>
      <c r="G70" s="340">
        <f>Saldo_relativo_per_capita!G70*Saldo_relativo_per_capita!G$543/1000000</f>
        <v>0</v>
      </c>
      <c r="H70" s="340">
        <f>Saldo_relativo_per_capita!H70*Saldo_relativo_per_capita!H$543/1000000</f>
        <v>0</v>
      </c>
      <c r="I70" s="340">
        <f>Saldo_relativo_per_capita!I70*Saldo_relativo_per_capita!I$543/1000000</f>
        <v>0</v>
      </c>
      <c r="J70" s="340">
        <f>Saldo_relativo_per_capita!J70*Saldo_relativo_per_capita!J$543/1000000</f>
        <v>0</v>
      </c>
      <c r="K70" s="340">
        <f>Saldo_relativo_per_capita!K70*Saldo_relativo_per_capita!K$543/1000000</f>
        <v>0</v>
      </c>
      <c r="L70" s="340">
        <f>Saldo_relativo_per_capita!L70*Saldo_relativo_per_capita!L$543/1000000</f>
        <v>0</v>
      </c>
      <c r="M70" s="340">
        <f>Saldo_relativo_per_capita!M70*Saldo_relativo_per_capita!M$543/1000000</f>
        <v>0</v>
      </c>
      <c r="N70" s="340">
        <f>Saldo_relativo_per_capita!N70*Saldo_relativo_per_capita!N$543/1000000</f>
        <v>0</v>
      </c>
      <c r="O70" s="340">
        <f>Saldo_relativo_per_capita!O70*Saldo_relativo_per_capita!O$543/1000000</f>
        <v>0</v>
      </c>
      <c r="P70" s="340">
        <f>Saldo_relativo_per_capita!P70*Saldo_relativo_per_capita!P$543/1000000</f>
        <v>0</v>
      </c>
      <c r="Q70" s="340">
        <f>Saldo_relativo_per_capita!Q70*Saldo_relativo_per_capita!Q$543/1000000</f>
        <v>0</v>
      </c>
      <c r="R70" s="340">
        <f>Saldo_relativo_per_capita!R70*Saldo_relativo_per_capita!R$543/1000000</f>
        <v>0</v>
      </c>
      <c r="S70" s="340">
        <f>Saldo_relativo_per_capita!S70*Saldo_relativo_per_capita!S$543/1000000</f>
        <v>0</v>
      </c>
      <c r="T70" s="340">
        <f>Saldo_relativo_per_capita!T70*Saldo_relativo_per_capita!T$543/1000000</f>
        <v>0</v>
      </c>
      <c r="U70" s="340">
        <f>Saldo_relativo_per_capita!U70*Saldo_relativo_per_capita!U$543/1000000</f>
        <v>0</v>
      </c>
      <c r="V70" s="340">
        <f>Saldo_relativo_per_capita!V70*Saldo_relativo_per_capita!V$543/1000000</f>
        <v>0</v>
      </c>
      <c r="W70" s="148"/>
    </row>
    <row r="71" spans="1:23" s="115" customFormat="1">
      <c r="A71" s="355" t="str">
        <f>IF(B71="","",(IF(ISERROR(MATCH(B71,Tot_res!C:C,0)),"Eliminar!!!","")))</f>
        <v/>
      </c>
      <c r="B71" s="115" t="s">
        <v>174</v>
      </c>
      <c r="C71" s="333" t="str">
        <f>VLOOKUP(B71,Tot_res!C:D,2,FALSE)</f>
        <v>Asesoramiento y defensa intereses del estado</v>
      </c>
      <c r="D71" s="340">
        <f>Saldo_relativo_per_capita!D71*Saldo_relativo_per_capita!D$543/1000000</f>
        <v>0</v>
      </c>
      <c r="E71" s="340">
        <f>Saldo_relativo_per_capita!E71*Saldo_relativo_per_capita!E$543/1000000</f>
        <v>0</v>
      </c>
      <c r="F71" s="340">
        <f>Saldo_relativo_per_capita!F71*Saldo_relativo_per_capita!F$543/1000000</f>
        <v>0</v>
      </c>
      <c r="G71" s="340">
        <f>Saldo_relativo_per_capita!G71*Saldo_relativo_per_capita!G$543/1000000</f>
        <v>0</v>
      </c>
      <c r="H71" s="340">
        <f>Saldo_relativo_per_capita!H71*Saldo_relativo_per_capita!H$543/1000000</f>
        <v>0</v>
      </c>
      <c r="I71" s="340">
        <f>Saldo_relativo_per_capita!I71*Saldo_relativo_per_capita!I$543/1000000</f>
        <v>0</v>
      </c>
      <c r="J71" s="340">
        <f>Saldo_relativo_per_capita!J71*Saldo_relativo_per_capita!J$543/1000000</f>
        <v>0</v>
      </c>
      <c r="K71" s="340">
        <f>Saldo_relativo_per_capita!K71*Saldo_relativo_per_capita!K$543/1000000</f>
        <v>0</v>
      </c>
      <c r="L71" s="340">
        <f>Saldo_relativo_per_capita!L71*Saldo_relativo_per_capita!L$543/1000000</f>
        <v>0</v>
      </c>
      <c r="M71" s="340">
        <f>Saldo_relativo_per_capita!M71*Saldo_relativo_per_capita!M$543/1000000</f>
        <v>0</v>
      </c>
      <c r="N71" s="340">
        <f>Saldo_relativo_per_capita!N71*Saldo_relativo_per_capita!N$543/1000000</f>
        <v>0</v>
      </c>
      <c r="O71" s="340">
        <f>Saldo_relativo_per_capita!O71*Saldo_relativo_per_capita!O$543/1000000</f>
        <v>0</v>
      </c>
      <c r="P71" s="340">
        <f>Saldo_relativo_per_capita!P71*Saldo_relativo_per_capita!P$543/1000000</f>
        <v>0</v>
      </c>
      <c r="Q71" s="340">
        <f>Saldo_relativo_per_capita!Q71*Saldo_relativo_per_capita!Q$543/1000000</f>
        <v>0</v>
      </c>
      <c r="R71" s="340">
        <f>Saldo_relativo_per_capita!R71*Saldo_relativo_per_capita!R$543/1000000</f>
        <v>0</v>
      </c>
      <c r="S71" s="340">
        <f>Saldo_relativo_per_capita!S71*Saldo_relativo_per_capita!S$543/1000000</f>
        <v>0</v>
      </c>
      <c r="T71" s="340">
        <f>Saldo_relativo_per_capita!T71*Saldo_relativo_per_capita!T$543/1000000</f>
        <v>0</v>
      </c>
      <c r="U71" s="340">
        <f>Saldo_relativo_per_capita!U71*Saldo_relativo_per_capita!U$543/1000000</f>
        <v>0</v>
      </c>
      <c r="V71" s="340">
        <f>Saldo_relativo_per_capita!V71*Saldo_relativo_per_capita!V$543/1000000</f>
        <v>0</v>
      </c>
      <c r="W71" s="148"/>
    </row>
    <row r="72" spans="1:23" s="115" customFormat="1">
      <c r="A72" s="355" t="str">
        <f>IF(B72="","",(IF(ISERROR(MATCH(B72,Tot_res!C:C,0)),"Eliminar!!!","")))</f>
        <v/>
      </c>
      <c r="B72" s="115" t="s">
        <v>175</v>
      </c>
      <c r="C72" s="333" t="str">
        <f>VLOOKUP(B72,Tot_res!C:D,2,FALSE)</f>
        <v>Servicios de transportes de ministerios</v>
      </c>
      <c r="D72" s="340">
        <f>Saldo_relativo_per_capita!D72*Saldo_relativo_per_capita!D$543/1000000</f>
        <v>0</v>
      </c>
      <c r="E72" s="340">
        <f>Saldo_relativo_per_capita!E72*Saldo_relativo_per_capita!E$543/1000000</f>
        <v>0</v>
      </c>
      <c r="F72" s="340">
        <f>Saldo_relativo_per_capita!F72*Saldo_relativo_per_capita!F$543/1000000</f>
        <v>0</v>
      </c>
      <c r="G72" s="340">
        <f>Saldo_relativo_per_capita!G72*Saldo_relativo_per_capita!G$543/1000000</f>
        <v>0</v>
      </c>
      <c r="H72" s="340">
        <f>Saldo_relativo_per_capita!H72*Saldo_relativo_per_capita!H$543/1000000</f>
        <v>0</v>
      </c>
      <c r="I72" s="340">
        <f>Saldo_relativo_per_capita!I72*Saldo_relativo_per_capita!I$543/1000000</f>
        <v>0</v>
      </c>
      <c r="J72" s="340">
        <f>Saldo_relativo_per_capita!J72*Saldo_relativo_per_capita!J$543/1000000</f>
        <v>0</v>
      </c>
      <c r="K72" s="340">
        <f>Saldo_relativo_per_capita!K72*Saldo_relativo_per_capita!K$543/1000000</f>
        <v>0</v>
      </c>
      <c r="L72" s="340">
        <f>Saldo_relativo_per_capita!L72*Saldo_relativo_per_capita!L$543/1000000</f>
        <v>0</v>
      </c>
      <c r="M72" s="340">
        <f>Saldo_relativo_per_capita!M72*Saldo_relativo_per_capita!M$543/1000000</f>
        <v>0</v>
      </c>
      <c r="N72" s="340">
        <f>Saldo_relativo_per_capita!N72*Saldo_relativo_per_capita!N$543/1000000</f>
        <v>0</v>
      </c>
      <c r="O72" s="340">
        <f>Saldo_relativo_per_capita!O72*Saldo_relativo_per_capita!O$543/1000000</f>
        <v>0</v>
      </c>
      <c r="P72" s="340">
        <f>Saldo_relativo_per_capita!P72*Saldo_relativo_per_capita!P$543/1000000</f>
        <v>0</v>
      </c>
      <c r="Q72" s="340">
        <f>Saldo_relativo_per_capita!Q72*Saldo_relativo_per_capita!Q$543/1000000</f>
        <v>0</v>
      </c>
      <c r="R72" s="340">
        <f>Saldo_relativo_per_capita!R72*Saldo_relativo_per_capita!R$543/1000000</f>
        <v>0</v>
      </c>
      <c r="S72" s="340">
        <f>Saldo_relativo_per_capita!S72*Saldo_relativo_per_capita!S$543/1000000</f>
        <v>0</v>
      </c>
      <c r="T72" s="340">
        <f>Saldo_relativo_per_capita!T72*Saldo_relativo_per_capita!T$543/1000000</f>
        <v>0</v>
      </c>
      <c r="U72" s="340">
        <f>Saldo_relativo_per_capita!U72*Saldo_relativo_per_capita!U$543/1000000</f>
        <v>0</v>
      </c>
      <c r="V72" s="340">
        <f>Saldo_relativo_per_capita!V72*Saldo_relativo_per_capita!V$543/1000000</f>
        <v>0</v>
      </c>
      <c r="W72" s="148"/>
    </row>
    <row r="73" spans="1:23" s="115" customFormat="1">
      <c r="A73" s="355" t="str">
        <f>IF(B73="","",(IF(ISERROR(MATCH(B73,Tot_res!C:C,0)),"Eliminar!!!","")))</f>
        <v/>
      </c>
      <c r="B73" s="115" t="s">
        <v>176</v>
      </c>
      <c r="C73" s="333" t="str">
        <f>VLOOKUP(B73,Tot_res!C:D,2,FALSE)</f>
        <v>Evaluación de políticas y programas públicos, calidad de los servicios e impacto normativo</v>
      </c>
      <c r="D73" s="340">
        <f>Saldo_relativo_per_capita!D73*Saldo_relativo_per_capita!D$543/1000000</f>
        <v>0</v>
      </c>
      <c r="E73" s="340">
        <f>Saldo_relativo_per_capita!E73*Saldo_relativo_per_capita!E$543/1000000</f>
        <v>0</v>
      </c>
      <c r="F73" s="340">
        <f>Saldo_relativo_per_capita!F73*Saldo_relativo_per_capita!F$543/1000000</f>
        <v>0</v>
      </c>
      <c r="G73" s="340">
        <f>Saldo_relativo_per_capita!G73*Saldo_relativo_per_capita!G$543/1000000</f>
        <v>0</v>
      </c>
      <c r="H73" s="340">
        <f>Saldo_relativo_per_capita!H73*Saldo_relativo_per_capita!H$543/1000000</f>
        <v>0</v>
      </c>
      <c r="I73" s="340">
        <f>Saldo_relativo_per_capita!I73*Saldo_relativo_per_capita!I$543/1000000</f>
        <v>0</v>
      </c>
      <c r="J73" s="340">
        <f>Saldo_relativo_per_capita!J73*Saldo_relativo_per_capita!J$543/1000000</f>
        <v>0</v>
      </c>
      <c r="K73" s="340">
        <f>Saldo_relativo_per_capita!K73*Saldo_relativo_per_capita!K$543/1000000</f>
        <v>0</v>
      </c>
      <c r="L73" s="340">
        <f>Saldo_relativo_per_capita!L73*Saldo_relativo_per_capita!L$543/1000000</f>
        <v>0</v>
      </c>
      <c r="M73" s="340">
        <f>Saldo_relativo_per_capita!M73*Saldo_relativo_per_capita!M$543/1000000</f>
        <v>0</v>
      </c>
      <c r="N73" s="340">
        <f>Saldo_relativo_per_capita!N73*Saldo_relativo_per_capita!N$543/1000000</f>
        <v>0</v>
      </c>
      <c r="O73" s="340">
        <f>Saldo_relativo_per_capita!O73*Saldo_relativo_per_capita!O$543/1000000</f>
        <v>0</v>
      </c>
      <c r="P73" s="340">
        <f>Saldo_relativo_per_capita!P73*Saldo_relativo_per_capita!P$543/1000000</f>
        <v>0</v>
      </c>
      <c r="Q73" s="340">
        <f>Saldo_relativo_per_capita!Q73*Saldo_relativo_per_capita!Q$543/1000000</f>
        <v>0</v>
      </c>
      <c r="R73" s="340">
        <f>Saldo_relativo_per_capita!R73*Saldo_relativo_per_capita!R$543/1000000</f>
        <v>0</v>
      </c>
      <c r="S73" s="340">
        <f>Saldo_relativo_per_capita!S73*Saldo_relativo_per_capita!S$543/1000000</f>
        <v>0</v>
      </c>
      <c r="T73" s="340">
        <f>Saldo_relativo_per_capita!T73*Saldo_relativo_per_capita!T$543/1000000</f>
        <v>0</v>
      </c>
      <c r="U73" s="340">
        <f>Saldo_relativo_per_capita!U73*Saldo_relativo_per_capita!U$543/1000000</f>
        <v>0</v>
      </c>
      <c r="V73" s="340">
        <f>Saldo_relativo_per_capita!V73*Saldo_relativo_per_capita!V$543/1000000</f>
        <v>0</v>
      </c>
      <c r="W73" s="148"/>
    </row>
    <row r="74" spans="1:23" s="115" customFormat="1">
      <c r="A74" s="355" t="str">
        <f>IF(B74="","",(IF(ISERROR(MATCH(B74,Tot_res!C:C,0)),"Eliminar!!!","")))</f>
        <v/>
      </c>
      <c r="B74" s="115" t="s">
        <v>177</v>
      </c>
      <c r="C74" s="333" t="str">
        <f>VLOOKUP(B74,Tot_res!C:D,2,FALSE)</f>
        <v>Organización territorial del estado y desarrollo de sus sistemas de colaboración</v>
      </c>
      <c r="D74" s="340">
        <f>Saldo_relativo_per_capita!D74*Saldo_relativo_per_capita!D$543/1000000</f>
        <v>0</v>
      </c>
      <c r="E74" s="340">
        <f>Saldo_relativo_per_capita!E74*Saldo_relativo_per_capita!E$543/1000000</f>
        <v>0</v>
      </c>
      <c r="F74" s="340">
        <f>Saldo_relativo_per_capita!F74*Saldo_relativo_per_capita!F$543/1000000</f>
        <v>0</v>
      </c>
      <c r="G74" s="340">
        <f>Saldo_relativo_per_capita!G74*Saldo_relativo_per_capita!G$543/1000000</f>
        <v>0</v>
      </c>
      <c r="H74" s="340">
        <f>Saldo_relativo_per_capita!H74*Saldo_relativo_per_capita!H$543/1000000</f>
        <v>0</v>
      </c>
      <c r="I74" s="340">
        <f>Saldo_relativo_per_capita!I74*Saldo_relativo_per_capita!I$543/1000000</f>
        <v>0</v>
      </c>
      <c r="J74" s="340">
        <f>Saldo_relativo_per_capita!J74*Saldo_relativo_per_capita!J$543/1000000</f>
        <v>0</v>
      </c>
      <c r="K74" s="340">
        <f>Saldo_relativo_per_capita!K74*Saldo_relativo_per_capita!K$543/1000000</f>
        <v>0</v>
      </c>
      <c r="L74" s="340">
        <f>Saldo_relativo_per_capita!L74*Saldo_relativo_per_capita!L$543/1000000</f>
        <v>0</v>
      </c>
      <c r="M74" s="340">
        <f>Saldo_relativo_per_capita!M74*Saldo_relativo_per_capita!M$543/1000000</f>
        <v>0</v>
      </c>
      <c r="N74" s="340">
        <f>Saldo_relativo_per_capita!N74*Saldo_relativo_per_capita!N$543/1000000</f>
        <v>0</v>
      </c>
      <c r="O74" s="340">
        <f>Saldo_relativo_per_capita!O74*Saldo_relativo_per_capita!O$543/1000000</f>
        <v>0</v>
      </c>
      <c r="P74" s="340">
        <f>Saldo_relativo_per_capita!P74*Saldo_relativo_per_capita!P$543/1000000</f>
        <v>0</v>
      </c>
      <c r="Q74" s="340">
        <f>Saldo_relativo_per_capita!Q74*Saldo_relativo_per_capita!Q$543/1000000</f>
        <v>0</v>
      </c>
      <c r="R74" s="340">
        <f>Saldo_relativo_per_capita!R74*Saldo_relativo_per_capita!R$543/1000000</f>
        <v>0</v>
      </c>
      <c r="S74" s="340">
        <f>Saldo_relativo_per_capita!S74*Saldo_relativo_per_capita!S$543/1000000</f>
        <v>0</v>
      </c>
      <c r="T74" s="340">
        <f>Saldo_relativo_per_capita!T74*Saldo_relativo_per_capita!T$543/1000000</f>
        <v>0</v>
      </c>
      <c r="U74" s="340">
        <f>Saldo_relativo_per_capita!U74*Saldo_relativo_per_capita!U$543/1000000</f>
        <v>0</v>
      </c>
      <c r="V74" s="340">
        <f>Saldo_relativo_per_capita!V74*Saldo_relativo_per_capita!V$543/1000000</f>
        <v>0</v>
      </c>
      <c r="W74" s="148"/>
    </row>
    <row r="75" spans="1:23" s="115" customFormat="1">
      <c r="A75" s="355" t="str">
        <f>IF(B75="","",(IF(ISERROR(MATCH(B75,Tot_res!C:C,0)),"Eliminar!!!","")))</f>
        <v/>
      </c>
      <c r="B75" s="115" t="s">
        <v>178</v>
      </c>
      <c r="C75" s="333" t="str">
        <f>VLOOKUP(B75,Tot_res!C:D,2,FALSE)</f>
        <v>Elecciones y partidos políticos</v>
      </c>
      <c r="D75" s="340">
        <f>Saldo_relativo_per_capita!D75*Saldo_relativo_per_capita!D$543/1000000</f>
        <v>0</v>
      </c>
      <c r="E75" s="340">
        <f>Saldo_relativo_per_capita!E75*Saldo_relativo_per_capita!E$543/1000000</f>
        <v>0</v>
      </c>
      <c r="F75" s="340">
        <f>Saldo_relativo_per_capita!F75*Saldo_relativo_per_capita!F$543/1000000</f>
        <v>0</v>
      </c>
      <c r="G75" s="340">
        <f>Saldo_relativo_per_capita!G75*Saldo_relativo_per_capita!G$543/1000000</f>
        <v>0</v>
      </c>
      <c r="H75" s="340">
        <f>Saldo_relativo_per_capita!H75*Saldo_relativo_per_capita!H$543/1000000</f>
        <v>0</v>
      </c>
      <c r="I75" s="340">
        <f>Saldo_relativo_per_capita!I75*Saldo_relativo_per_capita!I$543/1000000</f>
        <v>0</v>
      </c>
      <c r="J75" s="340">
        <f>Saldo_relativo_per_capita!J75*Saldo_relativo_per_capita!J$543/1000000</f>
        <v>0</v>
      </c>
      <c r="K75" s="340">
        <f>Saldo_relativo_per_capita!K75*Saldo_relativo_per_capita!K$543/1000000</f>
        <v>0</v>
      </c>
      <c r="L75" s="340">
        <f>Saldo_relativo_per_capita!L75*Saldo_relativo_per_capita!L$543/1000000</f>
        <v>0</v>
      </c>
      <c r="M75" s="340">
        <f>Saldo_relativo_per_capita!M75*Saldo_relativo_per_capita!M$543/1000000</f>
        <v>0</v>
      </c>
      <c r="N75" s="340">
        <f>Saldo_relativo_per_capita!N75*Saldo_relativo_per_capita!N$543/1000000</f>
        <v>0</v>
      </c>
      <c r="O75" s="340">
        <f>Saldo_relativo_per_capita!O75*Saldo_relativo_per_capita!O$543/1000000</f>
        <v>0</v>
      </c>
      <c r="P75" s="340">
        <f>Saldo_relativo_per_capita!P75*Saldo_relativo_per_capita!P$543/1000000</f>
        <v>0</v>
      </c>
      <c r="Q75" s="340">
        <f>Saldo_relativo_per_capita!Q75*Saldo_relativo_per_capita!Q$543/1000000</f>
        <v>0</v>
      </c>
      <c r="R75" s="340">
        <f>Saldo_relativo_per_capita!R75*Saldo_relativo_per_capita!R$543/1000000</f>
        <v>0</v>
      </c>
      <c r="S75" s="340">
        <f>Saldo_relativo_per_capita!S75*Saldo_relativo_per_capita!S$543/1000000</f>
        <v>0</v>
      </c>
      <c r="T75" s="340">
        <f>Saldo_relativo_per_capita!T75*Saldo_relativo_per_capita!T$543/1000000</f>
        <v>0</v>
      </c>
      <c r="U75" s="340">
        <f>Saldo_relativo_per_capita!U75*Saldo_relativo_per_capita!U$543/1000000</f>
        <v>0</v>
      </c>
      <c r="V75" s="340">
        <f>Saldo_relativo_per_capita!V75*Saldo_relativo_per_capita!V$543/1000000</f>
        <v>0</v>
      </c>
      <c r="W75" s="148"/>
    </row>
    <row r="76" spans="1:23">
      <c r="A76" s="356"/>
      <c r="D76" s="39"/>
      <c r="E76" s="39"/>
      <c r="F76" s="39"/>
      <c r="G76" s="39"/>
      <c r="H76" s="39"/>
      <c r="I76" s="39"/>
      <c r="J76" s="39"/>
      <c r="K76" s="39"/>
      <c r="L76" s="39"/>
      <c r="M76" s="39"/>
      <c r="N76" s="39"/>
      <c r="O76" s="39"/>
      <c r="P76" s="39"/>
      <c r="Q76" s="39"/>
      <c r="R76" s="39"/>
      <c r="S76" s="39"/>
      <c r="T76" s="39"/>
      <c r="U76" s="39"/>
      <c r="V76" s="39"/>
      <c r="W76" s="42"/>
    </row>
    <row r="77" spans="1:23" s="115" customFormat="1">
      <c r="A77" s="356"/>
      <c r="C77" s="128" t="s">
        <v>25</v>
      </c>
      <c r="D77" s="219">
        <f>Saldo_relativo_per_capita!D77*Saldo_relativo_per_capita!D$543/1000000</f>
        <v>0</v>
      </c>
      <c r="E77" s="219">
        <f>Saldo_relativo_per_capita!E77*Saldo_relativo_per_capita!E$543/1000000</f>
        <v>0</v>
      </c>
      <c r="F77" s="219">
        <f>Saldo_relativo_per_capita!F77*Saldo_relativo_per_capita!F$543/1000000</f>
        <v>0</v>
      </c>
      <c r="G77" s="219">
        <f>Saldo_relativo_per_capita!G77*Saldo_relativo_per_capita!G$543/1000000</f>
        <v>0</v>
      </c>
      <c r="H77" s="219">
        <f>Saldo_relativo_per_capita!H77*Saldo_relativo_per_capita!H$543/1000000</f>
        <v>0</v>
      </c>
      <c r="I77" s="219">
        <f>Saldo_relativo_per_capita!I77*Saldo_relativo_per_capita!I$543/1000000</f>
        <v>0</v>
      </c>
      <c r="J77" s="219">
        <f>Saldo_relativo_per_capita!J77*Saldo_relativo_per_capita!J$543/1000000</f>
        <v>0</v>
      </c>
      <c r="K77" s="219">
        <f>Saldo_relativo_per_capita!K77*Saldo_relativo_per_capita!K$543/1000000</f>
        <v>0</v>
      </c>
      <c r="L77" s="219">
        <f>Saldo_relativo_per_capita!L77*Saldo_relativo_per_capita!L$543/1000000</f>
        <v>0</v>
      </c>
      <c r="M77" s="219">
        <f>Saldo_relativo_per_capita!M77*Saldo_relativo_per_capita!M$543/1000000</f>
        <v>0</v>
      </c>
      <c r="N77" s="219">
        <f>Saldo_relativo_per_capita!N77*Saldo_relativo_per_capita!N$543/1000000</f>
        <v>0</v>
      </c>
      <c r="O77" s="219">
        <f>Saldo_relativo_per_capita!O77*Saldo_relativo_per_capita!O$543/1000000</f>
        <v>0</v>
      </c>
      <c r="P77" s="219">
        <f>Saldo_relativo_per_capita!P77*Saldo_relativo_per_capita!P$543/1000000</f>
        <v>0</v>
      </c>
      <c r="Q77" s="219">
        <f>Saldo_relativo_per_capita!Q77*Saldo_relativo_per_capita!Q$543/1000000</f>
        <v>0</v>
      </c>
      <c r="R77" s="219">
        <f>Saldo_relativo_per_capita!R77*Saldo_relativo_per_capita!R$543/1000000</f>
        <v>0</v>
      </c>
      <c r="S77" s="219">
        <f>Saldo_relativo_per_capita!S77*Saldo_relativo_per_capita!S$543/1000000</f>
        <v>0</v>
      </c>
      <c r="T77" s="219">
        <f>Saldo_relativo_per_capita!T77*Saldo_relativo_per_capita!T$543/1000000</f>
        <v>0</v>
      </c>
      <c r="U77" s="219">
        <f>Saldo_relativo_per_capita!U77*Saldo_relativo_per_capita!U$543/1000000</f>
        <v>0</v>
      </c>
      <c r="V77" s="219">
        <f>Saldo_relativo_per_capita!V77*Saldo_relativo_per_capita!V$543/1000000</f>
        <v>0</v>
      </c>
      <c r="W77" s="148"/>
    </row>
    <row r="78" spans="1:23" s="115" customFormat="1">
      <c r="A78" s="355" t="str">
        <f>IF(B78="","",(IF(ISERROR(MATCH(B78,Tot_res!C:C,0)),"Eliminar!!!","")))</f>
        <v/>
      </c>
      <c r="B78" s="115" t="s">
        <v>179</v>
      </c>
      <c r="C78" s="333" t="str">
        <f>VLOOKUP(B78,Tot_res!C:D,2,FALSE)</f>
        <v>Investigación y estudios sociológicos y constitucionales</v>
      </c>
      <c r="D78" s="340">
        <f>Saldo_relativo_per_capita!D78*Saldo_relativo_per_capita!D$543/1000000</f>
        <v>0</v>
      </c>
      <c r="E78" s="340">
        <f>Saldo_relativo_per_capita!E78*Saldo_relativo_per_capita!E$543/1000000</f>
        <v>0</v>
      </c>
      <c r="F78" s="340">
        <f>Saldo_relativo_per_capita!F78*Saldo_relativo_per_capita!F$543/1000000</f>
        <v>0</v>
      </c>
      <c r="G78" s="340">
        <f>Saldo_relativo_per_capita!G78*Saldo_relativo_per_capita!G$543/1000000</f>
        <v>0</v>
      </c>
      <c r="H78" s="340">
        <f>Saldo_relativo_per_capita!H78*Saldo_relativo_per_capita!H$543/1000000</f>
        <v>0</v>
      </c>
      <c r="I78" s="340">
        <f>Saldo_relativo_per_capita!I78*Saldo_relativo_per_capita!I$543/1000000</f>
        <v>0</v>
      </c>
      <c r="J78" s="340">
        <f>Saldo_relativo_per_capita!J78*Saldo_relativo_per_capita!J$543/1000000</f>
        <v>0</v>
      </c>
      <c r="K78" s="340">
        <f>Saldo_relativo_per_capita!K78*Saldo_relativo_per_capita!K$543/1000000</f>
        <v>0</v>
      </c>
      <c r="L78" s="340">
        <f>Saldo_relativo_per_capita!L78*Saldo_relativo_per_capita!L$543/1000000</f>
        <v>0</v>
      </c>
      <c r="M78" s="340">
        <f>Saldo_relativo_per_capita!M78*Saldo_relativo_per_capita!M$543/1000000</f>
        <v>0</v>
      </c>
      <c r="N78" s="340">
        <f>Saldo_relativo_per_capita!N78*Saldo_relativo_per_capita!N$543/1000000</f>
        <v>0</v>
      </c>
      <c r="O78" s="340">
        <f>Saldo_relativo_per_capita!O78*Saldo_relativo_per_capita!O$543/1000000</f>
        <v>0</v>
      </c>
      <c r="P78" s="340">
        <f>Saldo_relativo_per_capita!P78*Saldo_relativo_per_capita!P$543/1000000</f>
        <v>0</v>
      </c>
      <c r="Q78" s="340">
        <f>Saldo_relativo_per_capita!Q78*Saldo_relativo_per_capita!Q$543/1000000</f>
        <v>0</v>
      </c>
      <c r="R78" s="340">
        <f>Saldo_relativo_per_capita!R78*Saldo_relativo_per_capita!R$543/1000000</f>
        <v>0</v>
      </c>
      <c r="S78" s="340">
        <f>Saldo_relativo_per_capita!S78*Saldo_relativo_per_capita!S$543/1000000</f>
        <v>0</v>
      </c>
      <c r="T78" s="340">
        <f>Saldo_relativo_per_capita!T78*Saldo_relativo_per_capita!T$543/1000000</f>
        <v>0</v>
      </c>
      <c r="U78" s="340">
        <f>Saldo_relativo_per_capita!U78*Saldo_relativo_per_capita!U$543/1000000</f>
        <v>0</v>
      </c>
      <c r="V78" s="340">
        <f>Saldo_relativo_per_capita!V78*Saldo_relativo_per_capita!V$543/1000000</f>
        <v>0</v>
      </c>
      <c r="W78" s="148"/>
    </row>
    <row r="79" spans="1:23" s="115" customFormat="1">
      <c r="A79" s="355" t="str">
        <f>IF(B79="","",(IF(ISERROR(MATCH(B79,Tot_res!C:C,0)),"Eliminar!!!","")))</f>
        <v/>
      </c>
      <c r="B79" s="115" t="s">
        <v>181</v>
      </c>
      <c r="C79" s="333" t="str">
        <f>VLOOKUP(B79,Tot_res!C:D,2,FALSE)</f>
        <v>Investigación y estudios estadísticos y económicos</v>
      </c>
      <c r="D79" s="340">
        <f>Saldo_relativo_per_capita!D79*Saldo_relativo_per_capita!D$543/1000000</f>
        <v>0</v>
      </c>
      <c r="E79" s="340">
        <f>Saldo_relativo_per_capita!E79*Saldo_relativo_per_capita!E$543/1000000</f>
        <v>0</v>
      </c>
      <c r="F79" s="340">
        <f>Saldo_relativo_per_capita!F79*Saldo_relativo_per_capita!F$543/1000000</f>
        <v>0</v>
      </c>
      <c r="G79" s="340">
        <f>Saldo_relativo_per_capita!G79*Saldo_relativo_per_capita!G$543/1000000</f>
        <v>0</v>
      </c>
      <c r="H79" s="340">
        <f>Saldo_relativo_per_capita!H79*Saldo_relativo_per_capita!H$543/1000000</f>
        <v>0</v>
      </c>
      <c r="I79" s="340">
        <f>Saldo_relativo_per_capita!I79*Saldo_relativo_per_capita!I$543/1000000</f>
        <v>0</v>
      </c>
      <c r="J79" s="340">
        <f>Saldo_relativo_per_capita!J79*Saldo_relativo_per_capita!J$543/1000000</f>
        <v>0</v>
      </c>
      <c r="K79" s="340">
        <f>Saldo_relativo_per_capita!K79*Saldo_relativo_per_capita!K$543/1000000</f>
        <v>0</v>
      </c>
      <c r="L79" s="340">
        <f>Saldo_relativo_per_capita!L79*Saldo_relativo_per_capita!L$543/1000000</f>
        <v>0</v>
      </c>
      <c r="M79" s="340">
        <f>Saldo_relativo_per_capita!M79*Saldo_relativo_per_capita!M$543/1000000</f>
        <v>0</v>
      </c>
      <c r="N79" s="340">
        <f>Saldo_relativo_per_capita!N79*Saldo_relativo_per_capita!N$543/1000000</f>
        <v>0</v>
      </c>
      <c r="O79" s="340">
        <f>Saldo_relativo_per_capita!O79*Saldo_relativo_per_capita!O$543/1000000</f>
        <v>0</v>
      </c>
      <c r="P79" s="340">
        <f>Saldo_relativo_per_capita!P79*Saldo_relativo_per_capita!P$543/1000000</f>
        <v>0</v>
      </c>
      <c r="Q79" s="340">
        <f>Saldo_relativo_per_capita!Q79*Saldo_relativo_per_capita!Q$543/1000000</f>
        <v>0</v>
      </c>
      <c r="R79" s="340">
        <f>Saldo_relativo_per_capita!R79*Saldo_relativo_per_capita!R$543/1000000</f>
        <v>0</v>
      </c>
      <c r="S79" s="340">
        <f>Saldo_relativo_per_capita!S79*Saldo_relativo_per_capita!S$543/1000000</f>
        <v>0</v>
      </c>
      <c r="T79" s="340">
        <f>Saldo_relativo_per_capita!T79*Saldo_relativo_per_capita!T$543/1000000</f>
        <v>0</v>
      </c>
      <c r="U79" s="340">
        <f>Saldo_relativo_per_capita!U79*Saldo_relativo_per_capita!U$543/1000000</f>
        <v>0</v>
      </c>
      <c r="V79" s="340">
        <f>Saldo_relativo_per_capita!V79*Saldo_relativo_per_capita!V$543/1000000</f>
        <v>0</v>
      </c>
      <c r="W79" s="148"/>
    </row>
    <row r="80" spans="1:23" s="115" customFormat="1">
      <c r="A80" s="355" t="str">
        <f>IF(B80="","",(IF(ISERROR(MATCH(B80,Tot_res!C:C,0)),"Eliminar!!!","")))</f>
        <v/>
      </c>
      <c r="B80" s="115" t="s">
        <v>183</v>
      </c>
      <c r="C80" s="333" t="str">
        <f>VLOOKUP(B80,Tot_res!C:D,2,FALSE)</f>
        <v>Investigación científica</v>
      </c>
      <c r="D80" s="340">
        <f>Saldo_relativo_per_capita!D80*Saldo_relativo_per_capita!D$543/1000000</f>
        <v>0</v>
      </c>
      <c r="E80" s="340">
        <f>Saldo_relativo_per_capita!E80*Saldo_relativo_per_capita!E$543/1000000</f>
        <v>0</v>
      </c>
      <c r="F80" s="340">
        <f>Saldo_relativo_per_capita!F80*Saldo_relativo_per_capita!F$543/1000000</f>
        <v>0</v>
      </c>
      <c r="G80" s="340">
        <f>Saldo_relativo_per_capita!G80*Saldo_relativo_per_capita!G$543/1000000</f>
        <v>0</v>
      </c>
      <c r="H80" s="340">
        <f>Saldo_relativo_per_capita!H80*Saldo_relativo_per_capita!H$543/1000000</f>
        <v>0</v>
      </c>
      <c r="I80" s="340">
        <f>Saldo_relativo_per_capita!I80*Saldo_relativo_per_capita!I$543/1000000</f>
        <v>0</v>
      </c>
      <c r="J80" s="340">
        <f>Saldo_relativo_per_capita!J80*Saldo_relativo_per_capita!J$543/1000000</f>
        <v>0</v>
      </c>
      <c r="K80" s="340">
        <f>Saldo_relativo_per_capita!K80*Saldo_relativo_per_capita!K$543/1000000</f>
        <v>0</v>
      </c>
      <c r="L80" s="340">
        <f>Saldo_relativo_per_capita!L80*Saldo_relativo_per_capita!L$543/1000000</f>
        <v>0</v>
      </c>
      <c r="M80" s="340">
        <f>Saldo_relativo_per_capita!M80*Saldo_relativo_per_capita!M$543/1000000</f>
        <v>0</v>
      </c>
      <c r="N80" s="340">
        <f>Saldo_relativo_per_capita!N80*Saldo_relativo_per_capita!N$543/1000000</f>
        <v>0</v>
      </c>
      <c r="O80" s="340">
        <f>Saldo_relativo_per_capita!O80*Saldo_relativo_per_capita!O$543/1000000</f>
        <v>0</v>
      </c>
      <c r="P80" s="340">
        <f>Saldo_relativo_per_capita!P80*Saldo_relativo_per_capita!P$543/1000000</f>
        <v>0</v>
      </c>
      <c r="Q80" s="340">
        <f>Saldo_relativo_per_capita!Q80*Saldo_relativo_per_capita!Q$543/1000000</f>
        <v>0</v>
      </c>
      <c r="R80" s="340">
        <f>Saldo_relativo_per_capita!R80*Saldo_relativo_per_capita!R$543/1000000</f>
        <v>0</v>
      </c>
      <c r="S80" s="340">
        <f>Saldo_relativo_per_capita!S80*Saldo_relativo_per_capita!S$543/1000000</f>
        <v>0</v>
      </c>
      <c r="T80" s="340">
        <f>Saldo_relativo_per_capita!T80*Saldo_relativo_per_capita!T$543/1000000</f>
        <v>0</v>
      </c>
      <c r="U80" s="340">
        <f>Saldo_relativo_per_capita!U80*Saldo_relativo_per_capita!U$543/1000000</f>
        <v>0</v>
      </c>
      <c r="V80" s="340">
        <f>Saldo_relativo_per_capita!V80*Saldo_relativo_per_capita!V$543/1000000</f>
        <v>0</v>
      </c>
      <c r="W80" s="148"/>
    </row>
    <row r="81" spans="1:23" s="115" customFormat="1">
      <c r="A81" s="355" t="str">
        <f>IF(B81="","",(IF(ISERROR(MATCH(B81,Tot_res!C:C,0)),"Eliminar!!!","")))</f>
        <v/>
      </c>
      <c r="B81" s="115" t="s">
        <v>185</v>
      </c>
      <c r="C81" s="333" t="str">
        <f>VLOOKUP(B81,Tot_res!C:D,2,FALSE)</f>
        <v>Fomento y coordinación de la investigación científica y técnica</v>
      </c>
      <c r="D81" s="340">
        <f>Saldo_relativo_per_capita!D81*Saldo_relativo_per_capita!D$543/1000000</f>
        <v>0</v>
      </c>
      <c r="E81" s="340">
        <f>Saldo_relativo_per_capita!E81*Saldo_relativo_per_capita!E$543/1000000</f>
        <v>0</v>
      </c>
      <c r="F81" s="340">
        <f>Saldo_relativo_per_capita!F81*Saldo_relativo_per_capita!F$543/1000000</f>
        <v>0</v>
      </c>
      <c r="G81" s="340">
        <f>Saldo_relativo_per_capita!G81*Saldo_relativo_per_capita!G$543/1000000</f>
        <v>0</v>
      </c>
      <c r="H81" s="340">
        <f>Saldo_relativo_per_capita!H81*Saldo_relativo_per_capita!H$543/1000000</f>
        <v>0</v>
      </c>
      <c r="I81" s="340">
        <f>Saldo_relativo_per_capita!I81*Saldo_relativo_per_capita!I$543/1000000</f>
        <v>0</v>
      </c>
      <c r="J81" s="340">
        <f>Saldo_relativo_per_capita!J81*Saldo_relativo_per_capita!J$543/1000000</f>
        <v>0</v>
      </c>
      <c r="K81" s="340">
        <f>Saldo_relativo_per_capita!K81*Saldo_relativo_per_capita!K$543/1000000</f>
        <v>0</v>
      </c>
      <c r="L81" s="340">
        <f>Saldo_relativo_per_capita!L81*Saldo_relativo_per_capita!L$543/1000000</f>
        <v>0</v>
      </c>
      <c r="M81" s="340">
        <f>Saldo_relativo_per_capita!M81*Saldo_relativo_per_capita!M$543/1000000</f>
        <v>0</v>
      </c>
      <c r="N81" s="340">
        <f>Saldo_relativo_per_capita!N81*Saldo_relativo_per_capita!N$543/1000000</f>
        <v>0</v>
      </c>
      <c r="O81" s="340">
        <f>Saldo_relativo_per_capita!O81*Saldo_relativo_per_capita!O$543/1000000</f>
        <v>0</v>
      </c>
      <c r="P81" s="340">
        <f>Saldo_relativo_per_capita!P81*Saldo_relativo_per_capita!P$543/1000000</f>
        <v>0</v>
      </c>
      <c r="Q81" s="340">
        <f>Saldo_relativo_per_capita!Q81*Saldo_relativo_per_capita!Q$543/1000000</f>
        <v>0</v>
      </c>
      <c r="R81" s="340">
        <f>Saldo_relativo_per_capita!R81*Saldo_relativo_per_capita!R$543/1000000</f>
        <v>0</v>
      </c>
      <c r="S81" s="340">
        <f>Saldo_relativo_per_capita!S81*Saldo_relativo_per_capita!S$543/1000000</f>
        <v>0</v>
      </c>
      <c r="T81" s="340">
        <f>Saldo_relativo_per_capita!T81*Saldo_relativo_per_capita!T$543/1000000</f>
        <v>0</v>
      </c>
      <c r="U81" s="340">
        <f>Saldo_relativo_per_capita!U81*Saldo_relativo_per_capita!U$543/1000000</f>
        <v>0</v>
      </c>
      <c r="V81" s="340">
        <f>Saldo_relativo_per_capita!V81*Saldo_relativo_per_capita!V$543/1000000</f>
        <v>0</v>
      </c>
      <c r="W81" s="148"/>
    </row>
    <row r="82" spans="1:23" s="115" customFormat="1">
      <c r="A82" s="355" t="str">
        <f>IF(B82="","",(IF(ISERROR(MATCH(B82,Tot_res!C:C,0)),"Eliminar!!!","")))</f>
        <v/>
      </c>
      <c r="B82" s="115" t="s">
        <v>186</v>
      </c>
      <c r="C82" s="333" t="str">
        <f>VLOOKUP(B82,Tot_res!C:D,2,FALSE)</f>
        <v>Investigación sanitaria</v>
      </c>
      <c r="D82" s="340">
        <f>Saldo_relativo_per_capita!D82*Saldo_relativo_per_capita!D$543/1000000</f>
        <v>0</v>
      </c>
      <c r="E82" s="340">
        <f>Saldo_relativo_per_capita!E82*Saldo_relativo_per_capita!E$543/1000000</f>
        <v>0</v>
      </c>
      <c r="F82" s="340">
        <f>Saldo_relativo_per_capita!F82*Saldo_relativo_per_capita!F$543/1000000</f>
        <v>0</v>
      </c>
      <c r="G82" s="340">
        <f>Saldo_relativo_per_capita!G82*Saldo_relativo_per_capita!G$543/1000000</f>
        <v>0</v>
      </c>
      <c r="H82" s="340">
        <f>Saldo_relativo_per_capita!H82*Saldo_relativo_per_capita!H$543/1000000</f>
        <v>0</v>
      </c>
      <c r="I82" s="340">
        <f>Saldo_relativo_per_capita!I82*Saldo_relativo_per_capita!I$543/1000000</f>
        <v>0</v>
      </c>
      <c r="J82" s="340">
        <f>Saldo_relativo_per_capita!J82*Saldo_relativo_per_capita!J$543/1000000</f>
        <v>0</v>
      </c>
      <c r="K82" s="340">
        <f>Saldo_relativo_per_capita!K82*Saldo_relativo_per_capita!K$543/1000000</f>
        <v>0</v>
      </c>
      <c r="L82" s="340">
        <f>Saldo_relativo_per_capita!L82*Saldo_relativo_per_capita!L$543/1000000</f>
        <v>0</v>
      </c>
      <c r="M82" s="340">
        <f>Saldo_relativo_per_capita!M82*Saldo_relativo_per_capita!M$543/1000000</f>
        <v>0</v>
      </c>
      <c r="N82" s="340">
        <f>Saldo_relativo_per_capita!N82*Saldo_relativo_per_capita!N$543/1000000</f>
        <v>0</v>
      </c>
      <c r="O82" s="340">
        <f>Saldo_relativo_per_capita!O82*Saldo_relativo_per_capita!O$543/1000000</f>
        <v>0</v>
      </c>
      <c r="P82" s="340">
        <f>Saldo_relativo_per_capita!P82*Saldo_relativo_per_capita!P$543/1000000</f>
        <v>0</v>
      </c>
      <c r="Q82" s="340">
        <f>Saldo_relativo_per_capita!Q82*Saldo_relativo_per_capita!Q$543/1000000</f>
        <v>0</v>
      </c>
      <c r="R82" s="340">
        <f>Saldo_relativo_per_capita!R82*Saldo_relativo_per_capita!R$543/1000000</f>
        <v>0</v>
      </c>
      <c r="S82" s="340">
        <f>Saldo_relativo_per_capita!S82*Saldo_relativo_per_capita!S$543/1000000</f>
        <v>0</v>
      </c>
      <c r="T82" s="340">
        <f>Saldo_relativo_per_capita!T82*Saldo_relativo_per_capita!T$543/1000000</f>
        <v>0</v>
      </c>
      <c r="U82" s="340">
        <f>Saldo_relativo_per_capita!U82*Saldo_relativo_per_capita!U$543/1000000</f>
        <v>0</v>
      </c>
      <c r="V82" s="340">
        <f>Saldo_relativo_per_capita!V82*Saldo_relativo_per_capita!V$543/1000000</f>
        <v>0</v>
      </c>
      <c r="W82" s="148"/>
    </row>
    <row r="83" spans="1:23" s="115" customFormat="1">
      <c r="A83" s="355" t="str">
        <f>IF(B83="","",(IF(ISERROR(MATCH(B83,Tot_res!C:C,0)),"Eliminar!!!","")))</f>
        <v/>
      </c>
      <c r="B83" s="115" t="s">
        <v>187</v>
      </c>
      <c r="C83" s="333" t="str">
        <f>VLOOKUP(B83,Tot_res!C:D,2,FALSE)</f>
        <v>Astronomía y astrofísica</v>
      </c>
      <c r="D83" s="340">
        <f>Saldo_relativo_per_capita!D83*Saldo_relativo_per_capita!D$543/1000000</f>
        <v>0</v>
      </c>
      <c r="E83" s="340">
        <f>Saldo_relativo_per_capita!E83*Saldo_relativo_per_capita!E$543/1000000</f>
        <v>0</v>
      </c>
      <c r="F83" s="340">
        <f>Saldo_relativo_per_capita!F83*Saldo_relativo_per_capita!F$543/1000000</f>
        <v>0</v>
      </c>
      <c r="G83" s="340">
        <f>Saldo_relativo_per_capita!G83*Saldo_relativo_per_capita!G$543/1000000</f>
        <v>0</v>
      </c>
      <c r="H83" s="340">
        <f>Saldo_relativo_per_capita!H83*Saldo_relativo_per_capita!H$543/1000000</f>
        <v>0</v>
      </c>
      <c r="I83" s="340">
        <f>Saldo_relativo_per_capita!I83*Saldo_relativo_per_capita!I$543/1000000</f>
        <v>0</v>
      </c>
      <c r="J83" s="340">
        <f>Saldo_relativo_per_capita!J83*Saldo_relativo_per_capita!J$543/1000000</f>
        <v>0</v>
      </c>
      <c r="K83" s="340">
        <f>Saldo_relativo_per_capita!K83*Saldo_relativo_per_capita!K$543/1000000</f>
        <v>0</v>
      </c>
      <c r="L83" s="340">
        <f>Saldo_relativo_per_capita!L83*Saldo_relativo_per_capita!L$543/1000000</f>
        <v>0</v>
      </c>
      <c r="M83" s="340">
        <f>Saldo_relativo_per_capita!M83*Saldo_relativo_per_capita!M$543/1000000</f>
        <v>0</v>
      </c>
      <c r="N83" s="340">
        <f>Saldo_relativo_per_capita!N83*Saldo_relativo_per_capita!N$543/1000000</f>
        <v>0</v>
      </c>
      <c r="O83" s="340">
        <f>Saldo_relativo_per_capita!O83*Saldo_relativo_per_capita!O$543/1000000</f>
        <v>0</v>
      </c>
      <c r="P83" s="340">
        <f>Saldo_relativo_per_capita!P83*Saldo_relativo_per_capita!P$543/1000000</f>
        <v>0</v>
      </c>
      <c r="Q83" s="340">
        <f>Saldo_relativo_per_capita!Q83*Saldo_relativo_per_capita!Q$543/1000000</f>
        <v>0</v>
      </c>
      <c r="R83" s="340">
        <f>Saldo_relativo_per_capita!R83*Saldo_relativo_per_capita!R$543/1000000</f>
        <v>0</v>
      </c>
      <c r="S83" s="340">
        <f>Saldo_relativo_per_capita!S83*Saldo_relativo_per_capita!S$543/1000000</f>
        <v>0</v>
      </c>
      <c r="T83" s="340">
        <f>Saldo_relativo_per_capita!T83*Saldo_relativo_per_capita!T$543/1000000</f>
        <v>0</v>
      </c>
      <c r="U83" s="340">
        <f>Saldo_relativo_per_capita!U83*Saldo_relativo_per_capita!U$543/1000000</f>
        <v>0</v>
      </c>
      <c r="V83" s="340">
        <f>Saldo_relativo_per_capita!V83*Saldo_relativo_per_capita!V$543/1000000</f>
        <v>0</v>
      </c>
      <c r="W83" s="148"/>
    </row>
    <row r="84" spans="1:23" s="115" customFormat="1">
      <c r="A84" s="355" t="str">
        <f>IF(B84="","",(IF(ISERROR(MATCH(B84,Tot_res!C:C,0)),"Eliminar!!!","")))</f>
        <v/>
      </c>
      <c r="B84" s="115" t="s">
        <v>723</v>
      </c>
      <c r="C84" s="333" t="str">
        <f>VLOOKUP(B84,Tot_res!C:D,2,FALSE)</f>
        <v>Investigación y desarrollo tecnológico-industrial</v>
      </c>
      <c r="D84" s="340">
        <f>Saldo_relativo_per_capita!D84*Saldo_relativo_per_capita!D$543/1000000</f>
        <v>0</v>
      </c>
      <c r="E84" s="340">
        <f>Saldo_relativo_per_capita!E84*Saldo_relativo_per_capita!E$543/1000000</f>
        <v>0</v>
      </c>
      <c r="F84" s="340">
        <f>Saldo_relativo_per_capita!F84*Saldo_relativo_per_capita!F$543/1000000</f>
        <v>0</v>
      </c>
      <c r="G84" s="340">
        <f>Saldo_relativo_per_capita!G84*Saldo_relativo_per_capita!G$543/1000000</f>
        <v>0</v>
      </c>
      <c r="H84" s="340">
        <f>Saldo_relativo_per_capita!H84*Saldo_relativo_per_capita!H$543/1000000</f>
        <v>0</v>
      </c>
      <c r="I84" s="340">
        <f>Saldo_relativo_per_capita!I84*Saldo_relativo_per_capita!I$543/1000000</f>
        <v>0</v>
      </c>
      <c r="J84" s="340">
        <f>Saldo_relativo_per_capita!J84*Saldo_relativo_per_capita!J$543/1000000</f>
        <v>0</v>
      </c>
      <c r="K84" s="340">
        <f>Saldo_relativo_per_capita!K84*Saldo_relativo_per_capita!K$543/1000000</f>
        <v>0</v>
      </c>
      <c r="L84" s="340">
        <f>Saldo_relativo_per_capita!L84*Saldo_relativo_per_capita!L$543/1000000</f>
        <v>0</v>
      </c>
      <c r="M84" s="340">
        <f>Saldo_relativo_per_capita!M84*Saldo_relativo_per_capita!M$543/1000000</f>
        <v>0</v>
      </c>
      <c r="N84" s="340">
        <f>Saldo_relativo_per_capita!N84*Saldo_relativo_per_capita!N$543/1000000</f>
        <v>0</v>
      </c>
      <c r="O84" s="340">
        <f>Saldo_relativo_per_capita!O84*Saldo_relativo_per_capita!O$543/1000000</f>
        <v>0</v>
      </c>
      <c r="P84" s="340">
        <f>Saldo_relativo_per_capita!P84*Saldo_relativo_per_capita!P$543/1000000</f>
        <v>0</v>
      </c>
      <c r="Q84" s="340">
        <f>Saldo_relativo_per_capita!Q84*Saldo_relativo_per_capita!Q$543/1000000</f>
        <v>0</v>
      </c>
      <c r="R84" s="340">
        <f>Saldo_relativo_per_capita!R84*Saldo_relativo_per_capita!R$543/1000000</f>
        <v>0</v>
      </c>
      <c r="S84" s="340">
        <f>Saldo_relativo_per_capita!S84*Saldo_relativo_per_capita!S$543/1000000</f>
        <v>0</v>
      </c>
      <c r="T84" s="340">
        <f>Saldo_relativo_per_capita!T84*Saldo_relativo_per_capita!T$543/1000000</f>
        <v>0</v>
      </c>
      <c r="U84" s="340">
        <f>Saldo_relativo_per_capita!U84*Saldo_relativo_per_capita!U$543/1000000</f>
        <v>0</v>
      </c>
      <c r="V84" s="340">
        <f>Saldo_relativo_per_capita!V84*Saldo_relativo_per_capita!V$543/1000000</f>
        <v>0</v>
      </c>
      <c r="W84" s="148"/>
    </row>
    <row r="85" spans="1:23" s="115" customFormat="1">
      <c r="A85" s="355" t="str">
        <f>IF(B85="","",(IF(ISERROR(MATCH(B85,Tot_res!C:C,0)),"Eliminar!!!","")))</f>
        <v/>
      </c>
      <c r="B85" s="115" t="s">
        <v>188</v>
      </c>
      <c r="C85" s="333" t="str">
        <f>VLOOKUP(B85,Tot_res!C:D,2,FALSE)</f>
        <v>Investigación y experimentación agraria</v>
      </c>
      <c r="D85" s="340">
        <f>Saldo_relativo_per_capita!D85*Saldo_relativo_per_capita!D$543/1000000</f>
        <v>0</v>
      </c>
      <c r="E85" s="340">
        <f>Saldo_relativo_per_capita!E85*Saldo_relativo_per_capita!E$543/1000000</f>
        <v>0</v>
      </c>
      <c r="F85" s="340">
        <f>Saldo_relativo_per_capita!F85*Saldo_relativo_per_capita!F$543/1000000</f>
        <v>0</v>
      </c>
      <c r="G85" s="340">
        <f>Saldo_relativo_per_capita!G85*Saldo_relativo_per_capita!G$543/1000000</f>
        <v>0</v>
      </c>
      <c r="H85" s="340">
        <f>Saldo_relativo_per_capita!H85*Saldo_relativo_per_capita!H$543/1000000</f>
        <v>0</v>
      </c>
      <c r="I85" s="340">
        <f>Saldo_relativo_per_capita!I85*Saldo_relativo_per_capita!I$543/1000000</f>
        <v>0</v>
      </c>
      <c r="J85" s="340">
        <f>Saldo_relativo_per_capita!J85*Saldo_relativo_per_capita!J$543/1000000</f>
        <v>0</v>
      </c>
      <c r="K85" s="340">
        <f>Saldo_relativo_per_capita!K85*Saldo_relativo_per_capita!K$543/1000000</f>
        <v>0</v>
      </c>
      <c r="L85" s="340">
        <f>Saldo_relativo_per_capita!L85*Saldo_relativo_per_capita!L$543/1000000</f>
        <v>0</v>
      </c>
      <c r="M85" s="340">
        <f>Saldo_relativo_per_capita!M85*Saldo_relativo_per_capita!M$543/1000000</f>
        <v>0</v>
      </c>
      <c r="N85" s="340">
        <f>Saldo_relativo_per_capita!N85*Saldo_relativo_per_capita!N$543/1000000</f>
        <v>0</v>
      </c>
      <c r="O85" s="340">
        <f>Saldo_relativo_per_capita!O85*Saldo_relativo_per_capita!O$543/1000000</f>
        <v>0</v>
      </c>
      <c r="P85" s="340">
        <f>Saldo_relativo_per_capita!P85*Saldo_relativo_per_capita!P$543/1000000</f>
        <v>0</v>
      </c>
      <c r="Q85" s="340">
        <f>Saldo_relativo_per_capita!Q85*Saldo_relativo_per_capita!Q$543/1000000</f>
        <v>0</v>
      </c>
      <c r="R85" s="340">
        <f>Saldo_relativo_per_capita!R85*Saldo_relativo_per_capita!R$543/1000000</f>
        <v>0</v>
      </c>
      <c r="S85" s="340">
        <f>Saldo_relativo_per_capita!S85*Saldo_relativo_per_capita!S$543/1000000</f>
        <v>0</v>
      </c>
      <c r="T85" s="340">
        <f>Saldo_relativo_per_capita!T85*Saldo_relativo_per_capita!T$543/1000000</f>
        <v>0</v>
      </c>
      <c r="U85" s="340">
        <f>Saldo_relativo_per_capita!U85*Saldo_relativo_per_capita!U$543/1000000</f>
        <v>0</v>
      </c>
      <c r="V85" s="340">
        <f>Saldo_relativo_per_capita!V85*Saldo_relativo_per_capita!V$543/1000000</f>
        <v>0</v>
      </c>
      <c r="W85" s="148"/>
    </row>
    <row r="86" spans="1:23" s="115" customFormat="1">
      <c r="A86" s="355" t="str">
        <f>IF(B86="","",(IF(ISERROR(MATCH(B86,Tot_res!C:C,0)),"Eliminar!!!","")))</f>
        <v/>
      </c>
      <c r="B86" s="115" t="s">
        <v>189</v>
      </c>
      <c r="C86" s="333" t="str">
        <f>VLOOKUP(B86,Tot_res!C:D,2,FALSE)</f>
        <v>Investigación oceanográfica y pesquera</v>
      </c>
      <c r="D86" s="340">
        <f>Saldo_relativo_per_capita!D86*Saldo_relativo_per_capita!D$543/1000000</f>
        <v>0</v>
      </c>
      <c r="E86" s="340">
        <f>Saldo_relativo_per_capita!E86*Saldo_relativo_per_capita!E$543/1000000</f>
        <v>0</v>
      </c>
      <c r="F86" s="340">
        <f>Saldo_relativo_per_capita!F86*Saldo_relativo_per_capita!F$543/1000000</f>
        <v>0</v>
      </c>
      <c r="G86" s="340">
        <f>Saldo_relativo_per_capita!G86*Saldo_relativo_per_capita!G$543/1000000</f>
        <v>0</v>
      </c>
      <c r="H86" s="340">
        <f>Saldo_relativo_per_capita!H86*Saldo_relativo_per_capita!H$543/1000000</f>
        <v>0</v>
      </c>
      <c r="I86" s="340">
        <f>Saldo_relativo_per_capita!I86*Saldo_relativo_per_capita!I$543/1000000</f>
        <v>0</v>
      </c>
      <c r="J86" s="340">
        <f>Saldo_relativo_per_capita!J86*Saldo_relativo_per_capita!J$543/1000000</f>
        <v>0</v>
      </c>
      <c r="K86" s="340">
        <f>Saldo_relativo_per_capita!K86*Saldo_relativo_per_capita!K$543/1000000</f>
        <v>0</v>
      </c>
      <c r="L86" s="340">
        <f>Saldo_relativo_per_capita!L86*Saldo_relativo_per_capita!L$543/1000000</f>
        <v>0</v>
      </c>
      <c r="M86" s="340">
        <f>Saldo_relativo_per_capita!M86*Saldo_relativo_per_capita!M$543/1000000</f>
        <v>0</v>
      </c>
      <c r="N86" s="340">
        <f>Saldo_relativo_per_capita!N86*Saldo_relativo_per_capita!N$543/1000000</f>
        <v>0</v>
      </c>
      <c r="O86" s="340">
        <f>Saldo_relativo_per_capita!O86*Saldo_relativo_per_capita!O$543/1000000</f>
        <v>0</v>
      </c>
      <c r="P86" s="340">
        <f>Saldo_relativo_per_capita!P86*Saldo_relativo_per_capita!P$543/1000000</f>
        <v>0</v>
      </c>
      <c r="Q86" s="340">
        <f>Saldo_relativo_per_capita!Q86*Saldo_relativo_per_capita!Q$543/1000000</f>
        <v>0</v>
      </c>
      <c r="R86" s="340">
        <f>Saldo_relativo_per_capita!R86*Saldo_relativo_per_capita!R$543/1000000</f>
        <v>0</v>
      </c>
      <c r="S86" s="340">
        <f>Saldo_relativo_per_capita!S86*Saldo_relativo_per_capita!S$543/1000000</f>
        <v>0</v>
      </c>
      <c r="T86" s="340">
        <f>Saldo_relativo_per_capita!T86*Saldo_relativo_per_capita!T$543/1000000</f>
        <v>0</v>
      </c>
      <c r="U86" s="340">
        <f>Saldo_relativo_per_capita!U86*Saldo_relativo_per_capita!U$543/1000000</f>
        <v>0</v>
      </c>
      <c r="V86" s="340">
        <f>Saldo_relativo_per_capita!V86*Saldo_relativo_per_capita!V$543/1000000</f>
        <v>0</v>
      </c>
      <c r="W86" s="148"/>
    </row>
    <row r="87" spans="1:23" s="115" customFormat="1">
      <c r="A87" s="355" t="str">
        <f>IF(B87="","",(IF(ISERROR(MATCH(B87,Tot_res!C:C,0)),"Eliminar!!!","")))</f>
        <v/>
      </c>
      <c r="B87" s="115" t="s">
        <v>190</v>
      </c>
      <c r="C87" s="333" t="str">
        <f>VLOOKUP(B87,Tot_res!C:D,2,FALSE)</f>
        <v>Investigación geológico-minera y medioambiental</v>
      </c>
      <c r="D87" s="340">
        <f>Saldo_relativo_per_capita!D87*Saldo_relativo_per_capita!D$543/1000000</f>
        <v>0</v>
      </c>
      <c r="E87" s="340">
        <f>Saldo_relativo_per_capita!E87*Saldo_relativo_per_capita!E$543/1000000</f>
        <v>0</v>
      </c>
      <c r="F87" s="340">
        <f>Saldo_relativo_per_capita!F87*Saldo_relativo_per_capita!F$543/1000000</f>
        <v>0</v>
      </c>
      <c r="G87" s="340">
        <f>Saldo_relativo_per_capita!G87*Saldo_relativo_per_capita!G$543/1000000</f>
        <v>0</v>
      </c>
      <c r="H87" s="340">
        <f>Saldo_relativo_per_capita!H87*Saldo_relativo_per_capita!H$543/1000000</f>
        <v>0</v>
      </c>
      <c r="I87" s="340">
        <f>Saldo_relativo_per_capita!I87*Saldo_relativo_per_capita!I$543/1000000</f>
        <v>0</v>
      </c>
      <c r="J87" s="340">
        <f>Saldo_relativo_per_capita!J87*Saldo_relativo_per_capita!J$543/1000000</f>
        <v>0</v>
      </c>
      <c r="K87" s="340">
        <f>Saldo_relativo_per_capita!K87*Saldo_relativo_per_capita!K$543/1000000</f>
        <v>0</v>
      </c>
      <c r="L87" s="340">
        <f>Saldo_relativo_per_capita!L87*Saldo_relativo_per_capita!L$543/1000000</f>
        <v>0</v>
      </c>
      <c r="M87" s="340">
        <f>Saldo_relativo_per_capita!M87*Saldo_relativo_per_capita!M$543/1000000</f>
        <v>0</v>
      </c>
      <c r="N87" s="340">
        <f>Saldo_relativo_per_capita!N87*Saldo_relativo_per_capita!N$543/1000000</f>
        <v>0</v>
      </c>
      <c r="O87" s="340">
        <f>Saldo_relativo_per_capita!O87*Saldo_relativo_per_capita!O$543/1000000</f>
        <v>0</v>
      </c>
      <c r="P87" s="340">
        <f>Saldo_relativo_per_capita!P87*Saldo_relativo_per_capita!P$543/1000000</f>
        <v>0</v>
      </c>
      <c r="Q87" s="340">
        <f>Saldo_relativo_per_capita!Q87*Saldo_relativo_per_capita!Q$543/1000000</f>
        <v>0</v>
      </c>
      <c r="R87" s="340">
        <f>Saldo_relativo_per_capita!R87*Saldo_relativo_per_capita!R$543/1000000</f>
        <v>0</v>
      </c>
      <c r="S87" s="340">
        <f>Saldo_relativo_per_capita!S87*Saldo_relativo_per_capita!S$543/1000000</f>
        <v>0</v>
      </c>
      <c r="T87" s="340">
        <f>Saldo_relativo_per_capita!T87*Saldo_relativo_per_capita!T$543/1000000</f>
        <v>0</v>
      </c>
      <c r="U87" s="340">
        <f>Saldo_relativo_per_capita!U87*Saldo_relativo_per_capita!U$543/1000000</f>
        <v>0</v>
      </c>
      <c r="V87" s="340">
        <f>Saldo_relativo_per_capita!V87*Saldo_relativo_per_capita!V$543/1000000</f>
        <v>0</v>
      </c>
      <c r="W87" s="148"/>
    </row>
    <row r="88" spans="1:23" s="115" customFormat="1">
      <c r="A88" s="355" t="str">
        <f>IF(B88="","",(IF(ISERROR(MATCH(B88,Tot_res!C:C,0)),"Eliminar!!!","")))</f>
        <v/>
      </c>
      <c r="B88" s="115" t="s">
        <v>192</v>
      </c>
      <c r="C88" s="333" t="str">
        <f>VLOOKUP(B88,Tot_res!C:D,2,FALSE)</f>
        <v>Investigación energética, medioambiental y tecnológica</v>
      </c>
      <c r="D88" s="340">
        <f>Saldo_relativo_per_capita!D88*Saldo_relativo_per_capita!D$543/1000000</f>
        <v>0</v>
      </c>
      <c r="E88" s="340">
        <f>Saldo_relativo_per_capita!E88*Saldo_relativo_per_capita!E$543/1000000</f>
        <v>0</v>
      </c>
      <c r="F88" s="340">
        <f>Saldo_relativo_per_capita!F88*Saldo_relativo_per_capita!F$543/1000000</f>
        <v>0</v>
      </c>
      <c r="G88" s="340">
        <f>Saldo_relativo_per_capita!G88*Saldo_relativo_per_capita!G$543/1000000</f>
        <v>0</v>
      </c>
      <c r="H88" s="340">
        <f>Saldo_relativo_per_capita!H88*Saldo_relativo_per_capita!H$543/1000000</f>
        <v>0</v>
      </c>
      <c r="I88" s="340">
        <f>Saldo_relativo_per_capita!I88*Saldo_relativo_per_capita!I$543/1000000</f>
        <v>0</v>
      </c>
      <c r="J88" s="340">
        <f>Saldo_relativo_per_capita!J88*Saldo_relativo_per_capita!J$543/1000000</f>
        <v>0</v>
      </c>
      <c r="K88" s="340">
        <f>Saldo_relativo_per_capita!K88*Saldo_relativo_per_capita!K$543/1000000</f>
        <v>0</v>
      </c>
      <c r="L88" s="340">
        <f>Saldo_relativo_per_capita!L88*Saldo_relativo_per_capita!L$543/1000000</f>
        <v>0</v>
      </c>
      <c r="M88" s="340">
        <f>Saldo_relativo_per_capita!M88*Saldo_relativo_per_capita!M$543/1000000</f>
        <v>0</v>
      </c>
      <c r="N88" s="340">
        <f>Saldo_relativo_per_capita!N88*Saldo_relativo_per_capita!N$543/1000000</f>
        <v>0</v>
      </c>
      <c r="O88" s="340">
        <f>Saldo_relativo_per_capita!O88*Saldo_relativo_per_capita!O$543/1000000</f>
        <v>0</v>
      </c>
      <c r="P88" s="340">
        <f>Saldo_relativo_per_capita!P88*Saldo_relativo_per_capita!P$543/1000000</f>
        <v>0</v>
      </c>
      <c r="Q88" s="340">
        <f>Saldo_relativo_per_capita!Q88*Saldo_relativo_per_capita!Q$543/1000000</f>
        <v>0</v>
      </c>
      <c r="R88" s="340">
        <f>Saldo_relativo_per_capita!R88*Saldo_relativo_per_capita!R$543/1000000</f>
        <v>0</v>
      </c>
      <c r="S88" s="340">
        <f>Saldo_relativo_per_capita!S88*Saldo_relativo_per_capita!S$543/1000000</f>
        <v>0</v>
      </c>
      <c r="T88" s="340">
        <f>Saldo_relativo_per_capita!T88*Saldo_relativo_per_capita!T$543/1000000</f>
        <v>0</v>
      </c>
      <c r="U88" s="340">
        <f>Saldo_relativo_per_capita!U88*Saldo_relativo_per_capita!U$543/1000000</f>
        <v>0</v>
      </c>
      <c r="V88" s="340">
        <f>Saldo_relativo_per_capita!V88*Saldo_relativo_per_capita!V$543/1000000</f>
        <v>0</v>
      </c>
      <c r="W88" s="148"/>
    </row>
    <row r="89" spans="1:23" s="115" customFormat="1">
      <c r="A89" s="355" t="str">
        <f>IF(B89="","",(IF(ISERROR(MATCH(B89,Tot_res!C:C,0)),"Eliminar!!!","")))</f>
        <v/>
      </c>
      <c r="B89" s="115" t="s">
        <v>193</v>
      </c>
      <c r="C89" s="333" t="str">
        <f>VLOOKUP(B89,Tot_res!C:D,2,FALSE)</f>
        <v>Desarrollo y aplicación de la información geográfica española</v>
      </c>
      <c r="D89" s="340">
        <f>Saldo_relativo_per_capita!D89*Saldo_relativo_per_capita!D$543/1000000</f>
        <v>0</v>
      </c>
      <c r="E89" s="340">
        <f>Saldo_relativo_per_capita!E89*Saldo_relativo_per_capita!E$543/1000000</f>
        <v>0</v>
      </c>
      <c r="F89" s="340">
        <f>Saldo_relativo_per_capita!F89*Saldo_relativo_per_capita!F$543/1000000</f>
        <v>0</v>
      </c>
      <c r="G89" s="340">
        <f>Saldo_relativo_per_capita!G89*Saldo_relativo_per_capita!G$543/1000000</f>
        <v>0</v>
      </c>
      <c r="H89" s="340">
        <f>Saldo_relativo_per_capita!H89*Saldo_relativo_per_capita!H$543/1000000</f>
        <v>0</v>
      </c>
      <c r="I89" s="340">
        <f>Saldo_relativo_per_capita!I89*Saldo_relativo_per_capita!I$543/1000000</f>
        <v>0</v>
      </c>
      <c r="J89" s="340">
        <f>Saldo_relativo_per_capita!J89*Saldo_relativo_per_capita!J$543/1000000</f>
        <v>0</v>
      </c>
      <c r="K89" s="340">
        <f>Saldo_relativo_per_capita!K89*Saldo_relativo_per_capita!K$543/1000000</f>
        <v>0</v>
      </c>
      <c r="L89" s="340">
        <f>Saldo_relativo_per_capita!L89*Saldo_relativo_per_capita!L$543/1000000</f>
        <v>0</v>
      </c>
      <c r="M89" s="340">
        <f>Saldo_relativo_per_capita!M89*Saldo_relativo_per_capita!M$543/1000000</f>
        <v>0</v>
      </c>
      <c r="N89" s="340">
        <f>Saldo_relativo_per_capita!N89*Saldo_relativo_per_capita!N$543/1000000</f>
        <v>0</v>
      </c>
      <c r="O89" s="340">
        <f>Saldo_relativo_per_capita!O89*Saldo_relativo_per_capita!O$543/1000000</f>
        <v>0</v>
      </c>
      <c r="P89" s="340">
        <f>Saldo_relativo_per_capita!P89*Saldo_relativo_per_capita!P$543/1000000</f>
        <v>0</v>
      </c>
      <c r="Q89" s="340">
        <f>Saldo_relativo_per_capita!Q89*Saldo_relativo_per_capita!Q$543/1000000</f>
        <v>0</v>
      </c>
      <c r="R89" s="340">
        <f>Saldo_relativo_per_capita!R89*Saldo_relativo_per_capita!R$543/1000000</f>
        <v>0</v>
      </c>
      <c r="S89" s="340">
        <f>Saldo_relativo_per_capita!S89*Saldo_relativo_per_capita!S$543/1000000</f>
        <v>0</v>
      </c>
      <c r="T89" s="340">
        <f>Saldo_relativo_per_capita!T89*Saldo_relativo_per_capita!T$543/1000000</f>
        <v>0</v>
      </c>
      <c r="U89" s="340">
        <f>Saldo_relativo_per_capita!U89*Saldo_relativo_per_capita!U$543/1000000</f>
        <v>0</v>
      </c>
      <c r="V89" s="340">
        <f>Saldo_relativo_per_capita!V89*Saldo_relativo_per_capita!V$543/1000000</f>
        <v>0</v>
      </c>
      <c r="W89" s="148"/>
    </row>
    <row r="90" spans="1:23" s="115" customFormat="1">
      <c r="A90" s="355" t="str">
        <f>IF(B90="","",(IF(ISERROR(MATCH(B90,Tot_res!C:C,0)),"Eliminar!!!","")))</f>
        <v/>
      </c>
      <c r="B90" s="115" t="s">
        <v>194</v>
      </c>
      <c r="C90" s="333" t="str">
        <f>VLOOKUP(B90,Tot_res!C:D,2,FALSE)</f>
        <v>Elaboración y difusión estadística</v>
      </c>
      <c r="D90" s="340">
        <f>Saldo_relativo_per_capita!D90*Saldo_relativo_per_capita!D$543/1000000</f>
        <v>0</v>
      </c>
      <c r="E90" s="340">
        <f>Saldo_relativo_per_capita!E90*Saldo_relativo_per_capita!E$543/1000000</f>
        <v>0</v>
      </c>
      <c r="F90" s="340">
        <f>Saldo_relativo_per_capita!F90*Saldo_relativo_per_capita!F$543/1000000</f>
        <v>0</v>
      </c>
      <c r="G90" s="340">
        <f>Saldo_relativo_per_capita!G90*Saldo_relativo_per_capita!G$543/1000000</f>
        <v>0</v>
      </c>
      <c r="H90" s="340">
        <f>Saldo_relativo_per_capita!H90*Saldo_relativo_per_capita!H$543/1000000</f>
        <v>0</v>
      </c>
      <c r="I90" s="340">
        <f>Saldo_relativo_per_capita!I90*Saldo_relativo_per_capita!I$543/1000000</f>
        <v>0</v>
      </c>
      <c r="J90" s="340">
        <f>Saldo_relativo_per_capita!J90*Saldo_relativo_per_capita!J$543/1000000</f>
        <v>0</v>
      </c>
      <c r="K90" s="340">
        <f>Saldo_relativo_per_capita!K90*Saldo_relativo_per_capita!K$543/1000000</f>
        <v>0</v>
      </c>
      <c r="L90" s="340">
        <f>Saldo_relativo_per_capita!L90*Saldo_relativo_per_capita!L$543/1000000</f>
        <v>0</v>
      </c>
      <c r="M90" s="340">
        <f>Saldo_relativo_per_capita!M90*Saldo_relativo_per_capita!M$543/1000000</f>
        <v>0</v>
      </c>
      <c r="N90" s="340">
        <f>Saldo_relativo_per_capita!N90*Saldo_relativo_per_capita!N$543/1000000</f>
        <v>0</v>
      </c>
      <c r="O90" s="340">
        <f>Saldo_relativo_per_capita!O90*Saldo_relativo_per_capita!O$543/1000000</f>
        <v>0</v>
      </c>
      <c r="P90" s="340">
        <f>Saldo_relativo_per_capita!P90*Saldo_relativo_per_capita!P$543/1000000</f>
        <v>0</v>
      </c>
      <c r="Q90" s="340">
        <f>Saldo_relativo_per_capita!Q90*Saldo_relativo_per_capita!Q$543/1000000</f>
        <v>0</v>
      </c>
      <c r="R90" s="340">
        <f>Saldo_relativo_per_capita!R90*Saldo_relativo_per_capita!R$543/1000000</f>
        <v>0</v>
      </c>
      <c r="S90" s="340">
        <f>Saldo_relativo_per_capita!S90*Saldo_relativo_per_capita!S$543/1000000</f>
        <v>0</v>
      </c>
      <c r="T90" s="340">
        <f>Saldo_relativo_per_capita!T90*Saldo_relativo_per_capita!T$543/1000000</f>
        <v>0</v>
      </c>
      <c r="U90" s="340">
        <f>Saldo_relativo_per_capita!U90*Saldo_relativo_per_capita!U$543/1000000</f>
        <v>0</v>
      </c>
      <c r="V90" s="340">
        <f>Saldo_relativo_per_capita!V90*Saldo_relativo_per_capita!V$543/1000000</f>
        <v>0</v>
      </c>
      <c r="W90" s="148"/>
    </row>
    <row r="91" spans="1:23">
      <c r="A91" s="356"/>
      <c r="C91" s="41"/>
      <c r="D91" s="39"/>
      <c r="E91" s="39"/>
      <c r="F91" s="39"/>
      <c r="G91" s="39"/>
      <c r="H91" s="39"/>
      <c r="I91" s="39"/>
      <c r="J91" s="39"/>
      <c r="K91" s="39"/>
      <c r="L91" s="39"/>
      <c r="M91" s="39"/>
      <c r="N91" s="39"/>
      <c r="O91" s="39"/>
      <c r="P91" s="39"/>
      <c r="Q91" s="39"/>
      <c r="R91" s="39"/>
      <c r="S91" s="39"/>
      <c r="T91" s="39"/>
      <c r="U91" s="39"/>
      <c r="V91" s="39"/>
      <c r="W91" s="40"/>
    </row>
    <row r="92" spans="1:23" s="115" customFormat="1">
      <c r="A92" s="356"/>
      <c r="C92" s="128" t="s">
        <v>21</v>
      </c>
      <c r="D92" s="219">
        <f>Saldo_relativo_per_capita!D92*Saldo_relativo_per_capita!D$543/1000000</f>
        <v>0</v>
      </c>
      <c r="E92" s="219">
        <f>Saldo_relativo_per_capita!E92*Saldo_relativo_per_capita!E$543/1000000</f>
        <v>0</v>
      </c>
      <c r="F92" s="219">
        <f>Saldo_relativo_per_capita!F92*Saldo_relativo_per_capita!F$543/1000000</f>
        <v>0</v>
      </c>
      <c r="G92" s="219">
        <f>Saldo_relativo_per_capita!G92*Saldo_relativo_per_capita!G$543/1000000</f>
        <v>0</v>
      </c>
      <c r="H92" s="219">
        <f>Saldo_relativo_per_capita!H92*Saldo_relativo_per_capita!H$543/1000000</f>
        <v>0</v>
      </c>
      <c r="I92" s="219">
        <f>Saldo_relativo_per_capita!I92*Saldo_relativo_per_capita!I$543/1000000</f>
        <v>0</v>
      </c>
      <c r="J92" s="219">
        <f>Saldo_relativo_per_capita!J92*Saldo_relativo_per_capita!J$543/1000000</f>
        <v>0</v>
      </c>
      <c r="K92" s="219">
        <f>Saldo_relativo_per_capita!K92*Saldo_relativo_per_capita!K$543/1000000</f>
        <v>0</v>
      </c>
      <c r="L92" s="219">
        <f>Saldo_relativo_per_capita!L92*Saldo_relativo_per_capita!L$543/1000000</f>
        <v>0</v>
      </c>
      <c r="M92" s="219">
        <f>Saldo_relativo_per_capita!M92*Saldo_relativo_per_capita!M$543/1000000</f>
        <v>0</v>
      </c>
      <c r="N92" s="219">
        <f>Saldo_relativo_per_capita!N92*Saldo_relativo_per_capita!N$543/1000000</f>
        <v>0</v>
      </c>
      <c r="O92" s="219">
        <f>Saldo_relativo_per_capita!O92*Saldo_relativo_per_capita!O$543/1000000</f>
        <v>0</v>
      </c>
      <c r="P92" s="219">
        <f>Saldo_relativo_per_capita!P92*Saldo_relativo_per_capita!P$543/1000000</f>
        <v>0</v>
      </c>
      <c r="Q92" s="219">
        <f>Saldo_relativo_per_capita!Q92*Saldo_relativo_per_capita!Q$543/1000000</f>
        <v>0</v>
      </c>
      <c r="R92" s="219">
        <f>Saldo_relativo_per_capita!R92*Saldo_relativo_per_capita!R$543/1000000</f>
        <v>0</v>
      </c>
      <c r="S92" s="219">
        <f>Saldo_relativo_per_capita!S92*Saldo_relativo_per_capita!S$543/1000000</f>
        <v>0</v>
      </c>
      <c r="T92" s="219">
        <f>Saldo_relativo_per_capita!T92*Saldo_relativo_per_capita!T$543/1000000</f>
        <v>0</v>
      </c>
      <c r="U92" s="219">
        <f>Saldo_relativo_per_capita!U92*Saldo_relativo_per_capita!U$543/1000000</f>
        <v>0</v>
      </c>
      <c r="V92" s="219">
        <f>Saldo_relativo_per_capita!V92*Saldo_relativo_per_capita!V$543/1000000</f>
        <v>0</v>
      </c>
      <c r="W92" s="148"/>
    </row>
    <row r="93" spans="1:23" s="115" customFormat="1">
      <c r="A93" s="355" t="str">
        <f>IF(B93="","",(IF(ISERROR(MATCH(B93,Tot_res!C:C,0)),"Eliminar!!!","")))</f>
        <v/>
      </c>
      <c r="B93" s="115" t="s">
        <v>196</v>
      </c>
      <c r="C93" s="333" t="str">
        <f>VLOOKUP(B93,Tot_res!C:D,2,FALSE)</f>
        <v>Dirección, control y gestión de seguros</v>
      </c>
      <c r="D93" s="340">
        <f>Saldo_relativo_per_capita!D93*Saldo_relativo_per_capita!D$543/1000000</f>
        <v>0</v>
      </c>
      <c r="E93" s="340">
        <f>Saldo_relativo_per_capita!E93*Saldo_relativo_per_capita!E$543/1000000</f>
        <v>0</v>
      </c>
      <c r="F93" s="340">
        <f>Saldo_relativo_per_capita!F93*Saldo_relativo_per_capita!F$543/1000000</f>
        <v>0</v>
      </c>
      <c r="G93" s="340">
        <f>Saldo_relativo_per_capita!G93*Saldo_relativo_per_capita!G$543/1000000</f>
        <v>0</v>
      </c>
      <c r="H93" s="340">
        <f>Saldo_relativo_per_capita!H93*Saldo_relativo_per_capita!H$543/1000000</f>
        <v>0</v>
      </c>
      <c r="I93" s="340">
        <f>Saldo_relativo_per_capita!I93*Saldo_relativo_per_capita!I$543/1000000</f>
        <v>0</v>
      </c>
      <c r="J93" s="340">
        <f>Saldo_relativo_per_capita!J93*Saldo_relativo_per_capita!J$543/1000000</f>
        <v>0</v>
      </c>
      <c r="K93" s="340">
        <f>Saldo_relativo_per_capita!K93*Saldo_relativo_per_capita!K$543/1000000</f>
        <v>0</v>
      </c>
      <c r="L93" s="340">
        <f>Saldo_relativo_per_capita!L93*Saldo_relativo_per_capita!L$543/1000000</f>
        <v>0</v>
      </c>
      <c r="M93" s="340">
        <f>Saldo_relativo_per_capita!M93*Saldo_relativo_per_capita!M$543/1000000</f>
        <v>0</v>
      </c>
      <c r="N93" s="340">
        <f>Saldo_relativo_per_capita!N93*Saldo_relativo_per_capita!N$543/1000000</f>
        <v>0</v>
      </c>
      <c r="O93" s="340">
        <f>Saldo_relativo_per_capita!O93*Saldo_relativo_per_capita!O$543/1000000</f>
        <v>0</v>
      </c>
      <c r="P93" s="340">
        <f>Saldo_relativo_per_capita!P93*Saldo_relativo_per_capita!P$543/1000000</f>
        <v>0</v>
      </c>
      <c r="Q93" s="340">
        <f>Saldo_relativo_per_capita!Q93*Saldo_relativo_per_capita!Q$543/1000000</f>
        <v>0</v>
      </c>
      <c r="R93" s="340">
        <f>Saldo_relativo_per_capita!R93*Saldo_relativo_per_capita!R$543/1000000</f>
        <v>0</v>
      </c>
      <c r="S93" s="340">
        <f>Saldo_relativo_per_capita!S93*Saldo_relativo_per_capita!S$543/1000000</f>
        <v>0</v>
      </c>
      <c r="T93" s="340">
        <f>Saldo_relativo_per_capita!T93*Saldo_relativo_per_capita!T$543/1000000</f>
        <v>0</v>
      </c>
      <c r="U93" s="340">
        <f>Saldo_relativo_per_capita!U93*Saldo_relativo_per_capita!U$543/1000000</f>
        <v>0</v>
      </c>
      <c r="V93" s="340">
        <f>Saldo_relativo_per_capita!V93*Saldo_relativo_per_capita!V$543/1000000</f>
        <v>0</v>
      </c>
      <c r="W93" s="148"/>
    </row>
    <row r="94" spans="1:23" s="115" customFormat="1">
      <c r="A94" s="355" t="str">
        <f>IF(B94="","",(IF(ISERROR(MATCH(B94,Tot_res!C:C,0)),"Eliminar!!!","")))</f>
        <v/>
      </c>
      <c r="B94" s="115" t="s">
        <v>198</v>
      </c>
      <c r="C94" s="333" t="str">
        <f>VLOOKUP(B94,Tot_res!C:D,2,FALSE)</f>
        <v>Regulación contable y de auditorias</v>
      </c>
      <c r="D94" s="340">
        <f>Saldo_relativo_per_capita!D94*Saldo_relativo_per_capita!D$543/1000000</f>
        <v>0</v>
      </c>
      <c r="E94" s="340">
        <f>Saldo_relativo_per_capita!E94*Saldo_relativo_per_capita!E$543/1000000</f>
        <v>0</v>
      </c>
      <c r="F94" s="340">
        <f>Saldo_relativo_per_capita!F94*Saldo_relativo_per_capita!F$543/1000000</f>
        <v>0</v>
      </c>
      <c r="G94" s="340">
        <f>Saldo_relativo_per_capita!G94*Saldo_relativo_per_capita!G$543/1000000</f>
        <v>0</v>
      </c>
      <c r="H94" s="340">
        <f>Saldo_relativo_per_capita!H94*Saldo_relativo_per_capita!H$543/1000000</f>
        <v>0</v>
      </c>
      <c r="I94" s="340">
        <f>Saldo_relativo_per_capita!I94*Saldo_relativo_per_capita!I$543/1000000</f>
        <v>0</v>
      </c>
      <c r="J94" s="340">
        <f>Saldo_relativo_per_capita!J94*Saldo_relativo_per_capita!J$543/1000000</f>
        <v>0</v>
      </c>
      <c r="K94" s="340">
        <f>Saldo_relativo_per_capita!K94*Saldo_relativo_per_capita!K$543/1000000</f>
        <v>0</v>
      </c>
      <c r="L94" s="340">
        <f>Saldo_relativo_per_capita!L94*Saldo_relativo_per_capita!L$543/1000000</f>
        <v>0</v>
      </c>
      <c r="M94" s="340">
        <f>Saldo_relativo_per_capita!M94*Saldo_relativo_per_capita!M$543/1000000</f>
        <v>0</v>
      </c>
      <c r="N94" s="340">
        <f>Saldo_relativo_per_capita!N94*Saldo_relativo_per_capita!N$543/1000000</f>
        <v>0</v>
      </c>
      <c r="O94" s="340">
        <f>Saldo_relativo_per_capita!O94*Saldo_relativo_per_capita!O$543/1000000</f>
        <v>0</v>
      </c>
      <c r="P94" s="340">
        <f>Saldo_relativo_per_capita!P94*Saldo_relativo_per_capita!P$543/1000000</f>
        <v>0</v>
      </c>
      <c r="Q94" s="340">
        <f>Saldo_relativo_per_capita!Q94*Saldo_relativo_per_capita!Q$543/1000000</f>
        <v>0</v>
      </c>
      <c r="R94" s="340">
        <f>Saldo_relativo_per_capita!R94*Saldo_relativo_per_capita!R$543/1000000</f>
        <v>0</v>
      </c>
      <c r="S94" s="340">
        <f>Saldo_relativo_per_capita!S94*Saldo_relativo_per_capita!S$543/1000000</f>
        <v>0</v>
      </c>
      <c r="T94" s="340">
        <f>Saldo_relativo_per_capita!T94*Saldo_relativo_per_capita!T$543/1000000</f>
        <v>0</v>
      </c>
      <c r="U94" s="340">
        <f>Saldo_relativo_per_capita!U94*Saldo_relativo_per_capita!U$543/1000000</f>
        <v>0</v>
      </c>
      <c r="V94" s="340">
        <f>Saldo_relativo_per_capita!V94*Saldo_relativo_per_capita!V$543/1000000</f>
        <v>0</v>
      </c>
      <c r="W94" s="148"/>
    </row>
    <row r="95" spans="1:23" s="115" customFormat="1">
      <c r="A95" s="355" t="str">
        <f>IF(B95="","",(IF(ISERROR(MATCH(B95,Tot_res!C:C,0)),"Eliminar!!!","")))</f>
        <v/>
      </c>
      <c r="B95" s="115" t="s">
        <v>481</v>
      </c>
      <c r="C95" s="333" t="str">
        <f>VLOOKUP(B95,Tot_res!C:D,2,FALSE)</f>
        <v>Regulación del juego</v>
      </c>
      <c r="D95" s="340">
        <f>Saldo_relativo_per_capita!D95*Saldo_relativo_per_capita!D$543/1000000</f>
        <v>0</v>
      </c>
      <c r="E95" s="340">
        <f>Saldo_relativo_per_capita!E95*Saldo_relativo_per_capita!E$543/1000000</f>
        <v>0</v>
      </c>
      <c r="F95" s="340">
        <f>Saldo_relativo_per_capita!F95*Saldo_relativo_per_capita!F$543/1000000</f>
        <v>0</v>
      </c>
      <c r="G95" s="340">
        <f>Saldo_relativo_per_capita!G95*Saldo_relativo_per_capita!G$543/1000000</f>
        <v>0</v>
      </c>
      <c r="H95" s="340">
        <f>Saldo_relativo_per_capita!H95*Saldo_relativo_per_capita!H$543/1000000</f>
        <v>0</v>
      </c>
      <c r="I95" s="340">
        <f>Saldo_relativo_per_capita!I95*Saldo_relativo_per_capita!I$543/1000000</f>
        <v>0</v>
      </c>
      <c r="J95" s="340">
        <f>Saldo_relativo_per_capita!J95*Saldo_relativo_per_capita!J$543/1000000</f>
        <v>0</v>
      </c>
      <c r="K95" s="340">
        <f>Saldo_relativo_per_capita!K95*Saldo_relativo_per_capita!K$543/1000000</f>
        <v>0</v>
      </c>
      <c r="L95" s="340">
        <f>Saldo_relativo_per_capita!L95*Saldo_relativo_per_capita!L$543/1000000</f>
        <v>0</v>
      </c>
      <c r="M95" s="340">
        <f>Saldo_relativo_per_capita!M95*Saldo_relativo_per_capita!M$543/1000000</f>
        <v>0</v>
      </c>
      <c r="N95" s="340">
        <f>Saldo_relativo_per_capita!N95*Saldo_relativo_per_capita!N$543/1000000</f>
        <v>0</v>
      </c>
      <c r="O95" s="340">
        <f>Saldo_relativo_per_capita!O95*Saldo_relativo_per_capita!O$543/1000000</f>
        <v>0</v>
      </c>
      <c r="P95" s="340">
        <f>Saldo_relativo_per_capita!P95*Saldo_relativo_per_capita!P$543/1000000</f>
        <v>0</v>
      </c>
      <c r="Q95" s="340">
        <f>Saldo_relativo_per_capita!Q95*Saldo_relativo_per_capita!Q$543/1000000</f>
        <v>0</v>
      </c>
      <c r="R95" s="340">
        <f>Saldo_relativo_per_capita!R95*Saldo_relativo_per_capita!R$543/1000000</f>
        <v>0</v>
      </c>
      <c r="S95" s="340">
        <f>Saldo_relativo_per_capita!S95*Saldo_relativo_per_capita!S$543/1000000</f>
        <v>0</v>
      </c>
      <c r="T95" s="340">
        <f>Saldo_relativo_per_capita!T95*Saldo_relativo_per_capita!T$543/1000000</f>
        <v>0</v>
      </c>
      <c r="U95" s="340">
        <f>Saldo_relativo_per_capita!U95*Saldo_relativo_per_capita!U$543/1000000</f>
        <v>0</v>
      </c>
      <c r="V95" s="340">
        <f>Saldo_relativo_per_capita!V95*Saldo_relativo_per_capita!V$543/1000000</f>
        <v>0</v>
      </c>
      <c r="W95" s="148"/>
    </row>
    <row r="96" spans="1:23" s="115" customFormat="1">
      <c r="A96" s="355" t="str">
        <f>IF(B96="","",(IF(ISERROR(MATCH(B96,Tot_res!C:C,0)),"Eliminar!!!","")))</f>
        <v/>
      </c>
      <c r="B96" s="115" t="s">
        <v>632</v>
      </c>
      <c r="C96" s="333" t="str">
        <f>VLOOKUP(B96,Tot_res!C:D,2,FALSE)</f>
        <v>Comisión Nacional de la Competencia</v>
      </c>
      <c r="D96" s="340">
        <f>Saldo_relativo_per_capita!D96*Saldo_relativo_per_capita!D$543/1000000</f>
        <v>0</v>
      </c>
      <c r="E96" s="340">
        <f>Saldo_relativo_per_capita!E96*Saldo_relativo_per_capita!E$543/1000000</f>
        <v>0</v>
      </c>
      <c r="F96" s="340">
        <f>Saldo_relativo_per_capita!F96*Saldo_relativo_per_capita!F$543/1000000</f>
        <v>0</v>
      </c>
      <c r="G96" s="340">
        <f>Saldo_relativo_per_capita!G96*Saldo_relativo_per_capita!G$543/1000000</f>
        <v>0</v>
      </c>
      <c r="H96" s="340">
        <f>Saldo_relativo_per_capita!H96*Saldo_relativo_per_capita!H$543/1000000</f>
        <v>0</v>
      </c>
      <c r="I96" s="340">
        <f>Saldo_relativo_per_capita!I96*Saldo_relativo_per_capita!I$543/1000000</f>
        <v>0</v>
      </c>
      <c r="J96" s="340">
        <f>Saldo_relativo_per_capita!J96*Saldo_relativo_per_capita!J$543/1000000</f>
        <v>0</v>
      </c>
      <c r="K96" s="340">
        <f>Saldo_relativo_per_capita!K96*Saldo_relativo_per_capita!K$543/1000000</f>
        <v>0</v>
      </c>
      <c r="L96" s="340">
        <f>Saldo_relativo_per_capita!L96*Saldo_relativo_per_capita!L$543/1000000</f>
        <v>0</v>
      </c>
      <c r="M96" s="340">
        <f>Saldo_relativo_per_capita!M96*Saldo_relativo_per_capita!M$543/1000000</f>
        <v>0</v>
      </c>
      <c r="N96" s="340">
        <f>Saldo_relativo_per_capita!N96*Saldo_relativo_per_capita!N$543/1000000</f>
        <v>0</v>
      </c>
      <c r="O96" s="340">
        <f>Saldo_relativo_per_capita!O96*Saldo_relativo_per_capita!O$543/1000000</f>
        <v>0</v>
      </c>
      <c r="P96" s="340">
        <f>Saldo_relativo_per_capita!P96*Saldo_relativo_per_capita!P$543/1000000</f>
        <v>0</v>
      </c>
      <c r="Q96" s="340">
        <f>Saldo_relativo_per_capita!Q96*Saldo_relativo_per_capita!Q$543/1000000</f>
        <v>0</v>
      </c>
      <c r="R96" s="340">
        <f>Saldo_relativo_per_capita!R96*Saldo_relativo_per_capita!R$543/1000000</f>
        <v>0</v>
      </c>
      <c r="S96" s="340">
        <f>Saldo_relativo_per_capita!S96*Saldo_relativo_per_capita!S$543/1000000</f>
        <v>0</v>
      </c>
      <c r="T96" s="340">
        <f>Saldo_relativo_per_capita!T96*Saldo_relativo_per_capita!T$543/1000000</f>
        <v>0</v>
      </c>
      <c r="U96" s="340">
        <f>Saldo_relativo_per_capita!U96*Saldo_relativo_per_capita!U$543/1000000</f>
        <v>0</v>
      </c>
      <c r="V96" s="340">
        <f>Saldo_relativo_per_capita!V96*Saldo_relativo_per_capita!V$543/1000000</f>
        <v>0</v>
      </c>
      <c r="W96" s="148"/>
    </row>
    <row r="97" spans="1:23" s="115" customFormat="1">
      <c r="A97" s="355" t="str">
        <f>IF(B97="","",(IF(ISERROR(MATCH(B97,Tot_res!C:C,0)),"Eliminar!!!","")))</f>
        <v/>
      </c>
      <c r="B97" s="115" t="s">
        <v>199</v>
      </c>
      <c r="C97" s="333" t="str">
        <f>VLOOKUP(B97,Tot_res!C:D,2,FALSE)</f>
        <v>Comisión Nacional del Mercado de las Telecomunicaciones</v>
      </c>
      <c r="D97" s="340">
        <f>Saldo_relativo_per_capita!D97*Saldo_relativo_per_capita!D$543/1000000</f>
        <v>0</v>
      </c>
      <c r="E97" s="340">
        <f>Saldo_relativo_per_capita!E97*Saldo_relativo_per_capita!E$543/1000000</f>
        <v>0</v>
      </c>
      <c r="F97" s="340">
        <f>Saldo_relativo_per_capita!F97*Saldo_relativo_per_capita!F$543/1000000</f>
        <v>0</v>
      </c>
      <c r="G97" s="340">
        <f>Saldo_relativo_per_capita!G97*Saldo_relativo_per_capita!G$543/1000000</f>
        <v>0</v>
      </c>
      <c r="H97" s="340">
        <f>Saldo_relativo_per_capita!H97*Saldo_relativo_per_capita!H$543/1000000</f>
        <v>0</v>
      </c>
      <c r="I97" s="340">
        <f>Saldo_relativo_per_capita!I97*Saldo_relativo_per_capita!I$543/1000000</f>
        <v>0</v>
      </c>
      <c r="J97" s="340">
        <f>Saldo_relativo_per_capita!J97*Saldo_relativo_per_capita!J$543/1000000</f>
        <v>0</v>
      </c>
      <c r="K97" s="340">
        <f>Saldo_relativo_per_capita!K97*Saldo_relativo_per_capita!K$543/1000000</f>
        <v>0</v>
      </c>
      <c r="L97" s="340">
        <f>Saldo_relativo_per_capita!L97*Saldo_relativo_per_capita!L$543/1000000</f>
        <v>0</v>
      </c>
      <c r="M97" s="340">
        <f>Saldo_relativo_per_capita!M97*Saldo_relativo_per_capita!M$543/1000000</f>
        <v>0</v>
      </c>
      <c r="N97" s="340">
        <f>Saldo_relativo_per_capita!N97*Saldo_relativo_per_capita!N$543/1000000</f>
        <v>0</v>
      </c>
      <c r="O97" s="340">
        <f>Saldo_relativo_per_capita!O97*Saldo_relativo_per_capita!O$543/1000000</f>
        <v>0</v>
      </c>
      <c r="P97" s="340">
        <f>Saldo_relativo_per_capita!P97*Saldo_relativo_per_capita!P$543/1000000</f>
        <v>0</v>
      </c>
      <c r="Q97" s="340">
        <f>Saldo_relativo_per_capita!Q97*Saldo_relativo_per_capita!Q$543/1000000</f>
        <v>0</v>
      </c>
      <c r="R97" s="340">
        <f>Saldo_relativo_per_capita!R97*Saldo_relativo_per_capita!R$543/1000000</f>
        <v>0</v>
      </c>
      <c r="S97" s="340">
        <f>Saldo_relativo_per_capita!S97*Saldo_relativo_per_capita!S$543/1000000</f>
        <v>0</v>
      </c>
      <c r="T97" s="340">
        <f>Saldo_relativo_per_capita!T97*Saldo_relativo_per_capita!T$543/1000000</f>
        <v>0</v>
      </c>
      <c r="U97" s="340">
        <f>Saldo_relativo_per_capita!U97*Saldo_relativo_per_capita!U$543/1000000</f>
        <v>0</v>
      </c>
      <c r="V97" s="340">
        <f>Saldo_relativo_per_capita!V97*Saldo_relativo_per_capita!V$543/1000000</f>
        <v>0</v>
      </c>
      <c r="W97" s="148"/>
    </row>
    <row r="98" spans="1:23" s="115" customFormat="1">
      <c r="A98" s="355" t="str">
        <f>IF(B98="","",(IF(ISERROR(MATCH(B98,Tot_res!C:C,0)),"Eliminar!!!","")))</f>
        <v/>
      </c>
      <c r="B98" s="115" t="s">
        <v>201</v>
      </c>
      <c r="C98" s="333" t="str">
        <f>VLOOKUP(B98,Tot_res!C:D,2,FALSE)</f>
        <v>Comisión Nacional de Energía</v>
      </c>
      <c r="D98" s="340">
        <f>Saldo_relativo_per_capita!D98*Saldo_relativo_per_capita!D$543/1000000</f>
        <v>0</v>
      </c>
      <c r="E98" s="340">
        <f>Saldo_relativo_per_capita!E98*Saldo_relativo_per_capita!E$543/1000000</f>
        <v>0</v>
      </c>
      <c r="F98" s="340">
        <f>Saldo_relativo_per_capita!F98*Saldo_relativo_per_capita!F$543/1000000</f>
        <v>0</v>
      </c>
      <c r="G98" s="340">
        <f>Saldo_relativo_per_capita!G98*Saldo_relativo_per_capita!G$543/1000000</f>
        <v>0</v>
      </c>
      <c r="H98" s="340">
        <f>Saldo_relativo_per_capita!H98*Saldo_relativo_per_capita!H$543/1000000</f>
        <v>0</v>
      </c>
      <c r="I98" s="340">
        <f>Saldo_relativo_per_capita!I98*Saldo_relativo_per_capita!I$543/1000000</f>
        <v>0</v>
      </c>
      <c r="J98" s="340">
        <f>Saldo_relativo_per_capita!J98*Saldo_relativo_per_capita!J$543/1000000</f>
        <v>0</v>
      </c>
      <c r="K98" s="340">
        <f>Saldo_relativo_per_capita!K98*Saldo_relativo_per_capita!K$543/1000000</f>
        <v>0</v>
      </c>
      <c r="L98" s="340">
        <f>Saldo_relativo_per_capita!L98*Saldo_relativo_per_capita!L$543/1000000</f>
        <v>0</v>
      </c>
      <c r="M98" s="340">
        <f>Saldo_relativo_per_capita!M98*Saldo_relativo_per_capita!M$543/1000000</f>
        <v>0</v>
      </c>
      <c r="N98" s="340">
        <f>Saldo_relativo_per_capita!N98*Saldo_relativo_per_capita!N$543/1000000</f>
        <v>0</v>
      </c>
      <c r="O98" s="340">
        <f>Saldo_relativo_per_capita!O98*Saldo_relativo_per_capita!O$543/1000000</f>
        <v>0</v>
      </c>
      <c r="P98" s="340">
        <f>Saldo_relativo_per_capita!P98*Saldo_relativo_per_capita!P$543/1000000</f>
        <v>0</v>
      </c>
      <c r="Q98" s="340">
        <f>Saldo_relativo_per_capita!Q98*Saldo_relativo_per_capita!Q$543/1000000</f>
        <v>0</v>
      </c>
      <c r="R98" s="340">
        <f>Saldo_relativo_per_capita!R98*Saldo_relativo_per_capita!R$543/1000000</f>
        <v>0</v>
      </c>
      <c r="S98" s="340">
        <f>Saldo_relativo_per_capita!S98*Saldo_relativo_per_capita!S$543/1000000</f>
        <v>0</v>
      </c>
      <c r="T98" s="340">
        <f>Saldo_relativo_per_capita!T98*Saldo_relativo_per_capita!T$543/1000000</f>
        <v>0</v>
      </c>
      <c r="U98" s="340">
        <f>Saldo_relativo_per_capita!U98*Saldo_relativo_per_capita!U$543/1000000</f>
        <v>0</v>
      </c>
      <c r="V98" s="340">
        <f>Saldo_relativo_per_capita!V98*Saldo_relativo_per_capita!V$543/1000000</f>
        <v>0</v>
      </c>
      <c r="W98" s="148"/>
    </row>
    <row r="99" spans="1:23" s="115" customFormat="1">
      <c r="A99" s="355" t="str">
        <f>IF(B99="","",(IF(ISERROR(MATCH(B99,Tot_res!C:C,0)),"Eliminar!!!","")))</f>
        <v/>
      </c>
      <c r="B99" s="115" t="s">
        <v>203</v>
      </c>
      <c r="C99" s="333" t="str">
        <f>VLOOKUP(B99,Tot_res!C:D,2,FALSE)</f>
        <v>Comisión Nacional del Mercado de Valores</v>
      </c>
      <c r="D99" s="340">
        <f>Saldo_relativo_per_capita!D99*Saldo_relativo_per_capita!D$543/1000000</f>
        <v>0</v>
      </c>
      <c r="E99" s="340">
        <f>Saldo_relativo_per_capita!E99*Saldo_relativo_per_capita!E$543/1000000</f>
        <v>0</v>
      </c>
      <c r="F99" s="340">
        <f>Saldo_relativo_per_capita!F99*Saldo_relativo_per_capita!F$543/1000000</f>
        <v>0</v>
      </c>
      <c r="G99" s="340">
        <f>Saldo_relativo_per_capita!G99*Saldo_relativo_per_capita!G$543/1000000</f>
        <v>0</v>
      </c>
      <c r="H99" s="340">
        <f>Saldo_relativo_per_capita!H99*Saldo_relativo_per_capita!H$543/1000000</f>
        <v>0</v>
      </c>
      <c r="I99" s="340">
        <f>Saldo_relativo_per_capita!I99*Saldo_relativo_per_capita!I$543/1000000</f>
        <v>0</v>
      </c>
      <c r="J99" s="340">
        <f>Saldo_relativo_per_capita!J99*Saldo_relativo_per_capita!J$543/1000000</f>
        <v>0</v>
      </c>
      <c r="K99" s="340">
        <f>Saldo_relativo_per_capita!K99*Saldo_relativo_per_capita!K$543/1000000</f>
        <v>0</v>
      </c>
      <c r="L99" s="340">
        <f>Saldo_relativo_per_capita!L99*Saldo_relativo_per_capita!L$543/1000000</f>
        <v>0</v>
      </c>
      <c r="M99" s="340">
        <f>Saldo_relativo_per_capita!M99*Saldo_relativo_per_capita!M$543/1000000</f>
        <v>0</v>
      </c>
      <c r="N99" s="340">
        <f>Saldo_relativo_per_capita!N99*Saldo_relativo_per_capita!N$543/1000000</f>
        <v>0</v>
      </c>
      <c r="O99" s="340">
        <f>Saldo_relativo_per_capita!O99*Saldo_relativo_per_capita!O$543/1000000</f>
        <v>0</v>
      </c>
      <c r="P99" s="340">
        <f>Saldo_relativo_per_capita!P99*Saldo_relativo_per_capita!P$543/1000000</f>
        <v>0</v>
      </c>
      <c r="Q99" s="340">
        <f>Saldo_relativo_per_capita!Q99*Saldo_relativo_per_capita!Q$543/1000000</f>
        <v>0</v>
      </c>
      <c r="R99" s="340">
        <f>Saldo_relativo_per_capita!R99*Saldo_relativo_per_capita!R$543/1000000</f>
        <v>0</v>
      </c>
      <c r="S99" s="340">
        <f>Saldo_relativo_per_capita!S99*Saldo_relativo_per_capita!S$543/1000000</f>
        <v>0</v>
      </c>
      <c r="T99" s="340">
        <f>Saldo_relativo_per_capita!T99*Saldo_relativo_per_capita!T$543/1000000</f>
        <v>0</v>
      </c>
      <c r="U99" s="340">
        <f>Saldo_relativo_per_capita!U99*Saldo_relativo_per_capita!U$543/1000000</f>
        <v>0</v>
      </c>
      <c r="V99" s="340">
        <f>Saldo_relativo_per_capita!V99*Saldo_relativo_per_capita!V$543/1000000</f>
        <v>0</v>
      </c>
      <c r="W99" s="148"/>
    </row>
    <row r="100" spans="1:23" s="115" customFormat="1">
      <c r="A100" s="355" t="str">
        <f>IF(B100="","",(IF(ISERROR(MATCH(B100,Tot_res!C:C,0)),"Eliminar!!!","")))</f>
        <v/>
      </c>
      <c r="B100" s="115" t="s">
        <v>205</v>
      </c>
      <c r="C100" s="333" t="str">
        <f>VLOOKUP(B100,Tot_res!C:D,2,FALSE)</f>
        <v>Banco de España</v>
      </c>
      <c r="D100" s="340">
        <f>Saldo_relativo_per_capita!D100*Saldo_relativo_per_capita!D$543/1000000</f>
        <v>0</v>
      </c>
      <c r="E100" s="340">
        <f>Saldo_relativo_per_capita!E100*Saldo_relativo_per_capita!E$543/1000000</f>
        <v>0</v>
      </c>
      <c r="F100" s="340">
        <f>Saldo_relativo_per_capita!F100*Saldo_relativo_per_capita!F$543/1000000</f>
        <v>0</v>
      </c>
      <c r="G100" s="340">
        <f>Saldo_relativo_per_capita!G100*Saldo_relativo_per_capita!G$543/1000000</f>
        <v>0</v>
      </c>
      <c r="H100" s="340">
        <f>Saldo_relativo_per_capita!H100*Saldo_relativo_per_capita!H$543/1000000</f>
        <v>0</v>
      </c>
      <c r="I100" s="340">
        <f>Saldo_relativo_per_capita!I100*Saldo_relativo_per_capita!I$543/1000000</f>
        <v>0</v>
      </c>
      <c r="J100" s="340">
        <f>Saldo_relativo_per_capita!J100*Saldo_relativo_per_capita!J$543/1000000</f>
        <v>0</v>
      </c>
      <c r="K100" s="340">
        <f>Saldo_relativo_per_capita!K100*Saldo_relativo_per_capita!K$543/1000000</f>
        <v>0</v>
      </c>
      <c r="L100" s="340">
        <f>Saldo_relativo_per_capita!L100*Saldo_relativo_per_capita!L$543/1000000</f>
        <v>0</v>
      </c>
      <c r="M100" s="340">
        <f>Saldo_relativo_per_capita!M100*Saldo_relativo_per_capita!M$543/1000000</f>
        <v>0</v>
      </c>
      <c r="N100" s="340">
        <f>Saldo_relativo_per_capita!N100*Saldo_relativo_per_capita!N$543/1000000</f>
        <v>0</v>
      </c>
      <c r="O100" s="340">
        <f>Saldo_relativo_per_capita!O100*Saldo_relativo_per_capita!O$543/1000000</f>
        <v>0</v>
      </c>
      <c r="P100" s="340">
        <f>Saldo_relativo_per_capita!P100*Saldo_relativo_per_capita!P$543/1000000</f>
        <v>0</v>
      </c>
      <c r="Q100" s="340">
        <f>Saldo_relativo_per_capita!Q100*Saldo_relativo_per_capita!Q$543/1000000</f>
        <v>0</v>
      </c>
      <c r="R100" s="340">
        <f>Saldo_relativo_per_capita!R100*Saldo_relativo_per_capita!R$543/1000000</f>
        <v>0</v>
      </c>
      <c r="S100" s="340">
        <f>Saldo_relativo_per_capita!S100*Saldo_relativo_per_capita!S$543/1000000</f>
        <v>0</v>
      </c>
      <c r="T100" s="340">
        <f>Saldo_relativo_per_capita!T100*Saldo_relativo_per_capita!T$543/1000000</f>
        <v>0</v>
      </c>
      <c r="U100" s="340">
        <f>Saldo_relativo_per_capita!U100*Saldo_relativo_per_capita!U$543/1000000</f>
        <v>0</v>
      </c>
      <c r="V100" s="340">
        <f>Saldo_relativo_per_capita!V100*Saldo_relativo_per_capita!V$543/1000000</f>
        <v>0</v>
      </c>
      <c r="W100" s="148"/>
    </row>
    <row r="101" spans="1:23" s="115" customFormat="1">
      <c r="A101" s="356"/>
      <c r="D101" s="218"/>
      <c r="E101" s="218"/>
      <c r="F101" s="218"/>
      <c r="G101" s="218"/>
      <c r="H101" s="218"/>
      <c r="I101" s="218"/>
      <c r="J101" s="218"/>
      <c r="K101" s="218"/>
      <c r="L101" s="218"/>
      <c r="M101" s="218"/>
      <c r="N101" s="218"/>
      <c r="O101" s="218"/>
      <c r="P101" s="218"/>
      <c r="Q101" s="218"/>
      <c r="R101" s="218"/>
      <c r="S101" s="218"/>
      <c r="T101" s="218"/>
      <c r="U101" s="218"/>
      <c r="V101" s="218"/>
      <c r="W101" s="217"/>
    </row>
    <row r="102" spans="1:23">
      <c r="A102" s="356"/>
      <c r="D102" s="39"/>
      <c r="E102" s="39"/>
      <c r="F102" s="39"/>
      <c r="G102" s="39"/>
      <c r="H102" s="39"/>
      <c r="I102" s="39"/>
      <c r="J102" s="39"/>
      <c r="K102" s="39"/>
      <c r="L102" s="39"/>
      <c r="M102" s="39"/>
      <c r="N102" s="39"/>
      <c r="O102" s="39"/>
      <c r="P102" s="39"/>
      <c r="Q102" s="39"/>
      <c r="R102" s="39"/>
      <c r="S102" s="39"/>
      <c r="T102" s="39"/>
      <c r="U102" s="39"/>
      <c r="V102" s="39"/>
      <c r="W102" s="40"/>
    </row>
    <row r="103" spans="1:23" s="115" customFormat="1">
      <c r="A103" s="356"/>
      <c r="C103" s="134" t="s">
        <v>77</v>
      </c>
      <c r="D103" s="216">
        <f>Saldo_relativo_per_capita!D103*Saldo_relativo_per_capita!D$543/1000000</f>
        <v>0</v>
      </c>
      <c r="E103" s="216">
        <f>Saldo_relativo_per_capita!E103*Saldo_relativo_per_capita!E$543/1000000</f>
        <v>-2417.0210594976356</v>
      </c>
      <c r="F103" s="216">
        <f>Saldo_relativo_per_capita!F103*Saldo_relativo_per_capita!F$543/1000000</f>
        <v>493.13956795200886</v>
      </c>
      <c r="G103" s="216">
        <f>Saldo_relativo_per_capita!G103*Saldo_relativo_per_capita!G$543/1000000</f>
        <v>340.24962392224785</v>
      </c>
      <c r="H103" s="216">
        <f>Saldo_relativo_per_capita!H103*Saldo_relativo_per_capita!H$543/1000000</f>
        <v>69.219066682360818</v>
      </c>
      <c r="I103" s="216">
        <f>Saldo_relativo_per_capita!I103*Saldo_relativo_per_capita!I$543/1000000</f>
        <v>842.05078689840957</v>
      </c>
      <c r="J103" s="216">
        <f>Saldo_relativo_per_capita!J103*Saldo_relativo_per_capita!J$543/1000000</f>
        <v>291.75259639448257</v>
      </c>
      <c r="K103" s="216">
        <f>Saldo_relativo_per_capita!K103*Saldo_relativo_per_capita!K$543/1000000</f>
        <v>1253.6252786284417</v>
      </c>
      <c r="L103" s="216">
        <f>Saldo_relativo_per_capita!L103*Saldo_relativo_per_capita!L$543/1000000</f>
        <v>-306.09499023447444</v>
      </c>
      <c r="M103" s="216">
        <f>Saldo_relativo_per_capita!M103*Saldo_relativo_per_capita!M$543/1000000</f>
        <v>-172.11937551339278</v>
      </c>
      <c r="N103" s="216">
        <f>Saldo_relativo_per_capita!N103*Saldo_relativo_per_capita!N$543/1000000</f>
        <v>-2856.1793190011558</v>
      </c>
      <c r="O103" s="216">
        <f>Saldo_relativo_per_capita!O103*Saldo_relativo_per_capita!O$543/1000000</f>
        <v>592.66586840111199</v>
      </c>
      <c r="P103" s="216">
        <f>Saldo_relativo_per_capita!P103*Saldo_relativo_per_capita!P$543/1000000</f>
        <v>206.6342204271418</v>
      </c>
      <c r="Q103" s="216">
        <f>Saldo_relativo_per_capita!Q103*Saldo_relativo_per_capita!Q$543/1000000</f>
        <v>-1960.8030864823143</v>
      </c>
      <c r="R103" s="216">
        <f>Saldo_relativo_per_capita!R103*Saldo_relativo_per_capita!R$543/1000000</f>
        <v>-782.23628552777564</v>
      </c>
      <c r="S103" s="216">
        <f>Saldo_relativo_per_capita!S103*Saldo_relativo_per_capita!S$543/1000000</f>
        <v>248.6539961847219</v>
      </c>
      <c r="T103" s="216">
        <f>Saldo_relativo_per_capita!T103*Saldo_relativo_per_capita!T$543/1000000</f>
        <v>3680.6537966323876</v>
      </c>
      <c r="U103" s="216">
        <f>Saldo_relativo_per_capita!U103*Saldo_relativo_per_capita!U$543/1000000</f>
        <v>106.14829515745225</v>
      </c>
      <c r="V103" s="216">
        <f>Saldo_relativo_per_capita!V103*Saldo_relativo_per_capita!V$543/1000000</f>
        <v>369.66101897597611</v>
      </c>
      <c r="W103" s="148"/>
    </row>
    <row r="104" spans="1:23" s="115" customFormat="1">
      <c r="A104" s="356"/>
      <c r="C104" s="134" t="s">
        <v>44</v>
      </c>
      <c r="D104" s="216">
        <f>Saldo_relativo_per_capita!D104*Saldo_relativo_per_capita!D$543/1000000</f>
        <v>0</v>
      </c>
      <c r="E104" s="216">
        <f>Saldo_relativo_per_capita!E104*Saldo_relativo_per_capita!E$543/1000000</f>
        <v>-2750.8776208854306</v>
      </c>
      <c r="F104" s="216">
        <f>Saldo_relativo_per_capita!F104*Saldo_relativo_per_capita!F$543/1000000</f>
        <v>450.1790861502065</v>
      </c>
      <c r="G104" s="216">
        <f>Saldo_relativo_per_capita!G104*Saldo_relativo_per_capita!G$543/1000000</f>
        <v>207.48264365898771</v>
      </c>
      <c r="H104" s="216">
        <f>Saldo_relativo_per_capita!H104*Saldo_relativo_per_capita!H$543/1000000</f>
        <v>-51.914128270093258</v>
      </c>
      <c r="I104" s="216">
        <f>Saldo_relativo_per_capita!I104*Saldo_relativo_per_capita!I$543/1000000</f>
        <v>891.67794512507351</v>
      </c>
      <c r="J104" s="216">
        <f>Saldo_relativo_per_capita!J104*Saldo_relativo_per_capita!J$543/1000000</f>
        <v>241.69469498790005</v>
      </c>
      <c r="K104" s="216">
        <f>Saldo_relativo_per_capita!K104*Saldo_relativo_per_capita!K$543/1000000</f>
        <v>1221.6273915665411</v>
      </c>
      <c r="L104" s="216">
        <f>Saldo_relativo_per_capita!L104*Saldo_relativo_per_capita!L$543/1000000</f>
        <v>-106.7596776703345</v>
      </c>
      <c r="M104" s="216">
        <f>Saldo_relativo_per_capita!M104*Saldo_relativo_per_capita!M$543/1000000</f>
        <v>-1159.8002778422997</v>
      </c>
      <c r="N104" s="216">
        <f>Saldo_relativo_per_capita!N104*Saldo_relativo_per_capita!N$543/1000000</f>
        <v>-3030.0585544048545</v>
      </c>
      <c r="O104" s="216">
        <f>Saldo_relativo_per_capita!O104*Saldo_relativo_per_capita!O$543/1000000</f>
        <v>414.38226720740346</v>
      </c>
      <c r="P104" s="216">
        <f>Saldo_relativo_per_capita!P104*Saldo_relativo_per_capita!P$543/1000000</f>
        <v>203.7333475936403</v>
      </c>
      <c r="Q104" s="216">
        <f>Saldo_relativo_per_capita!Q104*Saldo_relativo_per_capita!Q$543/1000000</f>
        <v>-1422.1636975975778</v>
      </c>
      <c r="R104" s="216">
        <f>Saldo_relativo_per_capita!R104*Saldo_relativo_per_capita!R$543/1000000</f>
        <v>-842.04631338017464</v>
      </c>
      <c r="S104" s="216">
        <f>Saldo_relativo_per_capita!S104*Saldo_relativo_per_capita!S$543/1000000</f>
        <v>630.46318440729385</v>
      </c>
      <c r="T104" s="216">
        <f>Saldo_relativo_per_capita!T104*Saldo_relativo_per_capita!T$543/1000000</f>
        <v>4620.1125124487671</v>
      </c>
      <c r="U104" s="216">
        <f>Saldo_relativo_per_capita!U104*Saldo_relativo_per_capita!U$543/1000000</f>
        <v>103.77938220249212</v>
      </c>
      <c r="V104" s="216">
        <f>Saldo_relativo_per_capita!V104*Saldo_relativo_per_capita!V$543/1000000</f>
        <v>378.48781470247104</v>
      </c>
      <c r="W104" s="220"/>
    </row>
    <row r="105" spans="1:23" s="115" customFormat="1">
      <c r="A105" s="356"/>
      <c r="C105" s="129"/>
      <c r="D105" s="218"/>
      <c r="E105" s="218"/>
      <c r="F105" s="218"/>
      <c r="G105" s="218"/>
      <c r="H105" s="218"/>
      <c r="I105" s="218"/>
      <c r="J105" s="218"/>
      <c r="K105" s="218"/>
      <c r="L105" s="218"/>
      <c r="M105" s="218"/>
      <c r="N105" s="218"/>
      <c r="O105" s="218"/>
      <c r="P105" s="218"/>
      <c r="Q105" s="218"/>
      <c r="R105" s="218"/>
      <c r="S105" s="218"/>
      <c r="T105" s="218"/>
      <c r="U105" s="218"/>
      <c r="V105" s="218"/>
      <c r="W105" s="148"/>
    </row>
    <row r="106" spans="1:23" s="115" customFormat="1">
      <c r="A106" s="356"/>
      <c r="C106" s="128" t="s">
        <v>43</v>
      </c>
      <c r="D106" s="219">
        <f>Saldo_relativo_per_capita!D106*Saldo_relativo_per_capita!D$543/1000000</f>
        <v>0</v>
      </c>
      <c r="E106" s="219">
        <f>Saldo_relativo_per_capita!E106*Saldo_relativo_per_capita!E$543/1000000</f>
        <v>-1826.3336308919056</v>
      </c>
      <c r="F106" s="219">
        <f>Saldo_relativo_per_capita!F106*Saldo_relativo_per_capita!F$543/1000000</f>
        <v>244.06281712551825</v>
      </c>
      <c r="G106" s="219">
        <f>Saldo_relativo_per_capita!G106*Saldo_relativo_per_capita!G$543/1000000</f>
        <v>268.9472574799907</v>
      </c>
      <c r="H106" s="219">
        <f>Saldo_relativo_per_capita!H106*Saldo_relativo_per_capita!H$543/1000000</f>
        <v>8.6190328568251164</v>
      </c>
      <c r="I106" s="219">
        <f>Saldo_relativo_per_capita!I106*Saldo_relativo_per_capita!I$543/1000000</f>
        <v>-103.14399781081573</v>
      </c>
      <c r="J106" s="219">
        <f>Saldo_relativo_per_capita!J106*Saldo_relativo_per_capita!J$543/1000000</f>
        <v>281.51646113822994</v>
      </c>
      <c r="K106" s="219">
        <f>Saldo_relativo_per_capita!K106*Saldo_relativo_per_capita!K$543/1000000</f>
        <v>699.00889750027272</v>
      </c>
      <c r="L106" s="219">
        <f>Saldo_relativo_per_capita!L106*Saldo_relativo_per_capita!L$543/1000000</f>
        <v>-169.63005322749379</v>
      </c>
      <c r="M106" s="219">
        <f>Saldo_relativo_per_capita!M106*Saldo_relativo_per_capita!M$543/1000000</f>
        <v>-378.11510686954387</v>
      </c>
      <c r="N106" s="219">
        <f>Saldo_relativo_per_capita!N106*Saldo_relativo_per_capita!N$543/1000000</f>
        <v>-1498.6189078984814</v>
      </c>
      <c r="O106" s="219">
        <f>Saldo_relativo_per_capita!O106*Saldo_relativo_per_capita!O$543/1000000</f>
        <v>441.38557368850627</v>
      </c>
      <c r="P106" s="219">
        <f>Saldo_relativo_per_capita!P106*Saldo_relativo_per_capita!P$543/1000000</f>
        <v>489.8923519885052</v>
      </c>
      <c r="Q106" s="219">
        <f>Saldo_relativo_per_capita!Q106*Saldo_relativo_per_capita!Q$543/1000000</f>
        <v>-2350.2203720311063</v>
      </c>
      <c r="R106" s="219">
        <f>Saldo_relativo_per_capita!R106*Saldo_relativo_per_capita!R$543/1000000</f>
        <v>-343.72681732228057</v>
      </c>
      <c r="S106" s="219">
        <f>Saldo_relativo_per_capita!S106*Saldo_relativo_per_capita!S$543/1000000</f>
        <v>332.17683798847992</v>
      </c>
      <c r="T106" s="219">
        <f>Saldo_relativo_per_capita!T106*Saldo_relativo_per_capita!T$543/1000000</f>
        <v>3474.178087722189</v>
      </c>
      <c r="U106" s="219">
        <f>Saldo_relativo_per_capita!U106*Saldo_relativo_per_capita!U$543/1000000</f>
        <v>107.05128684918385</v>
      </c>
      <c r="V106" s="219">
        <f>Saldo_relativo_per_capita!V106*Saldo_relativo_per_capita!V$543/1000000</f>
        <v>322.95028171393722</v>
      </c>
      <c r="W106" s="220"/>
    </row>
    <row r="107" spans="1:23" s="115" customFormat="1">
      <c r="A107" s="356"/>
      <c r="C107" s="129"/>
      <c r="D107" s="218"/>
      <c r="E107" s="218"/>
      <c r="F107" s="218"/>
      <c r="G107" s="218"/>
      <c r="H107" s="218"/>
      <c r="I107" s="218"/>
      <c r="J107" s="218"/>
      <c r="K107" s="218"/>
      <c r="L107" s="218"/>
      <c r="M107" s="218"/>
      <c r="N107" s="218"/>
      <c r="O107" s="218"/>
      <c r="P107" s="218"/>
      <c r="Q107" s="218"/>
      <c r="R107" s="218"/>
      <c r="S107" s="218"/>
      <c r="T107" s="218"/>
      <c r="U107" s="218"/>
      <c r="V107" s="218"/>
      <c r="W107" s="148"/>
    </row>
    <row r="108" spans="1:23" s="115" customFormat="1" ht="26.3">
      <c r="A108" s="356"/>
      <c r="B108" s="137"/>
      <c r="C108" s="128" t="s">
        <v>207</v>
      </c>
      <c r="D108" s="219">
        <f>Saldo_relativo_per_capita!D108*Saldo_relativo_per_capita!D$543/1000000</f>
        <v>0</v>
      </c>
      <c r="E108" s="219">
        <f>Saldo_relativo_per_capita!E108*Saldo_relativo_per_capita!E$543/1000000</f>
        <v>-141.45311350726536</v>
      </c>
      <c r="F108" s="219">
        <f>Saldo_relativo_per_capita!F108*Saldo_relativo_per_capita!F$543/1000000</f>
        <v>476.84180233879385</v>
      </c>
      <c r="G108" s="219">
        <f>Saldo_relativo_per_capita!G108*Saldo_relativo_per_capita!G$543/1000000</f>
        <v>362.46006593158381</v>
      </c>
      <c r="H108" s="219">
        <f>Saldo_relativo_per_capita!H108*Saldo_relativo_per_capita!H$543/1000000</f>
        <v>101.45250701779173</v>
      </c>
      <c r="I108" s="219">
        <f>Saldo_relativo_per_capita!I108*Saldo_relativo_per_capita!I$543/1000000</f>
        <v>510.79654656231213</v>
      </c>
      <c r="J108" s="219">
        <f>Saldo_relativo_per_capita!J108*Saldo_relativo_per_capita!J$543/1000000</f>
        <v>442.99998264813479</v>
      </c>
      <c r="K108" s="219">
        <f>Saldo_relativo_per_capita!K108*Saldo_relativo_per_capita!K$543/1000000</f>
        <v>1038.593878374731</v>
      </c>
      <c r="L108" s="219">
        <f>Saldo_relativo_per_capita!L108*Saldo_relativo_per_capita!L$543/1000000</f>
        <v>337.73701021246825</v>
      </c>
      <c r="M108" s="219">
        <f>Saldo_relativo_per_capita!M108*Saldo_relativo_per_capita!M$543/1000000</f>
        <v>1892.8711501231267</v>
      </c>
      <c r="N108" s="219">
        <f>Saldo_relativo_per_capita!N108*Saldo_relativo_per_capita!N$543/1000000</f>
        <v>-739.7956916170931</v>
      </c>
      <c r="O108" s="219">
        <f>Saldo_relativo_per_capita!O108*Saldo_relativo_per_capita!O$543/1000000</f>
        <v>427.1780433592545</v>
      </c>
      <c r="P108" s="219">
        <f>Saldo_relativo_per_capita!P108*Saldo_relativo_per_capita!P$543/1000000</f>
        <v>1103.6244391286834</v>
      </c>
      <c r="Q108" s="219">
        <f>Saldo_relativo_per_capita!Q108*Saldo_relativo_per_capita!Q$543/1000000</f>
        <v>111.81737959186066</v>
      </c>
      <c r="R108" s="219">
        <f>Saldo_relativo_per_capita!R108*Saldo_relativo_per_capita!R$543/1000000</f>
        <v>-176.50007216855786</v>
      </c>
      <c r="S108" s="219">
        <f>Saldo_relativo_per_capita!S108*Saldo_relativo_per_capita!S$543/1000000</f>
        <v>-1293.4258729051428</v>
      </c>
      <c r="T108" s="219">
        <f>Saldo_relativo_per_capita!T108*Saldo_relativo_per_capita!T$543/1000000</f>
        <v>-4408.4754672622521</v>
      </c>
      <c r="U108" s="219">
        <f>Saldo_relativo_per_capita!U108*Saldo_relativo_per_capita!U$543/1000000</f>
        <v>219.60722883181208</v>
      </c>
      <c r="V108" s="219">
        <f>Saldo_relativo_per_capita!V108*Saldo_relativo_per_capita!V$543/1000000</f>
        <v>-266.32981666023068</v>
      </c>
      <c r="W108" s="148"/>
    </row>
    <row r="109" spans="1:23" s="115" customFormat="1">
      <c r="A109" s="355" t="str">
        <f>IF(B109="","",(IF(ISERROR(MATCH(B109,Tot_res!C:C,0)),"Eliminar!!!","")))</f>
        <v/>
      </c>
      <c r="B109" s="115" t="s">
        <v>1006</v>
      </c>
      <c r="C109" s="333" t="str">
        <f>VLOOKUP(B109,Tot_res!C:D,2,FALSE)</f>
        <v>Transferencias a Comunidades Autónomas por participación en ingresos del Estado</v>
      </c>
      <c r="D109" s="340">
        <f>Saldo_relativo_per_capita!D109*Saldo_relativo_per_capita!D$543/1000000</f>
        <v>0</v>
      </c>
      <c r="E109" s="340">
        <f>Saldo_relativo_per_capita!E109*Saldo_relativo_per_capita!E$543/1000000</f>
        <v>1746.500788589919</v>
      </c>
      <c r="F109" s="340">
        <f>Saldo_relativo_per_capita!F109*Saldo_relativo_per_capita!F$543/1000000</f>
        <v>-0.49663164001760729</v>
      </c>
      <c r="G109" s="340">
        <f>Saldo_relativo_per_capita!G109*Saldo_relativo_per_capita!G$543/1000000</f>
        <v>66.903368185587112</v>
      </c>
      <c r="H109" s="340">
        <f>Saldo_relativo_per_capita!H109*Saldo_relativo_per_capita!H$543/1000000</f>
        <v>52.157190416874819</v>
      </c>
      <c r="I109" s="340">
        <f>Saldo_relativo_per_capita!I109*Saldo_relativo_per_capita!I$543/1000000</f>
        <v>1826.4619801571394</v>
      </c>
      <c r="J109" s="340">
        <f>Saldo_relativo_per_capita!J109*Saldo_relativo_per_capita!J$543/1000000</f>
        <v>256.72851643572352</v>
      </c>
      <c r="K109" s="340">
        <f>Saldo_relativo_per_capita!K109*Saldo_relativo_per_capita!K$543/1000000</f>
        <v>415.36416147832432</v>
      </c>
      <c r="L109" s="340">
        <f>Saldo_relativo_per_capita!L109*Saldo_relativo_per_capita!L$543/1000000</f>
        <v>398.10438639109606</v>
      </c>
      <c r="M109" s="340">
        <f>Saldo_relativo_per_capita!M109*Saldo_relativo_per_capita!M$543/1000000</f>
        <v>-1809.1816253416619</v>
      </c>
      <c r="N109" s="340">
        <f>Saldo_relativo_per_capita!N109*Saldo_relativo_per_capita!N$543/1000000</f>
        <v>530.71985943807306</v>
      </c>
      <c r="O109" s="340">
        <f>Saldo_relativo_per_capita!O109*Saldo_relativo_per_capita!O$543/1000000</f>
        <v>707.20551929273074</v>
      </c>
      <c r="P109" s="340">
        <f>Saldo_relativo_per_capita!P109*Saldo_relativo_per_capita!P$543/1000000</f>
        <v>942.8296337390808</v>
      </c>
      <c r="Q109" s="340">
        <f>Saldo_relativo_per_capita!Q109*Saldo_relativo_per_capita!Q$543/1000000</f>
        <v>-4292.5477147935881</v>
      </c>
      <c r="R109" s="340">
        <f>Saldo_relativo_per_capita!R109*Saldo_relativo_per_capita!R$543/1000000</f>
        <v>150.39308774131624</v>
      </c>
      <c r="S109" s="340">
        <f>Saldo_relativo_per_capita!S109*Saldo_relativo_per_capita!S$543/1000000</f>
        <v>-270.80677972349287</v>
      </c>
      <c r="T109" s="340">
        <f>Saldo_relativo_per_capita!T109*Saldo_relativo_per_capita!T$543/1000000</f>
        <v>-923.0100230621141</v>
      </c>
      <c r="U109" s="340">
        <f>Saldo_relativo_per_capita!U109*Saldo_relativo_per_capita!U$543/1000000</f>
        <v>197.96298284512466</v>
      </c>
      <c r="V109" s="340">
        <f>Saldo_relativo_per_capita!V109*Saldo_relativo_per_capita!V$543/1000000</f>
        <v>4.7112998498867693</v>
      </c>
      <c r="W109" s="148"/>
    </row>
    <row r="110" spans="1:23" s="115" customFormat="1">
      <c r="A110" s="355" t="str">
        <f>IF(B110="","",(IF(ISERROR(MATCH(B110,Tot_res!C:C,0)),"Eliminar!!!","")))</f>
        <v/>
      </c>
      <c r="B110" s="115" t="s">
        <v>208</v>
      </c>
      <c r="C110" s="333" t="str">
        <f>VLOOKUP(B110,Tot_res!C:D,2,FALSE)</f>
        <v>Transferencias al Estado por Fondos de Suficiencia negativos</v>
      </c>
      <c r="D110" s="340">
        <f>Saldo_relativo_per_capita!D110*Saldo_relativo_per_capita!D$543/1000000</f>
        <v>0</v>
      </c>
      <c r="E110" s="340">
        <f>Saldo_relativo_per_capita!E110*Saldo_relativo_per_capita!E$543/1000000</f>
        <v>523.1815433788621</v>
      </c>
      <c r="F110" s="340">
        <f>Saldo_relativo_per_capita!F110*Saldo_relativo_per_capita!F$543/1000000</f>
        <v>64.663109204601582</v>
      </c>
      <c r="G110" s="340">
        <f>Saldo_relativo_per_capita!G110*Saldo_relativo_per_capita!G$543/1000000</f>
        <v>59.361029865676549</v>
      </c>
      <c r="H110" s="340">
        <f>Saldo_relativo_per_capita!H110*Saldo_relativo_per_capita!H$543/1000000</f>
        <v>-568.63885527853449</v>
      </c>
      <c r="I110" s="340">
        <f>Saldo_relativo_per_capita!I110*Saldo_relativo_per_capita!I$543/1000000</f>
        <v>108.18094351922318</v>
      </c>
      <c r="J110" s="340">
        <f>Saldo_relativo_per_capita!J110*Saldo_relativo_per_capita!J$543/1000000</f>
        <v>42.347677534250849</v>
      </c>
      <c r="K110" s="340">
        <f>Saldo_relativo_per_capita!K110*Saldo_relativo_per_capita!K$543/1000000</f>
        <v>148.44292932321611</v>
      </c>
      <c r="L110" s="340">
        <f>Saldo_relativo_per_capita!L110*Saldo_relativo_per_capita!L$543/1000000</f>
        <v>149.92811293035467</v>
      </c>
      <c r="M110" s="340">
        <f>Saldo_relativo_per_capita!M110*Saldo_relativo_per_capita!M$543/1000000</f>
        <v>382.43603331980751</v>
      </c>
      <c r="N110" s="340">
        <f>Saldo_relativo_per_capita!N110*Saldo_relativo_per_capita!N$543/1000000</f>
        <v>-1005.8999858601114</v>
      </c>
      <c r="O110" s="340">
        <f>Saldo_relativo_per_capita!O110*Saldo_relativo_per_capita!O$543/1000000</f>
        <v>66.715418620140284</v>
      </c>
      <c r="P110" s="340">
        <f>Saldo_relativo_per_capita!P110*Saldo_relativo_per_capita!P$543/1000000</f>
        <v>149.53088468763283</v>
      </c>
      <c r="Q110" s="340">
        <f>Saldo_relativo_per_capita!Q110*Saldo_relativo_per_capita!Q$543/1000000</f>
        <v>-287.46988201498544</v>
      </c>
      <c r="R110" s="340">
        <f>Saldo_relativo_per_capita!R110*Saldo_relativo_per_capita!R$543/1000000</f>
        <v>-50.846555637951852</v>
      </c>
      <c r="S110" s="340">
        <f>Saldo_relativo_per_capita!S110*Saldo_relativo_per_capita!S$543/1000000</f>
        <v>46.104230305193184</v>
      </c>
      <c r="T110" s="340">
        <f>Saldo_relativo_per_capita!T110*Saldo_relativo_per_capita!T$543/1000000</f>
        <v>157.1403297979017</v>
      </c>
      <c r="U110" s="340">
        <f>Saldo_relativo_per_capita!U110*Saldo_relativo_per_capita!U$543/1000000</f>
        <v>4.1940263615886302</v>
      </c>
      <c r="V110" s="340">
        <f>Saldo_relativo_per_capita!V110*Saldo_relativo_per_capita!V$543/1000000</f>
        <v>10.629009943133314</v>
      </c>
      <c r="W110" s="148"/>
    </row>
    <row r="111" spans="1:23" s="115" customFormat="1">
      <c r="A111" s="355" t="str">
        <f>IF(B111="","",(IF(ISERROR(MATCH(B111,Tot_res!C:C,0)),"Eliminar!!!","")))</f>
        <v/>
      </c>
      <c r="B111" s="115" t="s">
        <v>209</v>
      </c>
      <c r="C111" s="333" t="str">
        <f>VLOOKUP(B111,Tot_res!C:D,2,FALSE)</f>
        <v>Otros Flujos de financiación regional, en parte extrapresupuestarios</v>
      </c>
      <c r="D111" s="340">
        <f>Saldo_relativo_per_capita!D111*Saldo_relativo_per_capita!D$543/1000000</f>
        <v>0</v>
      </c>
      <c r="E111" s="340">
        <f>Saldo_relativo_per_capita!E111*Saldo_relativo_per_capita!E$543/1000000</f>
        <v>-162.43208503567126</v>
      </c>
      <c r="F111" s="340">
        <f>Saldo_relativo_per_capita!F111*Saldo_relativo_per_capita!F$543/1000000</f>
        <v>-19.847568833293415</v>
      </c>
      <c r="G111" s="340">
        <f>Saldo_relativo_per_capita!G111*Saldo_relativo_per_capita!G$543/1000000</f>
        <v>-19.582726025328604</v>
      </c>
      <c r="H111" s="340">
        <f>Saldo_relativo_per_capita!H111*Saldo_relativo_per_capita!H$543/1000000</f>
        <v>23.336018106874899</v>
      </c>
      <c r="I111" s="340">
        <f>Saldo_relativo_per_capita!I111*Saldo_relativo_per_capita!I$543/1000000</f>
        <v>-32.395336354205561</v>
      </c>
      <c r="J111" s="340">
        <f>Saldo_relativo_per_capita!J111*Saldo_relativo_per_capita!J$543/1000000</f>
        <v>-16.040772837525974</v>
      </c>
      <c r="K111" s="340">
        <f>Saldo_relativo_per_capita!K111*Saldo_relativo_per_capita!K$543/1000000</f>
        <v>-54.484642703674176</v>
      </c>
      <c r="L111" s="340">
        <f>Saldo_relativo_per_capita!L111*Saldo_relativo_per_capita!L$543/1000000</f>
        <v>-20.614949784738499</v>
      </c>
      <c r="M111" s="340">
        <f>Saldo_relativo_per_capita!M111*Saldo_relativo_per_capita!M$543/1000000</f>
        <v>65.973406537831721</v>
      </c>
      <c r="N111" s="340">
        <f>Saldo_relativo_per_capita!N111*Saldo_relativo_per_capita!N$543/1000000</f>
        <v>30.374811430473333</v>
      </c>
      <c r="O111" s="340">
        <f>Saldo_relativo_per_capita!O111*Saldo_relativo_per_capita!O$543/1000000</f>
        <v>-41.716633562674346</v>
      </c>
      <c r="P111" s="340">
        <f>Saldo_relativo_per_capita!P111*Saldo_relativo_per_capita!P$543/1000000</f>
        <v>-68.715233801232799</v>
      </c>
      <c r="Q111" s="340">
        <f>Saldo_relativo_per_capita!Q111*Saldo_relativo_per_capita!Q$543/1000000</f>
        <v>175.03070860871298</v>
      </c>
      <c r="R111" s="340">
        <f>Saldo_relativo_per_capita!R111*Saldo_relativo_per_capita!R$543/1000000</f>
        <v>0.72949804298048082</v>
      </c>
      <c r="S111" s="340">
        <f>Saldo_relativo_per_capita!S111*Saldo_relativo_per_capita!S$543/1000000</f>
        <v>32.026047945715625</v>
      </c>
      <c r="T111" s="340">
        <f>Saldo_relativo_per_capita!T111*Saldo_relativo_per_capita!T$543/1000000</f>
        <v>109.15665879246433</v>
      </c>
      <c r="U111" s="340">
        <f>Saldo_relativo_per_capita!U111*Saldo_relativo_per_capita!U$543/1000000</f>
        <v>-8.0296026645730922</v>
      </c>
      <c r="V111" s="340">
        <f>Saldo_relativo_per_capita!V111*Saldo_relativo_per_capita!V$543/1000000</f>
        <v>7.2324021378641152</v>
      </c>
      <c r="W111" s="148"/>
    </row>
    <row r="112" spans="1:23" s="115" customFormat="1">
      <c r="A112" s="355" t="str">
        <f>IF(B112="","",(IF(ISERROR(MATCH(B112,Tot_res!C:C,0)),"Eliminar!!!","")))</f>
        <v/>
      </c>
      <c r="B112" s="115" t="s">
        <v>959</v>
      </c>
      <c r="C112" s="333" t="str">
        <f>VLOOKUP(B112,Tot_res!C:D,2,FALSE)</f>
        <v>Participación CCAARC en IRPF, sin ejercicio de la capacidad normativa</v>
      </c>
      <c r="D112" s="340">
        <f>Saldo_relativo_per_capita!D112*Saldo_relativo_per_capita!D$543/1000000</f>
        <v>0</v>
      </c>
      <c r="E112" s="340">
        <f>Saldo_relativo_per_capita!E112*Saldo_relativo_per_capita!E$543/1000000</f>
        <v>-1828.8380177036547</v>
      </c>
      <c r="F112" s="340">
        <f>Saldo_relativo_per_capita!F112*Saldo_relativo_per_capita!F$543/1000000</f>
        <v>136.5060986506144</v>
      </c>
      <c r="G112" s="340">
        <f>Saldo_relativo_per_capita!G112*Saldo_relativo_per_capita!G$543/1000000</f>
        <v>131.36094296489395</v>
      </c>
      <c r="H112" s="340">
        <f>Saldo_relativo_per_capita!H112*Saldo_relativo_per_capita!H$543/1000000</f>
        <v>-30.705235493144485</v>
      </c>
      <c r="I112" s="340">
        <f>Saldo_relativo_per_capita!I112*Saldo_relativo_per_capita!I$543/1000000</f>
        <v>-397.39281909899461</v>
      </c>
      <c r="J112" s="340">
        <f>Saldo_relativo_per_capita!J112*Saldo_relativo_per_capita!J$543/1000000</f>
        <v>40.586810698870792</v>
      </c>
      <c r="K112" s="340">
        <f>Saldo_relativo_per_capita!K112*Saldo_relativo_per_capita!K$543/1000000</f>
        <v>42.865466272077434</v>
      </c>
      <c r="L112" s="340">
        <f>Saldo_relativo_per_capita!L112*Saldo_relativo_per_capita!L$543/1000000</f>
        <v>-337.49147104399827</v>
      </c>
      <c r="M112" s="340">
        <f>Saldo_relativo_per_capita!M112*Saldo_relativo_per_capita!M$543/1000000</f>
        <v>1865.4170948633848</v>
      </c>
      <c r="N112" s="340">
        <f>Saldo_relativo_per_capita!N112*Saldo_relativo_per_capita!N$543/1000000</f>
        <v>-636.35836097600884</v>
      </c>
      <c r="O112" s="340">
        <f>Saldo_relativo_per_capita!O112*Saldo_relativo_per_capita!O$543/1000000</f>
        <v>-261.41868696334507</v>
      </c>
      <c r="P112" s="340">
        <f>Saldo_relativo_per_capita!P112*Saldo_relativo_per_capita!P$543/1000000</f>
        <v>-113.11709770327232</v>
      </c>
      <c r="Q112" s="340">
        <f>Saldo_relativo_per_capita!Q112*Saldo_relativo_per_capita!Q$543/1000000</f>
        <v>3740.3983917630453</v>
      </c>
      <c r="R112" s="340">
        <f>Saldo_relativo_per_capita!R112*Saldo_relativo_per_capita!R$543/1000000</f>
        <v>-284.31973914539418</v>
      </c>
      <c r="S112" s="340">
        <f>Saldo_relativo_per_capita!S112*Saldo_relativo_per_capita!S$543/1000000</f>
        <v>-441.34812551889229</v>
      </c>
      <c r="T112" s="340">
        <f>Saldo_relativo_per_capita!T112*Saldo_relativo_per_capita!T$543/1000000</f>
        <v>-1504.2782308831311</v>
      </c>
      <c r="U112" s="340">
        <f>Saldo_relativo_per_capita!U112*Saldo_relativo_per_capita!U$543/1000000</f>
        <v>-6.0308523776202678</v>
      </c>
      <c r="V112" s="340">
        <f>Saldo_relativo_per_capita!V112*Saldo_relativo_per_capita!V$543/1000000</f>
        <v>-115.83616830542871</v>
      </c>
      <c r="W112" s="148"/>
    </row>
    <row r="113" spans="1:23" s="115" customFormat="1">
      <c r="A113" s="355" t="str">
        <f>IF(B113="","",(IF(ISERROR(MATCH(B113,Tot_res!C:C,0)),"Eliminar!!!","")))</f>
        <v/>
      </c>
      <c r="B113" s="115" t="s">
        <v>210</v>
      </c>
      <c r="C113" s="333" t="str">
        <f>VLOOKUP(B113,Tot_res!C:D,2,FALSE)</f>
        <v>Participación CCAARC en el IVA</v>
      </c>
      <c r="D113" s="340">
        <f>Saldo_relativo_per_capita!D113*Saldo_relativo_per_capita!D$543/1000000</f>
        <v>0</v>
      </c>
      <c r="E113" s="340">
        <f>Saldo_relativo_per_capita!E113*Saldo_relativo_per_capita!E$543/1000000</f>
        <v>-31.379396325851452</v>
      </c>
      <c r="F113" s="340">
        <f>Saldo_relativo_per_capita!F113*Saldo_relativo_per_capita!F$543/1000000</f>
        <v>168.52721307255584</v>
      </c>
      <c r="G113" s="340">
        <f>Saldo_relativo_per_capita!G113*Saldo_relativo_per_capita!G$543/1000000</f>
        <v>109.29207853519286</v>
      </c>
      <c r="H113" s="340">
        <f>Saldo_relativo_per_capita!H113*Saldo_relativo_per_capita!H$543/1000000</f>
        <v>405.67173589270749</v>
      </c>
      <c r="I113" s="340">
        <f>Saldo_relativo_per_capita!I113*Saldo_relativo_per_capita!I$543/1000000</f>
        <v>-1234.4908164793646</v>
      </c>
      <c r="J113" s="340">
        <f>Saldo_relativo_per_capita!J113*Saldo_relativo_per_capita!J$543/1000000</f>
        <v>62.693715550680317</v>
      </c>
      <c r="K113" s="340">
        <f>Saldo_relativo_per_capita!K113*Saldo_relativo_per_capita!K$543/1000000</f>
        <v>245.46713382737286</v>
      </c>
      <c r="L113" s="340">
        <f>Saldo_relativo_per_capita!L113*Saldo_relativo_per_capita!L$543/1000000</f>
        <v>41.249999971312427</v>
      </c>
      <c r="M113" s="340">
        <f>Saldo_relativo_per_capita!M113*Saldo_relativo_per_capita!M$543/1000000</f>
        <v>972.76345474705204</v>
      </c>
      <c r="N113" s="340">
        <f>Saldo_relativo_per_capita!N113*Saldo_relativo_per_capita!N$543/1000000</f>
        <v>213.35189251899229</v>
      </c>
      <c r="O113" s="340">
        <f>Saldo_relativo_per_capita!O113*Saldo_relativo_per_capita!O$543/1000000</f>
        <v>-18.996019263865779</v>
      </c>
      <c r="P113" s="340">
        <f>Saldo_relativo_per_capita!P113*Saldo_relativo_per_capita!P$543/1000000</f>
        <v>193.89376123434286</v>
      </c>
      <c r="Q113" s="340">
        <f>Saldo_relativo_per_capita!Q113*Saldo_relativo_per_capita!Q$543/1000000</f>
        <v>618.917664073987</v>
      </c>
      <c r="R113" s="340">
        <f>Saldo_relativo_per_capita!R113*Saldo_relativo_per_capita!R$543/1000000</f>
        <v>-16.291840129490019</v>
      </c>
      <c r="S113" s="340">
        <f>Saldo_relativo_per_capita!S113*Saldo_relativo_per_capita!S$543/1000000</f>
        <v>-375.67244282198192</v>
      </c>
      <c r="T113" s="340">
        <f>Saldo_relativo_per_capita!T113*Saldo_relativo_per_capita!T$543/1000000</f>
        <v>-1280.4311268239542</v>
      </c>
      <c r="U113" s="340">
        <f>Saldo_relativo_per_capita!U113*Saldo_relativo_per_capita!U$543/1000000</f>
        <v>24.031930080409552</v>
      </c>
      <c r="V113" s="340">
        <f>Saldo_relativo_per_capita!V113*Saldo_relativo_per_capita!V$543/1000000</f>
        <v>-98.598937660098628</v>
      </c>
      <c r="W113" s="148"/>
    </row>
    <row r="114" spans="1:23" s="115" customFormat="1">
      <c r="A114" s="355" t="str">
        <f>IF(B114="","",(IF(ISERROR(MATCH(B114,Tot_res!C:C,0)),"Eliminar!!!","")))</f>
        <v/>
      </c>
      <c r="B114" s="115" t="s">
        <v>1117</v>
      </c>
      <c r="C114" s="333" t="str">
        <f>VLOOKUP(B114,Tot_res!C:D,2,FALSE)</f>
        <v>Participación de las CCAARC en los impuestos especiales (excluyendo electricidad), sin ejercicio de la capacidad normativa en el IH</v>
      </c>
      <c r="D114" s="340">
        <f>Saldo_relativo_per_capita!D114*Saldo_relativo_per_capita!D$543/1000000</f>
        <v>0</v>
      </c>
      <c r="E114" s="340">
        <f>Saldo_relativo_per_capita!E114*Saldo_relativo_per_capita!E$543/1000000</f>
        <v>-100.20912942251822</v>
      </c>
      <c r="F114" s="340">
        <f>Saldo_relativo_per_capita!F114*Saldo_relativo_per_capita!F$543/1000000</f>
        <v>107.65776029927325</v>
      </c>
      <c r="G114" s="340">
        <f>Saldo_relativo_per_capita!G114*Saldo_relativo_per_capita!G$543/1000000</f>
        <v>19.582072674677121</v>
      </c>
      <c r="H114" s="340">
        <f>Saldo_relativo_per_capita!H114*Saldo_relativo_per_capita!H$543/1000000</f>
        <v>74.17493004092178</v>
      </c>
      <c r="I114" s="340">
        <f>Saldo_relativo_per_capita!I114*Saldo_relativo_per_capita!I$543/1000000</f>
        <v>-421.57409362180908</v>
      </c>
      <c r="J114" s="340">
        <f>Saldo_relativo_per_capita!J114*Saldo_relativo_per_capita!J$543/1000000</f>
        <v>36.936970362414392</v>
      </c>
      <c r="K114" s="340">
        <f>Saldo_relativo_per_capita!K114*Saldo_relativo_per_capita!K$543/1000000</f>
        <v>285.14794939608061</v>
      </c>
      <c r="L114" s="340">
        <f>Saldo_relativo_per_capita!L114*Saldo_relativo_per_capita!L$543/1000000</f>
        <v>147.35964600706998</v>
      </c>
      <c r="M114" s="340">
        <f>Saldo_relativo_per_capita!M114*Saldo_relativo_per_capita!M$543/1000000</f>
        <v>292.62996890736002</v>
      </c>
      <c r="N114" s="340">
        <f>Saldo_relativo_per_capita!N114*Saldo_relativo_per_capita!N$543/1000000</f>
        <v>81.311800848259367</v>
      </c>
      <c r="O114" s="340">
        <f>Saldo_relativo_per_capita!O114*Saldo_relativo_per_capita!O$543/1000000</f>
        <v>64.107513669485769</v>
      </c>
      <c r="P114" s="340">
        <f>Saldo_relativo_per_capita!P114*Saldo_relativo_per_capita!P$543/1000000</f>
        <v>87.447332987269547</v>
      </c>
      <c r="Q114" s="340">
        <f>Saldo_relativo_per_capita!Q114*Saldo_relativo_per_capita!Q$543/1000000</f>
        <v>-126.95714446092386</v>
      </c>
      <c r="R114" s="340">
        <f>Saldo_relativo_per_capita!R114*Saldo_relativo_per_capita!R$543/1000000</f>
        <v>81.653633462799959</v>
      </c>
      <c r="S114" s="340">
        <f>Saldo_relativo_per_capita!S114*Saldo_relativo_per_capita!S$543/1000000</f>
        <v>-136.67086247853595</v>
      </c>
      <c r="T114" s="340">
        <f>Saldo_relativo_per_capita!T114*Saldo_relativo_per_capita!T$543/1000000</f>
        <v>-465.82502866817606</v>
      </c>
      <c r="U114" s="340">
        <f>Saldo_relativo_per_capita!U114*Saldo_relativo_per_capita!U$543/1000000</f>
        <v>9.0972957600378574</v>
      </c>
      <c r="V114" s="340">
        <f>Saldo_relativo_per_capita!V114*Saldo_relativo_per_capita!V$543/1000000</f>
        <v>-35.87061576368724</v>
      </c>
      <c r="W114" s="148"/>
    </row>
    <row r="115" spans="1:23" s="115" customFormat="1">
      <c r="A115" s="355" t="str">
        <f>IF(B115="","",(IF(ISERROR(MATCH(B115,Tot_res!C:C,0)),"Eliminar!!!","")))</f>
        <v/>
      </c>
      <c r="B115" s="115" t="s">
        <v>211</v>
      </c>
      <c r="C115" s="333" t="str">
        <f>VLOOKUP(B115,Tot_res!C:D,2,FALSE)</f>
        <v>Participación de las CCAARC en el impuesto sobre la electricidad</v>
      </c>
      <c r="D115" s="340">
        <f>Saldo_relativo_per_capita!D115*Saldo_relativo_per_capita!D$543/1000000</f>
        <v>0</v>
      </c>
      <c r="E115" s="340">
        <f>Saldo_relativo_per_capita!E115*Saldo_relativo_per_capita!E$543/1000000</f>
        <v>-32.745028795323208</v>
      </c>
      <c r="F115" s="340">
        <f>Saldo_relativo_per_capita!F115*Saldo_relativo_per_capita!F$543/1000000</f>
        <v>26.794112649856771</v>
      </c>
      <c r="G115" s="340">
        <f>Saldo_relativo_per_capita!G115*Saldo_relativo_per_capita!G$543/1000000</f>
        <v>30.335943599827726</v>
      </c>
      <c r="H115" s="340">
        <f>Saldo_relativo_per_capita!H115*Saldo_relativo_per_capita!H$543/1000000</f>
        <v>-0.25626084000016941</v>
      </c>
      <c r="I115" s="340">
        <f>Saldo_relativo_per_capita!I115*Saldo_relativo_per_capita!I$543/1000000</f>
        <v>-16.871772325329999</v>
      </c>
      <c r="J115" s="340">
        <f>Saldo_relativo_per_capita!J115*Saldo_relativo_per_capita!J$543/1000000</f>
        <v>9.0419195582817498</v>
      </c>
      <c r="K115" s="340">
        <f>Saldo_relativo_per_capita!K115*Saldo_relativo_per_capita!K$543/1000000</f>
        <v>4.4470291149766128</v>
      </c>
      <c r="L115" s="340">
        <f>Saldo_relativo_per_capita!L115*Saldo_relativo_per_capita!L$543/1000000</f>
        <v>9.2394286611345429</v>
      </c>
      <c r="M115" s="340">
        <f>Saldo_relativo_per_capita!M115*Saldo_relativo_per_capita!M$543/1000000</f>
        <v>46.474792105976768</v>
      </c>
      <c r="N115" s="340">
        <f>Saldo_relativo_per_capita!N115*Saldo_relativo_per_capita!N$543/1000000</f>
        <v>-1.7926719076768058</v>
      </c>
      <c r="O115" s="340">
        <f>Saldo_relativo_per_capita!O115*Saldo_relativo_per_capita!O$543/1000000</f>
        <v>-2.7979620710674373</v>
      </c>
      <c r="P115" s="340">
        <f>Saldo_relativo_per_capita!P115*Saldo_relativo_per_capita!P$543/1000000</f>
        <v>30.791668348138721</v>
      </c>
      <c r="Q115" s="340">
        <f>Saldo_relativo_per_capita!Q115*Saldo_relativo_per_capita!Q$543/1000000</f>
        <v>-13.741651092333186</v>
      </c>
      <c r="R115" s="340">
        <f>Saldo_relativo_per_capita!R115*Saldo_relativo_per_capita!R$543/1000000</f>
        <v>1.6598016805716846</v>
      </c>
      <c r="S115" s="340">
        <f>Saldo_relativo_per_capita!S115*Saldo_relativo_per_capita!S$543/1000000</f>
        <v>-19.430009198594792</v>
      </c>
      <c r="T115" s="340">
        <f>Saldo_relativo_per_capita!T115*Saldo_relativo_per_capita!T$543/1000000</f>
        <v>-66.224683358384411</v>
      </c>
      <c r="U115" s="340">
        <f>Saldo_relativo_per_capita!U115*Saldo_relativo_per_capita!U$543/1000000</f>
        <v>0.17494141113400971</v>
      </c>
      <c r="V115" s="340">
        <f>Saldo_relativo_per_capita!V115*Saldo_relativo_per_capita!V$543/1000000</f>
        <v>-5.0995975411888583</v>
      </c>
      <c r="W115" s="148"/>
    </row>
    <row r="116" spans="1:23" s="115" customFormat="1">
      <c r="A116" s="355" t="str">
        <f>IF(B116="","",(IF(ISERROR(MATCH(B116,Tot_res!C:C,0)),"Eliminar!!!","")))</f>
        <v/>
      </c>
      <c r="B116" s="115" t="s">
        <v>960</v>
      </c>
      <c r="C116" s="333" t="str">
        <f>VLOOKUP(B116,Tot_res!C:D,2,FALSE)</f>
        <v>Sucesiones y donaciones, ingresos homogeneizados de las CCAARC</v>
      </c>
      <c r="D116" s="340">
        <f>Saldo_relativo_per_capita!D116*Saldo_relativo_per_capita!D$543/1000000</f>
        <v>0</v>
      </c>
      <c r="E116" s="340">
        <f>Saldo_relativo_per_capita!E116*Saldo_relativo_per_capita!E$543/1000000</f>
        <v>-138.20109601614507</v>
      </c>
      <c r="F116" s="340">
        <f>Saldo_relativo_per_capita!F116*Saldo_relativo_per_capita!F$543/1000000</f>
        <v>33.816123990461598</v>
      </c>
      <c r="G116" s="340">
        <f>Saldo_relativo_per_capita!G116*Saldo_relativo_per_capita!G$543/1000000</f>
        <v>26.026347975737206</v>
      </c>
      <c r="H116" s="340">
        <f>Saldo_relativo_per_capita!H116*Saldo_relativo_per_capita!H$543/1000000</f>
        <v>-6.6183597659663915</v>
      </c>
      <c r="I116" s="340">
        <f>Saldo_relativo_per_capita!I116*Saldo_relativo_per_capita!I$543/1000000</f>
        <v>-40.413598761746712</v>
      </c>
      <c r="J116" s="340">
        <f>Saldo_relativo_per_capita!J116*Saldo_relativo_per_capita!J$543/1000000</f>
        <v>16.789801559161546</v>
      </c>
      <c r="K116" s="340">
        <f>Saldo_relativo_per_capita!K116*Saldo_relativo_per_capita!K$543/1000000</f>
        <v>45.198396089344961</v>
      </c>
      <c r="L116" s="340">
        <f>Saldo_relativo_per_capita!L116*Saldo_relativo_per_capita!L$543/1000000</f>
        <v>-24.341902308988047</v>
      </c>
      <c r="M116" s="340">
        <f>Saldo_relativo_per_capita!M116*Saldo_relativo_per_capita!M$543/1000000</f>
        <v>89.119977870339895</v>
      </c>
      <c r="N116" s="340">
        <f>Saldo_relativo_per_capita!N116*Saldo_relativo_per_capita!N$543/1000000</f>
        <v>-4.3766988143808554</v>
      </c>
      <c r="O116" s="340">
        <f>Saldo_relativo_per_capita!O116*Saldo_relativo_per_capita!O$543/1000000</f>
        <v>-12.344941961541512</v>
      </c>
      <c r="P116" s="340">
        <f>Saldo_relativo_per_capita!P116*Saldo_relativo_per_capita!P$543/1000000</f>
        <v>52.148201009342692</v>
      </c>
      <c r="Q116" s="340">
        <f>Saldo_relativo_per_capita!Q116*Saldo_relativo_per_capita!Q$543/1000000</f>
        <v>117.36930105355384</v>
      </c>
      <c r="R116" s="340">
        <f>Saldo_relativo_per_capita!R116*Saldo_relativo_per_capita!R$543/1000000</f>
        <v>-24.57344274853169</v>
      </c>
      <c r="S116" s="340">
        <f>Saldo_relativo_per_capita!S116*Saldo_relativo_per_capita!S$543/1000000</f>
        <v>-29.056267721353361</v>
      </c>
      <c r="T116" s="340">
        <f>Saldo_relativo_per_capita!T116*Saldo_relativo_per_capita!T$543/1000000</f>
        <v>-99.034545468060614</v>
      </c>
      <c r="U116" s="340">
        <f>Saldo_relativo_per_capita!U116*Saldo_relativo_per_capita!U$543/1000000</f>
        <v>6.1188080475172804</v>
      </c>
      <c r="V116" s="340">
        <f>Saldo_relativo_per_capita!V116*Saldo_relativo_per_capita!V$543/1000000</f>
        <v>-7.6261040287441064</v>
      </c>
      <c r="W116" s="148"/>
    </row>
    <row r="117" spans="1:23" s="115" customFormat="1">
      <c r="A117" s="355" t="str">
        <f>IF(B117="","",(IF(ISERROR(MATCH(B117,Tot_res!C:C,0)),"Eliminar!!!","")))</f>
        <v/>
      </c>
      <c r="B117" s="115" t="s">
        <v>961</v>
      </c>
      <c r="C117" s="333" t="str">
        <f>VLOOKUP(B117,Tot_res!C:D,2,FALSE)</f>
        <v>ITP y AJD, ingresos homogeneizados de las CCAARC</v>
      </c>
      <c r="D117" s="340">
        <f>Saldo_relativo_per_capita!D117*Saldo_relativo_per_capita!D$543/1000000</f>
        <v>0</v>
      </c>
      <c r="E117" s="340">
        <f>Saldo_relativo_per_capita!E117*Saldo_relativo_per_capita!E$543/1000000</f>
        <v>78.141468446393887</v>
      </c>
      <c r="F117" s="340">
        <f>Saldo_relativo_per_capita!F117*Saldo_relativo_per_capita!F$543/1000000</f>
        <v>-18.855907851228192</v>
      </c>
      <c r="G117" s="340">
        <f>Saldo_relativo_per_capita!G117*Saldo_relativo_per_capita!G$543/1000000</f>
        <v>-39.115815115245539</v>
      </c>
      <c r="H117" s="340">
        <f>Saldo_relativo_per_capita!H117*Saldo_relativo_per_capita!H$543/1000000</f>
        <v>151.07317825787334</v>
      </c>
      <c r="I117" s="340">
        <f>Saldo_relativo_per_capita!I117*Saldo_relativo_per_capita!I$543/1000000</f>
        <v>-5.8984406829177001</v>
      </c>
      <c r="J117" s="340">
        <f>Saldo_relativo_per_capita!J117*Saldo_relativo_per_capita!J$543/1000000</f>
        <v>2.392147548100414</v>
      </c>
      <c r="K117" s="340">
        <f>Saldo_relativo_per_capita!K117*Saldo_relativo_per_capita!K$543/1000000</f>
        <v>-58.721605365716684</v>
      </c>
      <c r="L117" s="340">
        <f>Saldo_relativo_per_capita!L117*Saldo_relativo_per_capita!L$543/1000000</f>
        <v>14.38247701104169</v>
      </c>
      <c r="M117" s="340">
        <f>Saldo_relativo_per_capita!M117*Saldo_relativo_per_capita!M$543/1000000</f>
        <v>128.65946014596545</v>
      </c>
      <c r="N117" s="340">
        <f>Saldo_relativo_per_capita!N117*Saldo_relativo_per_capita!N$543/1000000</f>
        <v>105.96117631321675</v>
      </c>
      <c r="O117" s="340">
        <f>Saldo_relativo_per_capita!O117*Saldo_relativo_per_capita!O$543/1000000</f>
        <v>-46.624854346558337</v>
      </c>
      <c r="P117" s="340">
        <f>Saldo_relativo_per_capita!P117*Saldo_relativo_per_capita!P$543/1000000</f>
        <v>-111.77763418413177</v>
      </c>
      <c r="Q117" s="340">
        <f>Saldo_relativo_per_capita!Q117*Saldo_relativo_per_capita!Q$543/1000000</f>
        <v>114.10952240167694</v>
      </c>
      <c r="R117" s="340">
        <f>Saldo_relativo_per_capita!R117*Saldo_relativo_per_capita!R$543/1000000</f>
        <v>0.11677665791639344</v>
      </c>
      <c r="S117" s="340">
        <f>Saldo_relativo_per_capita!S117*Saldo_relativo_per_capita!S$543/1000000</f>
        <v>-67.044086893988108</v>
      </c>
      <c r="T117" s="340">
        <f>Saldo_relativo_per_capita!T117*Saldo_relativo_per_capita!T$543/1000000</f>
        <v>-228.51113348559187</v>
      </c>
      <c r="U117" s="340">
        <f>Saldo_relativo_per_capita!U117*Saldo_relativo_per_capita!U$543/1000000</f>
        <v>-0.69034703416978382</v>
      </c>
      <c r="V117" s="340">
        <f>Saldo_relativo_per_capita!V117*Saldo_relativo_per_capita!V$543/1000000</f>
        <v>-17.596381822637554</v>
      </c>
      <c r="W117" s="148"/>
    </row>
    <row r="118" spans="1:23" s="115" customFormat="1">
      <c r="A118" s="355" t="str">
        <f>IF(B118="","",(IF(ISERROR(MATCH(B118,Tot_res!C:C,0)),"Eliminar!!!","")))</f>
        <v/>
      </c>
      <c r="B118" s="115" t="s">
        <v>962</v>
      </c>
      <c r="C118" s="333" t="str">
        <f>VLOOKUP(B118,Tot_res!C:D,2,FALSE)</f>
        <v>Tasas sobre el juego, ingresos homogeneizados de las CCAARC</v>
      </c>
      <c r="D118" s="340">
        <f>Saldo_relativo_per_capita!D118*Saldo_relativo_per_capita!D$543/1000000</f>
        <v>0</v>
      </c>
      <c r="E118" s="340">
        <f>Saldo_relativo_per_capita!E118*Saldo_relativo_per_capita!E$543/1000000</f>
        <v>-31.355420519357541</v>
      </c>
      <c r="F118" s="340">
        <f>Saldo_relativo_per_capita!F118*Saldo_relativo_per_capita!F$543/1000000</f>
        <v>-0.19249472067339771</v>
      </c>
      <c r="G118" s="340">
        <f>Saldo_relativo_per_capita!G118*Saldo_relativo_per_capita!G$543/1000000</f>
        <v>-2.237182183217616</v>
      </c>
      <c r="H118" s="340">
        <f>Saldo_relativo_per_capita!H118*Saldo_relativo_per_capita!H$543/1000000</f>
        <v>13.844154034310518</v>
      </c>
      <c r="I118" s="340">
        <f>Saldo_relativo_per_capita!I118*Saldo_relativo_per_capita!I$543/1000000</f>
        <v>-7.5960862007038044</v>
      </c>
      <c r="J118" s="340">
        <f>Saldo_relativo_per_capita!J118*Saldo_relativo_per_capita!J$543/1000000</f>
        <v>1.07099605370456</v>
      </c>
      <c r="K118" s="340">
        <f>Saldo_relativo_per_capita!K118*Saldo_relativo_per_capita!K$543/1000000</f>
        <v>6.8934306919752535</v>
      </c>
      <c r="L118" s="340">
        <f>Saldo_relativo_per_capita!L118*Saldo_relativo_per_capita!L$543/1000000</f>
        <v>-2.7303134842516474</v>
      </c>
      <c r="M118" s="340">
        <f>Saldo_relativo_per_capita!M118*Saldo_relativo_per_capita!M$543/1000000</f>
        <v>-19.416856081615808</v>
      </c>
      <c r="N118" s="340">
        <f>Saldo_relativo_per_capita!N118*Saldo_relativo_per_capita!N$543/1000000</f>
        <v>31.967069278573014</v>
      </c>
      <c r="O118" s="340">
        <f>Saldo_relativo_per_capita!O118*Saldo_relativo_per_capita!O$543/1000000</f>
        <v>-5.9580295421066305</v>
      </c>
      <c r="P118" s="340">
        <f>Saldo_relativo_per_capita!P118*Saldo_relativo_per_capita!P$543/1000000</f>
        <v>-10.759152486601412</v>
      </c>
      <c r="Q118" s="340">
        <f>Saldo_relativo_per_capita!Q118*Saldo_relativo_per_capita!Q$543/1000000</f>
        <v>104.80472875316299</v>
      </c>
      <c r="R118" s="340">
        <f>Saldo_relativo_per_capita!R118*Saldo_relativo_per_capita!R$543/1000000</f>
        <v>-9.8701295271600191</v>
      </c>
      <c r="S118" s="340">
        <f>Saldo_relativo_per_capita!S118*Saldo_relativo_per_capita!S$543/1000000</f>
        <v>-14.222616274891447</v>
      </c>
      <c r="T118" s="340">
        <f>Saldo_relativo_per_capita!T118*Saldo_relativo_per_capita!T$543/1000000</f>
        <v>-48.475955399990731</v>
      </c>
      <c r="U118" s="340">
        <f>Saldo_relativo_per_capita!U118*Saldo_relativo_per_capita!U$543/1000000</f>
        <v>-2.0332764803180141</v>
      </c>
      <c r="V118" s="340">
        <f>Saldo_relativo_per_capita!V118*Saldo_relativo_per_capita!V$543/1000000</f>
        <v>-3.732865910838298</v>
      </c>
      <c r="W118" s="148"/>
    </row>
    <row r="119" spans="1:23" s="115" customFormat="1">
      <c r="A119" s="355" t="str">
        <f>IF(B119="","",(IF(ISERROR(MATCH(B119,Tot_res!C:C,0)),"Eliminar!!!","")))</f>
        <v/>
      </c>
      <c r="B119" s="115" t="s">
        <v>963</v>
      </c>
      <c r="C119" s="333" t="str">
        <f>VLOOKUP(B119,Tot_res!C:D,2,FALSE)</f>
        <v>Impuesto sobre la venta minorista de hidrocarburos (IVMH),  sin ejercicio capacidad normativa</v>
      </c>
      <c r="D119" s="340">
        <f>Saldo_relativo_per_capita!D119*Saldo_relativo_per_capita!D$543/1000000</f>
        <v>0</v>
      </c>
      <c r="E119" s="340">
        <f>Saldo_relativo_per_capita!E119*Saldo_relativo_per_capita!E$543/1000000</f>
        <v>-1.608942275013129</v>
      </c>
      <c r="F119" s="340">
        <f>Saldo_relativo_per_capita!F119*Saldo_relativo_per_capita!F$543/1000000</f>
        <v>3.4571489669470843</v>
      </c>
      <c r="G119" s="340">
        <f>Saldo_relativo_per_capita!G119*Saldo_relativo_per_capita!G$543/1000000</f>
        <v>0.40950935907252867</v>
      </c>
      <c r="H119" s="340">
        <f>Saldo_relativo_per_capita!H119*Saldo_relativo_per_capita!H$543/1000000</f>
        <v>-0.3888811522064422</v>
      </c>
      <c r="I119" s="340">
        <f>Saldo_relativo_per_capita!I119*Saldo_relativo_per_capita!I$543/1000000</f>
        <v>-8.0667774290001031</v>
      </c>
      <c r="J119" s="340">
        <f>Saldo_relativo_per_capita!J119*Saldo_relativo_per_capita!J$543/1000000</f>
        <v>0.58123782478642116</v>
      </c>
      <c r="K119" s="340">
        <f>Saldo_relativo_per_capita!K119*Saldo_relativo_per_capita!K$543/1000000</f>
        <v>5.4097539651064253</v>
      </c>
      <c r="L119" s="340">
        <f>Saldo_relativo_per_capita!L119*Saldo_relativo_per_capita!L$543/1000000</f>
        <v>3.7171519223406739</v>
      </c>
      <c r="M119" s="340">
        <f>Saldo_relativo_per_capita!M119*Saldo_relativo_per_capita!M$543/1000000</f>
        <v>2.4065367651930334</v>
      </c>
      <c r="N119" s="340">
        <f>Saldo_relativo_per_capita!N119*Saldo_relativo_per_capita!N$543/1000000</f>
        <v>0.22229157300832728</v>
      </c>
      <c r="O119" s="340">
        <f>Saldo_relativo_per_capita!O119*Saldo_relativo_per_capita!O$543/1000000</f>
        <v>1.3248953865514965</v>
      </c>
      <c r="P119" s="340">
        <f>Saldo_relativo_per_capita!P119*Saldo_relativo_per_capita!P$543/1000000</f>
        <v>3.3351526425622988</v>
      </c>
      <c r="Q119" s="340">
        <f>Saldo_relativo_per_capita!Q119*Saldo_relativo_per_capita!Q$543/1000000</f>
        <v>-1.5479181164160483</v>
      </c>
      <c r="R119" s="340">
        <f>Saldo_relativo_per_capita!R119*Saldo_relativo_per_capita!R$543/1000000</f>
        <v>1.7882709076718823</v>
      </c>
      <c r="S119" s="340">
        <f>Saldo_relativo_per_capita!S119*Saldo_relativo_per_capita!S$543/1000000</f>
        <v>-2.4548307221079697</v>
      </c>
      <c r="T119" s="340">
        <f>Saldo_relativo_per_capita!T119*Saldo_relativo_per_capita!T$543/1000000</f>
        <v>-8.3669742823277602</v>
      </c>
      <c r="U119" s="340">
        <f>Saldo_relativo_per_capita!U119*Saldo_relativo_per_capita!U$543/1000000</f>
        <v>0.42666919743356851</v>
      </c>
      <c r="V119" s="340">
        <f>Saldo_relativo_per_capita!V119*Saldo_relativo_per_capita!V$543/1000000</f>
        <v>-0.64429453360228151</v>
      </c>
      <c r="W119" s="148"/>
    </row>
    <row r="120" spans="1:23" s="115" customFormat="1">
      <c r="A120" s="355" t="str">
        <f>IF(B120="","",(IF(ISERROR(MATCH(B120,Tot_res!C:C,0)),"Eliminar!!!","")))</f>
        <v/>
      </c>
      <c r="B120" s="115" t="s">
        <v>964</v>
      </c>
      <c r="C120" s="333" t="str">
        <f>VLOOKUP(B120,Tot_res!C:D,2,FALSE)</f>
        <v>Impuesto de matriculación, ingresos de las CCAARC sin ej cap normativa</v>
      </c>
      <c r="D120" s="340">
        <f>Saldo_relativo_per_capita!D120*Saldo_relativo_per_capita!D$543/1000000</f>
        <v>0</v>
      </c>
      <c r="E120" s="340">
        <f>Saldo_relativo_per_capita!E120*Saldo_relativo_per_capita!E$543/1000000</f>
        <v>-20.871593492153934</v>
      </c>
      <c r="F120" s="340">
        <f>Saldo_relativo_per_capita!F120*Saldo_relativo_per_capita!F$543/1000000</f>
        <v>-2.7127453277894733</v>
      </c>
      <c r="G120" s="340">
        <f>Saldo_relativo_per_capita!G120*Saldo_relativo_per_capita!G$543/1000000</f>
        <v>-1.9641460139682663</v>
      </c>
      <c r="H120" s="340">
        <f>Saldo_relativo_per_capita!H120*Saldo_relativo_per_capita!H$543/1000000</f>
        <v>6.4306895317585342</v>
      </c>
      <c r="I120" s="340">
        <f>Saldo_relativo_per_capita!I120*Saldo_relativo_per_capita!I$543/1000000</f>
        <v>-13.28170773092471</v>
      </c>
      <c r="J120" s="340">
        <f>Saldo_relativo_per_capita!J120*Saldo_relativo_per_capita!J$543/1000000</f>
        <v>-0.20137079705968153</v>
      </c>
      <c r="K120" s="340">
        <f>Saldo_relativo_per_capita!K120*Saldo_relativo_per_capita!K$543/1000000</f>
        <v>-5.2657993126112101</v>
      </c>
      <c r="L120" s="340">
        <f>Saldo_relativo_per_capita!L120*Saldo_relativo_per_capita!L$543/1000000</f>
        <v>-5.9175516762762062</v>
      </c>
      <c r="M120" s="340">
        <f>Saldo_relativo_per_capita!M120*Saldo_relativo_per_capita!M$543/1000000</f>
        <v>2.3400351370518231</v>
      </c>
      <c r="N120" s="340">
        <f>Saldo_relativo_per_capita!N120*Saldo_relativo_per_capita!N$543/1000000</f>
        <v>-0.18502335361927816</v>
      </c>
      <c r="O120" s="340">
        <f>Saldo_relativo_per_capita!O120*Saldo_relativo_per_capita!O$543/1000000</f>
        <v>-3.7869190780770632</v>
      </c>
      <c r="P120" s="340">
        <f>Saldo_relativo_per_capita!P120*Saldo_relativo_per_capita!P$543/1000000</f>
        <v>-5.6083051697973287</v>
      </c>
      <c r="Q120" s="340">
        <f>Saldo_relativo_per_capita!Q120*Saldo_relativo_per_capita!Q$543/1000000</f>
        <v>72.353029153614173</v>
      </c>
      <c r="R120" s="340">
        <f>Saldo_relativo_per_capita!R120*Saldo_relativo_per_capita!R$543/1000000</f>
        <v>-2.2253250007220347</v>
      </c>
      <c r="S120" s="340">
        <f>Saldo_relativo_per_capita!S120*Saldo_relativo_per_capita!S$543/1000000</f>
        <v>-4.0418053512571372</v>
      </c>
      <c r="T120" s="340">
        <f>Saldo_relativo_per_capita!T120*Saldo_relativo_per_capita!T$543/1000000</f>
        <v>-13.775972869976082</v>
      </c>
      <c r="U120" s="340">
        <f>Saldo_relativo_per_capita!U120*Saldo_relativo_per_capita!U$543/1000000</f>
        <v>-0.22467697175062565</v>
      </c>
      <c r="V120" s="340">
        <f>Saldo_relativo_per_capita!V120*Saldo_relativo_per_capita!V$543/1000000</f>
        <v>-1.0608116764414874</v>
      </c>
      <c r="W120" s="220"/>
    </row>
    <row r="121" spans="1:23" s="115" customFormat="1">
      <c r="A121" s="355" t="str">
        <f>IF(B121="","",(IF(ISERROR(MATCH(B121,Tot_res!C:C,0)),"Eliminar!!!","")))</f>
        <v/>
      </c>
      <c r="B121" s="115" t="s">
        <v>965</v>
      </c>
      <c r="C121" s="333" t="str">
        <f>VLOOKUP(B121,Tot_res!C:D,2,FALSE)</f>
        <v>Recursos REF de la comunidad autónoma de Canarias, neto de compensación por supresión del IGTE</v>
      </c>
      <c r="D121" s="340">
        <f>Saldo_relativo_per_capita!D121*Saldo_relativo_per_capita!D$543/1000000</f>
        <v>0</v>
      </c>
      <c r="E121" s="340">
        <f>Saldo_relativo_per_capita!E121*Saldo_relativo_per_capita!E$543/1000000</f>
        <v>-141.63620433675797</v>
      </c>
      <c r="F121" s="340">
        <f>Saldo_relativo_per_capita!F121*Saldo_relativo_per_capita!F$543/1000000</f>
        <v>-22.474416122514146</v>
      </c>
      <c r="G121" s="340">
        <f>Saldo_relativo_per_capita!G121*Saldo_relativo_per_capita!G$543/1000000</f>
        <v>-17.911357891320957</v>
      </c>
      <c r="H121" s="340">
        <f>Saldo_relativo_per_capita!H121*Saldo_relativo_per_capita!H$543/1000000</f>
        <v>-18.627796733677595</v>
      </c>
      <c r="I121" s="340">
        <f>Saldo_relativo_per_capita!I121*Saldo_relativo_per_capita!I$543/1000000</f>
        <v>754.13507157094614</v>
      </c>
      <c r="J121" s="340">
        <f>Saldo_relativo_per_capita!J121*Saldo_relativo_per_capita!J$543/1000000</f>
        <v>-9.9276668432545669</v>
      </c>
      <c r="K121" s="340">
        <f>Saldo_relativo_per_capita!K121*Saldo_relativo_per_capita!K$543/1000000</f>
        <v>-42.170324401741198</v>
      </c>
      <c r="L121" s="340">
        <f>Saldo_relativo_per_capita!L121*Saldo_relativo_per_capita!L$543/1000000</f>
        <v>-35.148004383630237</v>
      </c>
      <c r="M121" s="340">
        <f>Saldo_relativo_per_capita!M121*Saldo_relativo_per_capita!M$543/1000000</f>
        <v>-126.75112885356</v>
      </c>
      <c r="N121" s="340">
        <f>Saldo_relativo_per_capita!N121*Saldo_relativo_per_capita!N$543/1000000</f>
        <v>-85.091852105893039</v>
      </c>
      <c r="O121" s="340">
        <f>Saldo_relativo_per_capita!O121*Saldo_relativo_per_capita!O$543/1000000</f>
        <v>-18.53125682041679</v>
      </c>
      <c r="P121" s="340">
        <f>Saldo_relativo_per_capita!P121*Saldo_relativo_per_capita!P$543/1000000</f>
        <v>-46.374772174650957</v>
      </c>
      <c r="Q121" s="340">
        <f>Saldo_relativo_per_capita!Q121*Saldo_relativo_per_capita!Q$543/1000000</f>
        <v>-108.90165573764726</v>
      </c>
      <c r="R121" s="340">
        <f>Saldo_relativo_per_capita!R121*Saldo_relativo_per_capita!R$543/1000000</f>
        <v>-24.714108472564359</v>
      </c>
      <c r="S121" s="340">
        <f>Saldo_relativo_per_capita!S121*Saldo_relativo_per_capita!S$543/1000000</f>
        <v>-10.808324450955887</v>
      </c>
      <c r="T121" s="340">
        <f>Saldo_relativo_per_capita!T121*Saldo_relativo_per_capita!T$543/1000000</f>
        <v>-36.838781550911655</v>
      </c>
      <c r="U121" s="340">
        <f>Saldo_relativo_per_capita!U121*Saldo_relativo_per_capita!U$543/1000000</f>
        <v>-5.3906693430017283</v>
      </c>
      <c r="V121" s="340">
        <f>Saldo_relativo_per_capita!V121*Saldo_relativo_per_capita!V$543/1000000</f>
        <v>-2.8367513484477547</v>
      </c>
      <c r="W121" s="148"/>
    </row>
    <row r="122" spans="1:23" s="115" customFormat="1">
      <c r="A122" s="356"/>
      <c r="C122" s="138"/>
      <c r="D122" s="218"/>
      <c r="E122" s="218"/>
      <c r="F122" s="218"/>
      <c r="G122" s="218"/>
      <c r="H122" s="218"/>
      <c r="I122" s="218"/>
      <c r="J122" s="218"/>
      <c r="K122" s="218"/>
      <c r="L122" s="218"/>
      <c r="M122" s="218"/>
      <c r="N122" s="218"/>
      <c r="O122" s="218"/>
      <c r="P122" s="218"/>
      <c r="Q122" s="218"/>
      <c r="R122" s="218"/>
      <c r="S122" s="218"/>
      <c r="T122" s="218"/>
      <c r="U122" s="218"/>
      <c r="V122" s="218"/>
      <c r="W122" s="148"/>
    </row>
    <row r="123" spans="1:23" s="115" customFormat="1">
      <c r="A123" s="356"/>
      <c r="B123" s="137"/>
      <c r="C123" s="128" t="s">
        <v>36</v>
      </c>
      <c r="D123" s="219">
        <f>Saldo_relativo_per_capita!D123*Saldo_relativo_per_capita!D$543/1000000</f>
        <v>0</v>
      </c>
      <c r="E123" s="219">
        <f>Saldo_relativo_per_capita!E123*Saldo_relativo_per_capita!E$543/1000000</f>
        <v>107.4168275600192</v>
      </c>
      <c r="F123" s="219">
        <f>Saldo_relativo_per_capita!F123*Saldo_relativo_per_capita!F$543/1000000</f>
        <v>61.63237837702124</v>
      </c>
      <c r="G123" s="219">
        <f>Saldo_relativo_per_capita!G123*Saldo_relativo_per_capita!G$543/1000000</f>
        <v>42.594287137992978</v>
      </c>
      <c r="H123" s="219">
        <f>Saldo_relativo_per_capita!H123*Saldo_relativo_per_capita!H$543/1000000</f>
        <v>65.662137498117772</v>
      </c>
      <c r="I123" s="219">
        <f>Saldo_relativo_per_capita!I123*Saldo_relativo_per_capita!I$543/1000000</f>
        <v>-31.153683922747494</v>
      </c>
      <c r="J123" s="219">
        <f>Saldo_relativo_per_capita!J123*Saldo_relativo_per_capita!J$543/1000000</f>
        <v>-62.513512020438128</v>
      </c>
      <c r="K123" s="219">
        <f>Saldo_relativo_per_capita!K123*Saldo_relativo_per_capita!K$543/1000000</f>
        <v>261.45160497912201</v>
      </c>
      <c r="L123" s="219">
        <f>Saldo_relativo_per_capita!L123*Saldo_relativo_per_capita!L$543/1000000</f>
        <v>219.58805629131749</v>
      </c>
      <c r="M123" s="219">
        <f>Saldo_relativo_per_capita!M123*Saldo_relativo_per_capita!M$543/1000000</f>
        <v>-1355.9586745383183</v>
      </c>
      <c r="N123" s="219">
        <f>Saldo_relativo_per_capita!N123*Saldo_relativo_per_capita!N$543/1000000</f>
        <v>344.64308718470431</v>
      </c>
      <c r="O123" s="219">
        <f>Saldo_relativo_per_capita!O123*Saldo_relativo_per_capita!O$543/1000000</f>
        <v>114.10353909105957</v>
      </c>
      <c r="P123" s="219">
        <f>Saldo_relativo_per_capita!P123*Saldo_relativo_per_capita!P$543/1000000</f>
        <v>79.516047097832256</v>
      </c>
      <c r="Q123" s="219">
        <f>Saldo_relativo_per_capita!Q123*Saldo_relativo_per_capita!Q$543/1000000</f>
        <v>-288.63497835558252</v>
      </c>
      <c r="R123" s="219">
        <f>Saldo_relativo_per_capita!R123*Saldo_relativo_per_capita!R$543/1000000</f>
        <v>143.95592985911495</v>
      </c>
      <c r="S123" s="219">
        <f>Saldo_relativo_per_capita!S123*Saldo_relativo_per_capita!S$543/1000000</f>
        <v>71.015298359374341</v>
      </c>
      <c r="T123" s="219">
        <f>Saldo_relativo_per_capita!T123*Saldo_relativo_per_capita!T$543/1000000</f>
        <v>242.04649618955852</v>
      </c>
      <c r="U123" s="219">
        <f>Saldo_relativo_per_capita!U123*Saldo_relativo_per_capita!U$543/1000000</f>
        <v>-34.003506225652743</v>
      </c>
      <c r="V123" s="219">
        <f>Saldo_relativo_per_capita!V123*Saldo_relativo_per_capita!V$543/1000000</f>
        <v>18.638665437505285</v>
      </c>
      <c r="W123" s="220"/>
    </row>
    <row r="124" spans="1:23" s="115" customFormat="1">
      <c r="A124" s="355" t="str">
        <f>IF(B124="","",(IF(ISERROR(MATCH(B124,Tot_res!C:C,0)),"Eliminar!!!","")))</f>
        <v/>
      </c>
      <c r="B124" s="115" t="s">
        <v>966</v>
      </c>
      <c r="C124" s="333" t="str">
        <f>VLOOKUP(B124,Tot_res!C:D,2,FALSE)</f>
        <v>Financiación para competencias no homogéneas de las comunidades de régimen común (caja)</v>
      </c>
      <c r="D124" s="342">
        <f>Saldo_relativo_per_capita!D124*Saldo_relativo_per_capita!D$543/1000000</f>
        <v>0</v>
      </c>
      <c r="E124" s="342">
        <f>Saldo_relativo_per_capita!E124*Saldo_relativo_per_capita!E$543/1000000</f>
        <v>107.4168275600192</v>
      </c>
      <c r="F124" s="342">
        <f>Saldo_relativo_per_capita!F124*Saldo_relativo_per_capita!F$543/1000000</f>
        <v>61.63237837702124</v>
      </c>
      <c r="G124" s="342">
        <f>Saldo_relativo_per_capita!G124*Saldo_relativo_per_capita!G$543/1000000</f>
        <v>42.594287137992978</v>
      </c>
      <c r="H124" s="342">
        <f>Saldo_relativo_per_capita!H124*Saldo_relativo_per_capita!H$543/1000000</f>
        <v>65.662137498117772</v>
      </c>
      <c r="I124" s="342">
        <f>Saldo_relativo_per_capita!I124*Saldo_relativo_per_capita!I$543/1000000</f>
        <v>-31.153683922747494</v>
      </c>
      <c r="J124" s="342">
        <f>Saldo_relativo_per_capita!J124*Saldo_relativo_per_capita!J$543/1000000</f>
        <v>-62.513512020438128</v>
      </c>
      <c r="K124" s="342">
        <f>Saldo_relativo_per_capita!K124*Saldo_relativo_per_capita!K$543/1000000</f>
        <v>261.45160497912201</v>
      </c>
      <c r="L124" s="342">
        <f>Saldo_relativo_per_capita!L124*Saldo_relativo_per_capita!L$543/1000000</f>
        <v>219.58805629131749</v>
      </c>
      <c r="M124" s="342">
        <f>Saldo_relativo_per_capita!M124*Saldo_relativo_per_capita!M$543/1000000</f>
        <v>-1355.9586745383183</v>
      </c>
      <c r="N124" s="342">
        <f>Saldo_relativo_per_capita!N124*Saldo_relativo_per_capita!N$543/1000000</f>
        <v>344.64308718470431</v>
      </c>
      <c r="O124" s="342">
        <f>Saldo_relativo_per_capita!O124*Saldo_relativo_per_capita!O$543/1000000</f>
        <v>114.10353909105957</v>
      </c>
      <c r="P124" s="342">
        <f>Saldo_relativo_per_capita!P124*Saldo_relativo_per_capita!P$543/1000000</f>
        <v>79.516047097832256</v>
      </c>
      <c r="Q124" s="342">
        <f>Saldo_relativo_per_capita!Q124*Saldo_relativo_per_capita!Q$543/1000000</f>
        <v>-288.63497835558252</v>
      </c>
      <c r="R124" s="342">
        <f>Saldo_relativo_per_capita!R124*Saldo_relativo_per_capita!R$543/1000000</f>
        <v>143.95592985911495</v>
      </c>
      <c r="S124" s="342">
        <f>Saldo_relativo_per_capita!S124*Saldo_relativo_per_capita!S$543/1000000</f>
        <v>71.015298359374341</v>
      </c>
      <c r="T124" s="342">
        <f>Saldo_relativo_per_capita!T124*Saldo_relativo_per_capita!T$543/1000000</f>
        <v>242.04649618955852</v>
      </c>
      <c r="U124" s="342">
        <f>Saldo_relativo_per_capita!U124*Saldo_relativo_per_capita!U$543/1000000</f>
        <v>-34.003506225652743</v>
      </c>
      <c r="V124" s="342">
        <f>Saldo_relativo_per_capita!V124*Saldo_relativo_per_capita!V$543/1000000</f>
        <v>18.638665437505285</v>
      </c>
      <c r="W124" s="148"/>
    </row>
    <row r="125" spans="1:23" s="115" customFormat="1">
      <c r="A125" s="356"/>
      <c r="C125" s="129"/>
      <c r="D125" s="218"/>
      <c r="E125" s="218"/>
      <c r="F125" s="218"/>
      <c r="G125" s="218"/>
      <c r="H125" s="218"/>
      <c r="I125" s="218"/>
      <c r="J125" s="218"/>
      <c r="K125" s="218"/>
      <c r="L125" s="218"/>
      <c r="M125" s="218"/>
      <c r="N125" s="218"/>
      <c r="O125" s="218"/>
      <c r="P125" s="218"/>
      <c r="Q125" s="218"/>
      <c r="R125" s="218"/>
      <c r="S125" s="218"/>
      <c r="T125" s="218"/>
      <c r="U125" s="218"/>
      <c r="V125" s="218"/>
      <c r="W125" s="148"/>
    </row>
    <row r="126" spans="1:23" s="115" customFormat="1">
      <c r="A126" s="356"/>
      <c r="B126" s="137"/>
      <c r="C126" s="128" t="s">
        <v>70</v>
      </c>
      <c r="D126" s="219">
        <f>Saldo_relativo_per_capita!D126*Saldo_relativo_per_capita!D$543/1000000</f>
        <v>0</v>
      </c>
      <c r="E126" s="219">
        <f>Saldo_relativo_per_capita!E126*Saldo_relativo_per_capita!E$543/1000000</f>
        <v>-111.57451223693843</v>
      </c>
      <c r="F126" s="219">
        <f>Saldo_relativo_per_capita!F126*Saldo_relativo_per_capita!F$543/1000000</f>
        <v>-17.704315280275601</v>
      </c>
      <c r="G126" s="219">
        <f>Saldo_relativo_per_capita!G126*Saldo_relativo_per_capita!G$543/1000000</f>
        <v>-14.109747077617277</v>
      </c>
      <c r="H126" s="219">
        <f>Saldo_relativo_per_capita!H126*Saldo_relativo_per_capita!H$543/1000000</f>
        <v>-14.674124771568181</v>
      </c>
      <c r="I126" s="219">
        <f>Saldo_relativo_per_capita!I126*Saldo_relativo_per_capita!I$543/1000000</f>
        <v>-27.97870537162369</v>
      </c>
      <c r="J126" s="219">
        <f>Saldo_relativo_per_capita!J126*Saldo_relativo_per_capita!J$543/1000000</f>
        <v>-7.8205610696352634</v>
      </c>
      <c r="K126" s="219">
        <f>Saldo_relativo_per_capita!K126*Saldo_relativo_per_capita!K$543/1000000</f>
        <v>-33.219849388301093</v>
      </c>
      <c r="L126" s="219">
        <f>Saldo_relativo_per_capita!L126*Saldo_relativo_per_capita!L$543/1000000</f>
        <v>-27.687987429267505</v>
      </c>
      <c r="M126" s="219">
        <f>Saldo_relativo_per_capita!M126*Saldo_relativo_per_capita!M$543/1000000</f>
        <v>-99.848731781123121</v>
      </c>
      <c r="N126" s="219">
        <f>Saldo_relativo_per_capita!N126*Saldo_relativo_per_capita!N$543/1000000</f>
        <v>-67.03146231933286</v>
      </c>
      <c r="O126" s="219">
        <f>Saldo_relativo_per_capita!O126*Saldo_relativo_per_capita!O$543/1000000</f>
        <v>-14.598075051202475</v>
      </c>
      <c r="P126" s="219">
        <f>Saldo_relativo_per_capita!P126*Saldo_relativo_per_capita!P$543/1000000</f>
        <v>-36.531920702869236</v>
      </c>
      <c r="Q126" s="219">
        <f>Saldo_relativo_per_capita!Q126*Saldo_relativo_per_capita!Q$543/1000000</f>
        <v>-85.787734694113084</v>
      </c>
      <c r="R126" s="219">
        <f>Saldo_relativo_per_capita!R126*Saldo_relativo_per_capita!R$543/1000000</f>
        <v>-19.46864229459959</v>
      </c>
      <c r="S126" s="219">
        <f>Saldo_relativo_per_capita!S126*Saldo_relativo_per_capita!S$543/1000000</f>
        <v>-8.5143027826890876</v>
      </c>
      <c r="T126" s="219">
        <f>Saldo_relativo_per_capita!T126*Saldo_relativo_per_capita!T$543/1000000</f>
        <v>-29.019904213003411</v>
      </c>
      <c r="U126" s="219">
        <f>Saldo_relativo_per_capita!U126*Saldo_relativo_per_capita!U$543/1000000</f>
        <v>-4.2465223167516193</v>
      </c>
      <c r="V126" s="219">
        <f>Saldo_relativo_per_capita!V126*Saldo_relativo_per_capita!V$543/1000000</f>
        <v>619.81709878091146</v>
      </c>
      <c r="W126" s="148"/>
    </row>
    <row r="127" spans="1:23" s="115" customFormat="1">
      <c r="A127" s="355" t="str">
        <f>IF(B127="","",(IF(ISERROR(MATCH(B127,Tot_res!C:C,0)),"Eliminar!!!","")))</f>
        <v/>
      </c>
      <c r="B127" s="115" t="s">
        <v>967</v>
      </c>
      <c r="C127" s="333" t="str">
        <f>VLOOKUP(B127,Tot_res!C:D,2,FALSE)</f>
        <v>Dirección y Servicios Generales de la Educación, gasto directo en Ceuta y Melilla</v>
      </c>
      <c r="D127" s="340">
        <f>Saldo_relativo_per_capita!D127*Saldo_relativo_per_capita!D$543/1000000</f>
        <v>0</v>
      </c>
      <c r="E127" s="340">
        <f>Saldo_relativo_per_capita!E127*Saldo_relativo_per_capita!E$543/1000000</f>
        <v>-0.95193477319457342</v>
      </c>
      <c r="F127" s="340">
        <f>Saldo_relativo_per_capita!F127*Saldo_relativo_per_capita!F$543/1000000</f>
        <v>-0.15105020862743976</v>
      </c>
      <c r="G127" s="340">
        <f>Saldo_relativo_per_capita!G127*Saldo_relativo_per_capita!G$543/1000000</f>
        <v>-0.12038196371982596</v>
      </c>
      <c r="H127" s="340">
        <f>Saldo_relativo_per_capita!H127*Saldo_relativo_per_capita!H$543/1000000</f>
        <v>-0.12519713827283077</v>
      </c>
      <c r="I127" s="340">
        <f>Saldo_relativo_per_capita!I127*Saldo_relativo_per_capita!I$543/1000000</f>
        <v>-0.23870955846667674</v>
      </c>
      <c r="J127" s="340">
        <f>Saldo_relativo_per_capita!J127*Saldo_relativo_per_capita!J$543/1000000</f>
        <v>-6.6723697722900613E-2</v>
      </c>
      <c r="K127" s="340">
        <f>Saldo_relativo_per_capita!K127*Saldo_relativo_per_capita!K$543/1000000</f>
        <v>-0.28342610833785903</v>
      </c>
      <c r="L127" s="340">
        <f>Saldo_relativo_per_capita!L127*Saldo_relativo_per_capita!L$543/1000000</f>
        <v>-0.23622920239814435</v>
      </c>
      <c r="M127" s="340">
        <f>Saldo_relativo_per_capita!M127*Saldo_relativo_per_capita!M$543/1000000</f>
        <v>-0.85189240747011452</v>
      </c>
      <c r="N127" s="340">
        <f>Saldo_relativo_per_capita!N127*Saldo_relativo_per_capita!N$543/1000000</f>
        <v>-0.57190104263552044</v>
      </c>
      <c r="O127" s="340">
        <f>Saldo_relativo_per_capita!O127*Saldo_relativo_per_capita!O$543/1000000</f>
        <v>-0.12454829498544895</v>
      </c>
      <c r="P127" s="340">
        <f>Saldo_relativo_per_capita!P127*Saldo_relativo_per_capita!P$543/1000000</f>
        <v>-0.3116841378145398</v>
      </c>
      <c r="Q127" s="340">
        <f>Saldo_relativo_per_capita!Q127*Saldo_relativo_per_capita!Q$543/1000000</f>
        <v>-0.73192637038372432</v>
      </c>
      <c r="R127" s="340">
        <f>Saldo_relativo_per_capita!R127*Saldo_relativo_per_capita!R$543/1000000</f>
        <v>-0.16610314681689778</v>
      </c>
      <c r="S127" s="340">
        <f>Saldo_relativo_per_capita!S127*Saldo_relativo_per_capita!S$543/1000000</f>
        <v>-7.2642584097855997E-2</v>
      </c>
      <c r="T127" s="340">
        <f>Saldo_relativo_per_capita!T127*Saldo_relativo_per_capita!T$543/1000000</f>
        <v>-0.24759289000044549</v>
      </c>
      <c r="U127" s="340">
        <f>Saldo_relativo_per_capita!U127*Saldo_relativo_per_capita!U$543/1000000</f>
        <v>-3.6230606591209864E-2</v>
      </c>
      <c r="V127" s="340">
        <f>Saldo_relativo_per_capita!V127*Saldo_relativo_per_capita!V$543/1000000</f>
        <v>5.2881741315360076</v>
      </c>
      <c r="W127" s="148"/>
    </row>
    <row r="128" spans="1:23" s="115" customFormat="1">
      <c r="A128" s="355" t="str">
        <f>IF(B128="","",(IF(ISERROR(MATCH(B128,Tot_res!C:C,0)),"Eliminar!!!","")))</f>
        <v/>
      </c>
      <c r="B128" s="115" t="s">
        <v>968</v>
      </c>
      <c r="C128" s="333" t="str">
        <f>VLOOKUP(B128,Tot_res!C:D,2,FALSE)</f>
        <v>Formación permanente del profesorado de Educación, gasto directo del Estado en Ceuta y Melilla</v>
      </c>
      <c r="D128" s="340">
        <f>Saldo_relativo_per_capita!D128*Saldo_relativo_per_capita!D$543/1000000</f>
        <v>0</v>
      </c>
      <c r="E128" s="340">
        <f>Saldo_relativo_per_capita!E128*Saldo_relativo_per_capita!E$543/1000000</f>
        <v>-7.6453814058368458E-2</v>
      </c>
      <c r="F128" s="340">
        <f>Saldo_relativo_per_capita!F128*Saldo_relativo_per_capita!F$543/1000000</f>
        <v>-1.213146624019751E-2</v>
      </c>
      <c r="G128" s="340">
        <f>Saldo_relativo_per_capita!G128*Saldo_relativo_per_capita!G$543/1000000</f>
        <v>-9.6683728017734928E-3</v>
      </c>
      <c r="H128" s="340">
        <f>Saldo_relativo_per_capita!H128*Saldo_relativo_per_capita!H$543/1000000</f>
        <v>-1.0055099361513074E-2</v>
      </c>
      <c r="I128" s="340">
        <f>Saldo_relativo_per_capita!I128*Saldo_relativo_per_capita!I$543/1000000</f>
        <v>-1.9171750744771062E-2</v>
      </c>
      <c r="J128" s="340">
        <f>Saldo_relativo_per_capita!J128*Saldo_relativo_per_capita!J$543/1000000</f>
        <v>-5.3588557983591332E-3</v>
      </c>
      <c r="K128" s="340">
        <f>Saldo_relativo_per_capita!K128*Saldo_relativo_per_capita!K$543/1000000</f>
        <v>-2.2763121588080245E-2</v>
      </c>
      <c r="L128" s="340">
        <f>Saldo_relativo_per_capita!L128*Saldo_relativo_per_capita!L$543/1000000</f>
        <v>-1.8972543102606952E-2</v>
      </c>
      <c r="M128" s="340">
        <f>Saldo_relativo_per_capita!M128*Saldo_relativo_per_capita!M$543/1000000</f>
        <v>-6.8418998394066927E-2</v>
      </c>
      <c r="N128" s="340">
        <f>Saldo_relativo_per_capita!N128*Saldo_relativo_per_capita!N$543/1000000</f>
        <v>-4.5931735245589182E-2</v>
      </c>
      <c r="O128" s="340">
        <f>Saldo_relativo_per_capita!O128*Saldo_relativo_per_capita!O$543/1000000</f>
        <v>-1.0002988076745066E-2</v>
      </c>
      <c r="P128" s="340">
        <f>Saldo_relativo_per_capita!P128*Saldo_relativo_per_capita!P$543/1000000</f>
        <v>-2.5032640668695299E-2</v>
      </c>
      <c r="Q128" s="340">
        <f>Saldo_relativo_per_capita!Q128*Saldo_relativo_per_capita!Q$543/1000000</f>
        <v>-5.8784030378409104E-2</v>
      </c>
      <c r="R128" s="340">
        <f>Saldo_relativo_per_capita!R128*Saldo_relativo_per_capita!R$543/1000000</f>
        <v>-1.3340429889573206E-2</v>
      </c>
      <c r="S128" s="340">
        <f>Saldo_relativo_per_capita!S128*Saldo_relativo_per_capita!S$543/1000000</f>
        <v>-5.8342260139305682E-3</v>
      </c>
      <c r="T128" s="340">
        <f>Saldo_relativo_per_capita!T128*Saldo_relativo_per_capita!T$543/1000000</f>
        <v>-1.9885207797109221E-2</v>
      </c>
      <c r="U128" s="340">
        <f>Saldo_relativo_per_capita!U128*Saldo_relativo_per_capita!U$543/1000000</f>
        <v>-2.9098296832361665E-3</v>
      </c>
      <c r="V128" s="340">
        <f>Saldo_relativo_per_capita!V128*Saldo_relativo_per_capita!V$543/1000000</f>
        <v>0.42471510984302469</v>
      </c>
      <c r="W128" s="148"/>
    </row>
    <row r="129" spans="1:23" s="115" customFormat="1">
      <c r="A129" s="355" t="str">
        <f>IF(B129="","",(IF(ISERROR(MATCH(B129,Tot_res!C:C,0)),"Eliminar!!!","")))</f>
        <v/>
      </c>
      <c r="B129" s="115" t="s">
        <v>969</v>
      </c>
      <c r="C129" s="333" t="str">
        <f>VLOOKUP(B129,Tot_res!C:D,2,FALSE)</f>
        <v xml:space="preserve">Educación infantil y primaria, gasto directo del Estado en Ceuta y Melilla  </v>
      </c>
      <c r="D129" s="340">
        <f>Saldo_relativo_per_capita!D129*Saldo_relativo_per_capita!D$543/1000000</f>
        <v>0</v>
      </c>
      <c r="E129" s="340">
        <f>Saldo_relativo_per_capita!E129*Saldo_relativo_per_capita!E$543/1000000</f>
        <v>-10.158023336041579</v>
      </c>
      <c r="F129" s="340">
        <f>Saldo_relativo_per_capita!F129*Saldo_relativo_per_capita!F$543/1000000</f>
        <v>-1.6118452517522011</v>
      </c>
      <c r="G129" s="340">
        <f>Saldo_relativo_per_capita!G129*Saldo_relativo_per_capita!G$543/1000000</f>
        <v>-1.2845867502043191</v>
      </c>
      <c r="H129" s="340">
        <f>Saldo_relativo_per_capita!H129*Saldo_relativo_per_capita!H$543/1000000</f>
        <v>-1.33596911048137</v>
      </c>
      <c r="I129" s="340">
        <f>Saldo_relativo_per_capita!I129*Saldo_relativo_per_capita!I$543/1000000</f>
        <v>-2.5472514858379443</v>
      </c>
      <c r="J129" s="340">
        <f>Saldo_relativo_per_capita!J129*Saldo_relativo_per_capita!J$543/1000000</f>
        <v>-0.71200348765668187</v>
      </c>
      <c r="K129" s="340">
        <f>Saldo_relativo_per_capita!K129*Saldo_relativo_per_capita!K$543/1000000</f>
        <v>-3.0244183778240328</v>
      </c>
      <c r="L129" s="340">
        <f>Saldo_relativo_per_capita!L129*Saldo_relativo_per_capita!L$543/1000000</f>
        <v>-2.5207837954716275</v>
      </c>
      <c r="M129" s="340">
        <f>Saldo_relativo_per_capita!M129*Saldo_relativo_per_capita!M$543/1000000</f>
        <v>-9.0904788842179407</v>
      </c>
      <c r="N129" s="340">
        <f>Saldo_relativo_per_capita!N129*Saldo_relativo_per_capita!N$543/1000000</f>
        <v>-6.1027123922604103</v>
      </c>
      <c r="O129" s="340">
        <f>Saldo_relativo_per_capita!O129*Saldo_relativo_per_capita!O$543/1000000</f>
        <v>-1.3290453532657993</v>
      </c>
      <c r="P129" s="340">
        <f>Saldo_relativo_per_capita!P129*Saldo_relativo_per_capita!P$543/1000000</f>
        <v>-3.3259576543979774</v>
      </c>
      <c r="Q129" s="340">
        <f>Saldo_relativo_per_capita!Q129*Saldo_relativo_per_capita!Q$543/1000000</f>
        <v>-7.8103304553855191</v>
      </c>
      <c r="R129" s="340">
        <f>Saldo_relativo_per_capita!R129*Saldo_relativo_per_capita!R$543/1000000</f>
        <v>-1.7724740066944815</v>
      </c>
      <c r="S129" s="340">
        <f>Saldo_relativo_per_capita!S129*Saldo_relativo_per_capita!S$543/1000000</f>
        <v>-0.77516347257708362</v>
      </c>
      <c r="T129" s="340">
        <f>Saldo_relativo_per_capita!T129*Saldo_relativo_per_capita!T$543/1000000</f>
        <v>-2.6420448388730398</v>
      </c>
      <c r="U129" s="340">
        <f>Saldo_relativo_per_capita!U129*Saldo_relativo_per_capita!U$543/1000000</f>
        <v>-0.38661403868816002</v>
      </c>
      <c r="V129" s="340">
        <f>Saldo_relativo_per_capita!V129*Saldo_relativo_per_capita!V$543/1000000</f>
        <v>56.429702691630176</v>
      </c>
      <c r="W129" s="148"/>
    </row>
    <row r="130" spans="1:23" s="115" customFormat="1">
      <c r="A130" s="355" t="str">
        <f>IF(B130="","",(IF(ISERROR(MATCH(B130,Tot_res!C:C,0)),"Eliminar!!!","")))</f>
        <v/>
      </c>
      <c r="B130" s="115" t="s">
        <v>970</v>
      </c>
      <c r="C130" s="333" t="str">
        <f>VLOOKUP(B130,Tot_res!C:D,2,FALSE)</f>
        <v>Educ. secundaria, formación profesional y EE.OO de Idiomas, gasto directo del Estado en Ceuta y Melilla</v>
      </c>
      <c r="D130" s="340">
        <f>Saldo_relativo_per_capita!D130*Saldo_relativo_per_capita!D$543/1000000</f>
        <v>0</v>
      </c>
      <c r="E130" s="340">
        <f>Saldo_relativo_per_capita!E130*Saldo_relativo_per_capita!E$543/1000000</f>
        <v>-12.033370670774737</v>
      </c>
      <c r="F130" s="340">
        <f>Saldo_relativo_per_capita!F130*Saldo_relativo_per_capita!F$543/1000000</f>
        <v>-1.9094198483915619</v>
      </c>
      <c r="G130" s="340">
        <f>Saldo_relativo_per_capita!G130*Saldo_relativo_per_capita!G$543/1000000</f>
        <v>-1.5217437499999078</v>
      </c>
      <c r="H130" s="340">
        <f>Saldo_relativo_per_capita!H130*Saldo_relativo_per_capita!H$543/1000000</f>
        <v>-1.5826121853931654</v>
      </c>
      <c r="I130" s="340">
        <f>Saldo_relativo_per_capita!I130*Saldo_relativo_per_capita!I$543/1000000</f>
        <v>-3.0175183012243698</v>
      </c>
      <c r="J130" s="340">
        <f>Saldo_relativo_per_capita!J130*Saldo_relativo_per_capita!J$543/1000000</f>
        <v>-0.84345168370089374</v>
      </c>
      <c r="K130" s="340">
        <f>Saldo_relativo_per_capita!K130*Saldo_relativo_per_capita!K$543/1000000</f>
        <v>-3.5827784796212105</v>
      </c>
      <c r="L130" s="340">
        <f>Saldo_relativo_per_capita!L130*Saldo_relativo_per_capita!L$543/1000000</f>
        <v>-2.9861642160405788</v>
      </c>
      <c r="M130" s="340">
        <f>Saldo_relativo_per_capita!M130*Saldo_relativo_per_capita!M$543/1000000</f>
        <v>-10.768738992804129</v>
      </c>
      <c r="N130" s="340">
        <f>Saldo_relativo_per_capita!N130*Saldo_relativo_per_capita!N$543/1000000</f>
        <v>-7.2293789730371776</v>
      </c>
      <c r="O130" s="340">
        <f>Saldo_relativo_per_capita!O130*Saldo_relativo_per_capita!O$543/1000000</f>
        <v>-1.5744101824785037</v>
      </c>
      <c r="P130" s="340">
        <f>Saldo_relativo_per_capita!P130*Saldo_relativo_per_capita!P$543/1000000</f>
        <v>-3.9399871379176705</v>
      </c>
      <c r="Q130" s="340">
        <f>Saldo_relativo_per_capita!Q130*Saldo_relativo_per_capita!Q$543/1000000</f>
        <v>-9.2522529552997774</v>
      </c>
      <c r="R130" s="340">
        <f>Saldo_relativo_per_capita!R130*Saldo_relativo_per_capita!R$543/1000000</f>
        <v>-2.0997034581709744</v>
      </c>
      <c r="S130" s="340">
        <f>Saldo_relativo_per_capita!S130*Saldo_relativo_per_capita!S$543/1000000</f>
        <v>-0.91827209757128625</v>
      </c>
      <c r="T130" s="340">
        <f>Saldo_relativo_per_capita!T130*Saldo_relativo_per_capita!T$543/1000000</f>
        <v>-3.1298121517562607</v>
      </c>
      <c r="U130" s="340">
        <f>Saldo_relativo_per_capita!U130*Saldo_relativo_per_capita!U$543/1000000</f>
        <v>-0.45798969742008788</v>
      </c>
      <c r="V130" s="340">
        <f>Saldo_relativo_per_capita!V130*Saldo_relativo_per_capita!V$543/1000000</f>
        <v>66.847604781602286</v>
      </c>
      <c r="W130" s="148"/>
    </row>
    <row r="131" spans="1:23" s="115" customFormat="1">
      <c r="A131" s="355" t="str">
        <f>IF(B131="","",(IF(ISERROR(MATCH(B131,Tot_res!C:C,0)),"Eliminar!!!","")))</f>
        <v/>
      </c>
      <c r="B131" s="115" t="s">
        <v>971</v>
      </c>
      <c r="C131" s="333" t="str">
        <f>VLOOKUP(B131,Tot_res!C:D,2,FALSE)</f>
        <v>Enseñanzas universitarias, gasto directo del Estado en Ceuta y Melilla</v>
      </c>
      <c r="D131" s="340">
        <f>Saldo_relativo_per_capita!D131*Saldo_relativo_per_capita!D$543/1000000</f>
        <v>0</v>
      </c>
      <c r="E131" s="340">
        <f>Saldo_relativo_per_capita!E131*Saldo_relativo_per_capita!E$543/1000000</f>
        <v>-1.4887321423330353</v>
      </c>
      <c r="F131" s="340">
        <f>Saldo_relativo_per_capita!F131*Saldo_relativo_per_capita!F$543/1000000</f>
        <v>-0.23622763557122065</v>
      </c>
      <c r="G131" s="340">
        <f>Saldo_relativo_per_capita!G131*Saldo_relativo_per_capita!G$543/1000000</f>
        <v>-0.18826552385038545</v>
      </c>
      <c r="H131" s="340">
        <f>Saldo_relativo_per_capita!H131*Saldo_relativo_per_capita!H$543/1000000</f>
        <v>-0.19579598216524013</v>
      </c>
      <c r="I131" s="340">
        <f>Saldo_relativo_per_capita!I131*Saldo_relativo_per_capita!I$543/1000000</f>
        <v>-0.3733182171493496</v>
      </c>
      <c r="J131" s="340">
        <f>Saldo_relativo_per_capita!J131*Saldo_relativo_per_capita!J$543/1000000</f>
        <v>-0.10434928553144902</v>
      </c>
      <c r="K131" s="340">
        <f>Saldo_relativo_per_capita!K131*Saldo_relativo_per_capita!K$543/1000000</f>
        <v>-0.44325049293339663</v>
      </c>
      <c r="L131" s="340">
        <f>Saldo_relativo_per_capita!L131*Saldo_relativo_per_capita!L$543/1000000</f>
        <v>-0.36943918477482762</v>
      </c>
      <c r="M131" s="340">
        <f>Saldo_relativo_per_capita!M131*Saldo_relativo_per_capita!M$543/1000000</f>
        <v>-1.3322757446439086</v>
      </c>
      <c r="N131" s="340">
        <f>Saldo_relativo_per_capita!N131*Saldo_relativo_per_capita!N$543/1000000</f>
        <v>-0.89439685194822593</v>
      </c>
      <c r="O131" s="340">
        <f>Saldo_relativo_per_capita!O131*Saldo_relativo_per_capita!O$543/1000000</f>
        <v>-0.19478125522757322</v>
      </c>
      <c r="P131" s="340">
        <f>Saldo_relativo_per_capita!P131*Saldo_relativo_per_capita!P$543/1000000</f>
        <v>-0.48744326532236187</v>
      </c>
      <c r="Q131" s="340">
        <f>Saldo_relativo_per_capita!Q131*Saldo_relativo_per_capita!Q$543/1000000</f>
        <v>-1.1446606890456392</v>
      </c>
      <c r="R131" s="340">
        <f>Saldo_relativo_per_capita!R131*Saldo_relativo_per_capita!R$543/1000000</f>
        <v>-0.25976894696169989</v>
      </c>
      <c r="S131" s="340">
        <f>Saldo_relativo_per_capita!S131*Saldo_relativo_per_capita!S$543/1000000</f>
        <v>-0.11360584033051618</v>
      </c>
      <c r="T131" s="340">
        <f>Saldo_relativo_per_capita!T131*Saldo_relativo_per_capita!T$543/1000000</f>
        <v>-0.38721087193801862</v>
      </c>
      <c r="U131" s="340">
        <f>Saldo_relativo_per_capita!U131*Saldo_relativo_per_capita!U$543/1000000</f>
        <v>-5.6661097049274939E-2</v>
      </c>
      <c r="V131" s="340">
        <f>Saldo_relativo_per_capita!V131*Saldo_relativo_per_capita!V$543/1000000</f>
        <v>8.270183026776122</v>
      </c>
      <c r="W131" s="148"/>
    </row>
    <row r="132" spans="1:23" s="115" customFormat="1">
      <c r="A132" s="355" t="str">
        <f>IF(B132="","",(IF(ISERROR(MATCH(B132,Tot_res!C:C,0)),"Eliminar!!!","")))</f>
        <v/>
      </c>
      <c r="B132" s="115" t="s">
        <v>972</v>
      </c>
      <c r="C132" s="333" t="str">
        <f>VLOOKUP(B132,Tot_res!C:D,2,FALSE)</f>
        <v>Enseñanzas artísticas, gasto directo del Estado en Ceuta y Melilla</v>
      </c>
      <c r="D132" s="340">
        <f>Saldo_relativo_per_capita!D132*Saldo_relativo_per_capita!D$543/1000000</f>
        <v>0</v>
      </c>
      <c r="E132" s="340">
        <f>Saldo_relativo_per_capita!E132*Saldo_relativo_per_capita!E$543/1000000</f>
        <v>-0.65523277208688158</v>
      </c>
      <c r="F132" s="340">
        <f>Saldo_relativo_per_capita!F132*Saldo_relativo_per_capita!F$543/1000000</f>
        <v>-0.10397040817315456</v>
      </c>
      <c r="G132" s="340">
        <f>Saldo_relativo_per_capita!G132*Saldo_relativo_per_capita!G$543/1000000</f>
        <v>-8.2860937554259745E-2</v>
      </c>
      <c r="H132" s="340">
        <f>Saldo_relativo_per_capita!H132*Saldo_relativo_per_capita!H$543/1000000</f>
        <v>-8.6175303474373757E-2</v>
      </c>
      <c r="I132" s="340">
        <f>Saldo_relativo_per_capita!I132*Saldo_relativo_per_capita!I$543/1000000</f>
        <v>-0.16430781826874832</v>
      </c>
      <c r="J132" s="340">
        <f>Saldo_relativo_per_capita!J132*Saldo_relativo_per_capita!J$543/1000000</f>
        <v>-4.5927047371266821E-2</v>
      </c>
      <c r="K132" s="340">
        <f>Saldo_relativo_per_capita!K132*Saldo_relativo_per_capita!K$543/1000000</f>
        <v>-0.19508697431525951</v>
      </c>
      <c r="L132" s="340">
        <f>Saldo_relativo_per_capita!L132*Saldo_relativo_per_capita!L$543/1000000</f>
        <v>-0.1626005473208734</v>
      </c>
      <c r="M132" s="340">
        <f>Saldo_relativo_per_capita!M132*Saldo_relativo_per_capita!M$543/1000000</f>
        <v>-0.58637192314469422</v>
      </c>
      <c r="N132" s="340">
        <f>Saldo_relativo_per_capita!N132*Saldo_relativo_per_capita!N$543/1000000</f>
        <v>-0.3936491407577315</v>
      </c>
      <c r="O132" s="340">
        <f>Saldo_relativo_per_capita!O132*Saldo_relativo_per_capita!O$543/1000000</f>
        <v>-8.57286936878498E-2</v>
      </c>
      <c r="P132" s="340">
        <f>Saldo_relativo_per_capita!P132*Saldo_relativo_per_capita!P$543/1000000</f>
        <v>-0.21453745297104218</v>
      </c>
      <c r="Q132" s="340">
        <f>Saldo_relativo_per_capita!Q132*Saldo_relativo_per_capita!Q$543/1000000</f>
        <v>-0.50379727491264958</v>
      </c>
      <c r="R132" s="340">
        <f>Saldo_relativo_per_capita!R132*Saldo_relativo_per_capita!R$543/1000000</f>
        <v>-0.11433159960734443</v>
      </c>
      <c r="S132" s="340">
        <f>Saldo_relativo_per_capita!S132*Saldo_relativo_per_capita!S$543/1000000</f>
        <v>-5.0001116767969679E-2</v>
      </c>
      <c r="T132" s="340">
        <f>Saldo_relativo_per_capita!T132*Saldo_relativo_per_capita!T$543/1000000</f>
        <v>-0.17042236530510116</v>
      </c>
      <c r="U132" s="340">
        <f>Saldo_relativo_per_capita!U132*Saldo_relativo_per_capita!U$543/1000000</f>
        <v>-2.493813805275856E-2</v>
      </c>
      <c r="V132" s="340">
        <f>Saldo_relativo_per_capita!V132*Saldo_relativo_per_capita!V$543/1000000</f>
        <v>3.6399395137719583</v>
      </c>
      <c r="W132" s="148"/>
    </row>
    <row r="133" spans="1:23" s="115" customFormat="1">
      <c r="A133" s="355" t="str">
        <f>IF(B133="","",(IF(ISERROR(MATCH(B133,Tot_res!C:C,0)),"Eliminar!!!","")))</f>
        <v/>
      </c>
      <c r="B133" s="115" t="s">
        <v>973</v>
      </c>
      <c r="C133" s="333" t="str">
        <f>VLOOKUP(B133,Tot_res!C:D,2,FALSE)</f>
        <v>Educación compensatoria, gasto directo del Estado en Ceuta y Melilla</v>
      </c>
      <c r="D133" s="340">
        <f>Saldo_relativo_per_capita!D133*Saldo_relativo_per_capita!D$543/1000000</f>
        <v>0</v>
      </c>
      <c r="E133" s="340">
        <f>Saldo_relativo_per_capita!E133*Saldo_relativo_per_capita!E$543/1000000</f>
        <v>-0.66111333758887747</v>
      </c>
      <c r="F133" s="340">
        <f>Saldo_relativo_per_capita!F133*Saldo_relativo_per_capita!F$543/1000000</f>
        <v>-0.10490351900273684</v>
      </c>
      <c r="G133" s="340">
        <f>Saldo_relativo_per_capita!G133*Saldo_relativo_per_capita!G$543/1000000</f>
        <v>-8.3604595673331963E-2</v>
      </c>
      <c r="H133" s="340">
        <f>Saldo_relativo_per_capita!H133*Saldo_relativo_per_capita!H$543/1000000</f>
        <v>-8.6948707275776152E-2</v>
      </c>
      <c r="I133" s="340">
        <f>Saldo_relativo_per_capita!I133*Saldo_relativo_per_capita!I$543/1000000</f>
        <v>-0.16578244366750858</v>
      </c>
      <c r="J133" s="340">
        <f>Saldo_relativo_per_capita!J133*Saldo_relativo_per_capita!J$543/1000000</f>
        <v>-4.6339232203719299E-2</v>
      </c>
      <c r="K133" s="340">
        <f>Saldo_relativo_per_capita!K133*Saldo_relativo_per_capita!K$543/1000000</f>
        <v>-0.19683783565785268</v>
      </c>
      <c r="L133" s="340">
        <f>Saldo_relativo_per_capita!L133*Saldo_relativo_per_capita!L$543/1000000</f>
        <v>-0.16405985035013942</v>
      </c>
      <c r="M133" s="340">
        <f>Saldo_relativo_per_capita!M133*Saldo_relativo_per_capita!M$543/1000000</f>
        <v>-0.59163447814724901</v>
      </c>
      <c r="N133" s="340">
        <f>Saldo_relativo_per_capita!N133*Saldo_relativo_per_capita!N$543/1000000</f>
        <v>-0.3971820525039762</v>
      </c>
      <c r="O133" s="340">
        <f>Saldo_relativo_per_capita!O133*Saldo_relativo_per_capita!O$543/1000000</f>
        <v>-8.649808926772333E-2</v>
      </c>
      <c r="P133" s="340">
        <f>Saldo_relativo_per_capita!P133*Saldo_relativo_per_capita!P$543/1000000</f>
        <v>-0.21646287794758823</v>
      </c>
      <c r="Q133" s="340">
        <f>Saldo_relativo_per_capita!Q133*Saldo_relativo_per_capita!Q$543/1000000</f>
        <v>-0.50831874117785958</v>
      </c>
      <c r="R133" s="340">
        <f>Saldo_relativo_per_capita!R133*Saldo_relativo_per_capita!R$543/1000000</f>
        <v>-0.11535769977980315</v>
      </c>
      <c r="S133" s="340">
        <f>Saldo_relativo_per_capita!S133*Saldo_relativo_per_capita!S$543/1000000</f>
        <v>-5.0449865449129973E-2</v>
      </c>
      <c r="T133" s="340">
        <f>Saldo_relativo_per_capita!T133*Saldo_relativo_per_capita!T$543/1000000</f>
        <v>-0.17195186737654033</v>
      </c>
      <c r="U133" s="340">
        <f>Saldo_relativo_per_capita!U133*Saldo_relativo_per_capita!U$543/1000000</f>
        <v>-2.5161952185024854E-2</v>
      </c>
      <c r="V133" s="340">
        <f>Saldo_relativo_per_capita!V133*Saldo_relativo_per_capita!V$543/1000000</f>
        <v>3.6726071452548368</v>
      </c>
      <c r="W133" s="148"/>
    </row>
    <row r="134" spans="1:23" s="115" customFormat="1">
      <c r="A134" s="355" t="str">
        <f>IF(B134="","",(IF(ISERROR(MATCH(B134,Tot_res!C:C,0)),"Eliminar!!!","")))</f>
        <v/>
      </c>
      <c r="B134" s="115" t="s">
        <v>974</v>
      </c>
      <c r="C134" s="333" t="str">
        <f>VLOOKUP(B134,Tot_res!C:D,2,FALSE)</f>
        <v xml:space="preserve">Deporte en edad escolar y en la universidad, gasto directo del Estado en Ceuta y Melilla  </v>
      </c>
      <c r="D134" s="340">
        <f>Saldo_relativo_per_capita!D134*Saldo_relativo_per_capita!D$543/1000000</f>
        <v>0</v>
      </c>
      <c r="E134" s="340">
        <f>Saldo_relativo_per_capita!E134*Saldo_relativo_per_capita!E$543/1000000</f>
        <v>-1.4448412695666456E-2</v>
      </c>
      <c r="F134" s="340">
        <f>Saldo_relativo_per_capita!F134*Saldo_relativo_per_capita!F$543/1000000</f>
        <v>-2.2926316103484556E-3</v>
      </c>
      <c r="G134" s="340">
        <f>Saldo_relativo_per_capita!G134*Saldo_relativo_per_capita!G$543/1000000</f>
        <v>-1.8271507060319109E-3</v>
      </c>
      <c r="H134" s="340">
        <f>Saldo_relativo_per_capita!H134*Saldo_relativo_per_capita!H$543/1000000</f>
        <v>-1.9002351558309357E-3</v>
      </c>
      <c r="I134" s="340">
        <f>Saldo_relativo_per_capita!I134*Saldo_relativo_per_capita!I$543/1000000</f>
        <v>-3.623120314801131E-3</v>
      </c>
      <c r="J134" s="340">
        <f>Saldo_relativo_per_capita!J134*Saldo_relativo_per_capita!J$543/1000000</f>
        <v>-1.0127285486652962E-3</v>
      </c>
      <c r="K134" s="340">
        <f>Saldo_relativo_per_capita!K134*Saldo_relativo_per_capita!K$543/1000000</f>
        <v>-4.301825605392647E-3</v>
      </c>
      <c r="L134" s="340">
        <f>Saldo_relativo_per_capita!L134*Saldo_relativo_per_capita!L$543/1000000</f>
        <v>-3.5854736092499812E-3</v>
      </c>
      <c r="M134" s="340">
        <f>Saldo_relativo_per_capita!M134*Saldo_relativo_per_capita!M$543/1000000</f>
        <v>-1.2929975269342571E-2</v>
      </c>
      <c r="N134" s="340">
        <f>Saldo_relativo_per_capita!N134*Saldo_relativo_per_capita!N$543/1000000</f>
        <v>-8.6802820085562556E-3</v>
      </c>
      <c r="O134" s="340">
        <f>Saldo_relativo_per_capita!O134*Saldo_relativo_per_capita!O$543/1000000</f>
        <v>-1.8903870487390548E-3</v>
      </c>
      <c r="P134" s="340">
        <f>Saldo_relativo_per_capita!P134*Saldo_relativo_per_capita!P$543/1000000</f>
        <v>-4.7307243948288636E-3</v>
      </c>
      <c r="Q134" s="340">
        <f>Saldo_relativo_per_capita!Q134*Saldo_relativo_per_capita!Q$543/1000000</f>
        <v>-1.1109137474468251E-2</v>
      </c>
      <c r="R134" s="340">
        <f>Saldo_relativo_per_capita!R134*Saldo_relativo_per_capita!R$543/1000000</f>
        <v>-2.5211042634838963E-3</v>
      </c>
      <c r="S134" s="340">
        <f>Saldo_relativo_per_capita!S134*Saldo_relativo_per_capita!S$543/1000000</f>
        <v>-1.1025650747091165E-3</v>
      </c>
      <c r="T134" s="340">
        <f>Saldo_relativo_per_capita!T134*Saldo_relativo_per_capita!T$543/1000000</f>
        <v>-3.7579510235077702E-3</v>
      </c>
      <c r="U134" s="340">
        <f>Saldo_relativo_per_capita!U134*Saldo_relativo_per_capita!U$543/1000000</f>
        <v>-5.4990611855412937E-4</v>
      </c>
      <c r="V134" s="340">
        <f>Saldo_relativo_per_capita!V134*Saldo_relativo_per_capita!V$543/1000000</f>
        <v>8.0263610922176709E-2</v>
      </c>
      <c r="W134" s="148"/>
    </row>
    <row r="135" spans="1:23" s="115" customFormat="1">
      <c r="A135" s="355" t="str">
        <f>IF(B135="","",(IF(ISERROR(MATCH(B135,Tot_res!C:C,0)),"Eliminar!!!","")))</f>
        <v/>
      </c>
      <c r="B135" s="115" t="s">
        <v>975</v>
      </c>
      <c r="C135" s="333" t="str">
        <f>VLOOKUP(B135,Tot_res!C:D,2,FALSE)</f>
        <v>Otras enseñanzas y actividades educativas, gasto directo en Ceuta y Melilla</v>
      </c>
      <c r="D135" s="340">
        <f>Saldo_relativo_per_capita!D135*Saldo_relativo_per_capita!D$543/1000000</f>
        <v>0</v>
      </c>
      <c r="E135" s="340">
        <f>Saldo_relativo_per_capita!E135*Saldo_relativo_per_capita!E$543/1000000</f>
        <v>-2.8482730223238804</v>
      </c>
      <c r="F135" s="340">
        <f>Saldo_relativo_per_capita!F135*Saldo_relativo_per_capita!F$543/1000000</f>
        <v>-0.45195558179487982</v>
      </c>
      <c r="G135" s="340">
        <f>Saldo_relativo_per_capita!G135*Saldo_relativo_per_capita!G$543/1000000</f>
        <v>-0.36019348099543397</v>
      </c>
      <c r="H135" s="340">
        <f>Saldo_relativo_per_capita!H135*Saldo_relativo_per_capita!H$543/1000000</f>
        <v>-0.37460090907065652</v>
      </c>
      <c r="I135" s="340">
        <f>Saldo_relativo_per_capita!I135*Saldo_relativo_per_capita!I$543/1000000</f>
        <v>-0.71424010835299978</v>
      </c>
      <c r="J135" s="340">
        <f>Saldo_relativo_per_capita!J135*Saldo_relativo_per_capita!J$543/1000000</f>
        <v>-0.19964320405699254</v>
      </c>
      <c r="K135" s="340">
        <f>Saldo_relativo_per_capita!K135*Saldo_relativo_per_capita!K$543/1000000</f>
        <v>-0.84803597991473301</v>
      </c>
      <c r="L135" s="340">
        <f>Saldo_relativo_per_capita!L135*Saldo_relativo_per_capita!L$543/1000000</f>
        <v>-0.70681866365458856</v>
      </c>
      <c r="M135" s="340">
        <f>Saldo_relativo_per_capita!M135*Saldo_relativo_per_capita!M$543/1000000</f>
        <v>-2.5489374171897321</v>
      </c>
      <c r="N135" s="340">
        <f>Saldo_relativo_per_capita!N135*Saldo_relativo_per_capita!N$543/1000000</f>
        <v>-1.7111784935759482</v>
      </c>
      <c r="O135" s="340">
        <f>Saldo_relativo_per_capita!O135*Saldo_relativo_per_capita!O$543/1000000</f>
        <v>-0.37265951257668906</v>
      </c>
      <c r="P135" s="340">
        <f>Saldo_relativo_per_capita!P135*Saldo_relativo_per_capita!P$543/1000000</f>
        <v>-0.9325865030060998</v>
      </c>
      <c r="Q135" s="340">
        <f>Saldo_relativo_per_capita!Q135*Saldo_relativo_per_capita!Q$543/1000000</f>
        <v>-2.1899884254625133</v>
      </c>
      <c r="R135" s="340">
        <f>Saldo_relativo_per_capita!R135*Saldo_relativo_per_capita!R$543/1000000</f>
        <v>-0.49699530401015252</v>
      </c>
      <c r="S135" s="340">
        <f>Saldo_relativo_per_capita!S135*Saldo_relativo_per_capita!S$543/1000000</f>
        <v>-0.21735303550627394</v>
      </c>
      <c r="T135" s="340">
        <f>Saldo_relativo_per_capita!T135*Saldo_relativo_per_capita!T$543/1000000</f>
        <v>-0.7408198218674894</v>
      </c>
      <c r="U135" s="340">
        <f>Saldo_relativo_per_capita!U135*Saldo_relativo_per_capita!U$543/1000000</f>
        <v>-0.10840517884420224</v>
      </c>
      <c r="V135" s="340">
        <f>Saldo_relativo_per_capita!V135*Saldo_relativo_per_capita!V$543/1000000</f>
        <v>15.822684642203265</v>
      </c>
      <c r="W135" s="148"/>
    </row>
    <row r="136" spans="1:23" s="115" customFormat="1">
      <c r="A136" s="355" t="str">
        <f>IF(B136="","",(IF(ISERROR(MATCH(B136,Tot_res!C:C,0)),"Eliminar!!!","")))</f>
        <v/>
      </c>
      <c r="B136" s="115" t="s">
        <v>976</v>
      </c>
      <c r="C136" s="333" t="str">
        <f>VLOOKUP(B136,Tot_res!C:D,2,FALSE)</f>
        <v>Servicios complementarios de la enseñanza, gasto directo del Estado en Ceuta y Melilla</v>
      </c>
      <c r="D136" s="340">
        <f>Saldo_relativo_per_capita!D136*Saldo_relativo_per_capita!D$543/1000000</f>
        <v>0</v>
      </c>
      <c r="E136" s="340">
        <f>Saldo_relativo_per_capita!E136*Saldo_relativo_per_capita!E$543/1000000</f>
        <v>-0.29199487685079634</v>
      </c>
      <c r="F136" s="340">
        <f>Saldo_relativo_per_capita!F136*Saldo_relativo_per_capita!F$543/1000000</f>
        <v>-4.6332887828482765E-2</v>
      </c>
      <c r="G136" s="340">
        <f>Saldo_relativo_per_capita!G136*Saldo_relativo_per_capita!G$543/1000000</f>
        <v>-3.69257617866669E-2</v>
      </c>
      <c r="H136" s="340">
        <f>Saldo_relativo_per_capita!H136*Saldo_relativo_per_capita!H$543/1000000</f>
        <v>-3.8402760358639806E-2</v>
      </c>
      <c r="I136" s="340">
        <f>Saldo_relativo_per_capita!I136*Saldo_relativo_per_capita!I$543/1000000</f>
        <v>-7.3221369877763995E-2</v>
      </c>
      <c r="J136" s="340">
        <f>Saldo_relativo_per_capita!J136*Saldo_relativo_per_capita!J$543/1000000</f>
        <v>-2.046671520806588E-2</v>
      </c>
      <c r="K136" s="340">
        <f>Saldo_relativo_per_capita!K136*Saldo_relativo_per_capita!K$543/1000000</f>
        <v>-8.6937649438611098E-2</v>
      </c>
      <c r="L136" s="340">
        <f>Saldo_relativo_per_capita!L136*Saldo_relativo_per_capita!L$543/1000000</f>
        <v>-7.2460549614473527E-2</v>
      </c>
      <c r="M136" s="340">
        <f>Saldo_relativo_per_capita!M136*Saldo_relativo_per_capita!M$543/1000000</f>
        <v>-0.26130804926328799</v>
      </c>
      <c r="N136" s="340">
        <f>Saldo_relativo_per_capita!N136*Saldo_relativo_per_capita!N$543/1000000</f>
        <v>-0.17542396729010754</v>
      </c>
      <c r="O136" s="340">
        <f>Saldo_relativo_per_capita!O136*Saldo_relativo_per_capita!O$543/1000000</f>
        <v>-3.8203735256154343E-2</v>
      </c>
      <c r="P136" s="340">
        <f>Saldo_relativo_per_capita!P136*Saldo_relativo_per_capita!P$543/1000000</f>
        <v>-9.5605470038755358E-2</v>
      </c>
      <c r="Q136" s="340">
        <f>Saldo_relativo_per_capita!Q136*Saldo_relativo_per_capita!Q$543/1000000</f>
        <v>-0.22450986811505233</v>
      </c>
      <c r="R136" s="340">
        <f>Saldo_relativo_per_capita!R136*Saldo_relativo_per_capita!R$543/1000000</f>
        <v>-5.0950200859419856E-2</v>
      </c>
      <c r="S136" s="340">
        <f>Saldo_relativo_per_capita!S136*Saldo_relativo_per_capita!S$543/1000000</f>
        <v>-2.228226449444088E-2</v>
      </c>
      <c r="T136" s="340">
        <f>Saldo_relativo_per_capita!T136*Saldo_relativo_per_capita!T$543/1000000</f>
        <v>-7.5946228103630498E-2</v>
      </c>
      <c r="U136" s="340">
        <f>Saldo_relativo_per_capita!U136*Saldo_relativo_per_capita!U$543/1000000</f>
        <v>-1.1113315541912258E-2</v>
      </c>
      <c r="V136" s="340">
        <f>Saldo_relativo_per_capita!V136*Saldo_relativo_per_capita!V$543/1000000</f>
        <v>1.6220856699262614</v>
      </c>
      <c r="W136" s="148"/>
    </row>
    <row r="137" spans="1:23" s="115" customFormat="1">
      <c r="A137" s="355" t="str">
        <f>IF(B137="","",(IF(ISERROR(MATCH(B137,Tot_res!C:C,0)),"Eliminar!!!","")))</f>
        <v/>
      </c>
      <c r="B137" s="115" t="s">
        <v>1007</v>
      </c>
      <c r="C137" s="333" t="str">
        <f>VLOOKUP(B137,Tot_res!C:D,2,FALSE)</f>
        <v xml:space="preserve">Atención Primaria de Salud, INGESA, Ceuta y Melilla </v>
      </c>
      <c r="D137" s="340">
        <f>Saldo_relativo_per_capita!D137*Saldo_relativo_per_capita!D$543/1000000</f>
        <v>0</v>
      </c>
      <c r="E137" s="340">
        <f>Saldo_relativo_per_capita!E137*Saldo_relativo_per_capita!E$543/1000000</f>
        <v>-9.9689835905121758</v>
      </c>
      <c r="F137" s="340">
        <f>Saldo_relativo_per_capita!F137*Saldo_relativo_per_capita!F$543/1000000</f>
        <v>-1.5818489812038847</v>
      </c>
      <c r="G137" s="340">
        <f>Saldo_relativo_per_capita!G137*Saldo_relativo_per_capita!G$543/1000000</f>
        <v>-1.2606807259380175</v>
      </c>
      <c r="H137" s="340">
        <f>Saldo_relativo_per_capita!H137*Saldo_relativo_per_capita!H$543/1000000</f>
        <v>-1.3111068658963958</v>
      </c>
      <c r="I137" s="340">
        <f>Saldo_relativo_per_capita!I137*Saldo_relativo_per_capita!I$543/1000000</f>
        <v>-2.4998474036900249</v>
      </c>
      <c r="J137" s="340">
        <f>Saldo_relativo_per_capita!J137*Saldo_relativo_per_capita!J$543/1000000</f>
        <v>-0.69875317766328937</v>
      </c>
      <c r="K137" s="340">
        <f>Saldo_relativo_per_capita!K137*Saldo_relativo_per_capita!K$543/1000000</f>
        <v>-2.9681342700203288</v>
      </c>
      <c r="L137" s="340">
        <f>Saldo_relativo_per_capita!L137*Saldo_relativo_per_capita!L$543/1000000</f>
        <v>-2.4738722742566845</v>
      </c>
      <c r="M137" s="340">
        <f>Saldo_relativo_per_capita!M137*Saldo_relativo_per_capita!M$543/1000000</f>
        <v>-8.9213060286176074</v>
      </c>
      <c r="N137" s="340">
        <f>Saldo_relativo_per_capita!N137*Saldo_relativo_per_capita!N$543/1000000</f>
        <v>-5.9891415567240545</v>
      </c>
      <c r="O137" s="340">
        <f>Saldo_relativo_per_capita!O137*Saldo_relativo_per_capita!O$543/1000000</f>
        <v>-1.304311959074139</v>
      </c>
      <c r="P137" s="340">
        <f>Saldo_relativo_per_capita!P137*Saldo_relativo_per_capita!P$543/1000000</f>
        <v>-3.2640619323830316</v>
      </c>
      <c r="Q137" s="340">
        <f>Saldo_relativo_per_capita!Q137*Saldo_relativo_per_capita!Q$543/1000000</f>
        <v>-7.664981027357725</v>
      </c>
      <c r="R137" s="340">
        <f>Saldo_relativo_per_capita!R137*Saldo_relativo_per_capita!R$543/1000000</f>
        <v>-1.7394884519168945</v>
      </c>
      <c r="S137" s="340">
        <f>Saldo_relativo_per_capita!S137*Saldo_relativo_per_capita!S$543/1000000</f>
        <v>-0.76073776190956288</v>
      </c>
      <c r="T137" s="340">
        <f>Saldo_relativo_per_capita!T137*Saldo_relativo_per_capita!T$543/1000000</f>
        <v>-2.5928766623986137</v>
      </c>
      <c r="U137" s="340">
        <f>Saldo_relativo_per_capita!U137*Saldo_relativo_per_capita!U$543/1000000</f>
        <v>-0.37941919210492847</v>
      </c>
      <c r="V137" s="340">
        <f>Saldo_relativo_per_capita!V137*Saldo_relativo_per_capita!V$543/1000000</f>
        <v>55.379551861667366</v>
      </c>
      <c r="W137" s="148"/>
    </row>
    <row r="138" spans="1:23" s="115" customFormat="1">
      <c r="A138" s="355" t="str">
        <f>IF(B138="","",(IF(ISERROR(MATCH(B138,Tot_res!C:C,0)),"Eliminar!!!","")))</f>
        <v/>
      </c>
      <c r="B138" s="115" t="s">
        <v>1008</v>
      </c>
      <c r="C138" s="333" t="str">
        <f>VLOOKUP(B138,Tot_res!C:D,2,FALSE)</f>
        <v>Atención Especializada, gasto directo del INGESA en Ceuta y Melilla</v>
      </c>
      <c r="D138" s="340">
        <f>Saldo_relativo_per_capita!D138*Saldo_relativo_per_capita!D$543/1000000</f>
        <v>0</v>
      </c>
      <c r="E138" s="340">
        <f>Saldo_relativo_per_capita!E138*Saldo_relativo_per_capita!E$543/1000000</f>
        <v>-24.648197602209276</v>
      </c>
      <c r="F138" s="340">
        <f>Saldo_relativo_per_capita!F138*Saldo_relativo_per_capita!F$543/1000000</f>
        <v>-3.9111034652193277</v>
      </c>
      <c r="G138" s="340">
        <f>Saldo_relativo_per_capita!G138*Saldo_relativo_per_capita!G$543/1000000</f>
        <v>-3.1170186372651489</v>
      </c>
      <c r="H138" s="340">
        <f>Saldo_relativo_per_capita!H138*Saldo_relativo_per_capita!H$543/1000000</f>
        <v>-3.2416966900200657</v>
      </c>
      <c r="I138" s="340">
        <f>Saldo_relativo_per_capita!I138*Saldo_relativo_per_capita!I$543/1000000</f>
        <v>-6.1808440371157118</v>
      </c>
      <c r="J138" s="340">
        <f>Saldo_relativo_per_capita!J138*Saldo_relativo_per_capita!J$543/1000000</f>
        <v>-1.7276592183989681</v>
      </c>
      <c r="K138" s="340">
        <f>Saldo_relativo_per_capita!K138*Saldo_relativo_per_capita!K$543/1000000</f>
        <v>-7.3386779437553038</v>
      </c>
      <c r="L138" s="340">
        <f>Saldo_relativo_per_capita!L138*Saldo_relativo_per_capita!L$543/1000000</f>
        <v>-6.1166208274772407</v>
      </c>
      <c r="M138" s="340">
        <f>Saldo_relativo_per_capita!M138*Saldo_relativo_per_capita!M$543/1000000</f>
        <v>-22.057826845299303</v>
      </c>
      <c r="N138" s="340">
        <f>Saldo_relativo_per_capita!N138*Saldo_relativo_per_capita!N$543/1000000</f>
        <v>-14.808083814907096</v>
      </c>
      <c r="O138" s="340">
        <f>Saldo_relativo_per_capita!O138*Saldo_relativo_per_capita!O$543/1000000</f>
        <v>-3.2248963608267274</v>
      </c>
      <c r="P138" s="340">
        <f>Saldo_relativo_per_capita!P138*Saldo_relativo_per_capita!P$543/1000000</f>
        <v>-8.0703556952181295</v>
      </c>
      <c r="Q138" s="340">
        <f>Saldo_relativo_per_capita!Q138*Saldo_relativo_per_capita!Q$543/1000000</f>
        <v>-18.951577687348944</v>
      </c>
      <c r="R138" s="340">
        <f>Saldo_relativo_per_capita!R138*Saldo_relativo_per_capita!R$543/1000000</f>
        <v>-4.300865248731534</v>
      </c>
      <c r="S138" s="340">
        <f>Saldo_relativo_per_capita!S138*Saldo_relativo_per_capita!S$543/1000000</f>
        <v>-1.8809153921022734</v>
      </c>
      <c r="T138" s="340">
        <f>Saldo_relativo_per_capita!T138*Saldo_relativo_per_capita!T$543/1000000</f>
        <v>-6.4108578124035622</v>
      </c>
      <c r="U138" s="340">
        <f>Saldo_relativo_per_capita!U138*Saldo_relativo_per_capita!U$543/1000000</f>
        <v>-0.93810960126100518</v>
      </c>
      <c r="V138" s="340">
        <f>Saldo_relativo_per_capita!V138*Saldo_relativo_per_capita!V$543/1000000</f>
        <v>136.92530687955963</v>
      </c>
      <c r="W138" s="148"/>
    </row>
    <row r="139" spans="1:23" s="115" customFormat="1">
      <c r="A139" s="355" t="str">
        <f>IF(B139="","",(IF(ISERROR(MATCH(B139,Tot_res!C:C,0)),"Eliminar!!!","")))</f>
        <v/>
      </c>
      <c r="B139" s="115" t="s">
        <v>977</v>
      </c>
      <c r="C139" s="333" t="str">
        <f>VLOOKUP(B139,Tot_res!C:D,2,FALSE)</f>
        <v>Admón.,Ser.Grales.y Cont.Int.Asist.San, gasto directo del INGESA en Ceuta y Melila</v>
      </c>
      <c r="D139" s="340">
        <f>Saldo_relativo_per_capita!D139*Saldo_relativo_per_capita!D$543/1000000</f>
        <v>0</v>
      </c>
      <c r="E139" s="340">
        <f>Saldo_relativo_per_capita!E139*Saldo_relativo_per_capita!E$543/1000000</f>
        <v>-2.1493059295981647</v>
      </c>
      <c r="F139" s="340">
        <f>Saldo_relativo_per_capita!F139*Saldo_relativo_per_capita!F$543/1000000</f>
        <v>-0.34104554031627715</v>
      </c>
      <c r="G139" s="340">
        <f>Saldo_relativo_per_capita!G139*Saldo_relativo_per_capita!G$543/1000000</f>
        <v>-0.27180188782410158</v>
      </c>
      <c r="H139" s="340">
        <f>Saldo_relativo_per_capita!H139*Saldo_relativo_per_capita!H$543/1000000</f>
        <v>-0.28267372853235995</v>
      </c>
      <c r="I139" s="340">
        <f>Saldo_relativo_per_capita!I139*Saldo_relativo_per_capita!I$543/1000000</f>
        <v>-0.53896536182035204</v>
      </c>
      <c r="J139" s="340">
        <f>Saldo_relativo_per_capita!J139*Saldo_relativo_per_capita!J$543/1000000</f>
        <v>-0.15065069918528254</v>
      </c>
      <c r="K139" s="340">
        <f>Saldo_relativo_per_capita!K139*Saldo_relativo_per_capita!K$543/1000000</f>
        <v>-0.63992768455048255</v>
      </c>
      <c r="L139" s="340">
        <f>Saldo_relativo_per_capita!L139*Saldo_relativo_per_capita!L$543/1000000</f>
        <v>-0.53336514197785057</v>
      </c>
      <c r="M139" s="340">
        <f>Saldo_relativo_per_capita!M139*Saldo_relativo_per_capita!M$543/1000000</f>
        <v>-1.9234273758176128</v>
      </c>
      <c r="N139" s="340">
        <f>Saldo_relativo_per_capita!N139*Saldo_relativo_per_capita!N$543/1000000</f>
        <v>-1.2912547547295585</v>
      </c>
      <c r="O139" s="340">
        <f>Saldo_relativo_per_capita!O139*Saldo_relativo_per_capita!O$543/1000000</f>
        <v>-0.28120875134671752</v>
      </c>
      <c r="P139" s="340">
        <f>Saldo_relativo_per_capita!P139*Saldo_relativo_per_capita!P$543/1000000</f>
        <v>-0.7037294827652596</v>
      </c>
      <c r="Q139" s="340">
        <f>Saldo_relativo_per_capita!Q139*Saldo_relativo_per_capita!Q$543/1000000</f>
        <v>-1.6525645792051091</v>
      </c>
      <c r="R139" s="340">
        <f>Saldo_relativo_per_capita!R139*Saldo_relativo_per_capita!R$543/1000000</f>
        <v>-0.37503250057816884</v>
      </c>
      <c r="S139" s="340">
        <f>Saldo_relativo_per_capita!S139*Saldo_relativo_per_capita!S$543/1000000</f>
        <v>-0.16401453244417027</v>
      </c>
      <c r="T139" s="340">
        <f>Saldo_relativo_per_capita!T139*Saldo_relativo_per_capita!T$543/1000000</f>
        <v>-0.55902240530458336</v>
      </c>
      <c r="U139" s="340">
        <f>Saldo_relativo_per_capita!U139*Saldo_relativo_per_capita!U$543/1000000</f>
        <v>-8.1802513966478571E-2</v>
      </c>
      <c r="V139" s="340">
        <f>Saldo_relativo_per_capita!V139*Saldo_relativo_per_capita!V$543/1000000</f>
        <v>11.939792869962533</v>
      </c>
      <c r="W139" s="148"/>
    </row>
    <row r="140" spans="1:23" s="115" customFormat="1">
      <c r="A140" s="355" t="str">
        <f>IF(B140="","",(IF(ISERROR(MATCH(B140,Tot_res!C:C,0)),"Eliminar!!!","")))</f>
        <v/>
      </c>
      <c r="B140" s="115" t="s">
        <v>978</v>
      </c>
      <c r="C140" s="333" t="str">
        <f>VLOOKUP(B140,Tot_res!C:D,2,FALSE)</f>
        <v>Formación del Personal Sanitario, gasto directo del INGESA en Ceuta y Melilla</v>
      </c>
      <c r="D140" s="340">
        <f>Saldo_relativo_per_capita!D140*Saldo_relativo_per_capita!D$543/1000000</f>
        <v>0</v>
      </c>
      <c r="E140" s="340">
        <f>Saldo_relativo_per_capita!E140*Saldo_relativo_per_capita!E$543/1000000</f>
        <v>-0.33913444116800034</v>
      </c>
      <c r="F140" s="340">
        <f>Saldo_relativo_per_capita!F140*Saldo_relativo_per_capita!F$543/1000000</f>
        <v>-5.3812855180473677E-2</v>
      </c>
      <c r="G140" s="340">
        <f>Saldo_relativo_per_capita!G140*Saldo_relativo_per_capita!G$543/1000000</f>
        <v>-4.2887045564922323E-2</v>
      </c>
      <c r="H140" s="340">
        <f>Saldo_relativo_per_capita!H140*Saldo_relativo_per_capita!H$543/1000000</f>
        <v>-4.4602490338180839E-2</v>
      </c>
      <c r="I140" s="340">
        <f>Saldo_relativo_per_capita!I140*Saldo_relativo_per_capita!I$543/1000000</f>
        <v>-8.504220561287297E-2</v>
      </c>
      <c r="J140" s="340">
        <f>Saldo_relativo_per_capita!J140*Saldo_relativo_per_capita!J$543/1000000</f>
        <v>-2.3770855500929684E-2</v>
      </c>
      <c r="K140" s="340">
        <f>Saldo_relativo_per_capita!K140*Saldo_relativo_per_capita!K$543/1000000</f>
        <v>-0.10097283718401819</v>
      </c>
      <c r="L140" s="340">
        <f>Saldo_relativo_per_capita!L140*Saldo_relativo_per_capita!L$543/1000000</f>
        <v>-8.4158558757136723E-2</v>
      </c>
      <c r="M140" s="340">
        <f>Saldo_relativo_per_capita!M140*Saldo_relativo_per_capita!M$543/1000000</f>
        <v>-0.30349354144623514</v>
      </c>
      <c r="N140" s="340">
        <f>Saldo_relativo_per_capita!N140*Saldo_relativo_per_capita!N$543/1000000</f>
        <v>-0.20374435933957705</v>
      </c>
      <c r="O140" s="340">
        <f>Saldo_relativo_per_capita!O140*Saldo_relativo_per_capita!O$543/1000000</f>
        <v>-4.4371334683541389E-2</v>
      </c>
      <c r="P140" s="340">
        <f>Saldo_relativo_per_capita!P140*Saldo_relativo_per_capita!P$543/1000000</f>
        <v>-0.11103998811172593</v>
      </c>
      <c r="Q140" s="340">
        <f>Saldo_relativo_per_capita!Q140*Saldo_relativo_per_capita!Q$543/1000000</f>
        <v>-0.26075467309929989</v>
      </c>
      <c r="R140" s="340">
        <f>Saldo_relativo_per_capita!R140*Saldo_relativo_per_capita!R$543/1000000</f>
        <v>-5.9175585826068924E-2</v>
      </c>
      <c r="S140" s="340">
        <f>Saldo_relativo_per_capita!S140*Saldo_relativo_per_capita!S$543/1000000</f>
        <v>-2.5879506513195098E-2</v>
      </c>
      <c r="T140" s="340">
        <f>Saldo_relativo_per_capita!T140*Saldo_relativo_per_capita!T$543/1000000</f>
        <v>-8.8206964123904871E-2</v>
      </c>
      <c r="U140" s="340">
        <f>Saldo_relativo_per_capita!U140*Saldo_relativo_per_capita!U$543/1000000</f>
        <v>-1.2907445830824989E-2</v>
      </c>
      <c r="V140" s="340">
        <f>Saldo_relativo_per_capita!V140*Saldo_relativo_per_capita!V$543/1000000</f>
        <v>1.883954688280908</v>
      </c>
      <c r="W140" s="148"/>
    </row>
    <row r="141" spans="1:23" s="115" customFormat="1">
      <c r="A141" s="355" t="str">
        <f>IF(B141="","",(IF(ISERROR(MATCH(B141,Tot_res!C:C,0)),"Eliminar!!!","")))</f>
        <v/>
      </c>
      <c r="B141" s="115" t="s">
        <v>979</v>
      </c>
      <c r="C141" s="333" t="str">
        <f>VLOOKUP(B141,Tot_res!C:D,2,FALSE)</f>
        <v>Servicios Sociales Generales, gasto directo del IMSERSO en Ceuta y Melilla</v>
      </c>
      <c r="D141" s="340">
        <f>Saldo_relativo_per_capita!D141*Saldo_relativo_per_capita!D$543/1000000</f>
        <v>0</v>
      </c>
      <c r="E141" s="340">
        <f>Saldo_relativo_per_capita!E141*Saldo_relativo_per_capita!E$543/1000000</f>
        <v>-4.0081478679177946</v>
      </c>
      <c r="F141" s="340">
        <f>Saldo_relativo_per_capita!F141*Saldo_relativo_per_capita!F$543/1000000</f>
        <v>-0.63600110922186226</v>
      </c>
      <c r="G141" s="340">
        <f>Saldo_relativo_per_capita!G141*Saldo_relativo_per_capita!G$543/1000000</f>
        <v>-0.50687161012107906</v>
      </c>
      <c r="H141" s="340">
        <f>Saldo_relativo_per_capita!H141*Saldo_relativo_per_capita!H$543/1000000</f>
        <v>-0.52714603664876036</v>
      </c>
      <c r="I141" s="340">
        <f>Saldo_relativo_per_capita!I141*Saldo_relativo_per_capita!I$543/1000000</f>
        <v>-1.0050932424802219</v>
      </c>
      <c r="J141" s="340">
        <f>Saldo_relativo_per_capita!J141*Saldo_relativo_per_capita!J$543/1000000</f>
        <v>-0.28094198709660084</v>
      </c>
      <c r="K141" s="340">
        <f>Saldo_relativo_per_capita!K141*Saldo_relativo_per_capita!K$543/1000000</f>
        <v>-1.1933735207868372</v>
      </c>
      <c r="L141" s="340">
        <f>Saldo_relativo_per_capita!L141*Saldo_relativo_per_capita!L$543/1000000</f>
        <v>-0.99464963419138697</v>
      </c>
      <c r="M141" s="340">
        <f>Saldo_relativo_per_capita!M141*Saldo_relativo_per_capita!M$543/1000000</f>
        <v>-3.5869167014857828</v>
      </c>
      <c r="N141" s="340">
        <f>Saldo_relativo_per_capita!N141*Saldo_relativo_per_capita!N$543/1000000</f>
        <v>-2.4080052638553955</v>
      </c>
      <c r="O141" s="340">
        <f>Saldo_relativo_per_capita!O141*Saldo_relativo_per_capita!O$543/1000000</f>
        <v>-0.52441406392104406</v>
      </c>
      <c r="P141" s="340">
        <f>Saldo_relativo_per_capita!P141*Saldo_relativo_per_capita!P$543/1000000</f>
        <v>-1.312354740706372</v>
      </c>
      <c r="Q141" s="340">
        <f>Saldo_relativo_per_capita!Q141*Saldo_relativo_per_capita!Q$543/1000000</f>
        <v>-3.0817963620357203</v>
      </c>
      <c r="R141" s="340">
        <f>Saldo_relativo_per_capita!R141*Saldo_relativo_per_capita!R$543/1000000</f>
        <v>-0.69938192459800397</v>
      </c>
      <c r="S141" s="340">
        <f>Saldo_relativo_per_capita!S141*Saldo_relativo_per_capita!S$543/1000000</f>
        <v>-0.30586362298202091</v>
      </c>
      <c r="T141" s="340">
        <f>Saldo_relativo_per_capita!T141*Saldo_relativo_per_capita!T$543/1000000</f>
        <v>-1.0424967572479342</v>
      </c>
      <c r="U141" s="340">
        <f>Saldo_relativo_per_capita!U141*Saldo_relativo_per_capita!U$543/1000000</f>
        <v>-0.15254997784626997</v>
      </c>
      <c r="V141" s="340">
        <f>Saldo_relativo_per_capita!V141*Saldo_relativo_per_capita!V$543/1000000</f>
        <v>22.266004423143087</v>
      </c>
      <c r="W141" s="148"/>
    </row>
    <row r="142" spans="1:23" s="115" customFormat="1">
      <c r="A142" s="355" t="str">
        <f>IF(B142="","",(IF(ISERROR(MATCH(B142,Tot_res!C:C,0)),"Eliminar!!!","")))</f>
        <v/>
      </c>
      <c r="B142" s="115" t="s">
        <v>980</v>
      </c>
      <c r="C142" s="333" t="str">
        <f>VLOOKUP(B142,Tot_res!C:D,2,FALSE)</f>
        <v>Administración y Servicios Generales de Servicios Sociales, gasto directo del IMSERSO en Ceuta y Melilla</v>
      </c>
      <c r="D142" s="340">
        <f>Saldo_relativo_per_capita!D142*Saldo_relativo_per_capita!D$543/1000000</f>
        <v>0</v>
      </c>
      <c r="E142" s="340">
        <f>Saldo_relativo_per_capita!E142*Saldo_relativo_per_capita!E$543/1000000</f>
        <v>-0.34476023975911357</v>
      </c>
      <c r="F142" s="340">
        <f>Saldo_relativo_per_capita!F142*Saldo_relativo_per_capita!F$543/1000000</f>
        <v>-5.4705540346319505E-2</v>
      </c>
      <c r="G142" s="340">
        <f>Saldo_relativo_per_capita!G142*Saldo_relativo_per_capita!G$543/1000000</f>
        <v>-4.3598485782215451E-2</v>
      </c>
      <c r="H142" s="340">
        <f>Saldo_relativo_per_capita!H142*Saldo_relativo_per_capita!H$543/1000000</f>
        <v>-4.5342387549565433E-2</v>
      </c>
      <c r="I142" s="340">
        <f>Saldo_relativo_per_capita!I142*Saldo_relativo_per_capita!I$543/1000000</f>
        <v>-8.6452945020154395E-2</v>
      </c>
      <c r="J142" s="340">
        <f>Saldo_relativo_per_capita!J142*Saldo_relativo_per_capita!J$543/1000000</f>
        <v>-2.4165183027576968E-2</v>
      </c>
      <c r="K142" s="340">
        <f>Saldo_relativo_per_capita!K142*Saldo_relativo_per_capita!K$543/1000000</f>
        <v>-0.102647845016352</v>
      </c>
      <c r="L142" s="340">
        <f>Saldo_relativo_per_capita!L142*Saldo_relativo_per_capita!L$543/1000000</f>
        <v>-8.5554639614201539E-2</v>
      </c>
      <c r="M142" s="340">
        <f>Saldo_relativo_per_capita!M142*Saldo_relativo_per_capita!M$543/1000000</f>
        <v>-0.30852810394009395</v>
      </c>
      <c r="N142" s="340">
        <f>Saldo_relativo_per_capita!N142*Saldo_relativo_per_capita!N$543/1000000</f>
        <v>-0.2071242128447893</v>
      </c>
      <c r="O142" s="340">
        <f>Saldo_relativo_per_capita!O142*Saldo_relativo_per_capita!O$543/1000000</f>
        <v>-4.5107397323740236E-2</v>
      </c>
      <c r="P142" s="340">
        <f>Saldo_relativo_per_capita!P142*Saldo_relativo_per_capita!P$543/1000000</f>
        <v>-0.11288199686354927</v>
      </c>
      <c r="Q142" s="340">
        <f>Saldo_relativo_per_capita!Q142*Saldo_relativo_per_capita!Q$543/1000000</f>
        <v>-0.26508025344288266</v>
      </c>
      <c r="R142" s="340">
        <f>Saldo_relativo_per_capita!R142*Saldo_relativo_per_capita!R$543/1000000</f>
        <v>-6.0157231707336653E-2</v>
      </c>
      <c r="S142" s="340">
        <f>Saldo_relativo_per_capita!S142*Saldo_relativo_per_capita!S$543/1000000</f>
        <v>-2.6308813813212185E-2</v>
      </c>
      <c r="T142" s="340">
        <f>Saldo_relativo_per_capita!T142*Saldo_relativo_per_capita!T$543/1000000</f>
        <v>-8.9670202752177394E-2</v>
      </c>
      <c r="U142" s="340">
        <f>Saldo_relativo_per_capita!U142*Saldo_relativo_per_capita!U$543/1000000</f>
        <v>-1.3121563542726604E-2</v>
      </c>
      <c r="V142" s="340">
        <f>Saldo_relativo_per_capita!V142*Saldo_relativo_per_capita!V$543/1000000</f>
        <v>1.915207042346007</v>
      </c>
      <c r="W142" s="148"/>
    </row>
    <row r="143" spans="1:23" s="115" customFormat="1">
      <c r="A143" s="355" t="str">
        <f>IF(B143="","",(IF(ISERROR(MATCH(B143,Tot_res!C:C,0)),"Eliminar!!!","")))</f>
        <v/>
      </c>
      <c r="B143" s="115" t="s">
        <v>219</v>
      </c>
      <c r="C143" s="333" t="str">
        <f>VLOOKUP(B143,Tot_res!C:D,2,FALSE)</f>
        <v>Recaudación IPSI</v>
      </c>
      <c r="D143" s="340">
        <f>Saldo_relativo_per_capita!D143*Saldo_relativo_per_capita!D$543/1000000</f>
        <v>0</v>
      </c>
      <c r="E143" s="340">
        <f>Saldo_relativo_per_capita!E143*Saldo_relativo_per_capita!E$543/1000000</f>
        <v>-26.403292322890618</v>
      </c>
      <c r="F143" s="340">
        <f>Saldo_relativo_per_capita!F143*Saldo_relativo_per_capita!F$543/1000000</f>
        <v>-4.1895967309187903</v>
      </c>
      <c r="G143" s="340">
        <f>Saldo_relativo_per_capita!G143*Saldo_relativo_per_capita!G$543/1000000</f>
        <v>-3.3389684545629081</v>
      </c>
      <c r="H143" s="340">
        <f>Saldo_relativo_per_capita!H143*Saldo_relativo_per_capita!H$543/1000000</f>
        <v>-3.4725243082713262</v>
      </c>
      <c r="I143" s="340">
        <f>Saldo_relativo_per_capita!I143*Saldo_relativo_per_capita!I$543/1000000</f>
        <v>-6.6209560044882956</v>
      </c>
      <c r="J143" s="340">
        <f>Saldo_relativo_per_capita!J143*Saldo_relativo_per_capita!J$543/1000000</f>
        <v>-1.8506785816110147</v>
      </c>
      <c r="K143" s="340">
        <f>Saldo_relativo_per_capita!K143*Saldo_relativo_per_capita!K$543/1000000</f>
        <v>-7.8612344050322545</v>
      </c>
      <c r="L143" s="340">
        <f>Saldo_relativo_per_capita!L143*Saldo_relativo_per_capita!L$543/1000000</f>
        <v>-6.5521597295896061</v>
      </c>
      <c r="M143" s="340">
        <f>Saldo_relativo_per_capita!M143*Saldo_relativo_per_capita!M$543/1000000</f>
        <v>-23.628472134284571</v>
      </c>
      <c r="N143" s="340">
        <f>Saldo_relativo_per_capita!N143*Saldo_relativo_per_capita!N$543/1000000</f>
        <v>-15.8625053246008</v>
      </c>
      <c r="O143" s="340">
        <f>Saldo_relativo_per_capita!O143*Saldo_relativo_per_capita!O$543/1000000</f>
        <v>-3.454527698134902</v>
      </c>
      <c r="P143" s="340">
        <f>Saldo_relativo_per_capita!P143*Saldo_relativo_per_capita!P$543/1000000</f>
        <v>-8.6450118588569822</v>
      </c>
      <c r="Q143" s="340">
        <f>Saldo_relativo_per_capita!Q143*Saldo_relativo_per_capita!Q$543/1000000</f>
        <v>-20.301040008466781</v>
      </c>
      <c r="R143" s="340">
        <f>Saldo_relativo_per_capita!R143*Saldo_relativo_per_capita!R$543/1000000</f>
        <v>-4.6071118154879596</v>
      </c>
      <c r="S143" s="340">
        <f>Saldo_relativo_per_capita!S143*Saldo_relativo_per_capita!S$543/1000000</f>
        <v>-2.0148474843389521</v>
      </c>
      <c r="T143" s="340">
        <f>Saldo_relativo_per_capita!T143*Saldo_relativo_per_capita!T$543/1000000</f>
        <v>-6.8673480955137451</v>
      </c>
      <c r="U143" s="340">
        <f>Saldo_relativo_per_capita!U143*Saldo_relativo_per_capita!U$543/1000000</f>
        <v>-1.0049084494025864</v>
      </c>
      <c r="V143" s="340">
        <f>Saldo_relativo_per_capita!V143*Saldo_relativo_per_capita!V$543/1000000</f>
        <v>146.67518340645208</v>
      </c>
      <c r="W143" s="220"/>
    </row>
    <row r="144" spans="1:23" s="115" customFormat="1">
      <c r="A144" s="355" t="str">
        <f>IF(B144="","",(IF(ISERROR(MATCH(B144,Tot_res!C:C,0)),"Eliminar!!!","")))</f>
        <v/>
      </c>
      <c r="B144" s="115" t="s">
        <v>981</v>
      </c>
      <c r="C144" s="333" t="str">
        <f>VLOOKUP(B144,Tot_res!C:D,2,FALSE)</f>
        <v xml:space="preserve">Otras aportaciones a Corporaciones Locales, compensaciones IPSI Ceuta y Melilla </v>
      </c>
      <c r="D144" s="340">
        <f>Saldo_relativo_per_capita!D144*Saldo_relativo_per_capita!D$543/1000000</f>
        <v>0</v>
      </c>
      <c r="E144" s="340">
        <f>Saldo_relativo_per_capita!E144*Saldo_relativo_per_capita!E$543/1000000</f>
        <v>-14.533113084934872</v>
      </c>
      <c r="F144" s="340">
        <f>Saldo_relativo_per_capita!F144*Saldo_relativo_per_capita!F$543/1000000</f>
        <v>-2.3060716188764396</v>
      </c>
      <c r="G144" s="340">
        <f>Saldo_relativo_per_capita!G144*Saldo_relativo_per_capita!G$543/1000000</f>
        <v>-1.8378619432669452</v>
      </c>
      <c r="H144" s="340">
        <f>Saldo_relativo_per_capita!H144*Saldo_relativo_per_capita!H$543/1000000</f>
        <v>-1.9113748333021283</v>
      </c>
      <c r="I144" s="340">
        <f>Saldo_relativo_per_capita!I144*Saldo_relativo_per_capita!I$543/1000000</f>
        <v>-3.6443599974911201</v>
      </c>
      <c r="J144" s="340">
        <f>Saldo_relativo_per_capita!J144*Saldo_relativo_per_capita!J$543/1000000</f>
        <v>-1.0186654293526063</v>
      </c>
      <c r="K144" s="340">
        <f>Saldo_relativo_per_capita!K144*Saldo_relativo_per_capita!K$543/1000000</f>
        <v>-4.3270440367190783</v>
      </c>
      <c r="L144" s="340">
        <f>Saldo_relativo_per_capita!L144*Saldo_relativo_per_capita!L$543/1000000</f>
        <v>-3.6064925970662824</v>
      </c>
      <c r="M144" s="340">
        <f>Saldo_relativo_per_capita!M144*Saldo_relativo_per_capita!M$543/1000000</f>
        <v>-13.005774179687428</v>
      </c>
      <c r="N144" s="340">
        <f>Saldo_relativo_per_capita!N144*Saldo_relativo_per_capita!N$543/1000000</f>
        <v>-8.7311681010683326</v>
      </c>
      <c r="O144" s="340">
        <f>Saldo_relativo_per_capita!O144*Saldo_relativo_per_capita!O$543/1000000</f>
        <v>-1.9014689940204346</v>
      </c>
      <c r="P144" s="340">
        <f>Saldo_relativo_per_capita!P144*Saldo_relativo_per_capita!P$543/1000000</f>
        <v>-4.7584571434846223</v>
      </c>
      <c r="Q144" s="340">
        <f>Saldo_relativo_per_capita!Q144*Saldo_relativo_per_capita!Q$543/1000000</f>
        <v>-11.174262155521003</v>
      </c>
      <c r="R144" s="340">
        <f>Saldo_relativo_per_capita!R144*Saldo_relativo_per_capita!R$543/1000000</f>
        <v>-2.5358836386997909</v>
      </c>
      <c r="S144" s="340">
        <f>Saldo_relativo_per_capita!S144*Saldo_relativo_per_capita!S$543/1000000</f>
        <v>-1.1090286007025034</v>
      </c>
      <c r="T144" s="340">
        <f>Saldo_relativo_per_capita!T144*Saldo_relativo_per_capita!T$543/1000000</f>
        <v>-3.7799811192177448</v>
      </c>
      <c r="U144" s="340">
        <f>Saldo_relativo_per_capita!U144*Saldo_relativo_per_capita!U$543/1000000</f>
        <v>-0.55312981262237726</v>
      </c>
      <c r="V144" s="340">
        <f>Saldo_relativo_per_capita!V144*Saldo_relativo_per_capita!V$543/1000000</f>
        <v>80.7341372860337</v>
      </c>
      <c r="W144" s="148"/>
    </row>
    <row r="145" spans="1:23">
      <c r="A145" s="356"/>
      <c r="C145" s="43"/>
      <c r="D145" s="39"/>
      <c r="E145" s="39"/>
      <c r="F145" s="39"/>
      <c r="G145" s="39"/>
      <c r="H145" s="39"/>
      <c r="I145" s="39"/>
      <c r="J145" s="39"/>
      <c r="K145" s="39"/>
      <c r="L145" s="39"/>
      <c r="M145" s="39"/>
      <c r="N145" s="39"/>
      <c r="O145" s="39"/>
      <c r="P145" s="39"/>
      <c r="Q145" s="39"/>
      <c r="R145" s="39"/>
      <c r="S145" s="39"/>
      <c r="T145" s="39"/>
      <c r="U145" s="39"/>
      <c r="V145" s="39"/>
      <c r="W145" s="35"/>
    </row>
    <row r="146" spans="1:23" s="115" customFormat="1" ht="26.3">
      <c r="A146" s="356"/>
      <c r="B146" s="137"/>
      <c r="C146" s="117" t="s">
        <v>220</v>
      </c>
      <c r="D146" s="219">
        <f>Saldo_relativo_per_capita!D146*Saldo_relativo_per_capita!D$543/1000000</f>
        <v>0</v>
      </c>
      <c r="E146" s="219">
        <f>Saldo_relativo_per_capita!E146*Saldo_relativo_per_capita!E$543/1000000</f>
        <v>-2816.8784159523534</v>
      </c>
      <c r="F146" s="219">
        <f>Saldo_relativo_per_capita!F146*Saldo_relativo_per_capita!F$543/1000000</f>
        <v>-446.97397803826806</v>
      </c>
      <c r="G146" s="219">
        <f>Saldo_relativo_per_capita!G146*Saldo_relativo_per_capita!G$543/1000000</f>
        <v>-356.22330943364477</v>
      </c>
      <c r="H146" s="219">
        <f>Saldo_relativo_per_capita!H146*Saldo_relativo_per_capita!H$543/1000000</f>
        <v>-370.4719340761547</v>
      </c>
      <c r="I146" s="219">
        <f>Saldo_relativo_per_capita!I146*Saldo_relativo_per_capita!I$543/1000000</f>
        <v>-706.3675178812465</v>
      </c>
      <c r="J146" s="219">
        <f>Saldo_relativo_per_capita!J146*Saldo_relativo_per_capita!J$543/1000000</f>
        <v>-197.44267069625246</v>
      </c>
      <c r="K146" s="219">
        <f>Saldo_relativo_per_capita!K146*Saldo_relativo_per_capita!K$543/1000000</f>
        <v>-838.68864713811854</v>
      </c>
      <c r="L146" s="219">
        <f>Saldo_relativo_per_capita!L146*Saldo_relativo_per_capita!L$543/1000000</f>
        <v>-699.02787479847689</v>
      </c>
      <c r="M146" s="219">
        <f>Saldo_relativo_per_capita!M146*Saldo_relativo_per_capita!M$543/1000000</f>
        <v>-2520.8421867637394</v>
      </c>
      <c r="N146" s="219">
        <f>Saldo_relativo_per_capita!N146*Saldo_relativo_per_capita!N$543/1000000</f>
        <v>-1692.3173188163012</v>
      </c>
      <c r="O146" s="219">
        <f>Saldo_relativo_per_capita!O146*Saldo_relativo_per_capita!O$543/1000000</f>
        <v>-368.55193629581532</v>
      </c>
      <c r="P146" s="219">
        <f>Saldo_relativo_per_capita!P146*Saldo_relativo_per_capita!P$543/1000000</f>
        <v>-922.30722642699322</v>
      </c>
      <c r="Q146" s="219">
        <f>Saldo_relativo_per_capita!Q146*Saldo_relativo_per_capita!Q$543/1000000</f>
        <v>-2165.8496494263945</v>
      </c>
      <c r="R146" s="219">
        <f>Saldo_relativo_per_capita!R146*Saldo_relativo_per_capita!R$543/1000000</f>
        <v>-491.5172575533681</v>
      </c>
      <c r="S146" s="219">
        <f>Saldo_relativo_per_capita!S146*Saldo_relativo_per_capita!S$543/1000000</f>
        <v>2993.2818588547152</v>
      </c>
      <c r="T146" s="219">
        <f>Saldo_relativo_per_capita!T146*Saldo_relativo_per_capita!T$543/1000000</f>
        <v>11763.806028586385</v>
      </c>
      <c r="U146" s="219">
        <f>Saldo_relativo_per_capita!U146*Saldo_relativo_per_capita!U$543/1000000</f>
        <v>-107.21030114400482</v>
      </c>
      <c r="V146" s="219">
        <f>Saldo_relativo_per_capita!V146*Saldo_relativo_per_capita!V$543/1000000</f>
        <v>-56.417662999970815</v>
      </c>
      <c r="W146" s="148"/>
    </row>
    <row r="147" spans="1:23" s="115" customFormat="1">
      <c r="A147" s="355" t="str">
        <f>IF(B147="","",(IF(ISERROR(MATCH(B147,Tot_res!C:C,0)),"Eliminar!!!","")))</f>
        <v/>
      </c>
      <c r="B147" s="115" t="s">
        <v>982</v>
      </c>
      <c r="C147" s="333" t="str">
        <f>VLOOKUP(B147,Tot_res!C:D,2,FALSE)</f>
        <v>IRPF, ingresos homogeneizados de las comunidades forales</v>
      </c>
      <c r="D147" s="340">
        <f>Saldo_relativo_per_capita!D147*Saldo_relativo_per_capita!D$543/1000000</f>
        <v>0</v>
      </c>
      <c r="E147" s="340">
        <f>Saldo_relativo_per_capita!E147*Saldo_relativo_per_capita!E$543/1000000</f>
        <v>-1153.4483827260653</v>
      </c>
      <c r="F147" s="340">
        <f>Saldo_relativo_per_capita!F147*Saldo_relativo_per_capita!F$543/1000000</f>
        <v>-183.02579520975556</v>
      </c>
      <c r="G147" s="340">
        <f>Saldo_relativo_per_capita!G147*Saldo_relativo_per_capita!G$543/1000000</f>
        <v>-145.86543665806354</v>
      </c>
      <c r="H147" s="340">
        <f>Saldo_relativo_per_capita!H147*Saldo_relativo_per_capita!H$543/1000000</f>
        <v>-151.69992811388923</v>
      </c>
      <c r="I147" s="340">
        <f>Saldo_relativo_per_capita!I147*Saldo_relativo_per_capita!I$543/1000000</f>
        <v>-289.24161813171065</v>
      </c>
      <c r="J147" s="340">
        <f>Saldo_relativo_per_capita!J147*Saldo_relativo_per_capita!J$543/1000000</f>
        <v>-80.848334775823574</v>
      </c>
      <c r="K147" s="340">
        <f>Saldo_relativo_per_capita!K147*Saldo_relativo_per_capita!K$543/1000000</f>
        <v>-343.424145740104</v>
      </c>
      <c r="L147" s="340">
        <f>Saldo_relativo_per_capita!L147*Saldo_relativo_per_capita!L$543/1000000</f>
        <v>-286.23619929798906</v>
      </c>
      <c r="M147" s="340">
        <f>Saldo_relativo_per_capita!M147*Saldo_relativo_per_capita!M$543/1000000</f>
        <v>-1032.228202312107</v>
      </c>
      <c r="N147" s="340">
        <f>Saldo_relativo_per_capita!N147*Saldo_relativo_per_capita!N$543/1000000</f>
        <v>-692.96589565014119</v>
      </c>
      <c r="O147" s="340">
        <f>Saldo_relativo_per_capita!O147*Saldo_relativo_per_capita!O$543/1000000</f>
        <v>-150.9137321879208</v>
      </c>
      <c r="P147" s="340">
        <f>Saldo_relativo_per_capita!P147*Saldo_relativo_per_capita!P$543/1000000</f>
        <v>-377.66407405947922</v>
      </c>
      <c r="Q147" s="340">
        <f>Saldo_relativo_per_capita!Q147*Saldo_relativo_per_capita!Q$543/1000000</f>
        <v>-886.86673915745826</v>
      </c>
      <c r="R147" s="340">
        <f>Saldo_relativo_per_capita!R147*Saldo_relativo_per_capita!R$543/1000000</f>
        <v>-201.26526675636006</v>
      </c>
      <c r="S147" s="340">
        <f>Saldo_relativo_per_capita!S147*Saldo_relativo_per_capita!S$543/1000000</f>
        <v>1258.1877078425052</v>
      </c>
      <c r="T147" s="340">
        <f>Saldo_relativo_per_capita!T147*Saldo_relativo_per_capita!T$543/1000000</f>
        <v>4784.5080155938103</v>
      </c>
      <c r="U147" s="340">
        <f>Saldo_relativo_per_capita!U147*Saldo_relativo_per_capita!U$543/1000000</f>
        <v>-43.900208033763604</v>
      </c>
      <c r="V147" s="340">
        <f>Saldo_relativo_per_capita!V147*Saldo_relativo_per_capita!V$543/1000000</f>
        <v>-23.101764625683874</v>
      </c>
      <c r="W147" s="148"/>
    </row>
    <row r="148" spans="1:23" s="115" customFormat="1">
      <c r="A148" s="355" t="str">
        <f>IF(B148="","",(IF(ISERROR(MATCH(B148,Tot_res!C:C,0)),"Eliminar!!!","")))</f>
        <v/>
      </c>
      <c r="B148" s="115" t="s">
        <v>983</v>
      </c>
      <c r="C148" s="333" t="str">
        <f>VLOOKUP(B148,Tot_res!C:D,2,FALSE)</f>
        <v>Sociedades, ingresos homogeneizados de las comunidades forales</v>
      </c>
      <c r="D148" s="340">
        <f>Saldo_relativo_per_capita!D148*Saldo_relativo_per_capita!D$543/1000000</f>
        <v>0</v>
      </c>
      <c r="E148" s="340">
        <f>Saldo_relativo_per_capita!E148*Saldo_relativo_per_capita!E$543/1000000</f>
        <v>-285.4884189140962</v>
      </c>
      <c r="F148" s="340">
        <f>Saldo_relativo_per_capita!F148*Saldo_relativo_per_capita!F$543/1000000</f>
        <v>-45.300462229125714</v>
      </c>
      <c r="G148" s="340">
        <f>Saldo_relativo_per_capita!G148*Saldo_relativo_per_capita!G$543/1000000</f>
        <v>-36.102953118115074</v>
      </c>
      <c r="H148" s="340">
        <f>Saldo_relativo_per_capita!H148*Saldo_relativo_per_capita!H$543/1000000</f>
        <v>-37.547040054155339</v>
      </c>
      <c r="I148" s="340">
        <f>Saldo_relativo_per_capita!I148*Saldo_relativo_per_capita!I$543/1000000</f>
        <v>-71.589794117547228</v>
      </c>
      <c r="J148" s="340">
        <f>Saldo_relativo_per_capita!J148*Saldo_relativo_per_capita!J$543/1000000</f>
        <v>-20.010659872301389</v>
      </c>
      <c r="K148" s="340">
        <f>Saldo_relativo_per_capita!K148*Saldo_relativo_per_capita!K$543/1000000</f>
        <v>-85.000436822798846</v>
      </c>
      <c r="L148" s="340">
        <f>Saldo_relativo_per_capita!L148*Saldo_relativo_per_capita!L$543/1000000</f>
        <v>-70.845927045675339</v>
      </c>
      <c r="M148" s="340">
        <f>Saldo_relativo_per_capita!M148*Saldo_relativo_per_capita!M$543/1000000</f>
        <v>-255.4853791897938</v>
      </c>
      <c r="N148" s="340">
        <f>Saldo_relativo_per_capita!N148*Saldo_relativo_per_capita!N$543/1000000</f>
        <v>-171.51503341917055</v>
      </c>
      <c r="O148" s="340">
        <f>Saldo_relativo_per_capita!O148*Saldo_relativo_per_capita!O$543/1000000</f>
        <v>-37.352449784471176</v>
      </c>
      <c r="P148" s="340">
        <f>Saldo_relativo_per_capita!P148*Saldo_relativo_per_capita!P$543/1000000</f>
        <v>-93.47511427349491</v>
      </c>
      <c r="Q148" s="340">
        <f>Saldo_relativo_per_capita!Q148*Saldo_relativo_per_capita!Q$543/1000000</f>
        <v>-219.50716385866528</v>
      </c>
      <c r="R148" s="340">
        <f>Saldo_relativo_per_capita!R148*Saldo_relativo_per_capita!R$543/1000000</f>
        <v>-49.814888684310596</v>
      </c>
      <c r="S148" s="340">
        <f>Saldo_relativo_per_capita!S148*Saldo_relativo_per_capita!S$543/1000000</f>
        <v>331.55528440901367</v>
      </c>
      <c r="T148" s="340">
        <f>Saldo_relativo_per_capita!T148*Saldo_relativo_per_capita!T$543/1000000</f>
        <v>1164.0640028499861</v>
      </c>
      <c r="U148" s="340">
        <f>Saldo_relativo_per_capita!U148*Saldo_relativo_per_capita!U$543/1000000</f>
        <v>-10.865679963882318</v>
      </c>
      <c r="V148" s="340">
        <f>Saldo_relativo_per_capita!V148*Saldo_relativo_per_capita!V$543/1000000</f>
        <v>-5.7178859113961868</v>
      </c>
      <c r="W148" s="148"/>
    </row>
    <row r="149" spans="1:23" s="115" customFormat="1">
      <c r="A149" s="355" t="str">
        <f>IF(B149="","",(IF(ISERROR(MATCH(B149,Tot_res!C:C,0)),"Eliminar!!!","")))</f>
        <v/>
      </c>
      <c r="B149" s="115" t="s">
        <v>221</v>
      </c>
      <c r="C149" s="333" t="str">
        <f>VLOOKUP(B149,Tot_res!C:D,2,FALSE)</f>
        <v>No residentes, ingresos comunidades forales</v>
      </c>
      <c r="D149" s="340">
        <f>Saldo_relativo_per_capita!D149*Saldo_relativo_per_capita!D$543/1000000</f>
        <v>0</v>
      </c>
      <c r="E149" s="340">
        <f>Saldo_relativo_per_capita!E149*Saldo_relativo_per_capita!E$543/1000000</f>
        <v>-8.9395674667323473</v>
      </c>
      <c r="F149" s="340">
        <f>Saldo_relativo_per_capita!F149*Saldo_relativo_per_capita!F$543/1000000</f>
        <v>-1.4185042598638118</v>
      </c>
      <c r="G149" s="340">
        <f>Saldo_relativo_per_capita!G149*Saldo_relativo_per_capita!G$543/1000000</f>
        <v>-1.1305004468317121</v>
      </c>
      <c r="H149" s="340">
        <f>Saldo_relativo_per_capita!H149*Saldo_relativo_per_capita!H$543/1000000</f>
        <v>-1.175719488086213</v>
      </c>
      <c r="I149" s="340">
        <f>Saldo_relativo_per_capita!I149*Saldo_relativo_per_capita!I$543/1000000</f>
        <v>-2.2417084268341667</v>
      </c>
      <c r="J149" s="340">
        <f>Saldo_relativo_per_capita!J149*Saldo_relativo_per_capita!J$543/1000000</f>
        <v>-0.62659860131173717</v>
      </c>
      <c r="K149" s="340">
        <f>Saldo_relativo_per_capita!K149*Saldo_relativo_per_capita!K$543/1000000</f>
        <v>-2.6616391045542755</v>
      </c>
      <c r="L149" s="340">
        <f>Saldo_relativo_per_capita!L149*Saldo_relativo_per_capita!L$543/1000000</f>
        <v>-2.2184155384551096</v>
      </c>
      <c r="M149" s="340">
        <f>Saldo_relativo_per_capita!M149*Saldo_relativo_per_capita!M$543/1000000</f>
        <v>-8.0000750738617352</v>
      </c>
      <c r="N149" s="340">
        <f>Saldo_relativo_per_capita!N149*Saldo_relativo_per_capita!N$543/1000000</f>
        <v>-5.3706914579638045</v>
      </c>
      <c r="O149" s="340">
        <f>Saldo_relativo_per_capita!O149*Saldo_relativo_per_capita!O$543/1000000</f>
        <v>-1.1696262362099095</v>
      </c>
      <c r="P149" s="340">
        <f>Saldo_relativo_per_capita!P149*Saldo_relativo_per_capita!P$543/1000000</f>
        <v>-2.9270087161043996</v>
      </c>
      <c r="Q149" s="340">
        <f>Saldo_relativo_per_capita!Q149*Saldo_relativo_per_capita!Q$543/1000000</f>
        <v>-6.873480571329476</v>
      </c>
      <c r="R149" s="340">
        <f>Saldo_relativo_per_capita!R149*Saldo_relativo_per_capita!R$543/1000000</f>
        <v>-1.5598655803097736</v>
      </c>
      <c r="S149" s="340">
        <f>Saldo_relativo_per_capita!S149*Saldo_relativo_per_capita!S$543/1000000</f>
        <v>6.0228174599912139</v>
      </c>
      <c r="T149" s="340">
        <f>Saldo_relativo_per_capita!T149*Saldo_relativo_per_capita!T$543/1000000</f>
        <v>40.809868691880624</v>
      </c>
      <c r="U149" s="340">
        <f>Saldo_relativo_per_capita!U149*Saldo_relativo_per_capita!U$543/1000000</f>
        <v>-0.34023964782359795</v>
      </c>
      <c r="V149" s="340">
        <f>Saldo_relativo_per_capita!V149*Saldo_relativo_per_capita!V$543/1000000</f>
        <v>-0.17904553559976558</v>
      </c>
      <c r="W149" s="148"/>
    </row>
    <row r="150" spans="1:23" s="115" customFormat="1">
      <c r="A150" s="355" t="str">
        <f>IF(B150="","",(IF(ISERROR(MATCH(B150,Tot_res!C:C,0)),"Eliminar!!!","")))</f>
        <v/>
      </c>
      <c r="B150" s="115" t="s">
        <v>222</v>
      </c>
      <c r="C150" s="333" t="str">
        <f>VLOOKUP(B150,Tot_res!C:D,2,FALSE)</f>
        <v xml:space="preserve"> IVA, ingresos comunidades forales</v>
      </c>
      <c r="D150" s="340">
        <f>Saldo_relativo_per_capita!D150*Saldo_relativo_per_capita!D$543/1000000</f>
        <v>0</v>
      </c>
      <c r="E150" s="340">
        <f>Saldo_relativo_per_capita!E150*Saldo_relativo_per_capita!E$543/1000000</f>
        <v>-932.36926452115733</v>
      </c>
      <c r="F150" s="340">
        <f>Saldo_relativo_per_capita!F150*Saldo_relativo_per_capita!F$543/1000000</f>
        <v>-147.94561128501508</v>
      </c>
      <c r="G150" s="340">
        <f>Saldo_relativo_per_capita!G150*Saldo_relativo_per_capita!G$543/1000000</f>
        <v>-117.90770348518937</v>
      </c>
      <c r="H150" s="340">
        <f>Saldo_relativo_per_capita!H150*Saldo_relativo_per_capita!H$543/1000000</f>
        <v>-122.62390976627712</v>
      </c>
      <c r="I150" s="340">
        <f>Saldo_relativo_per_capita!I150*Saldo_relativo_per_capita!I$543/1000000</f>
        <v>-233.80326229164197</v>
      </c>
      <c r="J150" s="340">
        <f>Saldo_relativo_per_capita!J150*Saldo_relativo_per_capita!J$543/1000000</f>
        <v>-65.352297997540475</v>
      </c>
      <c r="K150" s="340">
        <f>Saldo_relativo_per_capita!K150*Saldo_relativo_per_capita!K$543/1000000</f>
        <v>-277.60073443923841</v>
      </c>
      <c r="L150" s="340">
        <f>Saldo_relativo_per_capita!L150*Saldo_relativo_per_capita!L$543/1000000</f>
        <v>-231.37388600611425</v>
      </c>
      <c r="M150" s="340">
        <f>Saldo_relativo_per_capita!M150*Saldo_relativo_per_capita!M$543/1000000</f>
        <v>-834.38311087068553</v>
      </c>
      <c r="N150" s="340">
        <f>Saldo_relativo_per_capita!N150*Saldo_relativo_per_capita!N$543/1000000</f>
        <v>-560.1465242324681</v>
      </c>
      <c r="O150" s="340">
        <f>Saldo_relativo_per_capita!O150*Saldo_relativo_per_capita!O$543/1000000</f>
        <v>-121.98840242304234</v>
      </c>
      <c r="P150" s="340">
        <f>Saldo_relativo_per_capita!P150*Saldo_relativo_per_capita!P$543/1000000</f>
        <v>-305.27796496163342</v>
      </c>
      <c r="Q150" s="340">
        <f>Saldo_relativo_per_capita!Q150*Saldo_relativo_per_capita!Q$543/1000000</f>
        <v>-716.88278530700018</v>
      </c>
      <c r="R150" s="340">
        <f>Saldo_relativo_per_capita!R150*Saldo_relativo_per_capita!R$543/1000000</f>
        <v>-162.68916021693201</v>
      </c>
      <c r="S150" s="340">
        <f>Saldo_relativo_per_capita!S150*Saldo_relativo_per_capita!S$543/1000000</f>
        <v>848.3214689444826</v>
      </c>
      <c r="T150" s="340">
        <f>Saldo_relativo_per_capita!T150*Saldo_relativo_per_capita!T$543/1000000</f>
        <v>4036.1829889576402</v>
      </c>
      <c r="U150" s="340">
        <f>Saldo_relativo_per_capita!U150*Saldo_relativo_per_capita!U$543/1000000</f>
        <v>-35.485943965718661</v>
      </c>
      <c r="V150" s="340">
        <f>Saldo_relativo_per_capita!V150*Saldo_relativo_per_capita!V$543/1000000</f>
        <v>-18.67389613246802</v>
      </c>
      <c r="W150" s="148"/>
    </row>
    <row r="151" spans="1:23" s="115" customFormat="1">
      <c r="A151" s="355" t="str">
        <f>IF(B151="","",(IF(ISERROR(MATCH(B151,Tot_res!C:C,0)),"Eliminar!!!","")))</f>
        <v/>
      </c>
      <c r="B151" s="115" t="s">
        <v>1119</v>
      </c>
      <c r="C151" s="333" t="str">
        <f>VLOOKUP(B151,Tot_res!C:D,2,FALSE)</f>
        <v>Imp. Especiales (incl. Matriculación y electricidad),  sin ejercicio de la capacidad normativa en el IH</v>
      </c>
      <c r="D151" s="340">
        <f>Saldo_relativo_per_capita!D151*Saldo_relativo_per_capita!D$543/1000000</f>
        <v>0</v>
      </c>
      <c r="E151" s="340">
        <f>Saldo_relativo_per_capita!E151*Saldo_relativo_per_capita!E$543/1000000</f>
        <v>-326.75341213363669</v>
      </c>
      <c r="F151" s="340">
        <f>Saldo_relativo_per_capita!F151*Saldo_relativo_per_capita!F$543/1000000</f>
        <v>-51.848269925974563</v>
      </c>
      <c r="G151" s="340">
        <f>Saldo_relativo_per_capita!G151*Saldo_relativo_per_capita!G$543/1000000</f>
        <v>-41.321336831510784</v>
      </c>
      <c r="H151" s="340">
        <f>Saldo_relativo_per_capita!H151*Saldo_relativo_per_capita!H$543/1000000</f>
        <v>-42.974154608020129</v>
      </c>
      <c r="I151" s="340">
        <f>Saldo_relativo_per_capita!I151*Saldo_relativo_per_capita!I$543/1000000</f>
        <v>-81.937507625806219</v>
      </c>
      <c r="J151" s="340">
        <f>Saldo_relativo_per_capita!J151*Saldo_relativo_per_capita!J$543/1000000</f>
        <v>-22.903035496818458</v>
      </c>
      <c r="K151" s="340">
        <f>Saldo_relativo_per_capita!K151*Saldo_relativo_per_capita!K$543/1000000</f>
        <v>-97.286547980975826</v>
      </c>
      <c r="L151" s="340">
        <f>Saldo_relativo_per_capita!L151*Saldo_relativo_per_capita!L$543/1000000</f>
        <v>-81.086120711995392</v>
      </c>
      <c r="M151" s="340">
        <f>Saldo_relativo_per_capita!M151*Saldo_relativo_per_capita!M$543/1000000</f>
        <v>-292.41368080027303</v>
      </c>
      <c r="N151" s="340">
        <f>Saldo_relativo_per_capita!N151*Saldo_relativo_per_capita!N$543/1000000</f>
        <v>-196.30611502595545</v>
      </c>
      <c r="O151" s="340">
        <f>Saldo_relativo_per_capita!O151*Saldo_relativo_per_capita!O$543/1000000</f>
        <v>-42.751437921896205</v>
      </c>
      <c r="P151" s="340">
        <f>Saldo_relativo_per_capita!P151*Saldo_relativo_per_capita!P$543/1000000</f>
        <v>-106.98617006820369</v>
      </c>
      <c r="Q151" s="340">
        <f>Saldo_relativo_per_capita!Q151*Saldo_relativo_per_capita!Q$543/1000000</f>
        <v>-251.23511157269829</v>
      </c>
      <c r="R151" s="340">
        <f>Saldo_relativo_per_capita!R151*Saldo_relativo_per_capita!R$543/1000000</f>
        <v>-57.015219442416694</v>
      </c>
      <c r="S151" s="340">
        <f>Saldo_relativo_per_capita!S151*Saldo_relativo_per_capita!S$543/1000000</f>
        <v>423.66443149536309</v>
      </c>
      <c r="T151" s="340">
        <f>Saldo_relativo_per_capita!T151*Saldo_relativo_per_capita!T$543/1000000</f>
        <v>1288.1342720163404</v>
      </c>
      <c r="U151" s="340">
        <f>Saldo_relativo_per_capita!U151*Saldo_relativo_per_capita!U$543/1000000</f>
        <v>-12.436224267363215</v>
      </c>
      <c r="V151" s="340">
        <f>Saldo_relativo_per_capita!V151*Saldo_relativo_per_capita!V$543/1000000</f>
        <v>-6.5443590981592106</v>
      </c>
      <c r="W151" s="148"/>
    </row>
    <row r="152" spans="1:23" s="115" customFormat="1">
      <c r="A152" s="355" t="str">
        <f>IF(B152="","",(IF(ISERROR(MATCH(B152,Tot_res!C:C,0)),"Eliminar!!!","")))</f>
        <v/>
      </c>
      <c r="B152" s="115" t="s">
        <v>223</v>
      </c>
      <c r="C152" s="333" t="str">
        <f>VLOOKUP(B152,Tot_res!C:D,2,FALSE)</f>
        <v>Primas de seguross, ingresos comunidades forales</v>
      </c>
      <c r="D152" s="340">
        <f>Saldo_relativo_per_capita!D152*Saldo_relativo_per_capita!D$543/1000000</f>
        <v>0</v>
      </c>
      <c r="E152" s="340">
        <f>Saldo_relativo_per_capita!E152*Saldo_relativo_per_capita!E$543/1000000</f>
        <v>-16.569409378848331</v>
      </c>
      <c r="F152" s="340">
        <f>Saldo_relativo_per_capita!F152*Saldo_relativo_per_capita!F$543/1000000</f>
        <v>-2.6291851227467737</v>
      </c>
      <c r="G152" s="340">
        <f>Saldo_relativo_per_capita!G152*Saldo_relativo_per_capita!G$543/1000000</f>
        <v>-2.0953725978615547</v>
      </c>
      <c r="H152" s="340">
        <f>Saldo_relativo_per_capita!H152*Saldo_relativo_per_capita!H$543/1000000</f>
        <v>-2.1791856916217536</v>
      </c>
      <c r="I152" s="340">
        <f>Saldo_relativo_per_capita!I152*Saldo_relativo_per_capita!I$543/1000000</f>
        <v>-4.1549867787738091</v>
      </c>
      <c r="J152" s="340">
        <f>Saldo_relativo_per_capita!J152*Saldo_relativo_per_capita!J$543/1000000</f>
        <v>-1.1613949757619515</v>
      </c>
      <c r="K152" s="340">
        <f>Saldo_relativo_per_capita!K152*Saldo_relativo_per_capita!K$543/1000000</f>
        <v>-4.9333245826748575</v>
      </c>
      <c r="L152" s="340">
        <f>Saldo_relativo_per_capita!L152*Saldo_relativo_per_capita!L$543/1000000</f>
        <v>-4.1118136157986775</v>
      </c>
      <c r="M152" s="340">
        <f>Saldo_relativo_per_capita!M152*Saldo_relativo_per_capita!M$543/1000000</f>
        <v>-14.828068522736746</v>
      </c>
      <c r="N152" s="340">
        <f>Saldo_relativo_per_capita!N152*Saldo_relativo_per_capita!N$543/1000000</f>
        <v>-9.954529203526894</v>
      </c>
      <c r="O152" s="340">
        <f>Saldo_relativo_per_capita!O152*Saldo_relativo_per_capita!O$543/1000000</f>
        <v>-2.1678919030617783</v>
      </c>
      <c r="P152" s="340">
        <f>Saldo_relativo_per_capita!P152*Saldo_relativo_per_capita!P$543/1000000</f>
        <v>-5.4251848149336315</v>
      </c>
      <c r="Q152" s="340">
        <f>Saldo_relativo_per_capita!Q152*Saldo_relativo_per_capita!Q$543/1000000</f>
        <v>-12.739935558151572</v>
      </c>
      <c r="R152" s="340">
        <f>Saldo_relativo_per_capita!R152*Saldo_relativo_per_capita!R$543/1000000</f>
        <v>-2.8911970822202298</v>
      </c>
      <c r="S152" s="340">
        <f>Saldo_relativo_per_capita!S152*Saldo_relativo_per_capita!S$543/1000000</f>
        <v>20.094580684571998</v>
      </c>
      <c r="T152" s="340">
        <f>Saldo_relativo_per_capita!T152*Saldo_relativo_per_capita!T$543/1000000</f>
        <v>66.709389647242133</v>
      </c>
      <c r="U152" s="340">
        <f>Saldo_relativo_per_capita!U152*Saldo_relativo_per_capita!U$543/1000000</f>
        <v>-0.6306311835202314</v>
      </c>
      <c r="V152" s="340">
        <f>Saldo_relativo_per_capita!V152*Saldo_relativo_per_capita!V$543/1000000</f>
        <v>-0.33185931957534398</v>
      </c>
      <c r="W152" s="148"/>
    </row>
    <row r="153" spans="1:23" s="115" customFormat="1">
      <c r="A153" s="355" t="str">
        <f>IF(B153="","",(IF(ISERROR(MATCH(B153,Tot_res!C:C,0)),"Eliminar!!!","")))</f>
        <v/>
      </c>
      <c r="B153" s="115" t="s">
        <v>984</v>
      </c>
      <c r="C153" s="333" t="str">
        <f>VLOOKUP(B153,Tot_res!C:D,2,FALSE)</f>
        <v>Sucesiones y donaciones, ingresos homogeneizados de las comunidades forales</v>
      </c>
      <c r="D153" s="340">
        <f>Saldo_relativo_per_capita!D153*Saldo_relativo_per_capita!D$543/1000000</f>
        <v>0</v>
      </c>
      <c r="E153" s="340">
        <f>Saldo_relativo_per_capita!E153*Saldo_relativo_per_capita!E$543/1000000</f>
        <v>-40.838212656469985</v>
      </c>
      <c r="F153" s="340">
        <f>Saldo_relativo_per_capita!F153*Saldo_relativo_per_capita!F$543/1000000</f>
        <v>-6.4800874129541723</v>
      </c>
      <c r="G153" s="340">
        <f>Saldo_relativo_per_capita!G153*Saldo_relativo_per_capita!G$543/1000000</f>
        <v>-5.1644129123423124</v>
      </c>
      <c r="H153" s="340">
        <f>Saldo_relativo_per_capita!H153*Saldo_relativo_per_capita!H$543/1000000</f>
        <v>-5.3709849673936523</v>
      </c>
      <c r="I153" s="340">
        <f>Saldo_relativo_per_capita!I153*Saldo_relativo_per_capita!I$543/1000000</f>
        <v>-10.240692940630327</v>
      </c>
      <c r="J153" s="340">
        <f>Saldo_relativo_per_capita!J153*Saldo_relativo_per_capita!J$543/1000000</f>
        <v>-2.862461413915466</v>
      </c>
      <c r="K153" s="340">
        <f>Saldo_relativo_per_capita!K153*Saldo_relativo_per_capita!K$543/1000000</f>
        <v>-12.159042836363914</v>
      </c>
      <c r="L153" s="340">
        <f>Saldo_relativo_per_capita!L153*Saldo_relativo_per_capita!L$543/1000000</f>
        <v>-10.134285115805771</v>
      </c>
      <c r="M153" s="340">
        <f>Saldo_relativo_per_capita!M153*Saldo_relativo_per_capita!M$543/1000000</f>
        <v>-36.546373004052199</v>
      </c>
      <c r="N153" s="340">
        <f>Saldo_relativo_per_capita!N153*Saldo_relativo_per_capita!N$543/1000000</f>
        <v>-24.534681424892643</v>
      </c>
      <c r="O153" s="340">
        <f>Saldo_relativo_per_capita!O153*Saldo_relativo_per_capita!O$543/1000000</f>
        <v>-5.3431494466237792</v>
      </c>
      <c r="P153" s="340">
        <f>Saldo_relativo_per_capita!P153*Saldo_relativo_per_capita!P$543/1000000</f>
        <v>-13.371318561042804</v>
      </c>
      <c r="Q153" s="340">
        <f>Saldo_relativo_per_capita!Q153*Saldo_relativo_per_capita!Q$543/1000000</f>
        <v>-31.399803436426392</v>
      </c>
      <c r="R153" s="340">
        <f>Saldo_relativo_per_capita!R153*Saldo_relativo_per_capita!R$543/1000000</f>
        <v>-7.1258617960275128</v>
      </c>
      <c r="S153" s="340">
        <f>Saldo_relativo_per_capita!S153*Saldo_relativo_per_capita!S$543/1000000</f>
        <v>41.26847082569553</v>
      </c>
      <c r="T153" s="340">
        <f>Saldo_relativo_per_capita!T153*Saldo_relativo_per_capita!T$543/1000000</f>
        <v>172.67512358882848</v>
      </c>
      <c r="U153" s="340">
        <f>Saldo_relativo_per_capita!U153*Saldo_relativo_per_capita!U$543/1000000</f>
        <v>-1.554301049093314</v>
      </c>
      <c r="V153" s="340">
        <f>Saldo_relativo_per_capita!V153*Saldo_relativo_per_capita!V$543/1000000</f>
        <v>-0.8179254404897387</v>
      </c>
      <c r="W153" s="148"/>
    </row>
    <row r="154" spans="1:23" s="115" customFormat="1">
      <c r="A154" s="355" t="str">
        <f>IF(B154="","",(IF(ISERROR(MATCH(B154,Tot_res!C:C,0)),"Eliminar!!!","")))</f>
        <v/>
      </c>
      <c r="B154" s="115" t="s">
        <v>1109</v>
      </c>
      <c r="C154" s="333" t="str">
        <f>VLOOKUP(B154,Tot_res!C:D,2,FALSE)</f>
        <v>Venta minorista de hidrocarburos, ingresos de las comunidades forales</v>
      </c>
      <c r="D154" s="340">
        <f>Saldo_relativo_per_capita!D154*Saldo_relativo_per_capita!D$543/1000000</f>
        <v>0</v>
      </c>
      <c r="E154" s="340">
        <f>Saldo_relativo_per_capita!E154*Saldo_relativo_per_capita!E$543/1000000</f>
        <v>-3.2773753099374452</v>
      </c>
      <c r="F154" s="340">
        <f>Saldo_relativo_per_capita!F154*Saldo_relativo_per_capita!F$543/1000000</f>
        <v>-0.5200442701080783</v>
      </c>
      <c r="G154" s="340">
        <f>Saldo_relativo_per_capita!G154*Saldo_relativo_per_capita!G$543/1000000</f>
        <v>-0.41445788804744116</v>
      </c>
      <c r="H154" s="340">
        <f>Saldo_relativo_per_capita!H154*Saldo_relativo_per_capita!H$543/1000000</f>
        <v>-0.43103584552670998</v>
      </c>
      <c r="I154" s="340">
        <f>Saldo_relativo_per_capita!I154*Saldo_relativo_per_capita!I$543/1000000</f>
        <v>-0.82184287746871332</v>
      </c>
      <c r="J154" s="340">
        <f>Saldo_relativo_per_capita!J154*Saldo_relativo_per_capita!J$543/1000000</f>
        <v>-0.22972015064740822</v>
      </c>
      <c r="K154" s="340">
        <f>Saldo_relativo_per_capita!K154*Saldo_relativo_per_capita!K$543/1000000</f>
        <v>-0.97579556479579355</v>
      </c>
      <c r="L154" s="340">
        <f>Saldo_relativo_per_capita!L154*Saldo_relativo_per_capita!L$543/1000000</f>
        <v>-0.81330336618310128</v>
      </c>
      <c r="M154" s="340">
        <f>Saldo_relativo_per_capita!M154*Saldo_relativo_per_capita!M$543/1000000</f>
        <v>-2.9329437494926442</v>
      </c>
      <c r="N154" s="340">
        <f>Saldo_relativo_per_capita!N154*Saldo_relativo_per_capita!N$543/1000000</f>
        <v>-1.9689735154553774</v>
      </c>
      <c r="O154" s="340">
        <f>Saldo_relativo_per_capita!O154*Saldo_relativo_per_capita!O$543/1000000</f>
        <v>-0.42880197086432359</v>
      </c>
      <c r="P154" s="340">
        <f>Saldo_relativo_per_capita!P154*Saldo_relativo_per_capita!P$543/1000000</f>
        <v>-1.0730839197568833</v>
      </c>
      <c r="Q154" s="340">
        <f>Saldo_relativo_per_capita!Q154*Saldo_relativo_per_capita!Q$543/1000000</f>
        <v>-2.5199178373720761</v>
      </c>
      <c r="R154" s="340">
        <f>Saldo_relativo_per_capita!R154*Saldo_relativo_per_capita!R$543/1000000</f>
        <v>-0.57186938392190101</v>
      </c>
      <c r="S154" s="340">
        <f>Saldo_relativo_per_capita!S154*Saldo_relativo_per_capita!S$543/1000000</f>
        <v>5.7539700598866439</v>
      </c>
      <c r="T154" s="340">
        <f>Saldo_relativo_per_capita!T154*Saldo_relativo_per_capita!T$543/1000000</f>
        <v>11.415573082260272</v>
      </c>
      <c r="U154" s="340">
        <f>Saldo_relativo_per_capita!U154*Saldo_relativo_per_capita!U$543/1000000</f>
        <v>-0.12473679799258429</v>
      </c>
      <c r="V154" s="340">
        <f>Saldo_relativo_per_capita!V154*Saldo_relativo_per_capita!V$543/1000000</f>
        <v>-6.5640694576433289E-2</v>
      </c>
      <c r="W154" s="148"/>
    </row>
    <row r="155" spans="1:23" s="115" customFormat="1">
      <c r="A155" s="355" t="str">
        <f>IF(B155="","",(IF(ISERROR(MATCH(B155,Tot_res!C:C,0)),"Eliminar!!!","")))</f>
        <v/>
      </c>
      <c r="B155" s="115" t="s">
        <v>985</v>
      </c>
      <c r="C155" s="333" t="str">
        <f>VLOOKUP(B155,Tot_res!C:D,2,FALSE)</f>
        <v>ITP y AJD, ingresos homogeneizados de las comunidades forales</v>
      </c>
      <c r="D155" s="340">
        <f>Saldo_relativo_per_capita!D155*Saldo_relativo_per_capita!D$543/1000000</f>
        <v>0</v>
      </c>
      <c r="E155" s="340">
        <f>Saldo_relativo_per_capita!E155*Saldo_relativo_per_capita!E$543/1000000</f>
        <v>-41.863860130758844</v>
      </c>
      <c r="F155" s="340">
        <f>Saldo_relativo_per_capita!F155*Saldo_relativo_per_capita!F$543/1000000</f>
        <v>-6.6428341360827243</v>
      </c>
      <c r="G155" s="340">
        <f>Saldo_relativo_per_capita!G155*Saldo_relativo_per_capita!G$543/1000000</f>
        <v>-5.2941166068767869</v>
      </c>
      <c r="H155" s="340">
        <f>Saldo_relativo_per_capita!H155*Saldo_relativo_per_capita!H$543/1000000</f>
        <v>-5.5058766976608426</v>
      </c>
      <c r="I155" s="340">
        <f>Saldo_relativo_per_capita!I155*Saldo_relativo_per_capita!I$543/1000000</f>
        <v>-10.497886881459202</v>
      </c>
      <c r="J155" s="340">
        <f>Saldo_relativo_per_capita!J155*Saldo_relativo_per_capita!J$543/1000000</f>
        <v>-2.9343518353726497</v>
      </c>
      <c r="K155" s="340">
        <f>Saldo_relativo_per_capita!K155*Saldo_relativo_per_capita!K$543/1000000</f>
        <v>-12.464415935813479</v>
      </c>
      <c r="L155" s="340">
        <f>Saldo_relativo_per_capita!L155*Saldo_relativo_per_capita!L$543/1000000</f>
        <v>-10.388806635152985</v>
      </c>
      <c r="M155" s="340">
        <f>Saldo_relativo_per_capita!M155*Saldo_relativo_per_capita!M$543/1000000</f>
        <v>-37.464231370708369</v>
      </c>
      <c r="N155" s="340">
        <f>Saldo_relativo_per_capita!N155*Saldo_relativo_per_capita!N$543/1000000</f>
        <v>-25.15086740363763</v>
      </c>
      <c r="O155" s="340">
        <f>Saldo_relativo_per_capita!O155*Saldo_relativo_per_capita!O$543/1000000</f>
        <v>-5.4773420906745063</v>
      </c>
      <c r="P155" s="340">
        <f>Saldo_relativo_per_capita!P155*Saldo_relativo_per_capita!P$543/1000000</f>
        <v>-13.707137839555537</v>
      </c>
      <c r="Q155" s="340">
        <f>Saldo_relativo_per_capita!Q155*Saldo_relativo_per_capita!Q$543/1000000</f>
        <v>-32.188406242299564</v>
      </c>
      <c r="R155" s="340">
        <f>Saldo_relativo_per_capita!R155*Saldo_relativo_per_capita!R$543/1000000</f>
        <v>-7.3048270757939671</v>
      </c>
      <c r="S155" s="340">
        <f>Saldo_relativo_per_capita!S155*Saldo_relativo_per_capita!S$543/1000000</f>
        <v>48.266749657596229</v>
      </c>
      <c r="T155" s="340">
        <f>Saldo_relativo_per_capita!T155*Saldo_relativo_per_capita!T$543/1000000</f>
        <v>171.05001593602373</v>
      </c>
      <c r="U155" s="340">
        <f>Saldo_relativo_per_capita!U155*Saldo_relativo_per_capita!U$543/1000000</f>
        <v>-1.5933371586972569</v>
      </c>
      <c r="V155" s="340">
        <f>Saldo_relativo_per_capita!V155*Saldo_relativo_per_capita!V$543/1000000</f>
        <v>-0.83846755307560861</v>
      </c>
      <c r="W155" s="220"/>
    </row>
    <row r="156" spans="1:23" s="115" customFormat="1">
      <c r="A156" s="355" t="str">
        <f>IF(B156="","",(IF(ISERROR(MATCH(B156,Tot_res!C:C,0)),"Eliminar!!!","")))</f>
        <v/>
      </c>
      <c r="B156" s="115" t="s">
        <v>986</v>
      </c>
      <c r="C156" s="333" t="str">
        <f>VLOOKUP(B156,Tot_res!C:D,2,FALSE)</f>
        <v>Tasas juego, ingresos homogeneizados de las comunidades forales</v>
      </c>
      <c r="D156" s="340">
        <f>Saldo_relativo_per_capita!D156*Saldo_relativo_per_capita!D$543/1000000</f>
        <v>0</v>
      </c>
      <c r="E156" s="340">
        <f>Saldo_relativo_per_capita!E156*Saldo_relativo_per_capita!E$543/1000000</f>
        <v>-7.3305127146507569</v>
      </c>
      <c r="F156" s="340">
        <f>Saldo_relativo_per_capita!F156*Saldo_relativo_per_capita!F$543/1000000</f>
        <v>-1.163184186641506</v>
      </c>
      <c r="G156" s="340">
        <f>Saldo_relativo_per_capita!G156*Saldo_relativo_per_capita!G$543/1000000</f>
        <v>-0.92701888880619443</v>
      </c>
      <c r="H156" s="340">
        <f>Saldo_relativo_per_capita!H156*Saldo_relativo_per_capita!H$543/1000000</f>
        <v>-0.96409884352369046</v>
      </c>
      <c r="I156" s="340">
        <f>Saldo_relativo_per_capita!I156*Saldo_relativo_per_capita!I$543/1000000</f>
        <v>-1.8382178093739765</v>
      </c>
      <c r="J156" s="340">
        <f>Saldo_relativo_per_capita!J156*Saldo_relativo_per_capita!J$543/1000000</f>
        <v>-0.5138155767593352</v>
      </c>
      <c r="K156" s="340">
        <f>Saldo_relativo_per_capita!K156*Saldo_relativo_per_capita!K$543/1000000</f>
        <v>-2.1825641307988959</v>
      </c>
      <c r="L156" s="340">
        <f>Saldo_relativo_per_capita!L156*Saldo_relativo_per_capita!L$543/1000000</f>
        <v>-1.8191174653071027</v>
      </c>
      <c r="M156" s="340">
        <f>Saldo_relativo_per_capita!M156*Saldo_relativo_per_capita!M$543/1000000</f>
        <v>-6.5601218700282651</v>
      </c>
      <c r="N156" s="340">
        <f>Saldo_relativo_per_capita!N156*Saldo_relativo_per_capita!N$543/1000000</f>
        <v>-4.4040074830891847</v>
      </c>
      <c r="O156" s="340">
        <f>Saldo_relativo_per_capita!O156*Saldo_relativo_per_capita!O$543/1000000</f>
        <v>-0.95910233105046006</v>
      </c>
      <c r="P156" s="340">
        <f>Saldo_relativo_per_capita!P156*Saldo_relativo_per_capita!P$543/1000000</f>
        <v>-2.400169212788525</v>
      </c>
      <c r="Q156" s="340">
        <f>Saldo_relativo_per_capita!Q156*Saldo_relativo_per_capita!Q$543/1000000</f>
        <v>-5.6363058849930203</v>
      </c>
      <c r="R156" s="340">
        <f>Saldo_relativo_per_capita!R156*Saldo_relativo_per_capita!R$543/1000000</f>
        <v>-1.2791015350753359</v>
      </c>
      <c r="S156" s="340">
        <f>Saldo_relativo_per_capita!S156*Saldo_relativo_per_capita!S$543/1000000</f>
        <v>10.146377475609297</v>
      </c>
      <c r="T156" s="340">
        <f>Saldo_relativo_per_capita!T156*Saldo_relativo_per_capita!T$543/1000000</f>
        <v>28.256778222373605</v>
      </c>
      <c r="U156" s="340">
        <f>Saldo_relativo_per_capita!U156*Saldo_relativo_per_capita!U$543/1000000</f>
        <v>-0.27899907615002906</v>
      </c>
      <c r="V156" s="340">
        <f>Saldo_relativo_per_capita!V156*Saldo_relativo_per_capita!V$543/1000000</f>
        <v>-0.14681868894662403</v>
      </c>
      <c r="W156" s="148"/>
    </row>
    <row r="157" spans="1:23">
      <c r="A157" s="356"/>
      <c r="C157" s="43"/>
      <c r="D157" s="39"/>
      <c r="E157" s="39"/>
      <c r="F157" s="39"/>
      <c r="G157" s="39"/>
      <c r="H157" s="39"/>
      <c r="I157" s="39"/>
      <c r="J157" s="39"/>
      <c r="K157" s="39"/>
      <c r="L157" s="39"/>
      <c r="M157" s="39"/>
      <c r="N157" s="39"/>
      <c r="O157" s="39"/>
      <c r="P157" s="39"/>
      <c r="Q157" s="39"/>
      <c r="R157" s="39"/>
      <c r="S157" s="39"/>
      <c r="T157" s="39"/>
      <c r="U157" s="39"/>
      <c r="V157" s="39"/>
      <c r="W157" s="35"/>
    </row>
    <row r="158" spans="1:23" s="115" customFormat="1">
      <c r="A158" s="356"/>
      <c r="B158" s="137"/>
      <c r="C158" s="117" t="s">
        <v>5</v>
      </c>
      <c r="D158" s="219">
        <f>Saldo_relativo_per_capita!D158*Saldo_relativo_per_capita!D$543/1000000</f>
        <v>0</v>
      </c>
      <c r="E158" s="219">
        <f>Saldo_relativo_per_capita!E158*Saldo_relativo_per_capita!E$543/1000000</f>
        <v>302.37967140189505</v>
      </c>
      <c r="F158" s="219">
        <f>Saldo_relativo_per_capita!F158*Saldo_relativo_per_capita!F$543/1000000</f>
        <v>47.980716469338539</v>
      </c>
      <c r="G158" s="219">
        <f>Saldo_relativo_per_capita!G158*Saldo_relativo_per_capita!G$543/1000000</f>
        <v>38.239026094359851</v>
      </c>
      <c r="H158" s="219">
        <f>Saldo_relativo_per_capita!H158*Saldo_relativo_per_capita!H$543/1000000</f>
        <v>39.768554104135319</v>
      </c>
      <c r="I158" s="219">
        <f>Saldo_relativo_per_capita!I158*Saldo_relativo_per_capita!I$543/1000000</f>
        <v>75.825487083968028</v>
      </c>
      <c r="J158" s="219">
        <f>Saldo_relativo_per_capita!J158*Saldo_relativo_per_capita!J$543/1000000</f>
        <v>21.194613707052966</v>
      </c>
      <c r="K158" s="219">
        <f>Saldo_relativo_per_capita!K158*Saldo_relativo_per_capita!K$543/1000000</f>
        <v>90.029585975007066</v>
      </c>
      <c r="L158" s="219">
        <f>Saldo_relativo_per_capita!L158*Saldo_relativo_per_capita!L$543/1000000</f>
        <v>75.037608256466442</v>
      </c>
      <c r="M158" s="219">
        <f>Saldo_relativo_per_capita!M158*Saldo_relativo_per_capita!M$543/1000000</f>
        <v>270.60146713217154</v>
      </c>
      <c r="N158" s="219">
        <f>Saldo_relativo_per_capita!N158*Saldo_relativo_per_capita!N$543/1000000</f>
        <v>181.66291873779787</v>
      </c>
      <c r="O158" s="219">
        <f>Saldo_relativo_per_capita!O158*Saldo_relativo_per_capita!O$543/1000000</f>
        <v>39.56245067609116</v>
      </c>
      <c r="P158" s="219">
        <f>Saldo_relativo_per_capita!P158*Saldo_relativo_per_capita!P$543/1000000</f>
        <v>99.005677518494878</v>
      </c>
      <c r="Q158" s="219">
        <f>Saldo_relativo_per_capita!Q158*Saldo_relativo_per_capita!Q$543/1000000</f>
        <v>232.49455908023126</v>
      </c>
      <c r="R158" s="219">
        <f>Saldo_relativo_per_capita!R158*Saldo_relativo_per_capita!R$543/1000000</f>
        <v>52.762244186921976</v>
      </c>
      <c r="S158" s="219">
        <f>Saldo_relativo_per_capita!S158*Saldo_relativo_per_capita!S$543/1000000</f>
        <v>-551.051267016373</v>
      </c>
      <c r="T158" s="219">
        <f>Saldo_relativo_per_capita!T158*Saldo_relativo_per_capita!T$543/1000000</f>
        <v>-1033.058065137636</v>
      </c>
      <c r="U158" s="219">
        <f>Saldo_relativo_per_capita!U158*Saldo_relativo_per_capita!U$543/1000000</f>
        <v>11.508560485690033</v>
      </c>
      <c r="V158" s="219">
        <f>Saldo_relativo_per_capita!V158*Saldo_relativo_per_capita!V$543/1000000</f>
        <v>6.056191244387235</v>
      </c>
      <c r="W158" s="148"/>
    </row>
    <row r="159" spans="1:23" s="115" customFormat="1">
      <c r="A159" s="355" t="str">
        <f>IF(B159="","",(IF(ISERROR(MATCH(B159,Tot_res!C:C,0)),"Eliminar!!!","")))</f>
        <v/>
      </c>
      <c r="B159" s="115" t="s">
        <v>1009</v>
      </c>
      <c r="C159" s="333" t="str">
        <f>VLOOKUP(B159,Tot_res!C:D,2,FALSE)</f>
        <v xml:space="preserve"> Cupo y aportación, antes descuento por Y vasca</v>
      </c>
      <c r="D159" s="340">
        <f>Saldo_relativo_per_capita!D159*Saldo_relativo_per_capita!D$543/1000000</f>
        <v>0</v>
      </c>
      <c r="E159" s="340">
        <f>Saldo_relativo_per_capita!E159*Saldo_relativo_per_capita!E$543/1000000</f>
        <v>319.87514391940186</v>
      </c>
      <c r="F159" s="340">
        <f>Saldo_relativo_per_capita!F159*Saldo_relativo_per_capita!F$543/1000000</f>
        <v>50.756846565874973</v>
      </c>
      <c r="G159" s="340">
        <f>Saldo_relativo_per_capita!G159*Saldo_relativo_per_capita!G$543/1000000</f>
        <v>40.451508921093641</v>
      </c>
      <c r="H159" s="340">
        <f>Saldo_relativo_per_capita!H159*Saldo_relativo_per_capita!H$543/1000000</f>
        <v>42.069534332614801</v>
      </c>
      <c r="I159" s="340">
        <f>Saldo_relativo_per_capita!I159*Saldo_relativo_per_capita!I$543/1000000</f>
        <v>80.212695785048112</v>
      </c>
      <c r="J159" s="340">
        <f>Saldo_relativo_per_capita!J159*Saldo_relativo_per_capita!J$543/1000000</f>
        <v>22.420918967296707</v>
      </c>
      <c r="K159" s="340">
        <f>Saldo_relativo_per_capita!K159*Saldo_relativo_per_capita!K$543/1000000</f>
        <v>95.238633725756046</v>
      </c>
      <c r="L159" s="340">
        <f>Saldo_relativo_per_capita!L159*Saldo_relativo_per_capita!L$543/1000000</f>
        <v>79.379230849493126</v>
      </c>
      <c r="M159" s="340">
        <f>Saldo_relativo_per_capita!M159*Saldo_relativo_per_capita!M$543/1000000</f>
        <v>286.25827537413676</v>
      </c>
      <c r="N159" s="340">
        <f>Saldo_relativo_per_capita!N159*Saldo_relativo_per_capita!N$543/1000000</f>
        <v>192.17380588669928</v>
      </c>
      <c r="O159" s="340">
        <f>Saldo_relativo_per_capita!O159*Saldo_relativo_per_capita!O$543/1000000</f>
        <v>41.85150590695293</v>
      </c>
      <c r="P159" s="340">
        <f>Saldo_relativo_per_capita!P159*Saldo_relativo_per_capita!P$543/1000000</f>
        <v>104.73407553570073</v>
      </c>
      <c r="Q159" s="340">
        <f>Saldo_relativo_per_capita!Q159*Saldo_relativo_per_capita!Q$543/1000000</f>
        <v>245.94652875133977</v>
      </c>
      <c r="R159" s="340">
        <f>Saldo_relativo_per_capita!R159*Saldo_relativo_per_capita!R$543/1000000</f>
        <v>55.815030073137784</v>
      </c>
      <c r="S159" s="340">
        <f>Saldo_relativo_per_capita!S159*Saldo_relativo_per_capita!S$543/1000000</f>
        <v>-549.71617939327916</v>
      </c>
      <c r="T159" s="340">
        <f>Saldo_relativo_per_capita!T159*Saldo_relativo_per_capita!T$543/1000000</f>
        <v>-1126.0485909617678</v>
      </c>
      <c r="U159" s="340">
        <f>Saldo_relativo_per_capita!U159*Saldo_relativo_per_capita!U$543/1000000</f>
        <v>12.174437602230194</v>
      </c>
      <c r="V159" s="340">
        <f>Saldo_relativo_per_capita!V159*Saldo_relativo_per_capita!V$543/1000000</f>
        <v>6.4065981582703957</v>
      </c>
      <c r="W159" s="148"/>
    </row>
    <row r="160" spans="1:23" s="115" customFormat="1">
      <c r="A160" s="355" t="str">
        <f>IF(B160="","",(IF(ISERROR(MATCH(B160,Tot_res!C:C,0)),"Eliminar!!!","")))</f>
        <v/>
      </c>
      <c r="B160" s="115" t="s">
        <v>987</v>
      </c>
      <c r="C160" s="333" t="str">
        <f>VLOOKUP(B160,Tot_res!C:D,2,FALSE)</f>
        <v>Otras transferencias a CCAA: Compensaciones financieras al País Vasco por IE sobre las labores de tabaco</v>
      </c>
      <c r="D160" s="340">
        <f>Saldo_relativo_per_capita!D160*Saldo_relativo_per_capita!D$543/1000000</f>
        <v>0</v>
      </c>
      <c r="E160" s="340">
        <f>Saldo_relativo_per_capita!E160*Saldo_relativo_per_capita!E$543/1000000</f>
        <v>-25.976940961164644</v>
      </c>
      <c r="F160" s="340">
        <f>Saldo_relativo_per_capita!F160*Saldo_relativo_per_capita!F$543/1000000</f>
        <v>-4.1219445514305031</v>
      </c>
      <c r="G160" s="340">
        <f>Saldo_relativo_per_capita!G160*Saldo_relativo_per_capita!G$543/1000000</f>
        <v>-3.2850519304433461</v>
      </c>
      <c r="H160" s="340">
        <f>Saldo_relativo_per_capita!H160*Saldo_relativo_per_capita!H$543/1000000</f>
        <v>-3.4164511697644855</v>
      </c>
      <c r="I160" s="340">
        <f>Saldo_relativo_per_capita!I160*Saldo_relativo_per_capita!I$543/1000000</f>
        <v>-6.5140430644685363</v>
      </c>
      <c r="J160" s="340">
        <f>Saldo_relativo_per_capita!J160*Saldo_relativo_per_capita!J$543/1000000</f>
        <v>-1.8207944548991768</v>
      </c>
      <c r="K160" s="340">
        <f>Saldo_relativo_per_capita!K160*Saldo_relativo_per_capita!K$543/1000000</f>
        <v>-7.7342938722969929</v>
      </c>
      <c r="L160" s="340">
        <f>Saldo_relativo_per_capita!L160*Saldo_relativo_per_capita!L$543/1000000</f>
        <v>-6.4463576883595142</v>
      </c>
      <c r="M160" s="340">
        <f>Saldo_relativo_per_capita!M160*Saldo_relativo_per_capita!M$543/1000000</f>
        <v>-23.246927622836548</v>
      </c>
      <c r="N160" s="340">
        <f>Saldo_relativo_per_capita!N160*Saldo_relativo_per_capita!N$543/1000000</f>
        <v>-15.606362997241652</v>
      </c>
      <c r="O160" s="340">
        <f>Saldo_relativo_per_capita!O160*Saldo_relativo_per_capita!O$543/1000000</f>
        <v>-3.3987451627522587</v>
      </c>
      <c r="P160" s="340">
        <f>Saldo_relativo_per_capita!P160*Saldo_relativo_per_capita!P$543/1000000</f>
        <v>-8.5054151550411685</v>
      </c>
      <c r="Q160" s="340">
        <f>Saldo_relativo_per_capita!Q160*Saldo_relativo_per_capita!Q$543/1000000</f>
        <v>-19.973225736435275</v>
      </c>
      <c r="R160" s="340">
        <f>Saldo_relativo_per_capita!R160*Saldo_relativo_per_capita!R$543/1000000</f>
        <v>-4.5327177447737474</v>
      </c>
      <c r="S160" s="340">
        <f>Saldo_relativo_per_capita!S160*Saldo_relativo_per_capita!S$543/1000000</f>
        <v>-1.9823124141623694</v>
      </c>
      <c r="T160" s="340">
        <f>Saldo_relativo_per_capita!T160*Saldo_relativo_per_capita!T$543/1000000</f>
        <v>138.07054349997983</v>
      </c>
      <c r="U160" s="340">
        <f>Saldo_relativo_per_capita!U160*Saldo_relativo_per_capita!U$543/1000000</f>
        <v>-0.9886815304042581</v>
      </c>
      <c r="V160" s="340">
        <f>Saldo_relativo_per_capita!V160*Saldo_relativo_per_capita!V$543/1000000</f>
        <v>-0.52027744350536209</v>
      </c>
      <c r="W160" s="220"/>
    </row>
    <row r="161" spans="1:23" s="115" customFormat="1">
      <c r="A161" s="355" t="str">
        <f>IF(B161="","",(IF(ISERROR(MATCH(B161,Tot_res!C:C,0)),"Eliminar!!!","")))</f>
        <v/>
      </c>
      <c r="B161" s="115" t="s">
        <v>225</v>
      </c>
      <c r="C161" s="333" t="str">
        <f>VLOOKUP(B161,Tot_res!C:D,2,FALSE)</f>
        <v>compensaciones financieras IE bebidas alcohólicas e hidrocarburos</v>
      </c>
      <c r="D161" s="340">
        <f>Saldo_relativo_per_capita!D161*Saldo_relativo_per_capita!D$543/1000000</f>
        <v>0</v>
      </c>
      <c r="E161" s="340">
        <f>Saldo_relativo_per_capita!E161*Saldo_relativo_per_capita!E$543/1000000</f>
        <v>8.4814684436578194</v>
      </c>
      <c r="F161" s="340">
        <f>Saldo_relativo_per_capita!F161*Saldo_relativo_per_capita!F$543/1000000</f>
        <v>1.3458144548940649</v>
      </c>
      <c r="G161" s="340">
        <f>Saldo_relativo_per_capita!G161*Saldo_relativo_per_capita!G$543/1000000</f>
        <v>1.072569103709557</v>
      </c>
      <c r="H161" s="340">
        <f>Saldo_relativo_per_capita!H161*Saldo_relativo_per_capita!H$543/1000000</f>
        <v>1.115470941285005</v>
      </c>
      <c r="I161" s="340">
        <f>Saldo_relativo_per_capita!I161*Saldo_relativo_per_capita!I$543/1000000</f>
        <v>2.126834363388451</v>
      </c>
      <c r="J161" s="340">
        <f>Saldo_relativo_per_capita!J161*Saldo_relativo_per_capita!J$543/1000000</f>
        <v>0.59448919465543337</v>
      </c>
      <c r="K161" s="340">
        <f>Saldo_relativo_per_capita!K161*Saldo_relativo_per_capita!K$543/1000000</f>
        <v>2.5252461215480229</v>
      </c>
      <c r="L161" s="340">
        <f>Saldo_relativo_per_capita!L161*Saldo_relativo_per_capita!L$543/1000000</f>
        <v>2.1047350953328312</v>
      </c>
      <c r="M161" s="340">
        <f>Saldo_relativo_per_capita!M161*Saldo_relativo_per_capita!M$543/1000000</f>
        <v>7.5901193808713083</v>
      </c>
      <c r="N161" s="340">
        <f>Saldo_relativo_per_capita!N161*Saldo_relativo_per_capita!N$543/1000000</f>
        <v>5.0954758483402172</v>
      </c>
      <c r="O161" s="340">
        <f>Saldo_relativo_per_capita!O161*Saldo_relativo_per_capita!O$543/1000000</f>
        <v>1.1096899318904851</v>
      </c>
      <c r="P161" s="340">
        <f>Saldo_relativo_per_capita!P161*Saldo_relativo_per_capita!P$543/1000000</f>
        <v>2.7770171378353252</v>
      </c>
      <c r="Q161" s="340">
        <f>Saldo_relativo_per_capita!Q161*Saldo_relativo_per_capita!Q$543/1000000</f>
        <v>6.5212560653267575</v>
      </c>
      <c r="R161" s="340">
        <f>Saldo_relativo_per_capita!R161*Saldo_relativo_per_capita!R$543/1000000</f>
        <v>1.4799318585579442</v>
      </c>
      <c r="S161" s="340">
        <f>Saldo_relativo_per_capita!S161*Saldo_relativo_per_capita!S$543/1000000</f>
        <v>0.64722479106852859</v>
      </c>
      <c r="T161" s="340">
        <f>Saldo_relativo_per_capita!T161*Saldo_relativo_per_capita!T$543/1000000</f>
        <v>-45.080017675848055</v>
      </c>
      <c r="U161" s="340">
        <f>Saldo_relativo_per_capita!U161*Saldo_relativo_per_capita!U$543/1000000</f>
        <v>0.32280441386409814</v>
      </c>
      <c r="V161" s="340">
        <f>Saldo_relativo_per_capita!V161*Saldo_relativo_per_capita!V$543/1000000</f>
        <v>0.16987052962220131</v>
      </c>
      <c r="W161" s="148"/>
    </row>
    <row r="162" spans="1:23">
      <c r="A162" s="356"/>
      <c r="C162" s="43"/>
      <c r="D162" s="39"/>
      <c r="E162" s="39"/>
      <c r="F162" s="39"/>
      <c r="G162" s="39"/>
      <c r="H162" s="39"/>
      <c r="I162" s="39"/>
      <c r="J162" s="39"/>
      <c r="K162" s="39"/>
      <c r="L162" s="39"/>
      <c r="M162" s="39"/>
      <c r="N162" s="39"/>
      <c r="O162" s="39"/>
      <c r="P162" s="39"/>
      <c r="Q162" s="39"/>
      <c r="R162" s="39"/>
      <c r="S162" s="39"/>
      <c r="T162" s="39"/>
      <c r="U162" s="39"/>
      <c r="V162" s="39"/>
      <c r="W162" s="35"/>
    </row>
    <row r="163" spans="1:23" s="115" customFormat="1">
      <c r="A163" s="356"/>
      <c r="B163" s="137"/>
      <c r="C163" s="117" t="s">
        <v>52</v>
      </c>
      <c r="D163" s="219">
        <f>Saldo_relativo_per_capita!D163*Saldo_relativo_per_capita!D$543/1000000</f>
        <v>0</v>
      </c>
      <c r="E163" s="219">
        <f>Saldo_relativo_per_capita!E163*Saldo_relativo_per_capita!E$543/1000000</f>
        <v>499.91935045493926</v>
      </c>
      <c r="F163" s="219">
        <f>Saldo_relativo_per_capita!F163*Saldo_relativo_per_capita!F$543/1000000</f>
        <v>79.325731457104837</v>
      </c>
      <c r="G163" s="219">
        <f>Saldo_relativo_per_capita!G163*Saldo_relativo_per_capita!G$543/1000000</f>
        <v>63.219954564055541</v>
      </c>
      <c r="H163" s="219">
        <f>Saldo_relativo_per_capita!H163*Saldo_relativo_per_capita!H$543/1000000</f>
        <v>65.748698132049242</v>
      </c>
      <c r="I163" s="219">
        <f>Saldo_relativo_per_capita!I163*Saldo_relativo_per_capita!I$543/1000000</f>
        <v>125.36103394518445</v>
      </c>
      <c r="J163" s="219">
        <f>Saldo_relativo_per_capita!J163*Saldo_relativo_per_capita!J$543/1000000</f>
        <v>35.040707162786028</v>
      </c>
      <c r="K163" s="219">
        <f>Saldo_relativo_per_capita!K163*Saldo_relativo_per_capita!K$543/1000000</f>
        <v>148.84443763593089</v>
      </c>
      <c r="L163" s="219">
        <f>Saldo_relativo_per_capita!L163*Saldo_relativo_per_capita!L$543/1000000</f>
        <v>124.05844680413855</v>
      </c>
      <c r="M163" s="219">
        <f>Saldo_relativo_per_capita!M163*Saldo_relativo_per_capita!M$543/1000000</f>
        <v>447.38096662942849</v>
      </c>
      <c r="N163" s="219">
        <f>Saldo_relativo_per_capita!N163*Saldo_relativo_per_capita!N$543/1000000</f>
        <v>300.34032352804246</v>
      </c>
      <c r="O163" s="219">
        <f>Saldo_relativo_per_capita!O163*Saldo_relativo_per_capita!O$543/1000000</f>
        <v>65.407950715410138</v>
      </c>
      <c r="P163" s="219">
        <f>Saldo_relativo_per_capita!P163*Saldo_relativo_per_capita!P$543/1000000</f>
        <v>163.68446253985496</v>
      </c>
      <c r="Q163" s="219">
        <f>Saldo_relativo_per_capita!Q163*Saldo_relativo_per_capita!Q$543/1000000</f>
        <v>384.37944065762446</v>
      </c>
      <c r="R163" s="219">
        <f>Saldo_relativo_per_capita!R163*Saldo_relativo_per_capita!R$543/1000000</f>
        <v>87.23095279580896</v>
      </c>
      <c r="S163" s="219">
        <f>Saldo_relativo_per_capita!S163*Saldo_relativo_per_capita!S$543/1000000</f>
        <v>-497.31968829883346</v>
      </c>
      <c r="T163" s="219">
        <f>Saldo_relativo_per_capita!T163*Saldo_relativo_per_capita!T$543/1000000</f>
        <v>-2121.6622846244859</v>
      </c>
      <c r="U163" s="219">
        <f>Saldo_relativo_per_capita!U163*Saldo_relativo_per_capita!U$543/1000000</f>
        <v>19.026914263130866</v>
      </c>
      <c r="V163" s="219">
        <f>Saldo_relativo_per_capita!V163*Saldo_relativo_per_capita!V$543/1000000</f>
        <v>10.012601637829489</v>
      </c>
      <c r="W163" s="148"/>
    </row>
    <row r="164" spans="1:23" s="115" customFormat="1">
      <c r="A164" s="356"/>
      <c r="B164" s="115" t="s">
        <v>1127</v>
      </c>
      <c r="C164" s="335" t="str">
        <f>VLOOKUP(B164,Tot_res!C:D,2,FALSE)</f>
        <v>gestión tributaria (prog. 932A)</v>
      </c>
      <c r="D164" s="341">
        <f>Saldo_relativo_per_capita!D164*Saldo_relativo_per_capita!D$543/1000000</f>
        <v>0</v>
      </c>
      <c r="E164" s="341">
        <f>Saldo_relativo_per_capita!E164*Saldo_relativo_per_capita!E$543/1000000</f>
        <v>14.382310894283291</v>
      </c>
      <c r="F164" s="341">
        <f>Saldo_relativo_per_capita!F164*Saldo_relativo_per_capita!F$543/1000000</f>
        <v>2.2821427710175115</v>
      </c>
      <c r="G164" s="341">
        <f>Saldo_relativo_per_capita!G164*Saldo_relativo_per_capita!G$543/1000000</f>
        <v>1.8187914519317387</v>
      </c>
      <c r="H164" s="341">
        <f>Saldo_relativo_per_capita!H164*Saldo_relativo_per_capita!H$543/1000000</f>
        <v>1.891541538788164</v>
      </c>
      <c r="I164" s="341">
        <f>Saldo_relativo_per_capita!I164*Saldo_relativo_per_capita!I$543/1000000</f>
        <v>3.6065444607968962</v>
      </c>
      <c r="J164" s="341">
        <f>Saldo_relativo_per_capita!J164*Saldo_relativo_per_capita!J$543/1000000</f>
        <v>1.0080952935950687</v>
      </c>
      <c r="K164" s="341">
        <f>Saldo_relativo_per_capita!K164*Saldo_relativo_per_capita!K$543/1000000</f>
        <v>4.2821446599668587</v>
      </c>
      <c r="L164" s="341">
        <f>Saldo_relativo_per_capita!L164*Saldo_relativo_per_capita!L$543/1000000</f>
        <v>3.5690699897399774</v>
      </c>
      <c r="M164" s="341">
        <f>Saldo_relativo_per_capita!M164*Saldo_relativo_per_capita!M$543/1000000</f>
        <v>12.870820352110751</v>
      </c>
      <c r="N164" s="341">
        <f>Saldo_relativo_per_capita!N164*Saldo_relativo_per_capita!N$543/1000000</f>
        <v>8.6405695301432086</v>
      </c>
      <c r="O164" s="341">
        <f>Saldo_relativo_per_capita!O164*Saldo_relativo_per_capita!O$543/1000000</f>
        <v>1.8817384869997755</v>
      </c>
      <c r="P164" s="341">
        <f>Saldo_relativo_per_capita!P164*Saldo_relativo_per_capita!P$543/1000000</f>
        <v>4.7090812281411303</v>
      </c>
      <c r="Q164" s="341">
        <f>Saldo_relativo_per_capita!Q164*Saldo_relativo_per_capita!Q$543/1000000</f>
        <v>11.058312929631168</v>
      </c>
      <c r="R164" s="341">
        <f>Saldo_relativo_per_capita!R164*Saldo_relativo_per_capita!R$543/1000000</f>
        <v>2.5095701568106388</v>
      </c>
      <c r="S164" s="341">
        <f>Saldo_relativo_per_capita!S164*Saldo_relativo_per_capita!S$543/1000000</f>
        <v>-17.09161414376311</v>
      </c>
      <c r="T164" s="341">
        <f>Saldo_relativo_per_capita!T164*Saldo_relativo_per_capita!T$543/1000000</f>
        <v>-58.254565048597932</v>
      </c>
      <c r="U164" s="341">
        <f>Saldo_relativo_per_capita!U164*Saldo_relativo_per_capita!U$543/1000000</f>
        <v>0.54739028613753771</v>
      </c>
      <c r="V164" s="341">
        <f>Saldo_relativo_per_capita!V164*Saldo_relativo_per_capita!V$543/1000000</f>
        <v>0.28805516226732603</v>
      </c>
      <c r="W164" s="148"/>
    </row>
    <row r="165" spans="1:23" s="115" customFormat="1">
      <c r="A165" s="356"/>
      <c r="B165" s="115" t="s">
        <v>1128</v>
      </c>
      <c r="C165" s="335" t="str">
        <f>VLOOKUP(B165,Tot_res!C:D,2,FALSE)</f>
        <v>Gestión del catastro inmobiliario (programa 932M)</v>
      </c>
      <c r="D165" s="341">
        <f>Saldo_relativo_per_capita!D165*Saldo_relativo_per_capita!D$543/1000000</f>
        <v>0</v>
      </c>
      <c r="E165" s="341">
        <f>Saldo_relativo_per_capita!E165*Saldo_relativo_per_capita!E$543/1000000</f>
        <v>1.104505769658936</v>
      </c>
      <c r="F165" s="341">
        <f>Saldo_relativo_per_capita!F165*Saldo_relativo_per_capita!F$543/1000000</f>
        <v>0.17525972538781526</v>
      </c>
      <c r="G165" s="341">
        <f>Saldo_relativo_per_capita!G165*Saldo_relativo_per_capita!G$543/1000000</f>
        <v>0.13967613878124735</v>
      </c>
      <c r="H165" s="341">
        <f>Saldo_relativo_per_capita!H165*Saldo_relativo_per_capita!H$543/1000000</f>
        <v>0.14526306366882222</v>
      </c>
      <c r="I165" s="341">
        <f>Saldo_relativo_per_capita!I165*Saldo_relativo_per_capita!I$543/1000000</f>
        <v>0.27696864535622001</v>
      </c>
      <c r="J165" s="341">
        <f>Saldo_relativo_per_capita!J165*Saldo_relativo_per_capita!J$543/1000000</f>
        <v>7.7417813891392628E-2</v>
      </c>
      <c r="K165" s="341">
        <f>Saldo_relativo_per_capita!K165*Saldo_relativo_per_capita!K$543/1000000</f>
        <v>0.32885212384941215</v>
      </c>
      <c r="L165" s="341">
        <f>Saldo_relativo_per_capita!L165*Saldo_relativo_per_capita!L$543/1000000</f>
        <v>0.27409075112896225</v>
      </c>
      <c r="M165" s="341">
        <f>Saldo_relativo_per_capita!M165*Saldo_relativo_per_capita!M$543/1000000</f>
        <v>0.98842915047821311</v>
      </c>
      <c r="N165" s="341">
        <f>Saldo_relativo_per_capita!N165*Saldo_relativo_per_capita!N$543/1000000</f>
        <v>0.66356227238668364</v>
      </c>
      <c r="O165" s="341">
        <f>Saldo_relativo_per_capita!O165*Saldo_relativo_per_capita!O$543/1000000</f>
        <v>0.14451022726164622</v>
      </c>
      <c r="P165" s="341">
        <f>Saldo_relativo_per_capita!P165*Saldo_relativo_per_capita!P$543/1000000</f>
        <v>0.36163919863127503</v>
      </c>
      <c r="Q165" s="341">
        <f>Saldo_relativo_per_capita!Q165*Saldo_relativo_per_capita!Q$543/1000000</f>
        <v>0.84923560081895255</v>
      </c>
      <c r="R165" s="341">
        <f>Saldo_relativo_per_capita!R165*Saldo_relativo_per_capita!R$543/1000000</f>
        <v>0.19272526772196155</v>
      </c>
      <c r="S165" s="341">
        <f>Saldo_relativo_per_capita!S165*Saldo_relativo_per_capita!S$543/1000000</f>
        <v>-1.3125697652714634</v>
      </c>
      <c r="T165" s="341">
        <f>Saldo_relativo_per_capita!T165*Saldo_relativo_per_capita!T$543/1000000</f>
        <v>-4.4737249582557128</v>
      </c>
      <c r="U165" s="341">
        <f>Saldo_relativo_per_capita!U165*Saldo_relativo_per_capita!U$543/1000000</f>
        <v>4.2037453767911674E-2</v>
      </c>
      <c r="V165" s="341">
        <f>Saldo_relativo_per_capita!V165*Saldo_relativo_per_capita!V$543/1000000</f>
        <v>2.2121520737725459E-2</v>
      </c>
      <c r="W165" s="148"/>
    </row>
    <row r="166" spans="1:23" s="115" customFormat="1">
      <c r="A166" s="356"/>
      <c r="B166" s="115" t="s">
        <v>1129</v>
      </c>
      <c r="C166" s="335" t="str">
        <f>VLOOKUP(B166,Tot_res!C:D,2,FALSE)</f>
        <v>Pensiones no contributivas y otras prestaciones económicas (sección 3.1)</v>
      </c>
      <c r="D166" s="341">
        <f>Saldo_relativo_per_capita!D166*Saldo_relativo_per_capita!D$543/1000000</f>
        <v>0</v>
      </c>
      <c r="E166" s="341">
        <f>Saldo_relativo_per_capita!E166*Saldo_relativo_per_capita!E$543/1000000</f>
        <v>26.267303721605288</v>
      </c>
      <c r="F166" s="341">
        <f>Saldo_relativo_per_capita!F166*Saldo_relativo_per_capita!F$543/1000000</f>
        <v>4.1680184598297219</v>
      </c>
      <c r="G166" s="341">
        <f>Saldo_relativo_per_capita!G166*Saldo_relativo_per_capita!G$543/1000000</f>
        <v>3.3217712942876267</v>
      </c>
      <c r="H166" s="341">
        <f>Saldo_relativo_per_capita!H166*Saldo_relativo_per_capita!H$543/1000000</f>
        <v>3.4546392764413469</v>
      </c>
      <c r="I166" s="341">
        <f>Saldo_relativo_per_capita!I166*Saldo_relativo_per_capita!I$543/1000000</f>
        <v>6.5868551607294474</v>
      </c>
      <c r="J166" s="341">
        <f>Saldo_relativo_per_capita!J166*Saldo_relativo_per_capita!J$543/1000000</f>
        <v>1.8411467706283433</v>
      </c>
      <c r="K166" s="341">
        <f>Saldo_relativo_per_capita!K166*Saldo_relativo_per_capita!K$543/1000000</f>
        <v>7.8207455804552657</v>
      </c>
      <c r="L166" s="341">
        <f>Saldo_relativo_per_capita!L166*Saldo_relativo_per_capita!L$543/1000000</f>
        <v>6.5184132169907762</v>
      </c>
      <c r="M166" s="341">
        <f>Saldo_relativo_per_capita!M166*Saldo_relativo_per_capita!M$543/1000000</f>
        <v>23.50677508087335</v>
      </c>
      <c r="N166" s="341">
        <f>Saldo_relativo_per_capita!N166*Saldo_relativo_per_capita!N$543/1000000</f>
        <v>15.780806425630406</v>
      </c>
      <c r="O166" s="341">
        <f>Saldo_relativo_per_capita!O166*Saldo_relativo_per_capita!O$543/1000000</f>
        <v>3.4367353567849737</v>
      </c>
      <c r="P166" s="341">
        <f>Saldo_relativo_per_capita!P166*Saldo_relativo_per_capita!P$543/1000000</f>
        <v>8.6004862346884448</v>
      </c>
      <c r="Q166" s="341">
        <f>Saldo_relativo_per_capita!Q166*Saldo_relativo_per_capita!Q$543/1000000</f>
        <v>20.196480698149422</v>
      </c>
      <c r="R166" s="341">
        <f>Saldo_relativo_per_capita!R166*Saldo_relativo_per_capita!R$543/1000000</f>
        <v>4.583383157558047</v>
      </c>
      <c r="S166" s="341">
        <f>Saldo_relativo_per_capita!S166*Saldo_relativo_per_capita!S$543/1000000</f>
        <v>-22.81594623092861</v>
      </c>
      <c r="T166" s="341">
        <f>Saldo_relativo_per_capita!T166*Saldo_relativo_per_capita!T$543/1000000</f>
        <v>-114.79343988621596</v>
      </c>
      <c r="U166" s="341">
        <f>Saldo_relativo_per_capita!U166*Saldo_relativo_per_capita!U$543/1000000</f>
        <v>0.99973272764853849</v>
      </c>
      <c r="V166" s="341">
        <f>Saldo_relativo_per_capita!V166*Saldo_relativo_per_capita!V$543/1000000</f>
        <v>0.52609295484355489</v>
      </c>
      <c r="W166" s="148"/>
    </row>
    <row r="167" spans="1:23" s="115" customFormat="1">
      <c r="A167" s="356"/>
      <c r="B167" s="115" t="s">
        <v>1130</v>
      </c>
      <c r="C167" s="335" t="str">
        <f>VLOOKUP(B167,Tot_res!C:D,2,FALSE)</f>
        <v>Financiación provincias</v>
      </c>
      <c r="D167" s="341">
        <f>Saldo_relativo_per_capita!D167*Saldo_relativo_per_capita!D$543/1000000</f>
        <v>0</v>
      </c>
      <c r="E167" s="341">
        <f>Saldo_relativo_per_capita!E167*Saldo_relativo_per_capita!E$543/1000000</f>
        <v>78.764759987786789</v>
      </c>
      <c r="F167" s="341">
        <f>Saldo_relativo_per_capita!F167*Saldo_relativo_per_capita!F$543/1000000</f>
        <v>12.498160340040021</v>
      </c>
      <c r="G167" s="341">
        <f>Saldo_relativo_per_capita!G167*Saldo_relativo_per_capita!G$543/1000000</f>
        <v>9.9606157336081207</v>
      </c>
      <c r="H167" s="341">
        <f>Saldo_relativo_per_capita!H167*Saldo_relativo_per_capita!H$543/1000000</f>
        <v>10.359031758157737</v>
      </c>
      <c r="I167" s="341">
        <f>Saldo_relativo_per_capita!I167*Saldo_relativo_per_capita!I$543/1000000</f>
        <v>19.751249359576953</v>
      </c>
      <c r="J167" s="341">
        <f>Saldo_relativo_per_capita!J167*Saldo_relativo_per_capita!J$543/1000000</f>
        <v>5.5208362848277783</v>
      </c>
      <c r="K167" s="341">
        <f>Saldo_relativo_per_capita!K167*Saldo_relativo_per_capita!K$543/1000000</f>
        <v>23.451175465087189</v>
      </c>
      <c r="L167" s="341">
        <f>Saldo_relativo_per_capita!L167*Saldo_relativo_per_capita!L$543/1000000</f>
        <v>19.546020329265783</v>
      </c>
      <c r="M167" s="341">
        <f>Saldo_relativo_per_capita!M167*Saldo_relativo_per_capita!M$543/1000000</f>
        <v>70.487078420956593</v>
      </c>
      <c r="N167" s="341">
        <f>Saldo_relativo_per_capita!N167*Saldo_relativo_per_capita!N$543/1000000</f>
        <v>47.320099683704427</v>
      </c>
      <c r="O167" s="341">
        <f>Saldo_relativo_per_capita!O167*Saldo_relativo_per_capita!O$543/1000000</f>
        <v>10.305345321608298</v>
      </c>
      <c r="P167" s="341">
        <f>Saldo_relativo_per_capita!P167*Saldo_relativo_per_capita!P$543/1000000</f>
        <v>25.789294601117142</v>
      </c>
      <c r="Q167" s="341">
        <f>Saldo_relativo_per_capita!Q167*Saldo_relativo_per_capita!Q$543/1000000</f>
        <v>60.560877189662705</v>
      </c>
      <c r="R167" s="341">
        <f>Saldo_relativo_per_capita!R167*Saldo_relativo_per_capita!R$543/1000000</f>
        <v>13.743666961911591</v>
      </c>
      <c r="S167" s="341">
        <f>Saldo_relativo_per_capita!S167*Saldo_relativo_per_capita!S$543/1000000</f>
        <v>-93.592598544818941</v>
      </c>
      <c r="T167" s="341">
        <f>Saldo_relativo_per_capita!T167*Saldo_relativo_per_capita!T$543/1000000</f>
        <v>-319.04093188748431</v>
      </c>
      <c r="U167" s="341">
        <f>Saldo_relativo_per_capita!U167*Saldo_relativo_per_capita!U$543/1000000</f>
        <v>2.9977842103529104</v>
      </c>
      <c r="V167" s="341">
        <f>Saldo_relativo_per_capita!V167*Saldo_relativo_per_capita!V$543/1000000</f>
        <v>1.5775347846393182</v>
      </c>
      <c r="W167" s="148"/>
    </row>
    <row r="168" spans="1:23" s="115" customFormat="1">
      <c r="A168" s="356"/>
      <c r="B168" s="115" t="s">
        <v>1131</v>
      </c>
      <c r="C168" s="335" t="str">
        <f>VLOOKUP(B168,Tot_res!C:D,2,FALSE)</f>
        <v>Financiación municipios</v>
      </c>
      <c r="D168" s="341">
        <f>Saldo_relativo_per_capita!D168*Saldo_relativo_per_capita!D$543/1000000</f>
        <v>0</v>
      </c>
      <c r="E168" s="341">
        <f>Saldo_relativo_per_capita!E168*Saldo_relativo_per_capita!E$543/1000000</f>
        <v>179.49466190315573</v>
      </c>
      <c r="F168" s="341">
        <f>Saldo_relativo_per_capita!F168*Saldo_relativo_per_capita!F$543/1000000</f>
        <v>28.481684766065005</v>
      </c>
      <c r="G168" s="341">
        <f>Saldo_relativo_per_capita!G168*Saldo_relativo_per_capita!G$543/1000000</f>
        <v>22.698950060007427</v>
      </c>
      <c r="H168" s="341">
        <f>Saldo_relativo_per_capita!H168*Saldo_relativo_per_capita!H$543/1000000</f>
        <v>23.606888453197751</v>
      </c>
      <c r="I168" s="341">
        <f>Saldo_relativo_per_capita!I168*Saldo_relativo_per_capita!I$543/1000000</f>
        <v>45.010532965655067</v>
      </c>
      <c r="J168" s="341">
        <f>Saldo_relativo_per_capita!J168*Saldo_relativo_per_capita!J$543/1000000</f>
        <v>12.58126911732473</v>
      </c>
      <c r="K168" s="341">
        <f>Saldo_relativo_per_capita!K168*Saldo_relativo_per_capita!K$543/1000000</f>
        <v>53.442184194938278</v>
      </c>
      <c r="L168" s="341">
        <f>Saldo_relativo_per_capita!L168*Saldo_relativo_per_capita!L$543/1000000</f>
        <v>44.54284265066994</v>
      </c>
      <c r="M168" s="341">
        <f>Saldo_relativo_per_capita!M168*Saldo_relativo_per_capita!M$543/1000000</f>
        <v>160.63090031217828</v>
      </c>
      <c r="N168" s="341">
        <f>Saldo_relativo_per_capita!N168*Saldo_relativo_per_capita!N$543/1000000</f>
        <v>107.8363635624254</v>
      </c>
      <c r="O168" s="341">
        <f>Saldo_relativo_per_capita!O168*Saldo_relativo_per_capita!O$543/1000000</f>
        <v>23.48454403446631</v>
      </c>
      <c r="P168" s="341">
        <f>Saldo_relativo_per_capita!P168*Saldo_relativo_per_capita!P$543/1000000</f>
        <v>58.770454145561764</v>
      </c>
      <c r="Q168" s="341">
        <f>Saldo_relativo_per_capita!Q168*Saldo_relativo_per_capita!Q$543/1000000</f>
        <v>138.0103764348751</v>
      </c>
      <c r="R168" s="341">
        <f>Saldo_relativo_per_capita!R168*Saldo_relativo_per_capita!R$543/1000000</f>
        <v>31.320032651917064</v>
      </c>
      <c r="S168" s="341">
        <f>Saldo_relativo_per_capita!S168*Saldo_relativo_per_capita!S$543/1000000</f>
        <v>-213.36956722996698</v>
      </c>
      <c r="T168" s="341">
        <f>Saldo_relativo_per_capita!T168*Saldo_relativo_per_capita!T$543/1000000</f>
        <v>-726.9686759937332</v>
      </c>
      <c r="U168" s="341">
        <f>Saldo_relativo_per_capita!U168*Saldo_relativo_per_capita!U$543/1000000</f>
        <v>6.8315610100170385</v>
      </c>
      <c r="V168" s="341">
        <f>Saldo_relativo_per_capita!V168*Saldo_relativo_per_capita!V$543/1000000</f>
        <v>3.5949969612452128</v>
      </c>
      <c r="W168" s="148"/>
    </row>
    <row r="169" spans="1:23" s="115" customFormat="1">
      <c r="A169" s="356"/>
      <c r="B169" s="115" t="s">
        <v>1132</v>
      </c>
      <c r="C169" s="335" t="str">
        <f>VLOOKUP(B169,Tot_res!C:D,2,FALSE)</f>
        <v xml:space="preserve">construcción de carreteras </v>
      </c>
      <c r="D169" s="341">
        <f>Saldo_relativo_per_capita!D169*Saldo_relativo_per_capita!D$543/1000000</f>
        <v>0</v>
      </c>
      <c r="E169" s="341">
        <f>Saldo_relativo_per_capita!E169*Saldo_relativo_per_capita!E$543/1000000</f>
        <v>21.625600870775052</v>
      </c>
      <c r="F169" s="341">
        <f>Saldo_relativo_per_capita!F169*Saldo_relativo_per_capita!F$543/1000000</f>
        <v>3.431486710231392</v>
      </c>
      <c r="G169" s="341">
        <f>Saldo_relativo_per_capita!G169*Saldo_relativo_per_capita!G$543/1000000</f>
        <v>2.7347801264876823</v>
      </c>
      <c r="H169" s="341">
        <f>Saldo_relativo_per_capita!H169*Saldo_relativo_per_capita!H$543/1000000</f>
        <v>2.8441689690203944</v>
      </c>
      <c r="I169" s="341">
        <f>Saldo_relativo_per_capita!I169*Saldo_relativo_per_capita!I$543/1000000</f>
        <v>5.42289007692772</v>
      </c>
      <c r="J169" s="341">
        <f>Saldo_relativo_per_capita!J169*Saldo_relativo_per_capita!J$543/1000000</f>
        <v>1.5157971913720152</v>
      </c>
      <c r="K169" s="341">
        <f>Saldo_relativo_per_capita!K169*Saldo_relativo_per_capita!K$543/1000000</f>
        <v>6.4387393631000176</v>
      </c>
      <c r="L169" s="341">
        <f>Saldo_relativo_per_capita!L169*Saldo_relativo_per_capita!L$543/1000000</f>
        <v>5.3665425288961677</v>
      </c>
      <c r="M169" s="341">
        <f>Saldo_relativo_per_capita!M169*Saldo_relativo_per_capita!M$543/1000000</f>
        <v>19.352886045929541</v>
      </c>
      <c r="N169" s="341">
        <f>Saldo_relativo_per_capita!N169*Saldo_relativo_per_capita!N$543/1000000</f>
        <v>12.992175550128724</v>
      </c>
      <c r="O169" s="341">
        <f>Saldo_relativo_per_capita!O169*Saldo_relativo_per_capita!O$543/1000000</f>
        <v>2.8294288561936378</v>
      </c>
      <c r="P169" s="341">
        <f>Saldo_relativo_per_capita!P169*Saldo_relativo_per_capita!P$543/1000000</f>
        <v>7.080691820416531</v>
      </c>
      <c r="Q169" s="341">
        <f>Saldo_relativo_per_capita!Q169*Saldo_relativo_per_capita!Q$543/1000000</f>
        <v>16.627554742638033</v>
      </c>
      <c r="R169" s="341">
        <f>Saldo_relativo_per_capita!R169*Saldo_relativo_per_capita!R$543/1000000</f>
        <v>3.7734521918843345</v>
      </c>
      <c r="S169" s="341">
        <f>Saldo_relativo_per_capita!S169*Saldo_relativo_per_capita!S$543/1000000</f>
        <v>-25.699376715408825</v>
      </c>
      <c r="T169" s="341">
        <f>Saldo_relativo_per_capita!T169*Saldo_relativo_per_capita!T$543/1000000</f>
        <v>-87.593014912667826</v>
      </c>
      <c r="U169" s="341">
        <f>Saldo_relativo_per_capita!U169*Saldo_relativo_per_capita!U$543/1000000</f>
        <v>0.82306966770235712</v>
      </c>
      <c r="V169" s="341">
        <f>Saldo_relativo_per_capita!V169*Saldo_relativo_per_capita!V$543/1000000</f>
        <v>0.43312691637305617</v>
      </c>
      <c r="W169" s="148"/>
    </row>
    <row r="170" spans="1:23" s="115" customFormat="1">
      <c r="A170" s="356"/>
      <c r="B170" s="115" t="s">
        <v>1133</v>
      </c>
      <c r="C170" s="335" t="str">
        <f>VLOOKUP(B170,Tot_res!C:D,2,FALSE)</f>
        <v>conservación de carreteras (programa 453C)</v>
      </c>
      <c r="D170" s="341">
        <f>Saldo_relativo_per_capita!D170*Saldo_relativo_per_capita!D$543/1000000</f>
        <v>0</v>
      </c>
      <c r="E170" s="341">
        <f>Saldo_relativo_per_capita!E170*Saldo_relativo_per_capita!E$543/1000000</f>
        <v>12.278800404100297</v>
      </c>
      <c r="F170" s="341">
        <f>Saldo_relativo_per_capita!F170*Saldo_relativo_per_capita!F$543/1000000</f>
        <v>1.9483639162690205</v>
      </c>
      <c r="G170" s="341">
        <f>Saldo_relativo_per_capita!G170*Saldo_relativo_per_capita!G$543/1000000</f>
        <v>1.5527808694380536</v>
      </c>
      <c r="H170" s="341">
        <f>Saldo_relativo_per_capita!H170*Saldo_relativo_per_capita!H$543/1000000</f>
        <v>1.614890762796434</v>
      </c>
      <c r="I170" s="341">
        <f>Saldo_relativo_per_capita!I170*Saldo_relativo_per_capita!I$543/1000000</f>
        <v>3.0790628785698639</v>
      </c>
      <c r="J170" s="341">
        <f>Saldo_relativo_per_capita!J170*Saldo_relativo_per_capita!J$543/1000000</f>
        <v>0.8606545213319543</v>
      </c>
      <c r="K170" s="341">
        <f>Saldo_relativo_per_capita!K170*Saldo_relativo_per_capita!K$543/1000000</f>
        <v>3.655851967580289</v>
      </c>
      <c r="L170" s="341">
        <f>Saldo_relativo_per_capita!L170*Saldo_relativo_per_capita!L$543/1000000</f>
        <v>3.0470693030075355</v>
      </c>
      <c r="M170" s="341">
        <f>Saldo_relativo_per_capita!M170*Saldo_relativo_per_capita!M$543/1000000</f>
        <v>10.988375602659039</v>
      </c>
      <c r="N170" s="341">
        <f>Saldo_relativo_per_capita!N170*Saldo_relativo_per_capita!N$543/1000000</f>
        <v>7.3768276473949905</v>
      </c>
      <c r="O170" s="341">
        <f>Saldo_relativo_per_capita!O170*Saldo_relativo_per_capita!O$543/1000000</f>
        <v>1.6065214738034859</v>
      </c>
      <c r="P170" s="341">
        <f>Saldo_relativo_per_capita!P170*Saldo_relativo_per_capita!P$543/1000000</f>
        <v>4.0203461677374515</v>
      </c>
      <c r="Q170" s="341">
        <f>Saldo_relativo_per_capita!Q170*Saldo_relativo_per_capita!Q$543/1000000</f>
        <v>9.4409596807557516</v>
      </c>
      <c r="R170" s="341">
        <f>Saldo_relativo_per_capita!R170*Saldo_relativo_per_capita!R$543/1000000</f>
        <v>2.1425285047768456</v>
      </c>
      <c r="S170" s="341">
        <f>Saldo_relativo_per_capita!S170*Saldo_relativo_per_capita!S$543/1000000</f>
        <v>-14.591849682416631</v>
      </c>
      <c r="T170" s="341">
        <f>Saldo_relativo_per_capita!T170*Saldo_relativo_per_capita!T$543/1000000</f>
        <v>-49.734439904489122</v>
      </c>
      <c r="U170" s="341">
        <f>Saldo_relativo_per_capita!U170*Saldo_relativo_per_capita!U$543/1000000</f>
        <v>0.467330745109798</v>
      </c>
      <c r="V170" s="341">
        <f>Saldo_relativo_per_capita!V170*Saldo_relativo_per_capita!V$543/1000000</f>
        <v>0.24592514157492604</v>
      </c>
      <c r="W170" s="148"/>
    </row>
    <row r="171" spans="1:23" s="115" customFormat="1">
      <c r="A171" s="356"/>
      <c r="B171" s="115" t="s">
        <v>1134</v>
      </c>
      <c r="C171" s="335" t="str">
        <f>VLOOKUP(B171,Tot_res!C:D,2,FALSE)</f>
        <v>"Normalización" lingüística (programa CS06)</v>
      </c>
      <c r="D171" s="341">
        <f>Saldo_relativo_per_capita!D171*Saldo_relativo_per_capita!D$543/1000000</f>
        <v>0</v>
      </c>
      <c r="E171" s="341">
        <f>Saldo_relativo_per_capita!E171*Saldo_relativo_per_capita!E$543/1000000</f>
        <v>4.8946750978530682</v>
      </c>
      <c r="F171" s="341">
        <f>Saldo_relativo_per_capita!F171*Saldo_relativo_per_capita!F$543/1000000</f>
        <v>0.77667264135451441</v>
      </c>
      <c r="G171" s="341">
        <f>Saldo_relativo_per_capita!G171*Saldo_relativo_per_capita!G$543/1000000</f>
        <v>0.61898211583625606</v>
      </c>
      <c r="H171" s="341">
        <f>Saldo_relativo_per_capita!H171*Saldo_relativo_per_capita!H$543/1000000</f>
        <v>0.64374086574231826</v>
      </c>
      <c r="I171" s="341">
        <f>Saldo_relativo_per_capita!I171*Saldo_relativo_per_capita!I$543/1000000</f>
        <v>1.2274010408563192</v>
      </c>
      <c r="J171" s="341">
        <f>Saldo_relativo_per_capita!J171*Saldo_relativo_per_capita!J$543/1000000</f>
        <v>0.34308109218970895</v>
      </c>
      <c r="K171" s="341">
        <f>Saldo_relativo_per_capita!K171*Saldo_relativo_per_capita!K$543/1000000</f>
        <v>1.4573253899604819</v>
      </c>
      <c r="L171" s="341">
        <f>Saldo_relativo_per_capita!L171*Saldo_relativo_per_capita!L$543/1000000</f>
        <v>1.2146475020379903</v>
      </c>
      <c r="M171" s="341">
        <f>Saldo_relativo_per_capita!M171*Saldo_relativo_per_capita!M$543/1000000</f>
        <v>4.3802754876796408</v>
      </c>
      <c r="N171" s="341">
        <f>Saldo_relativo_per_capita!N171*Saldo_relativo_per_capita!N$543/1000000</f>
        <v>2.9406109227739314</v>
      </c>
      <c r="O171" s="341">
        <f>Saldo_relativo_per_capita!O171*Saldo_relativo_per_capita!O$543/1000000</f>
        <v>0.64040463182106</v>
      </c>
      <c r="P171" s="341">
        <f>Saldo_relativo_per_capita!P171*Saldo_relativo_per_capita!P$543/1000000</f>
        <v>1.6026230270346515</v>
      </c>
      <c r="Q171" s="341">
        <f>Saldo_relativo_per_capita!Q171*Saldo_relativo_per_capita!Q$543/1000000</f>
        <v>3.763431990782979</v>
      </c>
      <c r="R171" s="341">
        <f>Saldo_relativo_per_capita!R171*Saldo_relativo_per_capita!R$543/1000000</f>
        <v>0.85407210587686133</v>
      </c>
      <c r="S171" s="341">
        <f>Saldo_relativo_per_capita!S171*Saldo_relativo_per_capita!S$543/1000000</f>
        <v>-5.8167215787862787</v>
      </c>
      <c r="T171" s="341">
        <f>Saldo_relativo_per_capita!T171*Saldo_relativo_per_capita!T$543/1000000</f>
        <v>-19.825546184860386</v>
      </c>
      <c r="U171" s="341">
        <f>Saldo_relativo_per_capita!U171*Saldo_relativo_per_capita!U$543/1000000</f>
        <v>0.18629117546256382</v>
      </c>
      <c r="V171" s="341">
        <f>Saldo_relativo_per_capita!V171*Saldo_relativo_per_capita!V$543/1000000</f>
        <v>9.8032676384316647E-2</v>
      </c>
      <c r="W171" s="148"/>
    </row>
    <row r="172" spans="1:23" s="115" customFormat="1">
      <c r="A172" s="356"/>
      <c r="B172" s="115" t="s">
        <v>1135</v>
      </c>
      <c r="C172" s="335" t="str">
        <f>VLOOKUP(B172,Tot_res!C:D,2,FALSE)</f>
        <v>medio ambiente</v>
      </c>
      <c r="D172" s="341">
        <f>Saldo_relativo_per_capita!D172*Saldo_relativo_per_capita!D$543/1000000</f>
        <v>0</v>
      </c>
      <c r="E172" s="341">
        <f>Saldo_relativo_per_capita!E172*Saldo_relativo_per_capita!E$543/1000000</f>
        <v>0.87402470398704524</v>
      </c>
      <c r="F172" s="341">
        <f>Saldo_relativo_per_capita!F172*Saldo_relativo_per_capita!F$543/1000000</f>
        <v>0.13868766810538027</v>
      </c>
      <c r="G172" s="341">
        <f>Saldo_relativo_per_capita!G172*Saldo_relativo_per_capita!G$543/1000000</f>
        <v>0.11052943244473117</v>
      </c>
      <c r="H172" s="341">
        <f>Saldo_relativo_per_capita!H172*Saldo_relativo_per_capita!H$543/1000000</f>
        <v>0.11495051425815471</v>
      </c>
      <c r="I172" s="341">
        <f>Saldo_relativo_per_capita!I172*Saldo_relativo_per_capita!I$543/1000000</f>
        <v>0.21917263351726538</v>
      </c>
      <c r="J172" s="341">
        <f>Saldo_relativo_per_capita!J172*Saldo_relativo_per_capita!J$543/1000000</f>
        <v>6.1262769039806035E-2</v>
      </c>
      <c r="K172" s="341">
        <f>Saldo_relativo_per_capita!K172*Saldo_relativo_per_capita!K$543/1000000</f>
        <v>0.26022940585611287</v>
      </c>
      <c r="L172" s="341">
        <f>Saldo_relativo_per_capita!L172*Saldo_relativo_per_capita!L$543/1000000</f>
        <v>0.21689527950139484</v>
      </c>
      <c r="M172" s="341">
        <f>Saldo_relativo_per_capita!M172*Saldo_relativo_per_capita!M$543/1000000</f>
        <v>0.78217019719657688</v>
      </c>
      <c r="N172" s="341">
        <f>Saldo_relativo_per_capita!N172*Saldo_relativo_per_capita!N$543/1000000</f>
        <v>0.52509442198643563</v>
      </c>
      <c r="O172" s="341">
        <f>Saldo_relativo_per_capita!O172*Saldo_relativo_per_capita!O$543/1000000</f>
        <v>0.1143547748460049</v>
      </c>
      <c r="P172" s="341">
        <f>Saldo_relativo_per_capita!P172*Saldo_relativo_per_capita!P$543/1000000</f>
        <v>0.28617468755406894</v>
      </c>
      <c r="Q172" s="341">
        <f>Saldo_relativo_per_capita!Q172*Saldo_relativo_per_capita!Q$543/1000000</f>
        <v>0.67202265032101027</v>
      </c>
      <c r="R172" s="341">
        <f>Saldo_relativo_per_capita!R172*Saldo_relativo_per_capita!R$543/1000000</f>
        <v>0.15250861489254755</v>
      </c>
      <c r="S172" s="341">
        <f>Saldo_relativo_per_capita!S172*Saldo_relativo_per_capita!S$543/1000000</f>
        <v>-0.55579324031901767</v>
      </c>
      <c r="T172" s="341">
        <f>Saldo_relativo_per_capita!T172*Saldo_relativo_per_capita!T$543/1000000</f>
        <v>-4.0230552110334115</v>
      </c>
      <c r="U172" s="341">
        <f>Saldo_relativo_per_capita!U172*Saldo_relativo_per_capita!U$543/1000000</f>
        <v>3.3265351884231187E-2</v>
      </c>
      <c r="V172" s="341">
        <f>Saldo_relativo_per_capita!V172*Saldo_relativo_per_capita!V$543/1000000</f>
        <v>1.7505345961664122E-2</v>
      </c>
      <c r="W172" s="148"/>
    </row>
    <row r="173" spans="1:23" s="115" customFormat="1">
      <c r="A173" s="356"/>
      <c r="B173" s="115" t="s">
        <v>1147</v>
      </c>
      <c r="C173" s="335" t="e">
        <f>VLOOKUP(B173,Tot_res!C:D,2,FALSE)</f>
        <v>#N/A</v>
      </c>
      <c r="D173" s="341">
        <f>Saldo_relativo_per_capita!D173*Saldo_relativo_per_capita!D$543/1000000</f>
        <v>0</v>
      </c>
      <c r="E173" s="341" t="e">
        <f>Saldo_relativo_per_capita!E173*Saldo_relativo_per_capita!E$543/1000000</f>
        <v>#VALUE!</v>
      </c>
      <c r="F173" s="341" t="e">
        <f>Saldo_relativo_per_capita!F173*Saldo_relativo_per_capita!F$543/1000000</f>
        <v>#VALUE!</v>
      </c>
      <c r="G173" s="341" t="e">
        <f>Saldo_relativo_per_capita!G173*Saldo_relativo_per_capita!G$543/1000000</f>
        <v>#VALUE!</v>
      </c>
      <c r="H173" s="341" t="e">
        <f>Saldo_relativo_per_capita!H173*Saldo_relativo_per_capita!H$543/1000000</f>
        <v>#VALUE!</v>
      </c>
      <c r="I173" s="341" t="e">
        <f>Saldo_relativo_per_capita!I173*Saldo_relativo_per_capita!I$543/1000000</f>
        <v>#VALUE!</v>
      </c>
      <c r="J173" s="341" t="e">
        <f>Saldo_relativo_per_capita!J173*Saldo_relativo_per_capita!J$543/1000000</f>
        <v>#VALUE!</v>
      </c>
      <c r="K173" s="341" t="e">
        <f>Saldo_relativo_per_capita!K173*Saldo_relativo_per_capita!K$543/1000000</f>
        <v>#VALUE!</v>
      </c>
      <c r="L173" s="341" t="e">
        <f>Saldo_relativo_per_capita!L173*Saldo_relativo_per_capita!L$543/1000000</f>
        <v>#VALUE!</v>
      </c>
      <c r="M173" s="341" t="e">
        <f>Saldo_relativo_per_capita!M173*Saldo_relativo_per_capita!M$543/1000000</f>
        <v>#VALUE!</v>
      </c>
      <c r="N173" s="341" t="e">
        <f>Saldo_relativo_per_capita!N173*Saldo_relativo_per_capita!N$543/1000000</f>
        <v>#VALUE!</v>
      </c>
      <c r="O173" s="341" t="e">
        <f>Saldo_relativo_per_capita!O173*Saldo_relativo_per_capita!O$543/1000000</f>
        <v>#VALUE!</v>
      </c>
      <c r="P173" s="341" t="e">
        <f>Saldo_relativo_per_capita!P173*Saldo_relativo_per_capita!P$543/1000000</f>
        <v>#VALUE!</v>
      </c>
      <c r="Q173" s="341" t="e">
        <f>Saldo_relativo_per_capita!Q173*Saldo_relativo_per_capita!Q$543/1000000</f>
        <v>#VALUE!</v>
      </c>
      <c r="R173" s="341" t="e">
        <f>Saldo_relativo_per_capita!R173*Saldo_relativo_per_capita!R$543/1000000</f>
        <v>#VALUE!</v>
      </c>
      <c r="S173" s="341" t="e">
        <f>Saldo_relativo_per_capita!S173*Saldo_relativo_per_capita!S$543/1000000</f>
        <v>#VALUE!</v>
      </c>
      <c r="T173" s="341" t="e">
        <f>Saldo_relativo_per_capita!T173*Saldo_relativo_per_capita!T$543/1000000</f>
        <v>#VALUE!</v>
      </c>
      <c r="U173" s="341" t="e">
        <f>Saldo_relativo_per_capita!U173*Saldo_relativo_per_capita!U$543/1000000</f>
        <v>#VALUE!</v>
      </c>
      <c r="V173" s="341" t="e">
        <f>Saldo_relativo_per_capita!V173*Saldo_relativo_per_capita!V$543/1000000</f>
        <v>#VALUE!</v>
      </c>
      <c r="W173" s="148"/>
    </row>
    <row r="174" spans="1:23" s="115" customFormat="1">
      <c r="A174" s="356"/>
      <c r="B174" s="115" t="s">
        <v>1136</v>
      </c>
      <c r="C174" s="335" t="str">
        <f>VLOOKUP(B174,Tot_res!C:D,2,FALSE)</f>
        <v>sanidad y consumo</v>
      </c>
      <c r="D174" s="341">
        <f>Saldo_relativo_per_capita!D174*Saldo_relativo_per_capita!D$543/1000000</f>
        <v>0</v>
      </c>
      <c r="E174" s="341">
        <f>Saldo_relativo_per_capita!E174*Saldo_relativo_per_capita!E$543/1000000</f>
        <v>0.41173364772484328</v>
      </c>
      <c r="F174" s="341">
        <f>Saldo_relativo_per_capita!F174*Saldo_relativo_per_capita!F$543/1000000</f>
        <v>6.533268364497738E-2</v>
      </c>
      <c r="G174" s="341">
        <f>Saldo_relativo_per_capita!G174*Saldo_relativo_per_capita!G$543/1000000</f>
        <v>5.2067963518454899E-2</v>
      </c>
      <c r="H174" s="341">
        <f>Saldo_relativo_per_capita!H174*Saldo_relativo_per_capita!H$543/1000000</f>
        <v>5.4150637078626739E-2</v>
      </c>
      <c r="I174" s="341">
        <f>Saldo_relativo_per_capita!I174*Saldo_relativo_per_capita!I$543/1000000</f>
        <v>0.10324736528369509</v>
      </c>
      <c r="J174" s="341">
        <f>Saldo_relativo_per_capita!J174*Saldo_relativo_per_capita!J$543/1000000</f>
        <v>2.8859531374135855E-2</v>
      </c>
      <c r="K174" s="341">
        <f>Saldo_relativo_per_capita!K174*Saldo_relativo_per_capita!K$543/1000000</f>
        <v>0.1225882998840204</v>
      </c>
      <c r="L174" s="341">
        <f>Saldo_relativo_per_capita!L174*Saldo_relativo_per_capita!L$543/1000000</f>
        <v>0.10217455433013983</v>
      </c>
      <c r="M174" s="341">
        <f>Saldo_relativo_per_capita!M174*Saldo_relativo_per_capita!M$543/1000000</f>
        <v>0.36846302737706138</v>
      </c>
      <c r="N174" s="341">
        <f>Saldo_relativo_per_capita!N174*Saldo_relativo_per_capita!N$543/1000000</f>
        <v>0.24736033292675422</v>
      </c>
      <c r="O174" s="341">
        <f>Saldo_relativo_per_capita!O174*Saldo_relativo_per_capita!O$543/1000000</f>
        <v>5.3869997458100026E-2</v>
      </c>
      <c r="P174" s="341">
        <f>Saldo_relativo_per_capita!P174*Saldo_relativo_per_capita!P$543/1000000</f>
        <v>0.13481054649331808</v>
      </c>
      <c r="Q174" s="341">
        <f>Saldo_relativo_per_capita!Q174*Saldo_relativo_per_capita!Q$543/1000000</f>
        <v>0.31657496167807125</v>
      </c>
      <c r="R174" s="341">
        <f>Saldo_relativo_per_capita!R174*Saldo_relativo_per_capita!R$543/1000000</f>
        <v>7.1843425057357052E-2</v>
      </c>
      <c r="S174" s="341">
        <f>Saldo_relativo_per_capita!S174*Saldo_relativo_per_capita!S$543/1000000</f>
        <v>-0.51469705293786483</v>
      </c>
      <c r="T174" s="341">
        <f>Saldo_relativo_per_capita!T174*Saldo_relativo_per_capita!T$543/1000000</f>
        <v>-1.6422968702939993</v>
      </c>
      <c r="U174" s="341">
        <f>Saldo_relativo_per_capita!U174*Saldo_relativo_per_capita!U$543/1000000</f>
        <v>1.56705692775796E-2</v>
      </c>
      <c r="V174" s="341">
        <f>Saldo_relativo_per_capita!V174*Saldo_relativo_per_capita!V$543/1000000</f>
        <v>8.2463801247294657E-3</v>
      </c>
      <c r="W174" s="148"/>
    </row>
    <row r="175" spans="1:23" s="115" customFormat="1">
      <c r="A175" s="356"/>
      <c r="B175" s="115" t="s">
        <v>1137</v>
      </c>
      <c r="C175" s="335" t="str">
        <f>VLOOKUP(B175,Tot_res!C:D,2,FALSE)</f>
        <v>Educación y formación</v>
      </c>
      <c r="D175" s="341">
        <f>Saldo_relativo_per_capita!D175*Saldo_relativo_per_capita!D$543/1000000</f>
        <v>0</v>
      </c>
      <c r="E175" s="341">
        <f>Saldo_relativo_per_capita!E175*Saldo_relativo_per_capita!E$543/1000000</f>
        <v>2.7230300931274076</v>
      </c>
      <c r="F175" s="341">
        <f>Saldo_relativo_per_capita!F175*Saldo_relativo_per_capita!F$543/1000000</f>
        <v>0.43208240233243356</v>
      </c>
      <c r="G175" s="341">
        <f>Saldo_relativo_per_capita!G175*Saldo_relativo_per_capita!G$543/1000000</f>
        <v>0.34435522171208205</v>
      </c>
      <c r="H175" s="341">
        <f>Saldo_relativo_per_capita!H175*Saldo_relativo_per_capita!H$543/1000000</f>
        <v>0.35812913309835448</v>
      </c>
      <c r="I175" s="341">
        <f>Saldo_relativo_per_capita!I175*Saldo_relativo_per_capita!I$543/1000000</f>
        <v>0.68283387635956838</v>
      </c>
      <c r="J175" s="341">
        <f>Saldo_relativo_per_capita!J175*Saldo_relativo_per_capita!J$543/1000000</f>
        <v>0.1908645864615956</v>
      </c>
      <c r="K175" s="341">
        <f>Saldo_relativo_per_capita!K175*Saldo_relativo_per_capita!K$543/1000000</f>
        <v>0.81074653843349964</v>
      </c>
      <c r="L175" s="341">
        <f>Saldo_relativo_per_capita!L175*Saldo_relativo_per_capita!L$543/1000000</f>
        <v>0.67573876395641597</v>
      </c>
      <c r="M175" s="341">
        <f>Saldo_relativo_per_capita!M175*Saldo_relativo_per_capita!M$543/1000000</f>
        <v>2.4368567332225504</v>
      </c>
      <c r="N175" s="341">
        <f>Saldo_relativo_per_capita!N175*Saldo_relativo_per_capita!N$543/1000000</f>
        <v>1.6359353531769274</v>
      </c>
      <c r="O175" s="341">
        <f>Saldo_relativo_per_capita!O175*Saldo_relativo_per_capita!O$543/1000000</f>
        <v>0.35627310278302604</v>
      </c>
      <c r="P175" s="341">
        <f>Saldo_relativo_per_capita!P175*Saldo_relativo_per_capita!P$543/1000000</f>
        <v>0.89157924546788703</v>
      </c>
      <c r="Q175" s="341">
        <f>Saldo_relativo_per_capita!Q175*Saldo_relativo_per_capita!Q$543/1000000</f>
        <v>2.0936912786786301</v>
      </c>
      <c r="R175" s="341">
        <f>Saldo_relativo_per_capita!R175*Saldo_relativo_per_capita!R$543/1000000</f>
        <v>0.47514165894759547</v>
      </c>
      <c r="S175" s="341">
        <f>Saldo_relativo_per_capita!S175*Saldo_relativo_per_capita!S$543/1000000</f>
        <v>-2.9078015796118457</v>
      </c>
      <c r="T175" s="341">
        <f>Saldo_relativo_per_capita!T175*Saldo_relativo_per_capita!T$543/1000000</f>
        <v>-11.357632873242361</v>
      </c>
      <c r="U175" s="341">
        <f>Saldo_relativo_per_capita!U175*Saldo_relativo_per_capita!U$543/1000000</f>
        <v>0.10363843702131405</v>
      </c>
      <c r="V175" s="341">
        <f>Saldo_relativo_per_capita!V175*Saldo_relativo_per_capita!V$543/1000000</f>
        <v>5.4538028074918428E-2</v>
      </c>
      <c r="W175" s="148"/>
    </row>
    <row r="176" spans="1:23" s="115" customFormat="1">
      <c r="A176" s="356"/>
      <c r="B176" s="115" t="s">
        <v>1138</v>
      </c>
      <c r="C176" s="335" t="str">
        <f>VLOOKUP(B176,Tot_res!C:D,2,FALSE)</f>
        <v>Administración de Justicia</v>
      </c>
      <c r="D176" s="341">
        <f>Saldo_relativo_per_capita!D176*Saldo_relativo_per_capita!D$543/1000000</f>
        <v>0</v>
      </c>
      <c r="E176" s="341">
        <f>Saldo_relativo_per_capita!E176*Saldo_relativo_per_capita!E$543/1000000</f>
        <v>17.12336463352543</v>
      </c>
      <c r="F176" s="341">
        <f>Saldo_relativo_per_capita!F176*Saldo_relativo_per_capita!F$543/1000000</f>
        <v>2.7170851124786743</v>
      </c>
      <c r="G176" s="341">
        <f>Saldo_relativo_per_capita!G176*Saldo_relativo_per_capita!G$543/1000000</f>
        <v>2.1654259494658405</v>
      </c>
      <c r="H176" s="341">
        <f>Saldo_relativo_per_capita!H176*Saldo_relativo_per_capita!H$543/1000000</f>
        <v>2.2520411167723946</v>
      </c>
      <c r="I176" s="341">
        <f>Saldo_relativo_per_capita!I176*Saldo_relativo_per_capita!I$543/1000000</f>
        <v>4.293897991997488</v>
      </c>
      <c r="J176" s="341">
        <f>Saldo_relativo_per_capita!J176*Saldo_relativo_per_capita!J$543/1000000</f>
        <v>1.2002232064410847</v>
      </c>
      <c r="K176" s="341">
        <f>Saldo_relativo_per_capita!K176*Saldo_relativo_per_capita!K$543/1000000</f>
        <v>5.0982575029205872</v>
      </c>
      <c r="L176" s="341">
        <f>Saldo_relativo_per_capita!L176*Saldo_relativo_per_capita!L$543/1000000</f>
        <v>4.2492814462231099</v>
      </c>
      <c r="M176" s="341">
        <f>Saldo_relativo_per_capita!M176*Saldo_relativo_per_capita!M$543/1000000</f>
        <v>15.323806559444789</v>
      </c>
      <c r="N176" s="341">
        <f>Saldo_relativo_per_capita!N176*Saldo_relativo_per_capita!N$543/1000000</f>
        <v>10.287333085309772</v>
      </c>
      <c r="O176" s="341">
        <f>Saldo_relativo_per_capita!O176*Saldo_relativo_per_capita!O$543/1000000</f>
        <v>2.2403697496654136</v>
      </c>
      <c r="P176" s="341">
        <f>Saldo_relativo_per_capita!P176*Saldo_relativo_per_capita!P$543/1000000</f>
        <v>5.6065618071433425</v>
      </c>
      <c r="Q176" s="341">
        <f>Saldo_relativo_per_capita!Q176*Saldo_relativo_per_capita!Q$543/1000000</f>
        <v>13.165862281628799</v>
      </c>
      <c r="R176" s="341">
        <f>Saldo_relativo_per_capita!R176*Saldo_relativo_per_capita!R$543/1000000</f>
        <v>2.9878567626821968</v>
      </c>
      <c r="S176" s="341">
        <f>Saldo_relativo_per_capita!S176*Saldo_relativo_per_capita!S$543/1000000</f>
        <v>-20.382463293452727</v>
      </c>
      <c r="T176" s="341">
        <f>Saldo_relativo_per_capita!T176*Saldo_relativo_per_capita!T$543/1000000</f>
        <v>-69.323572790537639</v>
      </c>
      <c r="U176" s="341">
        <f>Saldo_relativo_per_capita!U176*Saldo_relativo_per_capita!U$543/1000000</f>
        <v>0.65171470254537067</v>
      </c>
      <c r="V176" s="341">
        <f>Saldo_relativo_per_capita!V176*Saldo_relativo_per_capita!V$543/1000000</f>
        <v>0.34295417574607767</v>
      </c>
      <c r="W176" s="148"/>
    </row>
    <row r="177" spans="1:23" s="115" customFormat="1">
      <c r="A177" s="356"/>
      <c r="B177" s="115" t="s">
        <v>1139</v>
      </c>
      <c r="C177" s="335" t="str">
        <f>VLOOKUP(B177,Tot_res!C:D,2,FALSE)</f>
        <v>Seguridad Ciudadana y Vial</v>
      </c>
      <c r="D177" s="341">
        <f>Saldo_relativo_per_capita!D177*Saldo_relativo_per_capita!D$543/1000000</f>
        <v>0</v>
      </c>
      <c r="E177" s="341">
        <f>Saldo_relativo_per_capita!E177*Saldo_relativo_per_capita!E$543/1000000</f>
        <v>109.49184825426676</v>
      </c>
      <c r="F177" s="341">
        <f>Saldo_relativo_per_capita!F177*Saldo_relativo_per_capita!F$543/1000000</f>
        <v>17.373844287995642</v>
      </c>
      <c r="G177" s="341">
        <f>Saldo_relativo_per_capita!G177*Saldo_relativo_per_capita!G$543/1000000</f>
        <v>13.846372750864614</v>
      </c>
      <c r="H177" s="341">
        <f>Saldo_relativo_per_capita!H177*Saldo_relativo_per_capita!H$543/1000000</f>
        <v>14.400215699269701</v>
      </c>
      <c r="I177" s="341">
        <f>Saldo_relativo_per_capita!I177*Saldo_relativo_per_capita!I$543/1000000</f>
        <v>27.456451312062843</v>
      </c>
      <c r="J177" s="341">
        <f>Saldo_relativo_per_capita!J177*Saldo_relativo_per_capita!J$543/1000000</f>
        <v>7.6745814857906538</v>
      </c>
      <c r="K177" s="341">
        <f>Saldo_relativo_per_capita!K177*Saldo_relativo_per_capita!K$543/1000000</f>
        <v>32.599763470435995</v>
      </c>
      <c r="L177" s="341">
        <f>Saldo_relativo_per_capita!L177*Saldo_relativo_per_capita!L$543/1000000</f>
        <v>27.17115994765463</v>
      </c>
      <c r="M177" s="341">
        <f>Saldo_relativo_per_capita!M177*Saldo_relativo_per_capita!M$543/1000000</f>
        <v>97.984942702176596</v>
      </c>
      <c r="N177" s="341">
        <f>Saldo_relativo_per_capita!N177*Saldo_relativo_per_capita!N$543/1000000</f>
        <v>65.780244550333549</v>
      </c>
      <c r="O177" s="341">
        <f>Saldo_relativo_per_capita!O177*Saldo_relativo_per_capita!O$543/1000000</f>
        <v>14.325585532620362</v>
      </c>
      <c r="P177" s="341">
        <f>Saldo_relativo_per_capita!P177*Saldo_relativo_per_capita!P$543/1000000</f>
        <v>35.85001124218423</v>
      </c>
      <c r="Q177" s="341">
        <f>Saldo_relativo_per_capita!Q177*Saldo_relativo_per_capita!Q$543/1000000</f>
        <v>84.186409968417621</v>
      </c>
      <c r="R177" s="341">
        <f>Saldo_relativo_per_capita!R177*Saldo_relativo_per_capita!R$543/1000000</f>
        <v>19.105238150717906</v>
      </c>
      <c r="S177" s="341">
        <f>Saldo_relativo_per_capita!S177*Saldo_relativo_per_capita!S$543/1000000</f>
        <v>-64.841699857724819</v>
      </c>
      <c r="T177" s="341">
        <f>Saldo_relativo_per_capita!T177*Saldo_relativo_per_capita!T$543/1000000</f>
        <v>-508.76517592938751</v>
      </c>
      <c r="U177" s="341">
        <f>Saldo_relativo_per_capita!U177*Saldo_relativo_per_capita!U$543/1000000</f>
        <v>4.1672561931235919</v>
      </c>
      <c r="V177" s="341">
        <f>Saldo_relativo_per_capita!V177*Saldo_relativo_per_capita!V$543/1000000</f>
        <v>2.1929502391975624</v>
      </c>
      <c r="W177" s="148"/>
    </row>
    <row r="178" spans="1:23" s="115" customFormat="1">
      <c r="A178" s="356"/>
      <c r="B178" s="115" t="s">
        <v>1140</v>
      </c>
      <c r="C178" s="335" t="str">
        <f>VLOOKUP(B178,Tot_res!C:D,2,FALSE)</f>
        <v>Ayudas a la vivienda</v>
      </c>
      <c r="D178" s="341">
        <f>Saldo_relativo_per_capita!D178*Saldo_relativo_per_capita!D$543/1000000</f>
        <v>0</v>
      </c>
      <c r="E178" s="341">
        <f>Saldo_relativo_per_capita!E178*Saldo_relativo_per_capita!E$543/1000000</f>
        <v>7.4369134141968676</v>
      </c>
      <c r="F178" s="341">
        <f>Saldo_relativo_per_capita!F178*Saldo_relativo_per_capita!F$543/1000000</f>
        <v>1.1800675365485698</v>
      </c>
      <c r="G178" s="341">
        <f>Saldo_relativo_per_capita!G178*Saldo_relativo_per_capita!G$543/1000000</f>
        <v>0.94047435394225576</v>
      </c>
      <c r="H178" s="341">
        <f>Saldo_relativo_per_capita!H178*Saldo_relativo_per_capita!H$543/1000000</f>
        <v>0.97809251564126265</v>
      </c>
      <c r="I178" s="341">
        <f>Saldo_relativo_per_capita!I178*Saldo_relativo_per_capita!I$543/1000000</f>
        <v>1.8648991164597155</v>
      </c>
      <c r="J178" s="341">
        <f>Saldo_relativo_per_capita!J178*Saldo_relativo_per_capita!J$543/1000000</f>
        <v>0.52127349122357414</v>
      </c>
      <c r="K178" s="341">
        <f>Saldo_relativo_per_capita!K178*Saldo_relativo_per_capita!K$543/1000000</f>
        <v>2.2142435452356408</v>
      </c>
      <c r="L178" s="341">
        <f>Saldo_relativo_per_capita!L178*Saldo_relativo_per_capita!L$543/1000000</f>
        <v>1.845521535308698</v>
      </c>
      <c r="M178" s="341">
        <f>Saldo_relativo_per_capita!M178*Saldo_relativo_per_capita!M$543/1000000</f>
        <v>6.6553405243365402</v>
      </c>
      <c r="N178" s="341">
        <f>Saldo_relativo_per_capita!N178*Saldo_relativo_per_capita!N$543/1000000</f>
        <v>4.4679306348859846</v>
      </c>
      <c r="O178" s="341">
        <f>Saldo_relativo_per_capita!O178*Saldo_relativo_per_capita!O$543/1000000</f>
        <v>0.97302347994310434</v>
      </c>
      <c r="P178" s="341">
        <f>Saldo_relativo_per_capita!P178*Saldo_relativo_per_capita!P$543/1000000</f>
        <v>2.4350071147485526</v>
      </c>
      <c r="Q178" s="341">
        <f>Saldo_relativo_per_capita!Q178*Saldo_relativo_per_capita!Q$543/1000000</f>
        <v>5.7181155635739671</v>
      </c>
      <c r="R178" s="341">
        <f>Saldo_relativo_per_capita!R178*Saldo_relativo_per_capita!R$543/1000000</f>
        <v>1.2976673985313143</v>
      </c>
      <c r="S178" s="341">
        <f>Saldo_relativo_per_capita!S178*Saldo_relativo_per_capita!S$543/1000000</f>
        <v>-7.5614456015988498</v>
      </c>
      <c r="T178" s="341">
        <f>Saldo_relativo_per_capita!T178*Saldo_relativo_per_capita!T$543/1000000</f>
        <v>-31.399123034619198</v>
      </c>
      <c r="U178" s="341">
        <f>Saldo_relativo_per_capita!U178*Saldo_relativo_per_capita!U$543/1000000</f>
        <v>0.28304868332358346</v>
      </c>
      <c r="V178" s="341">
        <f>Saldo_relativo_per_capita!V178*Saldo_relativo_per_capita!V$543/1000000</f>
        <v>0.14894972831841888</v>
      </c>
      <c r="W178" s="148"/>
    </row>
    <row r="179" spans="1:23" s="115" customFormat="1">
      <c r="A179" s="356"/>
      <c r="B179" s="115" t="s">
        <v>1141</v>
      </c>
      <c r="C179" s="335" t="str">
        <f>VLOOKUP(B179,Tot_res!C:D,2,FALSE)</f>
        <v>ajuste forales, ayudas al transporte colectivo urbano</v>
      </c>
      <c r="D179" s="341">
        <f>Saldo_relativo_per_capita!D179*Saldo_relativo_per_capita!D$543/1000000</f>
        <v>0</v>
      </c>
      <c r="E179" s="341">
        <f>Saldo_relativo_per_capita!E179*Saldo_relativo_per_capita!E$543/1000000</f>
        <v>3.4317692029697571</v>
      </c>
      <c r="F179" s="341">
        <f>Saldo_relativo_per_capita!F179*Saldo_relativo_per_capita!F$543/1000000</f>
        <v>0.54454303873176269</v>
      </c>
      <c r="G179" s="341">
        <f>Saldo_relativo_per_capita!G179*Saldo_relativo_per_capita!G$543/1000000</f>
        <v>0.43398258716858512</v>
      </c>
      <c r="H179" s="341">
        <f>Saldo_relativo_per_capita!H179*Saldo_relativo_per_capita!H$543/1000000</f>
        <v>0.45134151574566733</v>
      </c>
      <c r="I179" s="341">
        <f>Saldo_relativo_per_capita!I179*Saldo_relativo_per_capita!I$543/1000000</f>
        <v>0.86055907848741631</v>
      </c>
      <c r="J179" s="341">
        <f>Saldo_relativo_per_capita!J179*Saldo_relativo_per_capita!J$543/1000000</f>
        <v>0.24054203859502307</v>
      </c>
      <c r="K179" s="341">
        <f>Saldo_relativo_per_capita!K179*Saldo_relativo_per_capita!K$543/1000000</f>
        <v>1.021764323880441</v>
      </c>
      <c r="L179" s="341">
        <f>Saldo_relativo_per_capita!L179*Saldo_relativo_per_capita!L$543/1000000</f>
        <v>0.85161727931369424</v>
      </c>
      <c r="M179" s="341">
        <f>Saldo_relativo_per_capita!M179*Saldo_relativo_per_capita!M$543/1000000</f>
        <v>3.0711118140887002</v>
      </c>
      <c r="N179" s="341">
        <f>Saldo_relativo_per_capita!N179*Saldo_relativo_per_capita!N$543/1000000</f>
        <v>2.0617299005440524</v>
      </c>
      <c r="O179" s="341">
        <f>Saldo_relativo_per_capita!O179*Saldo_relativo_per_capita!O$543/1000000</f>
        <v>0.44900240546848086</v>
      </c>
      <c r="P179" s="341">
        <f>Saldo_relativo_per_capita!P179*Saldo_relativo_per_capita!P$543/1000000</f>
        <v>1.1236358365359234</v>
      </c>
      <c r="Q179" s="341">
        <f>Saldo_relativo_per_capita!Q179*Saldo_relativo_per_capita!Q$543/1000000</f>
        <v>2.6386286618094719</v>
      </c>
      <c r="R179" s="341">
        <f>Saldo_relativo_per_capita!R179*Saldo_relativo_per_capita!R$543/1000000</f>
        <v>0.59880958214148705</v>
      </c>
      <c r="S179" s="341">
        <f>Saldo_relativo_per_capita!S179*Saldo_relativo_per_capita!S$543/1000000</f>
        <v>-4.0840934247590877</v>
      </c>
      <c r="T179" s="341">
        <f>Saldo_relativo_per_capita!T179*Saldo_relativo_per_capita!T$543/1000000</f>
        <v>-13.894289827723828</v>
      </c>
      <c r="U179" s="341">
        <f>Saldo_relativo_per_capita!U179*Saldo_relativo_per_capita!U$543/1000000</f>
        <v>0.13061302455353552</v>
      </c>
      <c r="V179" s="341">
        <f>Saldo_relativo_per_capita!V179*Saldo_relativo_per_capita!V$543/1000000</f>
        <v>6.8732962448919938E-2</v>
      </c>
      <c r="W179" s="148"/>
    </row>
    <row r="180" spans="1:23" s="115" customFormat="1">
      <c r="A180" s="356"/>
      <c r="B180" s="115" t="s">
        <v>1142</v>
      </c>
      <c r="C180" s="335" t="str">
        <f>VLOOKUP(B180,Tot_res!C:D,2,FALSE)</f>
        <v>Conservación patrimonio artístico y cultural</v>
      </c>
      <c r="D180" s="341">
        <f>Saldo_relativo_per_capita!D180*Saldo_relativo_per_capita!D$543/1000000</f>
        <v>0</v>
      </c>
      <c r="E180" s="341">
        <f>Saldo_relativo_per_capita!E180*Saldo_relativo_per_capita!E$543/1000000</f>
        <v>0.13193939399362919</v>
      </c>
      <c r="F180" s="341">
        <f>Saldo_relativo_per_capita!F180*Saldo_relativo_per_capita!F$543/1000000</f>
        <v>2.0935754791302403E-2</v>
      </c>
      <c r="G180" s="341">
        <f>Saldo_relativo_per_capita!G180*Saldo_relativo_per_capita!G$543/1000000</f>
        <v>1.6685096277820725E-2</v>
      </c>
      <c r="H180" s="341">
        <f>Saldo_relativo_per_capita!H180*Saldo_relativo_per_capita!H$543/1000000</f>
        <v>1.7352485714982449E-2</v>
      </c>
      <c r="I180" s="341">
        <f>Saldo_relativo_per_capita!I180*Saldo_relativo_per_capita!I$543/1000000</f>
        <v>3.3085454351968059E-2</v>
      </c>
      <c r="J180" s="341">
        <f>Saldo_relativo_per_capita!J180*Saldo_relativo_per_capita!J$543/1000000</f>
        <v>9.2479910288708299E-3</v>
      </c>
      <c r="K180" s="341">
        <f>Saldo_relativo_per_capita!K180*Saldo_relativo_per_capita!K$543/1000000</f>
        <v>3.928322615064965E-2</v>
      </c>
      <c r="L180" s="341">
        <f>Saldo_relativo_per_capita!L180*Saldo_relativo_per_capita!L$543/1000000</f>
        <v>3.2741673784448345E-2</v>
      </c>
      <c r="M180" s="341">
        <f>Saldo_relativo_per_capita!M180*Saldo_relativo_per_capita!M$543/1000000</f>
        <v>0.11807339237349911</v>
      </c>
      <c r="N180" s="341">
        <f>Saldo_relativo_per_capita!N180*Saldo_relativo_per_capita!N$543/1000000</f>
        <v>7.9266226126432457E-2</v>
      </c>
      <c r="O180" s="341">
        <f>Saldo_relativo_per_capita!O180*Saldo_relativo_per_capita!O$543/1000000</f>
        <v>1.7262555193958719E-2</v>
      </c>
      <c r="P180" s="341">
        <f>Saldo_relativo_per_capita!P180*Saldo_relativo_per_capita!P$543/1000000</f>
        <v>4.3199825679938311E-2</v>
      </c>
      <c r="Q180" s="341">
        <f>Saldo_relativo_per_capita!Q180*Saldo_relativo_per_capita!Q$543/1000000</f>
        <v>0.10144594406642869</v>
      </c>
      <c r="R180" s="341">
        <f>Saldo_relativo_per_capita!R180*Saldo_relativo_per_capita!R$543/1000000</f>
        <v>2.3022111544376604E-2</v>
      </c>
      <c r="S180" s="341">
        <f>Saldo_relativo_per_capita!S180*Saldo_relativo_per_capita!S$543/1000000</f>
        <v>-0.42932217458013872</v>
      </c>
      <c r="T180" s="341">
        <f>Saldo_relativo_per_capita!T180*Saldo_relativo_per_capita!T$543/1000000</f>
        <v>-0.26188310497802553</v>
      </c>
      <c r="U180" s="341">
        <f>Saldo_relativo_per_capita!U180*Saldo_relativo_per_capita!U$543/1000000</f>
        <v>5.02160905586411E-3</v>
      </c>
      <c r="V180" s="341">
        <f>Saldo_relativo_per_capita!V180*Saldo_relativo_per_capita!V$543/1000000</f>
        <v>2.642539423994384E-3</v>
      </c>
      <c r="W180" s="148"/>
    </row>
    <row r="181" spans="1:23" s="115" customFormat="1">
      <c r="A181" s="356"/>
      <c r="B181" s="115" t="s">
        <v>1148</v>
      </c>
      <c r="C181" s="335" t="e">
        <f>VLOOKUP(B181,Tot_res!C:D,2,FALSE)</f>
        <v>#N/A</v>
      </c>
      <c r="D181" s="341">
        <f>Saldo_relativo_per_capita!D181*Saldo_relativo_per_capita!D$543/1000000</f>
        <v>0</v>
      </c>
      <c r="E181" s="341" t="e">
        <f>Saldo_relativo_per_capita!E181*Saldo_relativo_per_capita!E$543/1000000</f>
        <v>#VALUE!</v>
      </c>
      <c r="F181" s="341" t="e">
        <f>Saldo_relativo_per_capita!F181*Saldo_relativo_per_capita!F$543/1000000</f>
        <v>#VALUE!</v>
      </c>
      <c r="G181" s="341" t="e">
        <f>Saldo_relativo_per_capita!G181*Saldo_relativo_per_capita!G$543/1000000</f>
        <v>#VALUE!</v>
      </c>
      <c r="H181" s="341" t="e">
        <f>Saldo_relativo_per_capita!H181*Saldo_relativo_per_capita!H$543/1000000</f>
        <v>#VALUE!</v>
      </c>
      <c r="I181" s="341" t="e">
        <f>Saldo_relativo_per_capita!I181*Saldo_relativo_per_capita!I$543/1000000</f>
        <v>#VALUE!</v>
      </c>
      <c r="J181" s="341" t="e">
        <f>Saldo_relativo_per_capita!J181*Saldo_relativo_per_capita!J$543/1000000</f>
        <v>#VALUE!</v>
      </c>
      <c r="K181" s="341" t="e">
        <f>Saldo_relativo_per_capita!K181*Saldo_relativo_per_capita!K$543/1000000</f>
        <v>#VALUE!</v>
      </c>
      <c r="L181" s="341" t="e">
        <f>Saldo_relativo_per_capita!L181*Saldo_relativo_per_capita!L$543/1000000</f>
        <v>#VALUE!</v>
      </c>
      <c r="M181" s="341" t="e">
        <f>Saldo_relativo_per_capita!M181*Saldo_relativo_per_capita!M$543/1000000</f>
        <v>#VALUE!</v>
      </c>
      <c r="N181" s="341" t="e">
        <f>Saldo_relativo_per_capita!N181*Saldo_relativo_per_capita!N$543/1000000</f>
        <v>#VALUE!</v>
      </c>
      <c r="O181" s="341" t="e">
        <f>Saldo_relativo_per_capita!O181*Saldo_relativo_per_capita!O$543/1000000</f>
        <v>#VALUE!</v>
      </c>
      <c r="P181" s="341" t="e">
        <f>Saldo_relativo_per_capita!P181*Saldo_relativo_per_capita!P$543/1000000</f>
        <v>#VALUE!</v>
      </c>
      <c r="Q181" s="341" t="e">
        <f>Saldo_relativo_per_capita!Q181*Saldo_relativo_per_capita!Q$543/1000000</f>
        <v>#VALUE!</v>
      </c>
      <c r="R181" s="341" t="e">
        <f>Saldo_relativo_per_capita!R181*Saldo_relativo_per_capita!R$543/1000000</f>
        <v>#VALUE!</v>
      </c>
      <c r="S181" s="341" t="e">
        <f>Saldo_relativo_per_capita!S181*Saldo_relativo_per_capita!S$543/1000000</f>
        <v>#VALUE!</v>
      </c>
      <c r="T181" s="341" t="e">
        <f>Saldo_relativo_per_capita!T181*Saldo_relativo_per_capita!T$543/1000000</f>
        <v>#VALUE!</v>
      </c>
      <c r="U181" s="341" t="e">
        <f>Saldo_relativo_per_capita!U181*Saldo_relativo_per_capita!U$543/1000000</f>
        <v>#VALUE!</v>
      </c>
      <c r="V181" s="341" t="e">
        <f>Saldo_relativo_per_capita!V181*Saldo_relativo_per_capita!V$543/1000000</f>
        <v>#VALUE!</v>
      </c>
      <c r="W181" s="148"/>
    </row>
    <row r="182" spans="1:23" s="115" customFormat="1">
      <c r="A182" s="356"/>
      <c r="B182" s="115" t="s">
        <v>1143</v>
      </c>
      <c r="C182" s="335" t="str">
        <f>VLOOKUP(B182,Tot_res!C:D,2,FALSE)</f>
        <v>Servicios Sociales</v>
      </c>
      <c r="D182" s="341">
        <f>Saldo_relativo_per_capita!D182*Saldo_relativo_per_capita!D$543/1000000</f>
        <v>0</v>
      </c>
      <c r="E182" s="341">
        <f>Saldo_relativo_per_capita!E182*Saldo_relativo_per_capita!E$543/1000000</f>
        <v>1.3938708918470999</v>
      </c>
      <c r="F182" s="341">
        <f>Saldo_relativo_per_capita!F182*Saldo_relativo_per_capita!F$543/1000000</f>
        <v>0.22117533148480234</v>
      </c>
      <c r="G182" s="341">
        <f>Saldo_relativo_per_capita!G182*Saldo_relativo_per_capita!G$543/1000000</f>
        <v>0.17626934098578378</v>
      </c>
      <c r="H182" s="341">
        <f>Saldo_relativo_per_capita!H182*Saldo_relativo_per_capita!H$543/1000000</f>
        <v>0.18331996234933851</v>
      </c>
      <c r="I182" s="341">
        <f>Saldo_relativo_per_capita!I182*Saldo_relativo_per_capita!I$543/1000000</f>
        <v>0.34953057133922427</v>
      </c>
      <c r="J182" s="341">
        <f>Saldo_relativo_per_capita!J182*Saldo_relativo_per_capita!J$543/1000000</f>
        <v>9.7700202441649786E-2</v>
      </c>
      <c r="K182" s="341">
        <f>Saldo_relativo_per_capita!K182*Saldo_relativo_per_capita!K$543/1000000</f>
        <v>0.41500679828710807</v>
      </c>
      <c r="L182" s="341">
        <f>Saldo_relativo_per_capita!L182*Saldo_relativo_per_capita!L$543/1000000</f>
        <v>0.34589870892312474</v>
      </c>
      <c r="M182" s="341">
        <f>Saldo_relativo_per_capita!M182*Saldo_relativo_per_capita!M$543/1000000</f>
        <v>1.2473838157768755</v>
      </c>
      <c r="N182" s="341">
        <f>Saldo_relativo_per_capita!N182*Saldo_relativo_per_capita!N$543/1000000</f>
        <v>0.83740634210840215</v>
      </c>
      <c r="O182" s="341">
        <f>Saldo_relativo_per_capita!O182*Saldo_relativo_per_capita!O$543/1000000</f>
        <v>0.18236989329301354</v>
      </c>
      <c r="P182" s="341">
        <f>Saldo_relativo_per_capita!P182*Saldo_relativo_per_capita!P$543/1000000</f>
        <v>0.45638362982811936</v>
      </c>
      <c r="Q182" s="341">
        <f>Saldo_relativo_per_capita!Q182*Saldo_relativo_per_capita!Q$543/1000000</f>
        <v>1.0717234955389572</v>
      </c>
      <c r="R182" s="341">
        <f>Saldo_relativo_per_capita!R182*Saldo_relativo_per_capita!R$543/1000000</f>
        <v>0.24321660255702793</v>
      </c>
      <c r="S182" s="341">
        <f>Saldo_relativo_per_capita!S182*Saldo_relativo_per_capita!S$543/1000000</f>
        <v>-2.0605171891884928</v>
      </c>
      <c r="T182" s="341">
        <f>Saldo_relativo_per_capita!T182*Saldo_relativo_per_capita!T$543/1000000</f>
        <v>-5.2417061294488745</v>
      </c>
      <c r="U182" s="341">
        <f>Saldo_relativo_per_capita!U182*Saldo_relativo_per_capita!U$543/1000000</f>
        <v>5.3050680932661826E-2</v>
      </c>
      <c r="V182" s="341">
        <f>Saldo_relativo_per_capita!V182*Saldo_relativo_per_capita!V$543/1000000</f>
        <v>2.7917050944178415E-2</v>
      </c>
      <c r="W182" s="148"/>
    </row>
    <row r="183" spans="1:23" s="115" customFormat="1">
      <c r="A183" s="356"/>
      <c r="B183" s="115" t="s">
        <v>1144</v>
      </c>
      <c r="C183" s="335" t="str">
        <f>VLOOKUP(B183,Tot_res!C:D,2,FALSE)</f>
        <v>Fomento y gestiòn del empleo, incluyendo ISM</v>
      </c>
      <c r="D183" s="341">
        <f>Saldo_relativo_per_capita!D183*Saldo_relativo_per_capita!D$543/1000000</f>
        <v>0</v>
      </c>
      <c r="E183" s="341">
        <f>Saldo_relativo_per_capita!E183*Saldo_relativo_per_capita!E$543/1000000</f>
        <v>16.698373042744407</v>
      </c>
      <c r="F183" s="341">
        <f>Saldo_relativo_per_capita!F183*Saldo_relativo_per_capita!F$543/1000000</f>
        <v>2.6496486974426419</v>
      </c>
      <c r="G183" s="341">
        <f>Saldo_relativo_per_capita!G183*Saldo_relativo_per_capita!G$543/1000000</f>
        <v>2.11168138239751</v>
      </c>
      <c r="H183" s="341">
        <f>Saldo_relativo_per_capita!H183*Saldo_relativo_per_capita!H$543/1000000</f>
        <v>2.1961468134502842</v>
      </c>
      <c r="I183" s="341">
        <f>Saldo_relativo_per_capita!I183*Saldo_relativo_per_capita!I$543/1000000</f>
        <v>4.1873260315606018</v>
      </c>
      <c r="J183" s="341">
        <f>Saldo_relativo_per_capita!J183*Saldo_relativo_per_capita!J$543/1000000</f>
        <v>1.1704343897736518</v>
      </c>
      <c r="K183" s="341">
        <f>Saldo_relativo_per_capita!K183*Saldo_relativo_per_capita!K$543/1000000</f>
        <v>4.9717218241711354</v>
      </c>
      <c r="L183" s="341">
        <f>Saldo_relativo_per_capita!L183*Saldo_relativo_per_capita!L$543/1000000</f>
        <v>4.143816841564111</v>
      </c>
      <c r="M183" s="341">
        <f>Saldo_relativo_per_capita!M183*Saldo_relativo_per_capita!M$543/1000000</f>
        <v>14.943478915555898</v>
      </c>
      <c r="N183" s="341">
        <f>Saldo_relativo_per_capita!N183*Saldo_relativo_per_capita!N$543/1000000</f>
        <v>10.032007677810117</v>
      </c>
      <c r="O183" s="341">
        <f>Saldo_relativo_per_capita!O183*Saldo_relativo_per_capita!O$543/1000000</f>
        <v>2.1847651226411302</v>
      </c>
      <c r="P183" s="341">
        <f>Saldo_relativo_per_capita!P183*Saldo_relativo_per_capita!P$543/1000000</f>
        <v>5.4674103218934844</v>
      </c>
      <c r="Q183" s="341">
        <f>Saldo_relativo_per_capita!Q183*Saldo_relativo_per_capita!Q$543/1000000</f>
        <v>12.839093514226731</v>
      </c>
      <c r="R183" s="341">
        <f>Saldo_relativo_per_capita!R183*Saldo_relativo_per_capita!R$543/1000000</f>
        <v>2.9136999584690808</v>
      </c>
      <c r="S183" s="341">
        <f>Saldo_relativo_per_capita!S183*Saldo_relativo_per_capita!S$543/1000000</f>
        <v>1.2742605924397667</v>
      </c>
      <c r="T183" s="341">
        <f>Saldo_relativo_per_capita!T183*Saldo_relativo_per_capita!T$543/1000000</f>
        <v>-88.75384692231161</v>
      </c>
      <c r="U183" s="341">
        <f>Saldo_relativo_per_capita!U183*Saldo_relativo_per_capita!U$543/1000000</f>
        <v>0.6355395363851023</v>
      </c>
      <c r="V183" s="341">
        <f>Saldo_relativo_per_capita!V183*Saldo_relativo_per_capita!V$543/1000000</f>
        <v>0.3344422597859425</v>
      </c>
      <c r="W183" s="148"/>
    </row>
    <row r="184" spans="1:23" s="115" customFormat="1">
      <c r="A184" s="356"/>
      <c r="B184" s="115" t="s">
        <v>1149</v>
      </c>
      <c r="C184" s="335" t="e">
        <f>VLOOKUP(B184,Tot_res!C:D,2,FALSE)</f>
        <v>#N/A</v>
      </c>
      <c r="D184" s="341">
        <f>Saldo_relativo_per_capita!D184*Saldo_relativo_per_capita!D$543/1000000</f>
        <v>0</v>
      </c>
      <c r="E184" s="341" t="e">
        <f>Saldo_relativo_per_capita!E184*Saldo_relativo_per_capita!E$543/1000000</f>
        <v>#VALUE!</v>
      </c>
      <c r="F184" s="341" t="e">
        <f>Saldo_relativo_per_capita!F184*Saldo_relativo_per_capita!F$543/1000000</f>
        <v>#VALUE!</v>
      </c>
      <c r="G184" s="341" t="e">
        <f>Saldo_relativo_per_capita!G184*Saldo_relativo_per_capita!G$543/1000000</f>
        <v>#VALUE!</v>
      </c>
      <c r="H184" s="341" t="e">
        <f>Saldo_relativo_per_capita!H184*Saldo_relativo_per_capita!H$543/1000000</f>
        <v>#VALUE!</v>
      </c>
      <c r="I184" s="341" t="e">
        <f>Saldo_relativo_per_capita!I184*Saldo_relativo_per_capita!I$543/1000000</f>
        <v>#VALUE!</v>
      </c>
      <c r="J184" s="341" t="e">
        <f>Saldo_relativo_per_capita!J184*Saldo_relativo_per_capita!J$543/1000000</f>
        <v>#VALUE!</v>
      </c>
      <c r="K184" s="341" t="e">
        <f>Saldo_relativo_per_capita!K184*Saldo_relativo_per_capita!K$543/1000000</f>
        <v>#VALUE!</v>
      </c>
      <c r="L184" s="341" t="e">
        <f>Saldo_relativo_per_capita!L184*Saldo_relativo_per_capita!L$543/1000000</f>
        <v>#VALUE!</v>
      </c>
      <c r="M184" s="341" t="e">
        <f>Saldo_relativo_per_capita!M184*Saldo_relativo_per_capita!M$543/1000000</f>
        <v>#VALUE!</v>
      </c>
      <c r="N184" s="341" t="e">
        <f>Saldo_relativo_per_capita!N184*Saldo_relativo_per_capita!N$543/1000000</f>
        <v>#VALUE!</v>
      </c>
      <c r="O184" s="341" t="e">
        <f>Saldo_relativo_per_capita!O184*Saldo_relativo_per_capita!O$543/1000000</f>
        <v>#VALUE!</v>
      </c>
      <c r="P184" s="341" t="e">
        <f>Saldo_relativo_per_capita!P184*Saldo_relativo_per_capita!P$543/1000000</f>
        <v>#VALUE!</v>
      </c>
      <c r="Q184" s="341" t="e">
        <f>Saldo_relativo_per_capita!Q184*Saldo_relativo_per_capita!Q$543/1000000</f>
        <v>#VALUE!</v>
      </c>
      <c r="R184" s="341" t="e">
        <f>Saldo_relativo_per_capita!R184*Saldo_relativo_per_capita!R$543/1000000</f>
        <v>#VALUE!</v>
      </c>
      <c r="S184" s="341" t="e">
        <f>Saldo_relativo_per_capita!S184*Saldo_relativo_per_capita!S$543/1000000</f>
        <v>#VALUE!</v>
      </c>
      <c r="T184" s="341" t="e">
        <f>Saldo_relativo_per_capita!T184*Saldo_relativo_per_capita!T$543/1000000</f>
        <v>#VALUE!</v>
      </c>
      <c r="U184" s="341" t="e">
        <f>Saldo_relativo_per_capita!U184*Saldo_relativo_per_capita!U$543/1000000</f>
        <v>#VALUE!</v>
      </c>
      <c r="V184" s="341" t="e">
        <f>Saldo_relativo_per_capita!V184*Saldo_relativo_per_capita!V$543/1000000</f>
        <v>#VALUE!</v>
      </c>
      <c r="W184" s="148"/>
    </row>
    <row r="185" spans="1:23" s="115" customFormat="1">
      <c r="A185" s="356"/>
      <c r="B185" s="115" t="s">
        <v>1145</v>
      </c>
      <c r="C185" s="335" t="str">
        <f>VLOOKUP(B185,Tot_res!C:D,2,FALSE)</f>
        <v>Agricultura</v>
      </c>
      <c r="D185" s="341">
        <f>Saldo_relativo_per_capita!D185*Saldo_relativo_per_capita!D$543/1000000</f>
        <v>0</v>
      </c>
      <c r="E185" s="341">
        <f>Saldo_relativo_per_capita!E185*Saldo_relativo_per_capita!E$543/1000000</f>
        <v>1.2466461603248911</v>
      </c>
      <c r="F185" s="341">
        <f>Saldo_relativo_per_capita!F185*Saldo_relativo_per_capita!F$543/1000000</f>
        <v>0.19781414431341723</v>
      </c>
      <c r="G185" s="341">
        <f>Saldo_relativo_per_capita!G185*Saldo_relativo_per_capita!G$543/1000000</f>
        <v>0.15765125623057433</v>
      </c>
      <c r="H185" s="341">
        <f>Saldo_relativo_per_capita!H185*Saldo_relativo_per_capita!H$543/1000000</f>
        <v>0.16395717028774537</v>
      </c>
      <c r="I185" s="341">
        <f>Saldo_relativo_per_capita!I185*Saldo_relativo_per_capita!I$543/1000000</f>
        <v>0.31261212729593879</v>
      </c>
      <c r="J185" s="341">
        <f>Saldo_relativo_per_capita!J185*Saldo_relativo_per_capita!J$543/1000000</f>
        <v>8.7380820525957123E-2</v>
      </c>
      <c r="K185" s="341">
        <f>Saldo_relativo_per_capita!K185*Saldo_relativo_per_capita!K$543/1000000</f>
        <v>0.37117256312581215</v>
      </c>
      <c r="L185" s="341">
        <f>Saldo_relativo_per_capita!L185*Saldo_relativo_per_capita!L$543/1000000</f>
        <v>0.30936387283970368</v>
      </c>
      <c r="M185" s="341">
        <f>Saldo_relativo_per_capita!M185*Saldo_relativo_per_capita!M$543/1000000</f>
        <v>1.115631478844479</v>
      </c>
      <c r="N185" s="341">
        <f>Saldo_relativo_per_capita!N185*Saldo_relativo_per_capita!N$543/1000000</f>
        <v>0.74895702832114752</v>
      </c>
      <c r="O185" s="341">
        <f>Saldo_relativo_per_capita!O185*Saldo_relativo_per_capita!O$543/1000000</f>
        <v>0.16310745031149881</v>
      </c>
      <c r="P185" s="341">
        <f>Saldo_relativo_per_capita!P185*Saldo_relativo_per_capita!P$543/1000000</f>
        <v>0.40817905237006125</v>
      </c>
      <c r="Q185" s="341">
        <f>Saldo_relativo_per_capita!Q185*Saldo_relativo_per_capita!Q$543/1000000</f>
        <v>0.958524916804253</v>
      </c>
      <c r="R185" s="341">
        <f>Saldo_relativo_per_capita!R185*Saldo_relativo_per_capita!R$543/1000000</f>
        <v>0.21752735169265869</v>
      </c>
      <c r="S185" s="341">
        <f>Saldo_relativo_per_capita!S185*Saldo_relativo_per_capita!S$543/1000000</f>
        <v>-0.80291603656420529</v>
      </c>
      <c r="T185" s="341">
        <f>Saldo_relativo_per_capita!T185*Saldo_relativo_per_capita!T$543/1000000</f>
        <v>-5.7280250392988945</v>
      </c>
      <c r="U185" s="341">
        <f>Saldo_relativo_per_capita!U185*Saldo_relativo_per_capita!U$543/1000000</f>
        <v>4.7447312426249062E-2</v>
      </c>
      <c r="V185" s="341">
        <f>Saldo_relativo_per_capita!V185*Saldo_relativo_per_capita!V$543/1000000</f>
        <v>2.4968370148712497E-2</v>
      </c>
      <c r="W185" s="148"/>
    </row>
    <row r="186" spans="1:23" s="115" customFormat="1">
      <c r="A186" s="356"/>
      <c r="B186" s="115" t="s">
        <v>1150</v>
      </c>
      <c r="C186" s="335" t="e">
        <f>VLOOKUP(B186,Tot_res!C:D,2,FALSE)</f>
        <v>#N/A</v>
      </c>
      <c r="D186" s="341">
        <f>Saldo_relativo_per_capita!D186*Saldo_relativo_per_capita!D$543/1000000</f>
        <v>0</v>
      </c>
      <c r="E186" s="341" t="e">
        <f>Saldo_relativo_per_capita!E186*Saldo_relativo_per_capita!E$543/1000000</f>
        <v>#VALUE!</v>
      </c>
      <c r="F186" s="341" t="e">
        <f>Saldo_relativo_per_capita!F186*Saldo_relativo_per_capita!F$543/1000000</f>
        <v>#VALUE!</v>
      </c>
      <c r="G186" s="341" t="e">
        <f>Saldo_relativo_per_capita!G186*Saldo_relativo_per_capita!G$543/1000000</f>
        <v>#VALUE!</v>
      </c>
      <c r="H186" s="341" t="e">
        <f>Saldo_relativo_per_capita!H186*Saldo_relativo_per_capita!H$543/1000000</f>
        <v>#VALUE!</v>
      </c>
      <c r="I186" s="341" t="e">
        <f>Saldo_relativo_per_capita!I186*Saldo_relativo_per_capita!I$543/1000000</f>
        <v>#VALUE!</v>
      </c>
      <c r="J186" s="341" t="e">
        <f>Saldo_relativo_per_capita!J186*Saldo_relativo_per_capita!J$543/1000000</f>
        <v>#VALUE!</v>
      </c>
      <c r="K186" s="341" t="e">
        <f>Saldo_relativo_per_capita!K186*Saldo_relativo_per_capita!K$543/1000000</f>
        <v>#VALUE!</v>
      </c>
      <c r="L186" s="341" t="e">
        <f>Saldo_relativo_per_capita!L186*Saldo_relativo_per_capita!L$543/1000000</f>
        <v>#VALUE!</v>
      </c>
      <c r="M186" s="341" t="e">
        <f>Saldo_relativo_per_capita!M186*Saldo_relativo_per_capita!M$543/1000000</f>
        <v>#VALUE!</v>
      </c>
      <c r="N186" s="341" t="e">
        <f>Saldo_relativo_per_capita!N186*Saldo_relativo_per_capita!N$543/1000000</f>
        <v>#VALUE!</v>
      </c>
      <c r="O186" s="341" t="e">
        <f>Saldo_relativo_per_capita!O186*Saldo_relativo_per_capita!O$543/1000000</f>
        <v>#VALUE!</v>
      </c>
      <c r="P186" s="341" t="e">
        <f>Saldo_relativo_per_capita!P186*Saldo_relativo_per_capita!P$543/1000000</f>
        <v>#VALUE!</v>
      </c>
      <c r="Q186" s="341" t="e">
        <f>Saldo_relativo_per_capita!Q186*Saldo_relativo_per_capita!Q$543/1000000</f>
        <v>#VALUE!</v>
      </c>
      <c r="R186" s="341" t="e">
        <f>Saldo_relativo_per_capita!R186*Saldo_relativo_per_capita!R$543/1000000</f>
        <v>#VALUE!</v>
      </c>
      <c r="S186" s="341" t="e">
        <f>Saldo_relativo_per_capita!S186*Saldo_relativo_per_capita!S$543/1000000</f>
        <v>#VALUE!</v>
      </c>
      <c r="T186" s="341" t="e">
        <f>Saldo_relativo_per_capita!T186*Saldo_relativo_per_capita!T$543/1000000</f>
        <v>#VALUE!</v>
      </c>
      <c r="U186" s="341" t="e">
        <f>Saldo_relativo_per_capita!U186*Saldo_relativo_per_capita!U$543/1000000</f>
        <v>#VALUE!</v>
      </c>
      <c r="V186" s="341" t="e">
        <f>Saldo_relativo_per_capita!V186*Saldo_relativo_per_capita!V$543/1000000</f>
        <v>#VALUE!</v>
      </c>
      <c r="W186" s="220"/>
    </row>
    <row r="187" spans="1:23" s="115" customFormat="1">
      <c r="A187" s="356"/>
      <c r="B187" s="115" t="s">
        <v>1146</v>
      </c>
      <c r="C187" s="335" t="str">
        <f>VLOOKUP(B187,Tot_res!C:D,2,FALSE)</f>
        <v>Turismo</v>
      </c>
      <c r="D187" s="341">
        <f>Saldo_relativo_per_capita!D187*Saldo_relativo_per_capita!D$543/1000000</f>
        <v>0</v>
      </c>
      <c r="E187" s="341">
        <f>Saldo_relativo_per_capita!E187*Saldo_relativo_per_capita!E$543/1000000</f>
        <v>0.14321836701275556</v>
      </c>
      <c r="F187" s="341">
        <f>Saldo_relativo_per_capita!F187*Saldo_relativo_per_capita!F$543/1000000</f>
        <v>2.2725469040236632E-2</v>
      </c>
      <c r="G187" s="341">
        <f>Saldo_relativo_per_capita!G187*Saldo_relativo_per_capita!G$543/1000000</f>
        <v>1.8111438669147398E-2</v>
      </c>
      <c r="H187" s="341">
        <f>Saldo_relativo_per_capita!H187*Saldo_relativo_per_capita!H$543/1000000</f>
        <v>1.8835880569770952E-2</v>
      </c>
      <c r="I187" s="341">
        <f>Saldo_relativo_per_capita!I187*Saldo_relativo_per_capita!I$543/1000000</f>
        <v>3.5913798000260115E-2</v>
      </c>
      <c r="J187" s="341">
        <f>Saldo_relativo_per_capita!J187*Saldo_relativo_per_capita!J$543/1000000</f>
        <v>1.0038564929041944E-2</v>
      </c>
      <c r="K187" s="341">
        <f>Saldo_relativo_per_capita!K187*Saldo_relativo_per_capita!K$543/1000000</f>
        <v>4.2641392612129771E-2</v>
      </c>
      <c r="L187" s="341">
        <f>Saldo_relativo_per_capita!L187*Saldo_relativo_per_capita!L$543/1000000</f>
        <v>3.5540629001975424E-2</v>
      </c>
      <c r="M187" s="341">
        <f>Saldo_relativo_per_capita!M187*Saldo_relativo_per_capita!M$543/1000000</f>
        <v>0.12816701616960144</v>
      </c>
      <c r="N187" s="341">
        <f>Saldo_relativo_per_capita!N187*Saldo_relativo_per_capita!N$543/1000000</f>
        <v>8.6042379925131668E-2</v>
      </c>
      <c r="O187" s="341">
        <f>Saldo_relativo_per_capita!O187*Saldo_relativo_per_capita!O$543/1000000</f>
        <v>1.8738262246874554E-2</v>
      </c>
      <c r="P187" s="341">
        <f>Saldo_relativo_per_capita!P187*Saldo_relativo_per_capita!P$543/1000000</f>
        <v>4.6892806627679466E-2</v>
      </c>
      <c r="Q187" s="341">
        <f>Saldo_relativo_per_capita!Q187*Saldo_relativo_per_capita!Q$543/1000000</f>
        <v>0.11011815356649884</v>
      </c>
      <c r="R187" s="341">
        <f>Saldo_relativo_per_capita!R187*Saldo_relativo_per_capita!R$543/1000000</f>
        <v>2.4990180118080064E-2</v>
      </c>
      <c r="S187" s="341">
        <f>Saldo_relativo_per_capita!S187*Saldo_relativo_per_capita!S$543/1000000</f>
        <v>-0.16295554917523083</v>
      </c>
      <c r="T187" s="341">
        <f>Saldo_relativo_per_capita!T187*Saldo_relativo_per_capita!T$543/1000000</f>
        <v>-0.58733811530601898</v>
      </c>
      <c r="U187" s="341">
        <f>Saldo_relativo_per_capita!U187*Saldo_relativo_per_capita!U$543/1000000</f>
        <v>5.4508864031318008E-3</v>
      </c>
      <c r="V187" s="341">
        <f>Saldo_relativo_per_capita!V187*Saldo_relativo_per_capita!V$543/1000000</f>
        <v>2.8684395889341254E-3</v>
      </c>
      <c r="W187" s="148"/>
    </row>
    <row r="188" spans="1:23" s="115" customFormat="1">
      <c r="A188" s="356"/>
      <c r="C188" s="141"/>
      <c r="D188" s="218"/>
      <c r="E188" s="218"/>
      <c r="F188" s="218"/>
      <c r="G188" s="218"/>
      <c r="H188" s="218"/>
      <c r="I188" s="218"/>
      <c r="J188" s="218"/>
      <c r="K188" s="218"/>
      <c r="L188" s="218"/>
      <c r="M188" s="218"/>
      <c r="N188" s="218"/>
      <c r="O188" s="218"/>
      <c r="P188" s="218"/>
      <c r="Q188" s="218"/>
      <c r="R188" s="218"/>
      <c r="S188" s="218"/>
      <c r="T188" s="218"/>
      <c r="U188" s="218"/>
      <c r="V188" s="218"/>
      <c r="W188" s="220"/>
    </row>
    <row r="189" spans="1:23" s="115" customFormat="1" ht="26.3">
      <c r="A189" s="356"/>
      <c r="C189" s="117" t="s">
        <v>57</v>
      </c>
      <c r="D189" s="219">
        <f>Saldo_relativo_per_capita!D189*Saldo_relativo_per_capita!D$543/1000000</f>
        <v>0</v>
      </c>
      <c r="E189" s="219">
        <f>Saldo_relativo_per_capita!E189*Saldo_relativo_per_capita!E$543/1000000</f>
        <v>-2160.1901922797024</v>
      </c>
      <c r="F189" s="219">
        <f>Saldo_relativo_per_capita!F189*Saldo_relativo_per_capita!F$543/1000000</f>
        <v>201.10233532371473</v>
      </c>
      <c r="G189" s="219">
        <f>Saldo_relativo_per_capita!G189*Saldo_relativo_per_capita!G$543/1000000</f>
        <v>136.18027721673056</v>
      </c>
      <c r="H189" s="219">
        <f>Saldo_relativo_per_capita!H189*Saldo_relativo_per_capita!H$543/1000000</f>
        <v>-112.51416209562896</v>
      </c>
      <c r="I189" s="219">
        <f>Saldo_relativo_per_capita!I189*Saldo_relativo_per_capita!I$543/1000000</f>
        <v>-53.516839584152805</v>
      </c>
      <c r="J189" s="219">
        <f>Saldo_relativo_per_capita!J189*Saldo_relativo_per_capita!J$543/1000000</f>
        <v>231.45855973164799</v>
      </c>
      <c r="K189" s="219">
        <f>Saldo_relativo_per_capita!K189*Saldo_relativo_per_capita!K$543/1000000</f>
        <v>667.01101043837184</v>
      </c>
      <c r="L189" s="219">
        <f>Saldo_relativo_per_capita!L189*Saldo_relativo_per_capita!L$543/1000000</f>
        <v>29.705259336647103</v>
      </c>
      <c r="M189" s="219">
        <f>Saldo_relativo_per_capita!M189*Saldo_relativo_per_capita!M$543/1000000</f>
        <v>-1365.7960091984526</v>
      </c>
      <c r="N189" s="219">
        <f>Saldo_relativo_per_capita!N189*Saldo_relativo_per_capita!N$543/1000000</f>
        <v>-1672.4981433021801</v>
      </c>
      <c r="O189" s="219">
        <f>Saldo_relativo_per_capita!O189*Saldo_relativo_per_capita!O$543/1000000</f>
        <v>263.10197249479785</v>
      </c>
      <c r="P189" s="219">
        <f>Saldo_relativo_per_capita!P189*Saldo_relativo_per_capita!P$543/1000000</f>
        <v>486.99147915500367</v>
      </c>
      <c r="Q189" s="219">
        <f>Saldo_relativo_per_capita!Q189*Saldo_relativo_per_capita!Q$543/1000000</f>
        <v>-1811.5809831463712</v>
      </c>
      <c r="R189" s="219">
        <f>Saldo_relativo_per_capita!R189*Saldo_relativo_per_capita!R$543/1000000</f>
        <v>-403.53684517467923</v>
      </c>
      <c r="S189" s="219">
        <f>Saldo_relativo_per_capita!S189*Saldo_relativo_per_capita!S$543/1000000</f>
        <v>713.98602621105181</v>
      </c>
      <c r="T189" s="219">
        <f>Saldo_relativo_per_capita!T189*Saldo_relativo_per_capita!T$543/1000000</f>
        <v>4413.6368035385676</v>
      </c>
      <c r="U189" s="219">
        <f>Saldo_relativo_per_capita!U189*Saldo_relativo_per_capita!U$543/1000000</f>
        <v>104.682373894224</v>
      </c>
      <c r="V189" s="219">
        <f>Saldo_relativo_per_capita!V189*Saldo_relativo_per_capita!V$543/1000000</f>
        <v>331.77707744043215</v>
      </c>
      <c r="W189" s="148"/>
    </row>
    <row r="190" spans="1:23">
      <c r="A190" s="356"/>
      <c r="C190" s="43"/>
      <c r="D190" s="39"/>
      <c r="E190" s="39"/>
      <c r="F190" s="39"/>
      <c r="G190" s="39"/>
      <c r="H190" s="39"/>
      <c r="I190" s="39"/>
      <c r="J190" s="39"/>
      <c r="K190" s="39"/>
      <c r="L190" s="39"/>
      <c r="M190" s="39"/>
      <c r="N190" s="39"/>
      <c r="O190" s="39"/>
      <c r="P190" s="39"/>
      <c r="Q190" s="39"/>
      <c r="R190" s="39"/>
      <c r="S190" s="39"/>
      <c r="T190" s="39"/>
      <c r="U190" s="39"/>
      <c r="V190" s="39"/>
      <c r="W190" s="35"/>
    </row>
    <row r="191" spans="1:23" s="115" customFormat="1">
      <c r="A191" s="356"/>
      <c r="B191" s="137"/>
      <c r="C191" s="117" t="s">
        <v>29</v>
      </c>
      <c r="D191" s="219">
        <f>Saldo_relativo_per_capita!D191*Saldo_relativo_per_capita!D$543/1000000</f>
        <v>0</v>
      </c>
      <c r="E191" s="219">
        <f>Saldo_relativo_per_capita!E191*Saldo_relativo_per_capita!E$543/1000000</f>
        <v>333.85656138779996</v>
      </c>
      <c r="F191" s="219">
        <f>Saldo_relativo_per_capita!F191*Saldo_relativo_per_capita!F$543/1000000</f>
        <v>42.960481801802864</v>
      </c>
      <c r="G191" s="219">
        <f>Saldo_relativo_per_capita!G191*Saldo_relativo_per_capita!G$543/1000000</f>
        <v>132.76698026326028</v>
      </c>
      <c r="H191" s="219">
        <f>Saldo_relativo_per_capita!H191*Saldo_relativo_per_capita!H$543/1000000</f>
        <v>121.13319495245435</v>
      </c>
      <c r="I191" s="219">
        <f>Saldo_relativo_per_capita!I191*Saldo_relativo_per_capita!I$543/1000000</f>
        <v>-49.627158226662715</v>
      </c>
      <c r="J191" s="219">
        <f>Saldo_relativo_per_capita!J191*Saldo_relativo_per_capita!J$543/1000000</f>
        <v>50.057901406582346</v>
      </c>
      <c r="K191" s="219">
        <f>Saldo_relativo_per_capita!K191*Saldo_relativo_per_capita!K$543/1000000</f>
        <v>31.997887061901015</v>
      </c>
      <c r="L191" s="219">
        <f>Saldo_relativo_per_capita!L191*Saldo_relativo_per_capita!L$543/1000000</f>
        <v>-199.33531256413966</v>
      </c>
      <c r="M191" s="219">
        <f>Saldo_relativo_per_capita!M191*Saldo_relativo_per_capita!M$543/1000000</f>
        <v>987.68090232890904</v>
      </c>
      <c r="N191" s="219">
        <f>Saldo_relativo_per_capita!N191*Saldo_relativo_per_capita!N$543/1000000</f>
        <v>173.87923540369934</v>
      </c>
      <c r="O191" s="219">
        <f>Saldo_relativo_per_capita!O191*Saldo_relativo_per_capita!O$543/1000000</f>
        <v>178.28360119370853</v>
      </c>
      <c r="P191" s="219">
        <f>Saldo_relativo_per_capita!P191*Saldo_relativo_per_capita!P$543/1000000</f>
        <v>2.9008728335028211</v>
      </c>
      <c r="Q191" s="219">
        <f>Saldo_relativo_per_capita!Q191*Saldo_relativo_per_capita!Q$543/1000000</f>
        <v>-538.63938888473376</v>
      </c>
      <c r="R191" s="219">
        <f>Saldo_relativo_per_capita!R191*Saldo_relativo_per_capita!R$543/1000000</f>
        <v>59.810027852398875</v>
      </c>
      <c r="S191" s="219">
        <f>Saldo_relativo_per_capita!S191*Saldo_relativo_per_capita!S$543/1000000</f>
        <v>-381.80918822257183</v>
      </c>
      <c r="T191" s="219">
        <f>Saldo_relativo_per_capita!T191*Saldo_relativo_per_capita!T$543/1000000</f>
        <v>-939.45871581637732</v>
      </c>
      <c r="U191" s="219">
        <f>Saldo_relativo_per_capita!U191*Saldo_relativo_per_capita!U$543/1000000</f>
        <v>2.3689129549600487</v>
      </c>
      <c r="V191" s="219">
        <f>Saldo_relativo_per_capita!V191*Saldo_relativo_per_capita!V$543/1000000</f>
        <v>-8.8267957264948613</v>
      </c>
      <c r="W191" s="148"/>
    </row>
    <row r="192" spans="1:23" s="115" customFormat="1">
      <c r="A192" s="355" t="str">
        <f>IF(B192="","",(IF(ISERROR(MATCH(B192,Tot_res!C:C,0)),"Eliminar!!!","")))</f>
        <v/>
      </c>
      <c r="B192" s="115" t="s">
        <v>988</v>
      </c>
      <c r="C192" s="333" t="str">
        <f>VLOOKUP(B192,Tot_res!C:D,2,FALSE)</f>
        <v>Participación CCAARC en IRPF, sobreesfuerzo fiscal regional</v>
      </c>
      <c r="D192" s="340">
        <f>Saldo_relativo_per_capita!D192*Saldo_relativo_per_capita!D$543/1000000</f>
        <v>0</v>
      </c>
      <c r="E192" s="340">
        <f>Saldo_relativo_per_capita!E192*Saldo_relativo_per_capita!E$543/1000000</f>
        <v>78.790278162466535</v>
      </c>
      <c r="F192" s="340">
        <f>Saldo_relativo_per_capita!F192*Saldo_relativo_per_capita!F$543/1000000</f>
        <v>9.7326577959026537</v>
      </c>
      <c r="G192" s="340">
        <f>Saldo_relativo_per_capita!G192*Saldo_relativo_per_capita!G$543/1000000</f>
        <v>7.6978643714784916</v>
      </c>
      <c r="H192" s="340">
        <f>Saldo_relativo_per_capita!H192*Saldo_relativo_per_capita!H$543/1000000</f>
        <v>3.8494781652227066</v>
      </c>
      <c r="I192" s="340">
        <f>Saldo_relativo_per_capita!I192*Saldo_relativo_per_capita!I$543/1000000</f>
        <v>-13.897985933199124</v>
      </c>
      <c r="J192" s="340">
        <f>Saldo_relativo_per_capita!J192*Saldo_relativo_per_capita!J$543/1000000</f>
        <v>3.8999109966007075</v>
      </c>
      <c r="K192" s="340">
        <f>Saldo_relativo_per_capita!K192*Saldo_relativo_per_capita!K$543/1000000</f>
        <v>-14.031864371401349</v>
      </c>
      <c r="L192" s="340">
        <f>Saldo_relativo_per_capita!L192*Saldo_relativo_per_capita!L$543/1000000</f>
        <v>8.1689831799780812</v>
      </c>
      <c r="M192" s="340">
        <f>Saldo_relativo_per_capita!M192*Saldo_relativo_per_capita!M$543/1000000</f>
        <v>48.549885726219948</v>
      </c>
      <c r="N192" s="340">
        <f>Saldo_relativo_per_capita!N192*Saldo_relativo_per_capita!N$543/1000000</f>
        <v>9.6758319250020612</v>
      </c>
      <c r="O192" s="340">
        <f>Saldo_relativo_per_capita!O192*Saldo_relativo_per_capita!O$543/1000000</f>
        <v>5.971844115100601</v>
      </c>
      <c r="P192" s="340">
        <f>Saldo_relativo_per_capita!P192*Saldo_relativo_per_capita!P$543/1000000</f>
        <v>7.1396718422595713</v>
      </c>
      <c r="Q192" s="340">
        <f>Saldo_relativo_per_capita!Q192*Saldo_relativo_per_capita!Q$543/1000000</f>
        <v>-186.0855880347211</v>
      </c>
      <c r="R192" s="340">
        <f>Saldo_relativo_per_capita!R192*Saldo_relativo_per_capita!R$543/1000000</f>
        <v>10.44952558133855</v>
      </c>
      <c r="S192" s="340">
        <f>Saldo_relativo_per_capita!S192*Saldo_relativo_per_capita!S$543/1000000</f>
        <v>5.0263471808071012</v>
      </c>
      <c r="T192" s="340">
        <f>Saldo_relativo_per_capita!T192*Saldo_relativo_per_capita!T$543/1000000</f>
        <v>17.131656866242349</v>
      </c>
      <c r="U192" s="340">
        <f>Saldo_relativo_per_capita!U192*Saldo_relativo_per_capita!U$543/1000000</f>
        <v>-3.3877119588750775</v>
      </c>
      <c r="V192" s="340">
        <f>Saldo_relativo_per_capita!V192*Saldo_relativo_per_capita!V$543/1000000</f>
        <v>1.3192143895772945</v>
      </c>
      <c r="W192" s="148"/>
    </row>
    <row r="193" spans="1:23" s="115" customFormat="1">
      <c r="A193" s="355" t="str">
        <f>IF(B193="","",(IF(ISERROR(MATCH(B193,Tot_res!C:C,0)),"Eliminar!!!","")))</f>
        <v/>
      </c>
      <c r="B193" s="115" t="s">
        <v>1120</v>
      </c>
      <c r="C193" s="333" t="str">
        <f>VLOOKUP(B193,Tot_res!C:D,2,FALSE)</f>
        <v>Participación CCAARC en IH, sobreesfuerzo fiscal regional</v>
      </c>
      <c r="D193" s="340">
        <f>Saldo_relativo_per_capita!D193*Saldo_relativo_per_capita!D$543/1000000</f>
        <v>0</v>
      </c>
      <c r="E193" s="340">
        <f>Saldo_relativo_per_capita!E193*Saldo_relativo_per_capita!E$543/1000000</f>
        <v>40.227643812019714</v>
      </c>
      <c r="F193" s="340">
        <f>Saldo_relativo_per_capita!F193*Saldo_relativo_per_capita!F$543/1000000</f>
        <v>-26.460407899184474</v>
      </c>
      <c r="G193" s="340">
        <f>Saldo_relativo_per_capita!G193*Saldo_relativo_per_capita!G$543/1000000</f>
        <v>3.1669299921651604</v>
      </c>
      <c r="H193" s="340">
        <f>Saldo_relativo_per_capita!H193*Saldo_relativo_per_capita!H$543/1000000</f>
        <v>9.9279058094431285</v>
      </c>
      <c r="I193" s="340">
        <f>Saldo_relativo_per_capita!I193*Saldo_relativo_per_capita!I$543/1000000</f>
        <v>-41.816243379322707</v>
      </c>
      <c r="J193" s="340">
        <f>Saldo_relativo_per_capita!J193*Saldo_relativo_per_capita!J$543/1000000</f>
        <v>-11.415726618785099</v>
      </c>
      <c r="K193" s="340">
        <f>Saldo_relativo_per_capita!K193*Saldo_relativo_per_capita!K$543/1000000</f>
        <v>28.320459459478023</v>
      </c>
      <c r="L193" s="340">
        <f>Saldo_relativo_per_capita!L193*Saldo_relativo_per_capita!L$543/1000000</f>
        <v>34.536146075560282</v>
      </c>
      <c r="M193" s="340">
        <f>Saldo_relativo_per_capita!M193*Saldo_relativo_per_capita!M$543/1000000</f>
        <v>64.936749479435591</v>
      </c>
      <c r="N193" s="340">
        <f>Saldo_relativo_per_capita!N193*Saldo_relativo_per_capita!N$543/1000000</f>
        <v>29.621214560855513</v>
      </c>
      <c r="O193" s="340">
        <f>Saldo_relativo_per_capita!O193*Saldo_relativo_per_capita!O$543/1000000</f>
        <v>19.226267738167216</v>
      </c>
      <c r="P193" s="340">
        <f>Saldo_relativo_per_capita!P193*Saldo_relativo_per_capita!P$543/1000000</f>
        <v>-29.062055950294067</v>
      </c>
      <c r="Q193" s="340">
        <f>Saldo_relativo_per_capita!Q193*Saldo_relativo_per_capita!Q$543/1000000</f>
        <v>-75.759590977318467</v>
      </c>
      <c r="R193" s="340">
        <f>Saldo_relativo_per_capita!R193*Saldo_relativo_per_capita!R$543/1000000</f>
        <v>20.334964957876103</v>
      </c>
      <c r="S193" s="340">
        <f>Saldo_relativo_per_capita!S193*Saldo_relativo_per_capita!S$543/1000000</f>
        <v>-12.72525489071654</v>
      </c>
      <c r="T193" s="340">
        <f>Saldo_relativo_per_capita!T193*Saldo_relativo_per_capita!T$543/1000000</f>
        <v>-43.372392013760994</v>
      </c>
      <c r="U193" s="340">
        <f>Saldo_relativo_per_capita!U193*Saldo_relativo_per_capita!U$543/1000000</f>
        <v>-6.3467415076720499</v>
      </c>
      <c r="V193" s="340">
        <f>Saldo_relativo_per_capita!V193*Saldo_relativo_per_capita!V$543/1000000</f>
        <v>-3.3398686479465365</v>
      </c>
      <c r="W193" s="148"/>
    </row>
    <row r="194" spans="1:23" s="115" customFormat="1">
      <c r="A194" s="355" t="str">
        <f>IF(B194="","",(IF(ISERROR(MATCH(B194,Tot_res!C:C,0)),"Eliminar!!!","")))</f>
        <v/>
      </c>
      <c r="B194" s="115" t="s">
        <v>989</v>
      </c>
      <c r="C194" s="333" t="str">
        <f>VLOOKUP(B194,Tot_res!C:D,2,FALSE)</f>
        <v>Impuesto sucesiones y donac, sobreesfuerzo fiscal de las CCAARC</v>
      </c>
      <c r="D194" s="340">
        <f>Saldo_relativo_per_capita!D194*Saldo_relativo_per_capita!D$543/1000000</f>
        <v>0</v>
      </c>
      <c r="E194" s="340">
        <f>Saldo_relativo_per_capita!E194*Saldo_relativo_per_capita!E$543/1000000</f>
        <v>102.2322236028608</v>
      </c>
      <c r="F194" s="340">
        <f>Saldo_relativo_per_capita!F194*Saldo_relativo_per_capita!F$543/1000000</f>
        <v>29.58138517869385</v>
      </c>
      <c r="G194" s="340">
        <f>Saldo_relativo_per_capita!G194*Saldo_relativo_per_capita!G$543/1000000</f>
        <v>46.974135801304698</v>
      </c>
      <c r="H194" s="340">
        <f>Saldo_relativo_per_capita!H194*Saldo_relativo_per_capita!H$543/1000000</f>
        <v>21.800824491308777</v>
      </c>
      <c r="I194" s="340">
        <f>Saldo_relativo_per_capita!I194*Saldo_relativo_per_capita!I$543/1000000</f>
        <v>-0.41670775552136208</v>
      </c>
      <c r="J194" s="340">
        <f>Saldo_relativo_per_capita!J194*Saldo_relativo_per_capita!J$543/1000000</f>
        <v>32.950422862816623</v>
      </c>
      <c r="K194" s="340">
        <f>Saldo_relativo_per_capita!K194*Saldo_relativo_per_capita!K$543/1000000</f>
        <v>-24.583851079553565</v>
      </c>
      <c r="L194" s="340">
        <f>Saldo_relativo_per_capita!L194*Saldo_relativo_per_capita!L$543/1000000</f>
        <v>-4.8202879328667549</v>
      </c>
      <c r="M194" s="340">
        <f>Saldo_relativo_per_capita!M194*Saldo_relativo_per_capita!M$543/1000000</f>
        <v>-131.52095880526454</v>
      </c>
      <c r="N194" s="340">
        <f>Saldo_relativo_per_capita!N194*Saldo_relativo_per_capita!N$543/1000000</f>
        <v>-81.444688316916881</v>
      </c>
      <c r="O194" s="340">
        <f>Saldo_relativo_per_capita!O194*Saldo_relativo_per_capita!O$543/1000000</f>
        <v>16.484937160661826</v>
      </c>
      <c r="P194" s="340">
        <f>Saldo_relativo_per_capita!P194*Saldo_relativo_per_capita!P$543/1000000</f>
        <v>-20.298569847526103</v>
      </c>
      <c r="Q194" s="340">
        <f>Saldo_relativo_per_capita!Q194*Saldo_relativo_per_capita!Q$543/1000000</f>
        <v>14.682867966489075</v>
      </c>
      <c r="R194" s="340">
        <f>Saldo_relativo_per_capita!R194*Saldo_relativo_per_capita!R$543/1000000</f>
        <v>1.092935354775703</v>
      </c>
      <c r="S194" s="340">
        <f>Saldo_relativo_per_capita!S194*Saldo_relativo_per_capita!S$543/1000000</f>
        <v>2.1411701804606388E-15</v>
      </c>
      <c r="T194" s="340">
        <f>Saldo_relativo_per_capita!T194*Saldo_relativo_per_capita!T$543/1000000</f>
        <v>7.2979027322167023E-15</v>
      </c>
      <c r="U194" s="340">
        <f>Saldo_relativo_per_capita!U194*Saldo_relativo_per_capita!U$543/1000000</f>
        <v>-2.7146686812621943</v>
      </c>
      <c r="V194" s="340">
        <f>Saldo_relativo_per_capita!V194*Saldo_relativo_per_capita!V$543/1000000</f>
        <v>5.6197123099322372E-16</v>
      </c>
      <c r="W194" s="148"/>
    </row>
    <row r="195" spans="1:23" s="115" customFormat="1">
      <c r="A195" s="355" t="str">
        <f>IF(B195="","",(IF(ISERROR(MATCH(B195,Tot_res!C:C,0)),"Eliminar!!!","")))</f>
        <v/>
      </c>
      <c r="B195" s="115" t="s">
        <v>990</v>
      </c>
      <c r="C195" s="333" t="str">
        <f>VLOOKUP(B195,Tot_res!C:D,2,FALSE)</f>
        <v>ITP y AJD, sobreesfuerzo fiscal de las CCAARC</v>
      </c>
      <c r="D195" s="340">
        <f>Saldo_relativo_per_capita!D195*Saldo_relativo_per_capita!D$543/1000000</f>
        <v>0</v>
      </c>
      <c r="E195" s="340">
        <f>Saldo_relativo_per_capita!E195*Saldo_relativo_per_capita!E$543/1000000</f>
        <v>9.5292770633827413</v>
      </c>
      <c r="F195" s="340">
        <f>Saldo_relativo_per_capita!F195*Saldo_relativo_per_capita!F$543/1000000</f>
        <v>-6.9640535264226386</v>
      </c>
      <c r="G195" s="340">
        <f>Saldo_relativo_per_capita!G195*Saldo_relativo_per_capita!G$543/1000000</f>
        <v>-1.8805389981514393</v>
      </c>
      <c r="H195" s="340">
        <f>Saldo_relativo_per_capita!H195*Saldo_relativo_per_capita!H$543/1000000</f>
        <v>6.2293942397679061</v>
      </c>
      <c r="I195" s="340">
        <f>Saldo_relativo_per_capita!I195*Saldo_relativo_per_capita!I$543/1000000</f>
        <v>-18.168511800675592</v>
      </c>
      <c r="J195" s="340">
        <f>Saldo_relativo_per_capita!J195*Saldo_relativo_per_capita!J$543/1000000</f>
        <v>0.30924410753087783</v>
      </c>
      <c r="K195" s="340">
        <f>Saldo_relativo_per_capita!K195*Saldo_relativo_per_capita!K$543/1000000</f>
        <v>-1.6572556714100068</v>
      </c>
      <c r="L195" s="340">
        <f>Saldo_relativo_per_capita!L195*Saldo_relativo_per_capita!L$543/1000000</f>
        <v>-3.4938772829489788</v>
      </c>
      <c r="M195" s="340">
        <f>Saldo_relativo_per_capita!M195*Saldo_relativo_per_capita!M$543/1000000</f>
        <v>49.834854109378085</v>
      </c>
      <c r="N195" s="340">
        <f>Saldo_relativo_per_capita!N195*Saldo_relativo_per_capita!N$543/1000000</f>
        <v>18.814611797839213</v>
      </c>
      <c r="O195" s="340">
        <f>Saldo_relativo_per_capita!O195*Saldo_relativo_per_capita!O$543/1000000</f>
        <v>-2.6358212043328191</v>
      </c>
      <c r="P195" s="340">
        <f>Saldo_relativo_per_capita!P195*Saldo_relativo_per_capita!P$543/1000000</f>
        <v>5.4187493512515683</v>
      </c>
      <c r="Q195" s="340">
        <f>Saldo_relativo_per_capita!Q195*Saldo_relativo_per_capita!Q$543/1000000</f>
        <v>-33.74490156001378</v>
      </c>
      <c r="R195" s="340">
        <f>Saldo_relativo_per_capita!R195*Saldo_relativo_per_capita!R$543/1000000</f>
        <v>-4.2775642322802776</v>
      </c>
      <c r="S195" s="340">
        <f>Saldo_relativo_per_capita!S195*Saldo_relativo_per_capita!S$543/1000000</f>
        <v>-3.3491303888422959</v>
      </c>
      <c r="T195" s="340">
        <f>Saldo_relativo_per_capita!T195*Saldo_relativo_per_capita!T$543/1000000</f>
        <v>-11.415079491730991</v>
      </c>
      <c r="U195" s="340">
        <f>Saldo_relativo_per_capita!U195*Saldo_relativo_per_capita!U$543/1000000</f>
        <v>-1.6703842112410789</v>
      </c>
      <c r="V195" s="340">
        <f>Saldo_relativo_per_capita!V195*Saldo_relativo_per_capita!V$543/1000000</f>
        <v>-0.87901230110051876</v>
      </c>
      <c r="W195" s="148"/>
    </row>
    <row r="196" spans="1:23" s="115" customFormat="1">
      <c r="A196" s="355" t="str">
        <f>IF(B196="","",(IF(ISERROR(MATCH(B196,Tot_res!C:C,0)),"Eliminar!!!","")))</f>
        <v/>
      </c>
      <c r="B196" s="115" t="s">
        <v>991</v>
      </c>
      <c r="C196" s="333" t="str">
        <f>VLOOKUP(B196,Tot_res!C:D,2,FALSE)</f>
        <v>Tasas sobre el juego, sobreesfuerzo fiscal de las CCAARC</v>
      </c>
      <c r="D196" s="340">
        <f>Saldo_relativo_per_capita!D196*Saldo_relativo_per_capita!D$543/1000000</f>
        <v>0</v>
      </c>
      <c r="E196" s="340">
        <f>Saldo_relativo_per_capita!E196*Saldo_relativo_per_capita!E$543/1000000</f>
        <v>13.244097583681087</v>
      </c>
      <c r="F196" s="340">
        <f>Saldo_relativo_per_capita!F196*Saldo_relativo_per_capita!F$543/1000000</f>
        <v>9.126530877972213</v>
      </c>
      <c r="G196" s="340">
        <f>Saldo_relativo_per_capita!G196*Saldo_relativo_per_capita!G$543/1000000</f>
        <v>4.2257222353366934</v>
      </c>
      <c r="H196" s="340">
        <f>Saldo_relativo_per_capita!H196*Saldo_relativo_per_capita!H$543/1000000</f>
        <v>-8.4413720188790506</v>
      </c>
      <c r="I196" s="340">
        <f>Saldo_relativo_per_capita!I196*Saldo_relativo_per_capita!I$543/1000000</f>
        <v>21.305389077610787</v>
      </c>
      <c r="J196" s="340">
        <f>Saldo_relativo_per_capita!J196*Saldo_relativo_per_capita!J$543/1000000</f>
        <v>1.7372403021456635</v>
      </c>
      <c r="K196" s="340">
        <f>Saldo_relativo_per_capita!K196*Saldo_relativo_per_capita!K$543/1000000</f>
        <v>3.605865216868188</v>
      </c>
      <c r="L196" s="340">
        <f>Saldo_relativo_per_capita!L196*Saldo_relativo_per_capita!L$543/1000000</f>
        <v>-5.6667572941023963</v>
      </c>
      <c r="M196" s="340">
        <f>Saldo_relativo_per_capita!M196*Saldo_relativo_per_capita!M$543/1000000</f>
        <v>49.342724276345812</v>
      </c>
      <c r="N196" s="340">
        <f>Saldo_relativo_per_capita!N196*Saldo_relativo_per_capita!N$543/1000000</f>
        <v>-15.779981864422385</v>
      </c>
      <c r="O196" s="340">
        <f>Saldo_relativo_per_capita!O196*Saldo_relativo_per_capita!O$543/1000000</f>
        <v>5.9508479125022822</v>
      </c>
      <c r="P196" s="340">
        <f>Saldo_relativo_per_capita!P196*Saldo_relativo_per_capita!P$543/1000000</f>
        <v>0.56283808260130852</v>
      </c>
      <c r="Q196" s="340">
        <f>Saldo_relativo_per_capita!Q196*Saldo_relativo_per_capita!Q$543/1000000</f>
        <v>-82.051834455167153</v>
      </c>
      <c r="R196" s="340">
        <f>Saldo_relativo_per_capita!R196*Saldo_relativo_per_capita!R$543/1000000</f>
        <v>1.2899665128280462</v>
      </c>
      <c r="S196" s="340">
        <f>Saldo_relativo_per_capita!S196*Saldo_relativo_per_capita!S$543/1000000</f>
        <v>-1.8175049206235657E-15</v>
      </c>
      <c r="T196" s="340">
        <f>Saldo_relativo_per_capita!T196*Saldo_relativo_per_capita!T$543/1000000</f>
        <v>-6.1947313889746435E-15</v>
      </c>
      <c r="U196" s="340">
        <f>Saldo_relativo_per_capita!U196*Saldo_relativo_per_capita!U$543/1000000</f>
        <v>1.5487235546789135</v>
      </c>
      <c r="V196" s="340">
        <f>Saldo_relativo_per_capita!V196*Saldo_relativo_per_capita!V$543/1000000</f>
        <v>-4.7702209142448068E-16</v>
      </c>
      <c r="W196" s="148"/>
    </row>
    <row r="197" spans="1:23" s="115" customFormat="1">
      <c r="A197" s="355" t="str">
        <f>IF(B197="","",(IF(ISERROR(MATCH(B197,Tot_res!C:C,0)),"Eliminar!!!","")))</f>
        <v/>
      </c>
      <c r="B197" s="115" t="s">
        <v>992</v>
      </c>
      <c r="C197" s="333" t="str">
        <f>VLOOKUP(B197,Tot_res!C:D,2,FALSE)</f>
        <v>IVMH, sobreesfuerzo fiscal de las CCAARC</v>
      </c>
      <c r="D197" s="340">
        <f>Saldo_relativo_per_capita!D197*Saldo_relativo_per_capita!D$543/1000000</f>
        <v>0</v>
      </c>
      <c r="E197" s="340">
        <f>Saldo_relativo_per_capita!E197*Saldo_relativo_per_capita!E$543/1000000</f>
        <v>11.949849357558373</v>
      </c>
      <c r="F197" s="340">
        <f>Saldo_relativo_per_capita!F197*Saldo_relativo_per_capita!F$543/1000000</f>
        <v>-7.1595390795306146</v>
      </c>
      <c r="G197" s="340">
        <f>Saldo_relativo_per_capita!G197*Saldo_relativo_per_capita!G$543/1000000</f>
        <v>-1.7922631632749144</v>
      </c>
      <c r="H197" s="340">
        <f>Saldo_relativo_per_capita!H197*Saldo_relativo_per_capita!H$543/1000000</f>
        <v>1.116715239428655</v>
      </c>
      <c r="I197" s="340">
        <f>Saldo_relativo_per_capita!I197*Saldo_relativo_per_capita!I$543/1000000</f>
        <v>-11.314452512376103</v>
      </c>
      <c r="J197" s="340">
        <f>Saldo_relativo_per_capita!J197*Saldo_relativo_per_capita!J$543/1000000</f>
        <v>1.2720131011360414</v>
      </c>
      <c r="K197" s="340">
        <f>Saldo_relativo_per_capita!K197*Saldo_relativo_per_capita!K$543/1000000</f>
        <v>9.9272543123834112</v>
      </c>
      <c r="L197" s="340">
        <f>Saldo_relativo_per_capita!L197*Saldo_relativo_per_capita!L$543/1000000</f>
        <v>8.2131124110038325</v>
      </c>
      <c r="M197" s="340">
        <f>Saldo_relativo_per_capita!M197*Saldo_relativo_per_capita!M$543/1000000</f>
        <v>19.933778001935831</v>
      </c>
      <c r="N197" s="340">
        <f>Saldo_relativo_per_capita!N197*Saldo_relativo_per_capita!N$543/1000000</f>
        <v>5.9801023232832655</v>
      </c>
      <c r="O197" s="340">
        <f>Saldo_relativo_per_capita!O197*Saldo_relativo_per_capita!O$543/1000000</f>
        <v>3.3137393768423911</v>
      </c>
      <c r="P197" s="340">
        <f>Saldo_relativo_per_capita!P197*Saldo_relativo_per_capita!P$543/1000000</f>
        <v>-7.3157512348939511</v>
      </c>
      <c r="Q197" s="340">
        <f>Saldo_relativo_per_capita!Q197*Saldo_relativo_per_capita!Q$543/1000000</f>
        <v>-18.281563094129634</v>
      </c>
      <c r="R197" s="340">
        <f>Saldo_relativo_per_capita!R197*Saldo_relativo_per_capita!R$543/1000000</f>
        <v>1.9566156481981019</v>
      </c>
      <c r="S197" s="340">
        <f>Saldo_relativo_per_capita!S197*Saldo_relativo_per_capita!S$543/1000000</f>
        <v>-3.443142676945699</v>
      </c>
      <c r="T197" s="340">
        <f>Saldo_relativo_per_capita!T197*Saldo_relativo_per_capita!T$543/1000000</f>
        <v>-11.735508264965711</v>
      </c>
      <c r="U197" s="340">
        <f>Saldo_relativo_per_capita!U197*Saldo_relativo_per_capita!U$543/1000000</f>
        <v>-1.7172729923508692</v>
      </c>
      <c r="V197" s="340">
        <f>Saldo_relativo_per_capita!V197*Saldo_relativo_per_capita!V$543/1000000</f>
        <v>-0.90368675330244186</v>
      </c>
      <c r="W197" s="148"/>
    </row>
    <row r="198" spans="1:23" s="115" customFormat="1">
      <c r="A198" s="355" t="str">
        <f>IF(B198="","",(IF(ISERROR(MATCH(B198,Tot_res!C:C,0)),"Eliminar!!!","")))</f>
        <v/>
      </c>
      <c r="B198" s="115" t="s">
        <v>993</v>
      </c>
      <c r="C198" s="333" t="str">
        <f>VLOOKUP(B198,Tot_res!C:D,2,FALSE)</f>
        <v>Impuesto de matriculación, sobreesfuerzo fiscal de las CCAARC</v>
      </c>
      <c r="D198" s="340">
        <f>Saldo_relativo_per_capita!D198*Saldo_relativo_per_capita!D$543/1000000</f>
        <v>0</v>
      </c>
      <c r="E198" s="340">
        <f>Saldo_relativo_per_capita!E198*Saldo_relativo_per_capita!E$543/1000000</f>
        <v>0.48101933139128544</v>
      </c>
      <c r="F198" s="340">
        <f>Saldo_relativo_per_capita!F198*Saldo_relativo_per_capita!F$543/1000000</f>
        <v>-5.8831211886771526E-2</v>
      </c>
      <c r="G198" s="340">
        <f>Saldo_relativo_per_capita!G198*Saldo_relativo_per_capita!G$543/1000000</f>
        <v>-4.0365079982426135E-3</v>
      </c>
      <c r="H198" s="340">
        <f>Saldo_relativo_per_capita!H198*Saldo_relativo_per_capita!H$543/1000000</f>
        <v>9.5078072186228643E-2</v>
      </c>
      <c r="I198" s="340">
        <f>Saldo_relativo_per_capita!I198*Saldo_relativo_per_capita!I$543/1000000</f>
        <v>-9.2972877966615297E-2</v>
      </c>
      <c r="J198" s="340">
        <f>Saldo_relativo_per_capita!J198*Saldo_relativo_per_capita!J$543/1000000</f>
        <v>6.3332376187530723E-2</v>
      </c>
      <c r="K198" s="340">
        <f>Saldo_relativo_per_capita!K198*Saldo_relativo_per_capita!K$543/1000000</f>
        <v>-0.11038913209973944</v>
      </c>
      <c r="L198" s="340">
        <f>Saldo_relativo_per_capita!L198*Saldo_relativo_per_capita!L$543/1000000</f>
        <v>-9.200682598463901E-2</v>
      </c>
      <c r="M198" s="340">
        <f>Saldo_relativo_per_capita!M198*Saldo_relativo_per_capita!M$543/1000000</f>
        <v>0.3244539489781823</v>
      </c>
      <c r="N198" s="340">
        <f>Saldo_relativo_per_capita!N198*Saldo_relativo_per_capita!N$543/1000000</f>
        <v>-0.22274468683814716</v>
      </c>
      <c r="O198" s="340">
        <f>Saldo_relativo_per_capita!O198*Saldo_relativo_per_capita!O$543/1000000</f>
        <v>0.23452078442852264</v>
      </c>
      <c r="P198" s="340">
        <f>Saldo_relativo_per_capita!P198*Saldo_relativo_per_capita!P$543/1000000</f>
        <v>-0.12139510246384286</v>
      </c>
      <c r="Q198" s="340">
        <f>Saldo_relativo_per_capita!Q198*Saldo_relativo_per_capita!Q$543/1000000</f>
        <v>-0.28507153861512918</v>
      </c>
      <c r="R198" s="340">
        <f>Saldo_relativo_per_capita!R198*Saldo_relativo_per_capita!R$543/1000000</f>
        <v>-6.4694047854954403E-2</v>
      </c>
      <c r="S198" s="340">
        <f>Saldo_relativo_per_capita!S198*Saldo_relativo_per_capita!S$543/1000000</f>
        <v>-2.8292918599036189E-2</v>
      </c>
      <c r="T198" s="340">
        <f>Saldo_relativo_per_capita!T198*Saldo_relativo_per_capita!T$543/1000000</f>
        <v>-9.6432768320110968E-2</v>
      </c>
      <c r="U198" s="340">
        <f>Saldo_relativo_per_capita!U198*Saldo_relativo_per_capita!U$543/1000000</f>
        <v>-1.4111139021402997E-2</v>
      </c>
      <c r="V198" s="340">
        <f>Saldo_relativo_per_capita!V198*Saldo_relativo_per_capita!V$543/1000000</f>
        <v>-7.4257555231181348E-3</v>
      </c>
      <c r="W198" s="148"/>
    </row>
    <row r="199" spans="1:23" s="115" customFormat="1">
      <c r="A199" s="355" t="str">
        <f>IF(B199="","",(IF(ISERROR(MATCH(B199,Tot_res!C:C,0)),"Eliminar!!!","")))</f>
        <v/>
      </c>
      <c r="B199" s="115" t="s">
        <v>994</v>
      </c>
      <c r="C199" s="333" t="str">
        <f>VLOOKUP(B199,Tot_res!C:D,2,FALSE)</f>
        <v>IRPF, sobreesfuerzo fiscal de las comunidades forales</v>
      </c>
      <c r="D199" s="340">
        <f>Saldo_relativo_per_capita!D199*Saldo_relativo_per_capita!D$543/1000000</f>
        <v>0</v>
      </c>
      <c r="E199" s="340">
        <f>Saldo_relativo_per_capita!E199*Saldo_relativo_per_capita!E$543/1000000</f>
        <v>199.24695102025333</v>
      </c>
      <c r="F199" s="340">
        <f>Saldo_relativo_per_capita!F199*Saldo_relativo_per_capita!F$543/1000000</f>
        <v>31.615919879669011</v>
      </c>
      <c r="G199" s="340">
        <f>Saldo_relativo_per_capita!G199*Saldo_relativo_per_capita!G$543/1000000</f>
        <v>25.196830606904868</v>
      </c>
      <c r="H199" s="340">
        <f>Saldo_relativo_per_capita!H199*Saldo_relativo_per_capita!H$543/1000000</f>
        <v>26.204682064097536</v>
      </c>
      <c r="I199" s="340">
        <f>Saldo_relativo_per_capita!I199*Saldo_relativo_per_capita!I$543/1000000</f>
        <v>49.963666674622708</v>
      </c>
      <c r="J199" s="340">
        <f>Saldo_relativo_per_capita!J199*Saldo_relativo_per_capita!J$543/1000000</f>
        <v>13.96576079206595</v>
      </c>
      <c r="K199" s="340">
        <f>Saldo_relativo_per_capita!K199*Saldo_relativo_per_capita!K$543/1000000</f>
        <v>59.323169523834267</v>
      </c>
      <c r="L199" s="340">
        <f>Saldo_relativo_per_capita!L199*Saldo_relativo_per_capita!L$543/1000000</f>
        <v>49.444509902524572</v>
      </c>
      <c r="M199" s="340">
        <f>Saldo_relativo_per_capita!M199*Saldo_relativo_per_capita!M$543/1000000</f>
        <v>178.30734790379353</v>
      </c>
      <c r="N199" s="340">
        <f>Saldo_relativo_per_capita!N199*Saldo_relativo_per_capita!N$543/1000000</f>
        <v>119.70309546318074</v>
      </c>
      <c r="O199" s="340">
        <f>Saldo_relativo_per_capita!O199*Saldo_relativo_per_capita!O$543/1000000</f>
        <v>26.06887439077666</v>
      </c>
      <c r="P199" s="340">
        <f>Saldo_relativo_per_capita!P199*Saldo_relativo_per_capita!P$543/1000000</f>
        <v>65.237782975945507</v>
      </c>
      <c r="Q199" s="340">
        <f>Saldo_relativo_per_capita!Q199*Saldo_relativo_per_capita!Q$543/1000000</f>
        <v>153.19757380106708</v>
      </c>
      <c r="R199" s="340">
        <f>Saldo_relativo_per_capita!R199*Saldo_relativo_per_capita!R$543/1000000</f>
        <v>34.766610580966471</v>
      </c>
      <c r="S199" s="340">
        <f>Saldo_relativo_per_capita!S199*Saldo_relativo_per_capita!S$543/1000000</f>
        <v>-276.11726170274449</v>
      </c>
      <c r="T199" s="340">
        <f>Saldo_relativo_per_capita!T199*Saldo_relativo_per_capita!T$543/1000000</f>
        <v>-767.69945074718487</v>
      </c>
      <c r="U199" s="340">
        <f>Saldo_relativo_per_capita!U199*Saldo_relativo_per_capita!U$543/1000000</f>
        <v>7.5833324931364219</v>
      </c>
      <c r="V199" s="340">
        <f>Saldo_relativo_per_capita!V199*Saldo_relativo_per_capita!V$543/1000000</f>
        <v>3.9906043770908997</v>
      </c>
      <c r="W199" s="148"/>
    </row>
    <row r="200" spans="1:23" s="115" customFormat="1">
      <c r="A200" s="355" t="str">
        <f>IF(B200="","",(IF(ISERROR(MATCH(B200,Tot_res!C:C,0)),"Eliminar!!!","")))</f>
        <v/>
      </c>
      <c r="B200" s="115" t="s">
        <v>995</v>
      </c>
      <c r="C200" s="333" t="str">
        <f>VLOOKUP(B200,Tot_res!C:D,2,FALSE)</f>
        <v>Sociedades, sobreesfuerzo fiscal de las comunidades forales</v>
      </c>
      <c r="D200" s="340">
        <f>Saldo_relativo_per_capita!D200*Saldo_relativo_per_capita!D$543/1000000</f>
        <v>0</v>
      </c>
      <c r="E200" s="340">
        <f>Saldo_relativo_per_capita!E200*Saldo_relativo_per_capita!E$543/1000000</f>
        <v>32.364135616805676</v>
      </c>
      <c r="F200" s="340">
        <f>Saldo_relativo_per_capita!F200*Saldo_relativo_per_capita!F$543/1000000</f>
        <v>5.1354458042956992</v>
      </c>
      <c r="G200" s="340">
        <f>Saldo_relativo_per_capita!G200*Saldo_relativo_per_capita!G$543/1000000</f>
        <v>4.0927785278513849</v>
      </c>
      <c r="H200" s="340">
        <f>Saldo_relativo_per_capita!H200*Saldo_relativo_per_capita!H$543/1000000</f>
        <v>4.2564861332885338</v>
      </c>
      <c r="I200" s="340">
        <f>Saldo_relativo_per_capita!I200*Saldo_relativo_per_capita!I$543/1000000</f>
        <v>8.115712064301519</v>
      </c>
      <c r="J200" s="340">
        <f>Saldo_relativo_per_capita!J200*Saldo_relativo_per_capita!J$543/1000000</f>
        <v>2.268490302872165</v>
      </c>
      <c r="K200" s="340">
        <f>Saldo_relativo_per_capita!K200*Saldo_relativo_per_capita!K$543/1000000</f>
        <v>9.6359974085272935</v>
      </c>
      <c r="L200" s="340">
        <f>Saldo_relativo_per_capita!L200*Saldo_relativo_per_capita!L$543/1000000</f>
        <v>8.0313842485305305</v>
      </c>
      <c r="M200" s="340">
        <f>Saldo_relativo_per_capita!M200*Saldo_relativo_per_capita!M$543/1000000</f>
        <v>28.962868237038826</v>
      </c>
      <c r="N200" s="340">
        <f>Saldo_relativo_per_capita!N200*Saldo_relativo_per_capita!N$543/1000000</f>
        <v>19.443646166148962</v>
      </c>
      <c r="O200" s="340">
        <f>Saldo_relativo_per_capita!O200*Saldo_relativo_per_capita!O$543/1000000</f>
        <v>4.2344265838969211</v>
      </c>
      <c r="P200" s="340">
        <f>Saldo_relativo_per_capita!P200*Saldo_relativo_per_capita!P$543/1000000</f>
        <v>10.596721529548617</v>
      </c>
      <c r="Q200" s="340">
        <f>Saldo_relativo_per_capita!Q200*Saldo_relativo_per_capita!Q$543/1000000</f>
        <v>24.884230495247792</v>
      </c>
      <c r="R200" s="340">
        <f>Saldo_relativo_per_capita!R200*Saldo_relativo_per_capita!R$543/1000000</f>
        <v>5.6472196639269789</v>
      </c>
      <c r="S200" s="340">
        <f>Saldo_relativo_per_capita!S200*Saldo_relativo_per_capita!S$543/1000000</f>
        <v>-156.58531587924398</v>
      </c>
      <c r="T200" s="340">
        <f>Saldo_relativo_per_capita!T200*Saldo_relativo_per_capita!T$543/1000000</f>
        <v>-12.964207803975819</v>
      </c>
      <c r="U200" s="340">
        <f>Saldo_relativo_per_capita!U200*Saldo_relativo_per_capita!U$543/1000000</f>
        <v>1.2317779518254643</v>
      </c>
      <c r="V200" s="340">
        <f>Saldo_relativo_per_capita!V200*Saldo_relativo_per_capita!V$543/1000000</f>
        <v>0.64820294911343446</v>
      </c>
      <c r="W200" s="148"/>
    </row>
    <row r="201" spans="1:23" s="115" customFormat="1">
      <c r="A201" s="355" t="str">
        <f>IF(B201="","",(IF(ISERROR(MATCH(B201,Tot_res!C:C,0)),"Eliminar!!!","")))</f>
        <v/>
      </c>
      <c r="B201" s="115" t="s">
        <v>1122</v>
      </c>
      <c r="C201" s="333" t="str">
        <f>VLOOKUP(B201,Tot_res!C:D,2,FALSE)</f>
        <v>IH, sobreesfuerso fiscal de las comunidades forales</v>
      </c>
      <c r="D201" s="340">
        <f>Saldo_relativo_per_capita!D201*Saldo_relativo_per_capita!D$543/1000000</f>
        <v>0</v>
      </c>
      <c r="E201" s="340">
        <f>Saldo_relativo_per_capita!E201*Saldo_relativo_per_capita!E$543/1000000</f>
        <v>-2.0807926752961587</v>
      </c>
      <c r="F201" s="340">
        <f>Saldo_relativo_per_capita!F201*Saldo_relativo_per_capita!F$543/1000000</f>
        <v>-0.33017405873216282</v>
      </c>
      <c r="G201" s="340">
        <f>Saldo_relativo_per_capita!G201*Saldo_relativo_per_capita!G$543/1000000</f>
        <v>-0.26313768064735049</v>
      </c>
      <c r="H201" s="340">
        <f>Saldo_relativo_per_capita!H201*Saldo_relativo_per_capita!H$543/1000000</f>
        <v>-0.27366296055338979</v>
      </c>
      <c r="I201" s="340">
        <f>Saldo_relativo_per_capita!I201*Saldo_relativo_per_capita!I$543/1000000</f>
        <v>-0.52178480581580311</v>
      </c>
      <c r="J201" s="340">
        <f>Saldo_relativo_per_capita!J201*Saldo_relativo_per_capita!J$543/1000000</f>
        <v>-0.145848418820297</v>
      </c>
      <c r="K201" s="340">
        <f>Saldo_relativo_per_capita!K201*Saldo_relativo_per_capita!K$543/1000000</f>
        <v>-0.61952876060823203</v>
      </c>
      <c r="L201" s="340">
        <f>Saldo_relativo_per_capita!L201*Saldo_relativo_per_capita!L$543/1000000</f>
        <v>-0.51636310373614425</v>
      </c>
      <c r="M201" s="340">
        <f>Saldo_relativo_per_capita!M201*Saldo_relativo_per_capita!M$543/1000000</f>
        <v>-1.8621144342228022</v>
      </c>
      <c r="N201" s="340">
        <f>Saldo_relativo_per_capita!N201*Saldo_relativo_per_capita!N$543/1000000</f>
        <v>-1.2500935295353393</v>
      </c>
      <c r="O201" s="340">
        <f>Saldo_relativo_per_capita!O201*Saldo_relativo_per_capita!O$543/1000000</f>
        <v>-0.27224468232906524</v>
      </c>
      <c r="P201" s="340">
        <f>Saldo_relativo_per_capita!P201*Saldo_relativo_per_capita!P$543/1000000</f>
        <v>-0.68129675397195577</v>
      </c>
      <c r="Q201" s="340">
        <f>Saldo_relativo_per_capita!Q201*Saldo_relativo_per_capita!Q$543/1000000</f>
        <v>-1.5998859094511315</v>
      </c>
      <c r="R201" s="340">
        <f>Saldo_relativo_per_capita!R201*Saldo_relativo_per_capita!R$543/1000000</f>
        <v>-0.36307761936289518</v>
      </c>
      <c r="S201" s="340">
        <f>Saldo_relativo_per_capita!S201*Saldo_relativo_per_capita!S$543/1000000</f>
        <v>11.442077805771522</v>
      </c>
      <c r="T201" s="340">
        <f>Saldo_relativo_per_capita!T201*Saldo_relativo_per_capita!T$543/1000000</f>
        <v>-0.54120249251891839</v>
      </c>
      <c r="U201" s="340">
        <f>Saldo_relativo_per_capita!U201*Saldo_relativo_per_capita!U$543/1000000</f>
        <v>-7.9194901730012729E-2</v>
      </c>
      <c r="V201" s="340">
        <f>Saldo_relativo_per_capita!V201*Saldo_relativo_per_capita!V$543/1000000</f>
        <v>-4.1675018439862981E-2</v>
      </c>
      <c r="W201" s="148"/>
    </row>
    <row r="202" spans="1:23" s="115" customFormat="1">
      <c r="A202" s="355" t="str">
        <f>IF(B202="","",(IF(ISERROR(MATCH(B202,Tot_res!C:C,0)),"Eliminar!!!","")))</f>
        <v/>
      </c>
      <c r="B202" s="115" t="s">
        <v>996</v>
      </c>
      <c r="C202" s="333" t="str">
        <f>VLOOKUP(B202,Tot_res!C:D,2,FALSE)</f>
        <v>Sucesiones y donaciones, sobreesfuerzo fiscal de las comunidades forales</v>
      </c>
      <c r="D202" s="340">
        <f>Saldo_relativo_per_capita!D202*Saldo_relativo_per_capita!D$543/1000000</f>
        <v>0</v>
      </c>
      <c r="E202" s="340">
        <f>Saldo_relativo_per_capita!E202*Saldo_relativo_per_capita!E$543/1000000</f>
        <v>5.315090721901873</v>
      </c>
      <c r="F202" s="340">
        <f>Saldo_relativo_per_capita!F202*Saldo_relativo_per_capita!F$543/1000000</f>
        <v>0.84338295545481379</v>
      </c>
      <c r="G202" s="340">
        <f>Saldo_relativo_per_capita!G202*Saldo_relativo_per_capita!G$543/1000000</f>
        <v>0.6721480047465318</v>
      </c>
      <c r="H202" s="340">
        <f>Saldo_relativo_per_capita!H202*Saldo_relativo_per_capita!H$543/1000000</f>
        <v>0.69903334427996089</v>
      </c>
      <c r="I202" s="340">
        <f>Saldo_relativo_per_capita!I202*Saldo_relativo_per_capita!I$543/1000000</f>
        <v>1.3328255203638766</v>
      </c>
      <c r="J202" s="340">
        <f>Saldo_relativo_per_capita!J202*Saldo_relativo_per_capita!J$543/1000000</f>
        <v>0.37254916690125578</v>
      </c>
      <c r="K202" s="340">
        <f>Saldo_relativo_per_capita!K202*Saldo_relativo_per_capita!K$543/1000000</f>
        <v>1.5824986345607499</v>
      </c>
      <c r="L202" s="340">
        <f>Saldo_relativo_per_capita!L202*Saldo_relativo_per_capita!L$543/1000000</f>
        <v>1.3189765488816942</v>
      </c>
      <c r="M202" s="340">
        <f>Saldo_relativo_per_capita!M202*Saldo_relativo_per_capita!M$543/1000000</f>
        <v>4.756508070199013</v>
      </c>
      <c r="N202" s="340">
        <f>Saldo_relativo_per_capita!N202*Saldo_relativo_per_capita!N$543/1000000</f>
        <v>3.193187192182497</v>
      </c>
      <c r="O202" s="340">
        <f>Saldo_relativo_per_capita!O202*Saldo_relativo_per_capita!O$543/1000000</f>
        <v>0.69541055306165267</v>
      </c>
      <c r="P202" s="340">
        <f>Saldo_relativo_per_capita!P202*Saldo_relativo_per_capita!P$543/1000000</f>
        <v>1.7402762413044381</v>
      </c>
      <c r="Q202" s="340">
        <f>Saldo_relativo_per_capita!Q202*Saldo_relativo_per_capita!Q$543/1000000</f>
        <v>4.0866823756071442</v>
      </c>
      <c r="R202" s="340">
        <f>Saldo_relativo_per_capita!R202*Saldo_relativo_per_capita!R$543/1000000</f>
        <v>0.92743044942297181</v>
      </c>
      <c r="S202" s="340">
        <f>Saldo_relativo_per_capita!S202*Saldo_relativo_per_capita!S$543/1000000</f>
        <v>48.6527432620613</v>
      </c>
      <c r="T202" s="340">
        <f>Saldo_relativo_per_capita!T202*Saldo_relativo_per_capita!T$543/1000000</f>
        <v>-76.49748816430467</v>
      </c>
      <c r="U202" s="340">
        <f>Saldo_relativo_per_capita!U202*Saldo_relativo_per_capita!U$543/1000000</f>
        <v>0.20229218047742828</v>
      </c>
      <c r="V202" s="340">
        <f>Saldo_relativo_per_capita!V202*Saldo_relativo_per_capita!V$543/1000000</f>
        <v>0.10645294289748414</v>
      </c>
      <c r="W202" s="148"/>
    </row>
    <row r="203" spans="1:23" s="115" customFormat="1">
      <c r="A203" s="355" t="str">
        <f>IF(B203="","",(IF(ISERROR(MATCH(B203,Tot_res!C:C,0)),"Eliminar!!!","")))</f>
        <v/>
      </c>
      <c r="B203" s="115" t="s">
        <v>1107</v>
      </c>
      <c r="C203" s="333" t="s">
        <v>1108</v>
      </c>
      <c r="D203" s="340">
        <f>Saldo_relativo_per_capita!D203*Saldo_relativo_per_capita!D$543/1000000</f>
        <v>0</v>
      </c>
      <c r="E203" s="340">
        <f>Saldo_relativo_per_capita!E203*Saldo_relativo_per_capita!E$543/1000000</f>
        <v>-0.7231887506162924</v>
      </c>
      <c r="F203" s="340">
        <f>Saldo_relativo_per_capita!F203*Saldo_relativo_per_capita!F$543/1000000</f>
        <v>-0.11475346287752478</v>
      </c>
      <c r="G203" s="340">
        <f>Saldo_relativo_per_capita!G203*Saldo_relativo_per_capita!G$543/1000000</f>
        <v>-9.1454671465690973E-2</v>
      </c>
      <c r="H203" s="340">
        <f>Saldo_relativo_per_capita!H203*Saldo_relativo_per_capita!H$543/1000000</f>
        <v>-9.5112779318291873E-2</v>
      </c>
      <c r="I203" s="340">
        <f>Saldo_relativo_per_capita!I203*Saldo_relativo_per_capita!I$543/1000000</f>
        <v>-0.18134863039864718</v>
      </c>
      <c r="J203" s="340">
        <f>Saldo_relativo_per_capita!J203*Saldo_relativo_per_capita!J$543/1000000</f>
        <v>-5.0690266761439833E-2</v>
      </c>
      <c r="K203" s="340">
        <f>Saldo_relativo_per_capita!K203*Saldo_relativo_per_capita!K$543/1000000</f>
        <v>-0.21531997669655317</v>
      </c>
      <c r="L203" s="340">
        <f>Saldo_relativo_per_capita!L203*Saldo_relativo_per_capita!L$543/1000000</f>
        <v>-0.17946429372265224</v>
      </c>
      <c r="M203" s="340">
        <f>Saldo_relativo_per_capita!M203*Saldo_relativo_per_capita!M$543/1000000</f>
        <v>-0.64718615515045619</v>
      </c>
      <c r="N203" s="340">
        <f>Saldo_relativo_per_capita!N203*Saldo_relativo_per_capita!N$543/1000000</f>
        <v>-0.43447556717754188</v>
      </c>
      <c r="O203" s="340">
        <f>Saldo_relativo_per_capita!O203*Saldo_relativo_per_capita!O$543/1000000</f>
        <v>-9.4619850412277912E-2</v>
      </c>
      <c r="P203" s="340">
        <f>Saldo_relativo_per_capita!P203*Saldo_relativo_per_capita!P$543/1000000</f>
        <v>-0.23678771756238881</v>
      </c>
      <c r="Q203" s="340">
        <f>Saldo_relativo_per_capita!Q203*Saldo_relativo_per_capita!Q$543/1000000</f>
        <v>-0.55604746485369871</v>
      </c>
      <c r="R203" s="340">
        <f>Saldo_relativo_per_capita!R203*Saldo_relativo_per_capita!R$543/1000000</f>
        <v>-0.12618924174481627</v>
      </c>
      <c r="S203" s="340">
        <f>Saldo_relativo_per_capita!S203*Saldo_relativo_per_capita!S$543/1000000</f>
        <v>3.9767450409890399</v>
      </c>
      <c r="T203" s="340">
        <f>Saldo_relativo_per_capita!T203*Saldo_relativo_per_capita!T$543/1000000</f>
        <v>-0.18809733379106269</v>
      </c>
      <c r="U203" s="340">
        <f>Saldo_relativo_per_capita!U203*Saldo_relativo_per_capita!U$543/1000000</f>
        <v>-2.7524540391394996E-2</v>
      </c>
      <c r="V203" s="340">
        <f>Saldo_relativo_per_capita!V203*Saldo_relativo_per_capita!V$543/1000000</f>
        <v>-1.4484338048309304E-2</v>
      </c>
      <c r="W203" s="148"/>
    </row>
    <row r="204" spans="1:23" s="115" customFormat="1">
      <c r="A204" s="355" t="str">
        <f>IF(B204="","",(IF(ISERROR(MATCH(B204,Tot_res!C:C,0)),"Eliminar!!!","")))</f>
        <v/>
      </c>
      <c r="B204" s="115" t="s">
        <v>997</v>
      </c>
      <c r="C204" s="333" t="str">
        <f>VLOOKUP(B204,Tot_res!C:D,2,FALSE)</f>
        <v>ITP y AJD, sobreesfuerzo fiscal de las comunidades forales</v>
      </c>
      <c r="D204" s="340">
        <f>Saldo_relativo_per_capita!D204*Saldo_relativo_per_capita!D$543/1000000</f>
        <v>0</v>
      </c>
      <c r="E204" s="340">
        <f>Saldo_relativo_per_capita!E204*Saldo_relativo_per_capita!E$543/1000000</f>
        <v>14.871173371759026</v>
      </c>
      <c r="F204" s="340">
        <f>Saldo_relativo_per_capita!F204*Saldo_relativo_per_capita!F$543/1000000</f>
        <v>2.3597140304064608</v>
      </c>
      <c r="G204" s="340">
        <f>Saldo_relativo_per_capita!G204*Saldo_relativo_per_capita!G$543/1000000</f>
        <v>1.8806131509437143</v>
      </c>
      <c r="H204" s="340">
        <f>Saldo_relativo_per_capita!H204*Saldo_relativo_per_capita!H$543/1000000</f>
        <v>1.9558360523539777</v>
      </c>
      <c r="I204" s="340">
        <f>Saldo_relativo_per_capita!I204*Saldo_relativo_per_capita!I$543/1000000</f>
        <v>3.7291328454585271</v>
      </c>
      <c r="J204" s="340">
        <f>Saldo_relativo_per_capita!J204*Saldo_relativo_per_capita!J$543/1000000</f>
        <v>1.0423609944536423</v>
      </c>
      <c r="K204" s="340">
        <f>Saldo_relativo_per_capita!K204*Saldo_relativo_per_capita!K$543/1000000</f>
        <v>4.4276970585186781</v>
      </c>
      <c r="L204" s="340">
        <f>Saldo_relativo_per_capita!L204*Saldo_relativo_per_capita!L$543/1000000</f>
        <v>3.6903845969886704</v>
      </c>
      <c r="M204" s="340">
        <f>Saldo_relativo_per_capita!M204*Saldo_relativo_per_capita!M$543/1000000</f>
        <v>13.308306453664777</v>
      </c>
      <c r="N204" s="340">
        <f>Saldo_relativo_per_capita!N204*Saldo_relativo_per_capita!N$543/1000000</f>
        <v>8.9342671325908185</v>
      </c>
      <c r="O204" s="340">
        <f>Saldo_relativo_per_capita!O204*Saldo_relativo_per_capita!O$543/1000000</f>
        <v>1.9456997895663748</v>
      </c>
      <c r="P204" s="340">
        <f>Saldo_relativo_per_capita!P204*Saldo_relativo_per_capita!P$543/1000000</f>
        <v>4.8691454301143047</v>
      </c>
      <c r="Q204" s="340">
        <f>Saldo_relativo_per_capita!Q204*Saldo_relativo_per_capita!Q$543/1000000</f>
        <v>11.434190929711825</v>
      </c>
      <c r="R204" s="340">
        <f>Saldo_relativo_per_capita!R204*Saldo_relativo_per_capita!R$543/1000000</f>
        <v>2.5948717952799663</v>
      </c>
      <c r="S204" s="340">
        <f>Saldo_relativo_per_capita!S204*Saldo_relativo_per_capita!S$543/1000000</f>
        <v>-10.191574104745552</v>
      </c>
      <c r="T204" s="340">
        <f>Saldo_relativo_per_capita!T204*Saldo_relativo_per_capita!T$543/1000000</f>
        <v>-67.715662215295083</v>
      </c>
      <c r="U204" s="340">
        <f>Saldo_relativo_per_capita!U204*Saldo_relativo_per_capita!U$543/1000000</f>
        <v>0.56599637617371634</v>
      </c>
      <c r="V204" s="340">
        <f>Saldo_relativo_per_capita!V204*Saldo_relativo_per_capita!V$543/1000000</f>
        <v>0.29784631205617207</v>
      </c>
      <c r="W204" s="220"/>
    </row>
    <row r="205" spans="1:23" s="115" customFormat="1">
      <c r="A205" s="355" t="str">
        <f>IF(B205="","",(IF(ISERROR(MATCH(B205,Tot_res!C:C,0)),"Eliminar!!!","")))</f>
        <v/>
      </c>
      <c r="B205" s="115" t="s">
        <v>998</v>
      </c>
      <c r="C205" s="333" t="str">
        <f>VLOOKUP(B205,Tot_res!C:D,2,FALSE)</f>
        <v>Tasas juego, sobreesfuerzo fiscal de las comunidades forales</v>
      </c>
      <c r="D205" s="340">
        <f>Saldo_relativo_per_capita!D205*Saldo_relativo_per_capita!D$543/1000000</f>
        <v>0</v>
      </c>
      <c r="E205" s="340">
        <f>Saldo_relativo_per_capita!E205*Saldo_relativo_per_capita!E$543/1000000</f>
        <v>-3.0542011220547551</v>
      </c>
      <c r="F205" s="340">
        <f>Saldo_relativo_per_capita!F205*Saldo_relativo_per_capita!F$543/1000000</f>
        <v>-0.48463164669186304</v>
      </c>
      <c r="G205" s="340">
        <f>Saldo_relativo_per_capita!G205*Saldo_relativo_per_capita!G$543/1000000</f>
        <v>-0.38623521171980141</v>
      </c>
      <c r="H205" s="340">
        <f>Saldo_relativo_per_capita!H205*Saldo_relativo_per_capita!H$543/1000000</f>
        <v>-0.40168428652702126</v>
      </c>
      <c r="I205" s="340">
        <f>Saldo_relativo_per_capita!I205*Saldo_relativo_per_capita!I$543/1000000</f>
        <v>-0.76587915668576956</v>
      </c>
      <c r="J205" s="340">
        <f>Saldo_relativo_per_capita!J205*Saldo_relativo_per_capita!J$543/1000000</f>
        <v>-0.21407726473636404</v>
      </c>
      <c r="K205" s="340">
        <f>Saldo_relativo_per_capita!K205*Saldo_relativo_per_capita!K$543/1000000</f>
        <v>-0.90934837394385903</v>
      </c>
      <c r="L205" s="340">
        <f>Saldo_relativo_per_capita!L205*Saldo_relativo_per_capita!L$543/1000000</f>
        <v>-0.75792114685051115</v>
      </c>
      <c r="M205" s="340">
        <f>Saldo_relativo_per_capita!M205*Saldo_relativo_per_capita!M$543/1000000</f>
        <v>-2.7332237670378046</v>
      </c>
      <c r="N205" s="340">
        <f>Saldo_relativo_per_capita!N205*Saldo_relativo_per_capita!N$543/1000000</f>
        <v>-1.8348954732055669</v>
      </c>
      <c r="O205" s="340">
        <f>Saldo_relativo_per_capita!O205*Saldo_relativo_per_capita!O$543/1000000</f>
        <v>-0.39960252845686595</v>
      </c>
      <c r="P205" s="340">
        <f>Saldo_relativo_per_capita!P205*Saldo_relativo_per_capita!P$543/1000000</f>
        <v>-1.0000118393040998</v>
      </c>
      <c r="Q205" s="340">
        <f>Saldo_relativo_per_capita!Q205*Saldo_relativo_per_capita!Q$543/1000000</f>
        <v>-2.3483230202690728</v>
      </c>
      <c r="R205" s="340">
        <f>Saldo_relativo_per_capita!R205*Saldo_relativo_per_capita!R$543/1000000</f>
        <v>-0.5329277085682228</v>
      </c>
      <c r="S205" s="340">
        <f>Saldo_relativo_per_capita!S205*Saldo_relativo_per_capita!S$543/1000000</f>
        <v>-1.7768398054425383</v>
      </c>
      <c r="T205" s="340">
        <f>Saldo_relativo_per_capita!T205*Saldo_relativo_per_capita!T$543/1000000</f>
        <v>17.777216012253451</v>
      </c>
      <c r="U205" s="340">
        <f>Saldo_relativo_per_capita!U205*Saldo_relativo_per_capita!U$543/1000000</f>
        <v>-0.11624279564055784</v>
      </c>
      <c r="V205" s="340">
        <f>Saldo_relativo_per_capita!V205*Saldo_relativo_per_capita!V$543/1000000</f>
        <v>-6.1170865118777798E-2</v>
      </c>
      <c r="W205" s="148"/>
    </row>
    <row r="206" spans="1:23" s="115" customFormat="1">
      <c r="A206" s="355" t="str">
        <f>IF(B206="","",(IF(ISERROR(MATCH(B206,Tot_res!C:C,0)),"Eliminar!!!","")))</f>
        <v/>
      </c>
      <c r="B206" s="115" t="s">
        <v>237</v>
      </c>
      <c r="C206" s="333" t="str">
        <f>VLOOKUP(B206,Tot_res!C:D,2,FALSE)</f>
        <v xml:space="preserve"> Ingresos por tributos propios de las comunidades autónomas y patrimonio</v>
      </c>
      <c r="D206" s="340">
        <f>Saldo_relativo_per_capita!D206*Saldo_relativo_per_capita!D$543/1000000</f>
        <v>0</v>
      </c>
      <c r="E206" s="340">
        <f>Saldo_relativo_per_capita!E206*Saldo_relativo_per_capita!E$543/1000000</f>
        <v>-168.53699570831321</v>
      </c>
      <c r="F206" s="340">
        <f>Saldo_relativo_per_capita!F206*Saldo_relativo_per_capita!F$543/1000000</f>
        <v>-3.862163835265799</v>
      </c>
      <c r="G206" s="340">
        <f>Saldo_relativo_per_capita!G206*Saldo_relativo_per_capita!G$543/1000000</f>
        <v>43.277623805786192</v>
      </c>
      <c r="H206" s="340">
        <f>Saldo_relativo_per_capita!H206*Saldo_relativo_per_capita!H$543/1000000</f>
        <v>54.209593386354662</v>
      </c>
      <c r="I206" s="340">
        <f>Saldo_relativo_per_capita!I206*Saldo_relativo_per_capita!I$543/1000000</f>
        <v>-46.897997557058389</v>
      </c>
      <c r="J206" s="340">
        <f>Saldo_relativo_per_capita!J206*Saldo_relativo_per_capita!J$543/1000000</f>
        <v>4.0029189729750883</v>
      </c>
      <c r="K206" s="340">
        <f>Saldo_relativo_per_capita!K206*Saldo_relativo_per_capita!K$543/1000000</f>
        <v>-42.697497186556255</v>
      </c>
      <c r="L206" s="340">
        <f>Saldo_relativo_per_capita!L206*Saldo_relativo_per_capita!L$543/1000000</f>
        <v>-297.21213164739527</v>
      </c>
      <c r="M206" s="340">
        <f>Saldo_relativo_per_capita!M206*Saldo_relativo_per_capita!M$543/1000000</f>
        <v>666.18690928359513</v>
      </c>
      <c r="N206" s="340">
        <f>Saldo_relativo_per_capita!N206*Saldo_relativo_per_capita!N$543/1000000</f>
        <v>59.480158280712239</v>
      </c>
      <c r="O206" s="340">
        <f>Saldo_relativo_per_capita!O206*Saldo_relativo_per_capita!O$543/1000000</f>
        <v>97.559321054235099</v>
      </c>
      <c r="P206" s="340">
        <f>Saldo_relativo_per_capita!P206*Saldo_relativo_per_capita!P$543/1000000</f>
        <v>-33.948444173506047</v>
      </c>
      <c r="Q206" s="340">
        <f>Saldo_relativo_per_capita!Q206*Saldo_relativo_per_capita!Q$543/1000000</f>
        <v>-346.21212839831753</v>
      </c>
      <c r="R206" s="340">
        <f>Saldo_relativo_per_capita!R206*Saldo_relativo_per_capita!R$543/1000000</f>
        <v>-13.885659842402843</v>
      </c>
      <c r="S206" s="340">
        <f>Saldo_relativo_per_capita!S206*Saldo_relativo_per_capita!S$543/1000000</f>
        <v>13.309710855079325</v>
      </c>
      <c r="T206" s="340">
        <f>Saldo_relativo_per_capita!T206*Saldo_relativo_per_capita!T$543/1000000</f>
        <v>17.85793260097536</v>
      </c>
      <c r="U206" s="340">
        <f>Saldo_relativo_per_capita!U206*Saldo_relativo_per_capita!U$543/1000000</f>
        <v>7.3106431268527459</v>
      </c>
      <c r="V206" s="340">
        <f>Saldo_relativo_per_capita!V206*Saldo_relativo_per_capita!V$543/1000000</f>
        <v>-9.9417930177505802</v>
      </c>
      <c r="W206" s="230"/>
    </row>
    <row r="207" spans="1:23" s="115" customFormat="1">
      <c r="A207" s="356"/>
      <c r="C207" s="140"/>
      <c r="D207" s="218"/>
      <c r="E207" s="218"/>
      <c r="F207" s="218"/>
      <c r="G207" s="218"/>
      <c r="H207" s="218"/>
      <c r="I207" s="218"/>
      <c r="J207" s="218"/>
      <c r="K207" s="218"/>
      <c r="L207" s="218"/>
      <c r="M207" s="218"/>
      <c r="N207" s="218"/>
      <c r="O207" s="218"/>
      <c r="P207" s="218"/>
      <c r="Q207" s="218"/>
      <c r="R207" s="218"/>
      <c r="S207" s="218"/>
      <c r="T207" s="218"/>
      <c r="U207" s="218"/>
      <c r="V207" s="218"/>
      <c r="W207" s="231"/>
    </row>
    <row r="208" spans="1:23" s="115" customFormat="1">
      <c r="A208" s="356"/>
      <c r="C208" s="128" t="s">
        <v>59</v>
      </c>
      <c r="D208" s="219">
        <f>Saldo_relativo_per_capita!D208*Saldo_relativo_per_capita!D$543/1000000</f>
        <v>0</v>
      </c>
      <c r="E208" s="219">
        <f>Saldo_relativo_per_capita!E208*Saldo_relativo_per_capita!E$543/1000000</f>
        <v>-946.66931379235496</v>
      </c>
      <c r="F208" s="219">
        <f>Saldo_relativo_per_capita!F208*Saldo_relativo_per_capita!F$543/1000000</f>
        <v>98.439308300638757</v>
      </c>
      <c r="G208" s="219">
        <f>Saldo_relativo_per_capita!G208*Saldo_relativo_per_capita!G$543/1000000</f>
        <v>-52.938085156695536</v>
      </c>
      <c r="H208" s="219">
        <f>Saldo_relativo_per_capita!H208*Saldo_relativo_per_capita!H$543/1000000</f>
        <v>65.047837065319342</v>
      </c>
      <c r="I208" s="219">
        <f>Saldo_relativo_per_capita!I208*Saldo_relativo_per_capita!I$543/1000000</f>
        <v>307.69073883538408</v>
      </c>
      <c r="J208" s="219">
        <f>Saldo_relativo_per_capita!J208*Saldo_relativo_per_capita!J$543/1000000</f>
        <v>-5.9802021009721633</v>
      </c>
      <c r="K208" s="219">
        <f>Saldo_relativo_per_capita!K208*Saldo_relativo_per_capita!K$543/1000000</f>
        <v>-17.136260203075125</v>
      </c>
      <c r="L208" s="219">
        <f>Saldo_relativo_per_capita!L208*Saldo_relativo_per_capita!L$543/1000000</f>
        <v>-179.50383465852136</v>
      </c>
      <c r="M208" s="219">
        <f>Saldo_relativo_per_capita!M208*Saldo_relativo_per_capita!M$543/1000000</f>
        <v>1062.8306136973288</v>
      </c>
      <c r="N208" s="219">
        <f>Saldo_relativo_per_capita!N208*Saldo_relativo_per_capita!N$543/1000000</f>
        <v>-338.02999245766978</v>
      </c>
      <c r="O208" s="219">
        <f>Saldo_relativo_per_capita!O208*Saldo_relativo_per_capita!O$543/1000000</f>
        <v>-160.98760099713442</v>
      </c>
      <c r="P208" s="219">
        <f>Saldo_relativo_per_capita!P208*Saldo_relativo_per_capita!P$543/1000000</f>
        <v>-451.73079468222414</v>
      </c>
      <c r="Q208" s="219">
        <f>Saldo_relativo_per_capita!Q208*Saldo_relativo_per_capita!Q$543/1000000</f>
        <v>965.70752804855624</v>
      </c>
      <c r="R208" s="219">
        <f>Saldo_relativo_per_capita!R208*Saldo_relativo_per_capita!R$543/1000000</f>
        <v>-191.11014972570726</v>
      </c>
      <c r="S208" s="219">
        <f>Saldo_relativo_per_capita!S208*Saldo_relativo_per_capita!S$543/1000000</f>
        <v>-28.15290917730669</v>
      </c>
      <c r="T208" s="219">
        <f>Saldo_relativo_per_capita!T208*Saldo_relativo_per_capita!T$543/1000000</f>
        <v>-32.470834461162376</v>
      </c>
      <c r="U208" s="219">
        <f>Saldo_relativo_per_capita!U208*Saldo_relativo_per_capita!U$543/1000000</f>
        <v>-7.6187753306867565</v>
      </c>
      <c r="V208" s="219">
        <f>Saldo_relativo_per_capita!V208*Saldo_relativo_per_capita!V$543/1000000</f>
        <v>-87.38727320371936</v>
      </c>
      <c r="W208" s="231"/>
    </row>
    <row r="209" spans="1:23" s="115" customFormat="1">
      <c r="A209" s="356"/>
      <c r="D209" s="218"/>
      <c r="E209" s="218"/>
      <c r="F209" s="218"/>
      <c r="G209" s="218"/>
      <c r="H209" s="218"/>
      <c r="I209" s="218"/>
      <c r="J209" s="218"/>
      <c r="K209" s="218"/>
      <c r="L209" s="218"/>
      <c r="M209" s="218"/>
      <c r="N209" s="218"/>
      <c r="O209" s="218"/>
      <c r="P209" s="218"/>
      <c r="Q209" s="218"/>
      <c r="R209" s="218"/>
      <c r="S209" s="218"/>
      <c r="T209" s="218"/>
      <c r="U209" s="218"/>
      <c r="V209" s="218"/>
      <c r="W209" s="231"/>
    </row>
    <row r="210" spans="1:23" s="115" customFormat="1">
      <c r="A210" s="356"/>
      <c r="C210" s="117" t="s">
        <v>54</v>
      </c>
      <c r="D210" s="219">
        <f>Saldo_relativo_per_capita!D210*Saldo_relativo_per_capita!D$543/1000000</f>
        <v>0</v>
      </c>
      <c r="E210" s="219">
        <f>Saldo_relativo_per_capita!E210*Saldo_relativo_per_capita!E$543/1000000</f>
        <v>-30.053304423717869</v>
      </c>
      <c r="F210" s="219">
        <f>Saldo_relativo_per_capita!F210*Saldo_relativo_per_capita!F$543/1000000</f>
        <v>34.670162941144689</v>
      </c>
      <c r="G210" s="219">
        <f>Saldo_relativo_per_capita!G210*Saldo_relativo_per_capita!G$543/1000000</f>
        <v>21.120845187255664</v>
      </c>
      <c r="H210" s="219">
        <f>Saldo_relativo_per_capita!H210*Saldo_relativo_per_capita!H$543/1000000</f>
        <v>-42.999011716602105</v>
      </c>
      <c r="I210" s="219">
        <f>Saldo_relativo_per_capita!I210*Saldo_relativo_per_capita!I$543/1000000</f>
        <v>418.61070628450773</v>
      </c>
      <c r="J210" s="219">
        <f>Saldo_relativo_per_capita!J210*Saldo_relativo_per_capita!J$543/1000000</f>
        <v>-1.1193124705568143</v>
      </c>
      <c r="K210" s="219">
        <f>Saldo_relativo_per_capita!K210*Saldo_relativo_per_capita!K$543/1000000</f>
        <v>173.53768639302751</v>
      </c>
      <c r="L210" s="219">
        <f>Saldo_relativo_per_capita!L210*Saldo_relativo_per_capita!L$543/1000000</f>
        <v>78.75088787139093</v>
      </c>
      <c r="M210" s="219">
        <f>Saldo_relativo_per_capita!M210*Saldo_relativo_per_capita!M$543/1000000</f>
        <v>-259.14672992844135</v>
      </c>
      <c r="N210" s="219">
        <f>Saldo_relativo_per_capita!N210*Saldo_relativo_per_capita!N$543/1000000</f>
        <v>-133.8492754577444</v>
      </c>
      <c r="O210" s="219">
        <f>Saldo_relativo_per_capita!O210*Saldo_relativo_per_capita!O$543/1000000</f>
        <v>86.462420572239438</v>
      </c>
      <c r="P210" s="219">
        <f>Saldo_relativo_per_capita!P210*Saldo_relativo_per_capita!P$543/1000000</f>
        <v>55.792843549503168</v>
      </c>
      <c r="Q210" s="219">
        <f>Saldo_relativo_per_capita!Q210*Saldo_relativo_per_capita!Q$543/1000000</f>
        <v>-298.87354144299957</v>
      </c>
      <c r="R210" s="219">
        <f>Saldo_relativo_per_capita!R210*Saldo_relativo_per_capita!R$543/1000000</f>
        <v>-51.623188570113932</v>
      </c>
      <c r="S210" s="219">
        <f>Saldo_relativo_per_capita!S210*Saldo_relativo_per_capita!S$543/1000000</f>
        <v>-7.7150068499183497</v>
      </c>
      <c r="T210" s="219">
        <f>Saldo_relativo_per_capita!T210*Saldo_relativo_per_capita!T$543/1000000</f>
        <v>-24.848764728531719</v>
      </c>
      <c r="U210" s="219">
        <f>Saldo_relativo_per_capita!U210*Saldo_relativo_per_capita!U$543/1000000</f>
        <v>-1.2431402678395509</v>
      </c>
      <c r="V210" s="219">
        <f>Saldo_relativo_per_capita!V210*Saldo_relativo_per_capita!V$543/1000000</f>
        <v>-17.474276942604053</v>
      </c>
      <c r="W210" s="231"/>
    </row>
    <row r="211" spans="1:23" s="115" customFormat="1">
      <c r="A211" s="355" t="str">
        <f>IF(B211="","",(IF(ISERROR(MATCH(B211,Tot_res!C:C,0)),"Eliminar!!!","")))</f>
        <v/>
      </c>
      <c r="B211" s="102" t="s">
        <v>734</v>
      </c>
      <c r="C211" s="333" t="str">
        <f>VLOOKUP(B211,Tot_res!C:D,2,FALSE)</f>
        <v>Ajuste por competencias atípicas forales: financiación provincias</v>
      </c>
      <c r="D211" s="340">
        <f>Saldo_relativo_per_capita!D211*Saldo_relativo_per_capita!D$543/1000000</f>
        <v>0</v>
      </c>
      <c r="E211" s="340">
        <f>Saldo_relativo_per_capita!E211*Saldo_relativo_per_capita!E$543/1000000</f>
        <v>-1.5058512703393026</v>
      </c>
      <c r="F211" s="340">
        <f>Saldo_relativo_per_capita!F211*Saldo_relativo_per_capita!F$543/1000000</f>
        <v>-0.13857402944524008</v>
      </c>
      <c r="G211" s="340">
        <f>Saldo_relativo_per_capita!G211*Saldo_relativo_per_capita!G$543/1000000</f>
        <v>-8.7212241852830871E-2</v>
      </c>
      <c r="H211" s="340">
        <f>Saldo_relativo_per_capita!H211*Saldo_relativo_per_capita!H$543/1000000</f>
        <v>7.789934391035383E-2</v>
      </c>
      <c r="I211" s="340">
        <f>Saldo_relativo_per_capita!I211*Saldo_relativo_per_capita!I$543/1000000</f>
        <v>0.11264706917725112</v>
      </c>
      <c r="J211" s="340">
        <f>Saldo_relativo_per_capita!J211*Saldo_relativo_per_capita!J$543/1000000</f>
        <v>-7.3451070341298288E-2</v>
      </c>
      <c r="K211" s="340">
        <f>Saldo_relativo_per_capita!K211*Saldo_relativo_per_capita!K$543/1000000</f>
        <v>0.3466309887275133</v>
      </c>
      <c r="L211" s="340">
        <f>Saldo_relativo_per_capita!L211*Saldo_relativo_per_capita!L$543/1000000</f>
        <v>-0.14837409548637201</v>
      </c>
      <c r="M211" s="340">
        <f>Saldo_relativo_per_capita!M211*Saldo_relativo_per_capita!M$543/1000000</f>
        <v>1.9545080983815557</v>
      </c>
      <c r="N211" s="340">
        <f>Saldo_relativo_per_capita!N211*Saldo_relativo_per_capita!N$543/1000000</f>
        <v>-0.96054976601525321</v>
      </c>
      <c r="O211" s="340">
        <f>Saldo_relativo_per_capita!O211*Saldo_relativo_per_capita!O$543/1000000</f>
        <v>-0.1144894886004902</v>
      </c>
      <c r="P211" s="340">
        <f>Saldo_relativo_per_capita!P211*Saldo_relativo_per_capita!P$543/1000000</f>
        <v>-0.1838569379234706</v>
      </c>
      <c r="Q211" s="340">
        <f>Saldo_relativo_per_capita!Q211*Saldo_relativo_per_capita!Q$543/1000000</f>
        <v>0.96121197682387116</v>
      </c>
      <c r="R211" s="340">
        <f>Saldo_relativo_per_capita!R211*Saldo_relativo_per_capita!R$543/1000000</f>
        <v>-0.17846525206909719</v>
      </c>
      <c r="S211" s="340">
        <f>Saldo_relativo_per_capita!S211*Saldo_relativo_per_capita!S$543/1000000</f>
        <v>-8.7148088683360686E-2</v>
      </c>
      <c r="T211" s="340">
        <f>Saldo_relativo_per_capita!T211*Saldo_relativo_per_capita!T$543/1000000</f>
        <v>-0.16376876996674747</v>
      </c>
      <c r="U211" s="340">
        <f>Saldo_relativo_per_capita!U211*Saldo_relativo_per_capita!U$543/1000000</f>
        <v>-3.0019528502276998E-2</v>
      </c>
      <c r="V211" s="340">
        <f>Saldo_relativo_per_capita!V211*Saldo_relativo_per_capita!V$543/1000000</f>
        <v>0.21886306220518639</v>
      </c>
      <c r="W211" s="231"/>
    </row>
    <row r="212" spans="1:23" s="115" customFormat="1">
      <c r="A212" s="355" t="str">
        <f>IF(B212="","",(IF(ISERROR(MATCH(B212,Tot_res!C:C,0)),"Eliminar!!!","")))</f>
        <v/>
      </c>
      <c r="B212" s="115" t="s">
        <v>735</v>
      </c>
      <c r="C212" s="333" t="str">
        <f>VLOOKUP(B212,Tot_res!C:D,2,FALSE)</f>
        <v xml:space="preserve">Transferencias a CC.LL. por participación en ingresos Estado, participación de las provincias y entes asimilados  </v>
      </c>
      <c r="D212" s="340">
        <f>Saldo_relativo_per_capita!D212*Saldo_relativo_per_capita!D$543/1000000</f>
        <v>0</v>
      </c>
      <c r="E212" s="340">
        <f>Saldo_relativo_per_capita!E212*Saldo_relativo_per_capita!E$543/1000000</f>
        <v>52.514685281381539</v>
      </c>
      <c r="F212" s="340">
        <f>Saldo_relativo_per_capita!F212*Saldo_relativo_per_capita!F$543/1000000</f>
        <v>63.254981489192517</v>
      </c>
      <c r="G212" s="340">
        <f>Saldo_relativo_per_capita!G212*Saldo_relativo_per_capita!G$543/1000000</f>
        <v>69.444702316690865</v>
      </c>
      <c r="H212" s="340">
        <f>Saldo_relativo_per_capita!H212*Saldo_relativo_per_capita!H$543/1000000</f>
        <v>-20.525886560437744</v>
      </c>
      <c r="I212" s="340">
        <f>Saldo_relativo_per_capita!I212*Saldo_relativo_per_capita!I$543/1000000</f>
        <v>131.20619666552668</v>
      </c>
      <c r="J212" s="340">
        <f>Saldo_relativo_per_capita!J212*Saldo_relativo_per_capita!J$543/1000000</f>
        <v>-63.387291673797399</v>
      </c>
      <c r="K212" s="340">
        <f>Saldo_relativo_per_capita!K212*Saldo_relativo_per_capita!K$543/1000000</f>
        <v>278.24650272622989</v>
      </c>
      <c r="L212" s="340">
        <f>Saldo_relativo_per_capita!L212*Saldo_relativo_per_capita!L$543/1000000</f>
        <v>170.55273639623431</v>
      </c>
      <c r="M212" s="340">
        <f>Saldo_relativo_per_capita!M212*Saldo_relativo_per_capita!M$543/1000000</f>
        <v>-77.591270406875665</v>
      </c>
      <c r="N212" s="340">
        <f>Saldo_relativo_per_capita!N212*Saldo_relativo_per_capita!N$543/1000000</f>
        <v>94.262101882747828</v>
      </c>
      <c r="O212" s="340">
        <f>Saldo_relativo_per_capita!O212*Saldo_relativo_per_capita!O$543/1000000</f>
        <v>134.57454317346961</v>
      </c>
      <c r="P212" s="340">
        <f>Saldo_relativo_per_capita!P212*Saldo_relativo_per_capita!P$543/1000000</f>
        <v>170.18077480287988</v>
      </c>
      <c r="Q212" s="340">
        <f>Saldo_relativo_per_capita!Q212*Saldo_relativo_per_capita!Q$543/1000000</f>
        <v>-681.06486837763487</v>
      </c>
      <c r="R212" s="340">
        <f>Saldo_relativo_per_capita!R212*Saldo_relativo_per_capita!R$543/1000000</f>
        <v>23.493118672463329</v>
      </c>
      <c r="S212" s="340">
        <f>Saldo_relativo_per_capita!S212*Saldo_relativo_per_capita!S$543/1000000</f>
        <v>-69.021371814332156</v>
      </c>
      <c r="T212" s="340">
        <f>Saldo_relativo_per_capita!T212*Saldo_relativo_per_capita!T$543/1000000</f>
        <v>-235.29647852203246</v>
      </c>
      <c r="U212" s="340">
        <f>Saldo_relativo_per_capita!U212*Saldo_relativo_per_capita!U$543/1000000</f>
        <v>-33.861585804265872</v>
      </c>
      <c r="V212" s="340">
        <f>Saldo_relativo_per_capita!V212*Saldo_relativo_per_capita!V$543/1000000</f>
        <v>-6.981590247440681</v>
      </c>
      <c r="W212" s="231"/>
    </row>
    <row r="213" spans="1:23" s="115" customFormat="1">
      <c r="A213" s="355" t="str">
        <f>IF(B213="","",(IF(ISERROR(MATCH(B213,Tot_res!C:C,0)),"Eliminar!!!","")))</f>
        <v/>
      </c>
      <c r="B213" s="115" t="s">
        <v>486</v>
      </c>
      <c r="C213" s="333" t="str">
        <f>VLOOKUP(B213,Tot_res!C:D,2,FALSE)</f>
        <v>Otros flujos de financiación local, reintegros parciales de saldos pendientes</v>
      </c>
      <c r="D213" s="340">
        <f>Saldo_relativo_per_capita!D213*Saldo_relativo_per_capita!D$543/1000000</f>
        <v>0</v>
      </c>
      <c r="E213" s="340">
        <f>Saldo_relativo_per_capita!E213*Saldo_relativo_per_capita!E$543/1000000</f>
        <v>3.1249949008413038</v>
      </c>
      <c r="F213" s="340">
        <f>Saldo_relativo_per_capita!F213*Saldo_relativo_per_capita!F$543/1000000</f>
        <v>-12.386499100814698</v>
      </c>
      <c r="G213" s="340">
        <f>Saldo_relativo_per_capita!G213*Saldo_relativo_per_capita!G$543/1000000</f>
        <v>-10.488124698372205</v>
      </c>
      <c r="H213" s="340">
        <f>Saldo_relativo_per_capita!H213*Saldo_relativo_per_capita!H$543/1000000</f>
        <v>-4.9918782208802428</v>
      </c>
      <c r="I213" s="340">
        <f>Saldo_relativo_per_capita!I213*Saldo_relativo_per_capita!I$543/1000000</f>
        <v>0.9156882925435964</v>
      </c>
      <c r="J213" s="340">
        <f>Saldo_relativo_per_capita!J213*Saldo_relativo_per_capita!J$543/1000000</f>
        <v>2.9746764816610654</v>
      </c>
      <c r="K213" s="340">
        <f>Saldo_relativo_per_capita!K213*Saldo_relativo_per_capita!K$543/1000000</f>
        <v>-10.272212993844446</v>
      </c>
      <c r="L213" s="340">
        <f>Saldo_relativo_per_capita!L213*Saldo_relativo_per_capita!L$543/1000000</f>
        <v>-3.1091134256278763</v>
      </c>
      <c r="M213" s="340">
        <f>Saldo_relativo_per_capita!M213*Saldo_relativo_per_capita!M$543/1000000</f>
        <v>13.384057393811084</v>
      </c>
      <c r="N213" s="340">
        <f>Saldo_relativo_per_capita!N213*Saldo_relativo_per_capita!N$543/1000000</f>
        <v>-13.284381529121804</v>
      </c>
      <c r="O213" s="340">
        <f>Saldo_relativo_per_capita!O213*Saldo_relativo_per_capita!O$543/1000000</f>
        <v>-0.45820899006150451</v>
      </c>
      <c r="P213" s="340">
        <f>Saldo_relativo_per_capita!P213*Saldo_relativo_per_capita!P$543/1000000</f>
        <v>-5.401083188938979</v>
      </c>
      <c r="Q213" s="340">
        <f>Saldo_relativo_per_capita!Q213*Saldo_relativo_per_capita!Q$543/1000000</f>
        <v>32.630747914031552</v>
      </c>
      <c r="R213" s="340">
        <f>Saldo_relativo_per_capita!R213*Saldo_relativo_per_capita!R$543/1000000</f>
        <v>-8.6703136794035682</v>
      </c>
      <c r="S213" s="340">
        <f>Saldo_relativo_per_capita!S213*Saldo_relativo_per_capita!S$543/1000000</f>
        <v>3.2319853273470676</v>
      </c>
      <c r="T213" s="340">
        <f>Saldo_relativo_per_capita!T213*Saldo_relativo_per_capita!T$543/1000000</f>
        <v>11.019213293502901</v>
      </c>
      <c r="U213" s="340">
        <f>Saldo_relativo_per_capita!U213*Saldo_relativo_per_capita!U$543/1000000</f>
        <v>1.6152332232959645</v>
      </c>
      <c r="V213" s="340">
        <f>Saldo_relativo_per_capita!V213*Saldo_relativo_per_capita!V$543/1000000</f>
        <v>0.16521900003074594</v>
      </c>
      <c r="W213" s="231"/>
    </row>
    <row r="214" spans="1:23" s="115" customFormat="1">
      <c r="A214" s="355" t="str">
        <f>IF(B214="","",(IF(ISERROR(MATCH(B214,Tot_res!C:C,0)),"Eliminar!!!","")))</f>
        <v/>
      </c>
      <c r="B214" s="115" t="s">
        <v>238</v>
      </c>
      <c r="C214" s="333" t="str">
        <f>VLOOKUP(B214,Tot_res!C:D,2,FALSE)</f>
        <v>Hospitales provinciales asumidos por CCAA</v>
      </c>
      <c r="D214" s="340">
        <f>Saldo_relativo_per_capita!D214*Saldo_relativo_per_capita!D$543/1000000</f>
        <v>0</v>
      </c>
      <c r="E214" s="340">
        <f>Saldo_relativo_per_capita!E214*Saldo_relativo_per_capita!E$543/1000000</f>
        <v>217.08755243649492</v>
      </c>
      <c r="F214" s="340">
        <f>Saldo_relativo_per_capita!F214*Saldo_relativo_per_capita!F$543/1000000</f>
        <v>19.139314538669389</v>
      </c>
      <c r="G214" s="340">
        <f>Saldo_relativo_per_capita!G214*Saldo_relativo_per_capita!G$543/1000000</f>
        <v>-9.5086786362073639</v>
      </c>
      <c r="H214" s="340">
        <f>Saldo_relativo_per_capita!H214*Saldo_relativo_per_capita!H$543/1000000</f>
        <v>11.718362683662942</v>
      </c>
      <c r="I214" s="340">
        <f>Saldo_relativo_per_capita!I214*Saldo_relativo_per_capita!I$543/1000000</f>
        <v>-18.855087661913277</v>
      </c>
      <c r="J214" s="340">
        <f>Saldo_relativo_per_capita!J214*Saldo_relativo_per_capita!J$543/1000000</f>
        <v>-5.2703426614896927</v>
      </c>
      <c r="K214" s="340">
        <f>Saldo_relativo_per_capita!K214*Saldo_relativo_per_capita!K$543/1000000</f>
        <v>-22.38713921935922</v>
      </c>
      <c r="L214" s="340">
        <f>Saldo_relativo_per_capita!L214*Saldo_relativo_per_capita!L$543/1000000</f>
        <v>-18.659170366412667</v>
      </c>
      <c r="M214" s="340">
        <f>Saldo_relativo_per_capita!M214*Saldo_relativo_per_capita!M$543/1000000</f>
        <v>6.9607166199025556</v>
      </c>
      <c r="N214" s="340">
        <f>Saldo_relativo_per_capita!N214*Saldo_relativo_per_capita!N$543/1000000</f>
        <v>-45.173072926351438</v>
      </c>
      <c r="O214" s="340">
        <f>Saldo_relativo_per_capita!O214*Saldo_relativo_per_capita!O$543/1000000</f>
        <v>-9.8377670135077562</v>
      </c>
      <c r="P214" s="340">
        <f>Saldo_relativo_per_capita!P214*Saldo_relativo_per_capita!P$543/1000000</f>
        <v>-24.619172265535386</v>
      </c>
      <c r="Q214" s="340">
        <f>Saldo_relativo_per_capita!Q214*Saldo_relativo_per_capita!Q$543/1000000</f>
        <v>-57.813084504438265</v>
      </c>
      <c r="R214" s="340">
        <f>Saldo_relativo_per_capita!R214*Saldo_relativo_per_capita!R$543/1000000</f>
        <v>-13.120083729657029</v>
      </c>
      <c r="S214" s="340">
        <f>Saldo_relativo_per_capita!S214*Saldo_relativo_per_capita!S$543/1000000</f>
        <v>-5.7378611059857763</v>
      </c>
      <c r="T214" s="340">
        <f>Saldo_relativo_per_capita!T214*Saldo_relativo_per_capita!T$543/1000000</f>
        <v>-19.556760422212189</v>
      </c>
      <c r="U214" s="340">
        <f>Saldo_relativo_per_capita!U214*Saldo_relativo_per_capita!U$543/1000000</f>
        <v>-2.8617675291662792</v>
      </c>
      <c r="V214" s="340">
        <f>Saldo_relativo_per_capita!V214*Saldo_relativo_per_capita!V$543/1000000</f>
        <v>-1.5059582364934974</v>
      </c>
      <c r="W214" s="148"/>
    </row>
    <row r="215" spans="1:23" s="115" customFormat="1">
      <c r="A215" s="355" t="str">
        <f>IF(B215="","",(IF(ISERROR(MATCH(B215,Tot_res!C:C,0)),"Eliminar!!!","")))</f>
        <v/>
      </c>
      <c r="B215" s="115" t="s">
        <v>239</v>
      </c>
      <c r="C215" s="333" t="str">
        <f>VLOOKUP(B215,Tot_res!C:D,2,FALSE)</f>
        <v>Participación provincial en ingresos del Estado integrada en Fondo de Suficiencia</v>
      </c>
      <c r="D215" s="340">
        <f>Saldo_relativo_per_capita!D215*Saldo_relativo_per_capita!D$543/1000000</f>
        <v>0</v>
      </c>
      <c r="E215" s="340">
        <f>Saldo_relativo_per_capita!E215*Saldo_relativo_per_capita!E$543/1000000</f>
        <v>-159.57663758636187</v>
      </c>
      <c r="F215" s="340">
        <f>Saldo_relativo_per_capita!F215*Saldo_relativo_per_capita!F$543/1000000</f>
        <v>-25.321151278669042</v>
      </c>
      <c r="G215" s="340">
        <f>Saldo_relativo_per_capita!G215*Saldo_relativo_per_capita!G$543/1000000</f>
        <v>-20.180110588865642</v>
      </c>
      <c r="H215" s="340">
        <f>Saldo_relativo_per_capita!H215*Saldo_relativo_per_capita!H$543/1000000</f>
        <v>-20.987297579189889</v>
      </c>
      <c r="I215" s="340">
        <f>Saldo_relativo_per_capita!I215*Saldo_relativo_per_capita!I$543/1000000</f>
        <v>-40.01583908107883</v>
      </c>
      <c r="J215" s="340">
        <f>Saldo_relativo_per_capita!J215*Saldo_relativo_per_capita!J$543/1000000</f>
        <v>85.646395428024277</v>
      </c>
      <c r="K215" s="340">
        <f>Saldo_relativo_per_capita!K215*Saldo_relativo_per_capita!K$543/1000000</f>
        <v>-47.511853381469983</v>
      </c>
      <c r="L215" s="340">
        <f>Saldo_relativo_per_capita!L215*Saldo_relativo_per_capita!L$543/1000000</f>
        <v>-39.600047061941794</v>
      </c>
      <c r="M215" s="340">
        <f>Saldo_relativo_per_capita!M215*Saldo_relativo_per_capita!M$543/1000000</f>
        <v>-142.80613524940063</v>
      </c>
      <c r="N215" s="340">
        <f>Saldo_relativo_per_capita!N215*Saldo_relativo_per_capita!N$543/1000000</f>
        <v>-95.87006167412811</v>
      </c>
      <c r="O215" s="340">
        <f>Saldo_relativo_per_capita!O215*Saldo_relativo_per_capita!O$543/1000000</f>
        <v>-20.878529380951463</v>
      </c>
      <c r="P215" s="340">
        <f>Saldo_relativo_per_capita!P215*Saldo_relativo_per_capita!P$543/1000000</f>
        <v>-52.248860008060902</v>
      </c>
      <c r="Q215" s="340">
        <f>Saldo_relativo_per_capita!Q215*Saldo_relativo_per_capita!Q$543/1000000</f>
        <v>619.13496319407602</v>
      </c>
      <c r="R215" s="340">
        <f>Saldo_relativo_per_capita!R215*Saldo_relativo_per_capita!R$543/1000000</f>
        <v>-27.844535579473511</v>
      </c>
      <c r="S215" s="340">
        <f>Saldo_relativo_per_capita!S215*Saldo_relativo_per_capita!S$543/1000000</f>
        <v>-12.177367233911294</v>
      </c>
      <c r="T215" s="340">
        <f>Saldo_relativo_per_capita!T215*Saldo_relativo_per_capita!T$543/1000000</f>
        <v>-41.504987515027217</v>
      </c>
      <c r="U215" s="340">
        <f>Saldo_relativo_per_capita!U215*Saldo_relativo_per_capita!U$543/1000000</f>
        <v>44.938124705346581</v>
      </c>
      <c r="V215" s="340">
        <f>Saldo_relativo_per_capita!V215*Saldo_relativo_per_capita!V$543/1000000</f>
        <v>-3.196070128916817</v>
      </c>
      <c r="W215" s="230"/>
    </row>
    <row r="216" spans="1:23" s="115" customFormat="1">
      <c r="A216" s="355" t="str">
        <f>IF(B216="","",(IF(ISERROR(MATCH(B216,Tot_res!C:C,0)),"Eliminar!!!","")))</f>
        <v/>
      </c>
      <c r="B216" s="115" t="s">
        <v>240</v>
      </c>
      <c r="C216" s="333" t="str">
        <f>VLOOKUP(B216,Tot_res!C:D,2,FALSE)</f>
        <v>Participación de las provincias en el IRPF, IVA e Impuestos Especiales</v>
      </c>
      <c r="D216" s="340">
        <f>Saldo_relativo_per_capita!D216*Saldo_relativo_per_capita!D$543/1000000</f>
        <v>0</v>
      </c>
      <c r="E216" s="340">
        <f>Saldo_relativo_per_capita!E216*Saldo_relativo_per_capita!E$543/1000000</f>
        <v>11.335646023324513</v>
      </c>
      <c r="F216" s="340">
        <f>Saldo_relativo_per_capita!F216*Saldo_relativo_per_capita!F$543/1000000</f>
        <v>10.904322177240562</v>
      </c>
      <c r="G216" s="340">
        <f>Saldo_relativo_per_capita!G216*Saldo_relativo_per_capita!G$543/1000000</f>
        <v>8.1360311235642442</v>
      </c>
      <c r="H216" s="340">
        <f>Saldo_relativo_per_capita!H216*Saldo_relativo_per_capita!H$543/1000000</f>
        <v>11.463983617834804</v>
      </c>
      <c r="I216" s="340">
        <f>Saldo_relativo_per_capita!I216*Saldo_relativo_per_capita!I$543/1000000</f>
        <v>-18.240804258510408</v>
      </c>
      <c r="J216" s="340">
        <f>Saldo_relativo_per_capita!J216*Saldo_relativo_per_capita!J$543/1000000</f>
        <v>-9.0823150756286335</v>
      </c>
      <c r="K216" s="340">
        <f>Saldo_relativo_per_capita!K216*Saldo_relativo_per_capita!K$543/1000000</f>
        <v>17.745673734218613</v>
      </c>
      <c r="L216" s="340">
        <f>Saldo_relativo_per_capita!L216*Saldo_relativo_per_capita!L$543/1000000</f>
        <v>6.8893159072790917</v>
      </c>
      <c r="M216" s="340">
        <f>Saldo_relativo_per_capita!M216*Saldo_relativo_per_capita!M$543/1000000</f>
        <v>74.267212292321233</v>
      </c>
      <c r="N216" s="340">
        <f>Saldo_relativo_per_capita!N216*Saldo_relativo_per_capita!N$543/1000000</f>
        <v>17.882241884722536</v>
      </c>
      <c r="O216" s="340">
        <f>Saldo_relativo_per_capita!O216*Saldo_relativo_per_capita!O$543/1000000</f>
        <v>1.8505388311369184</v>
      </c>
      <c r="P216" s="340">
        <f>Saldo_relativo_per_capita!P216*Saldo_relativo_per_capita!P$543/1000000</f>
        <v>14.20311855062452</v>
      </c>
      <c r="Q216" s="340">
        <f>Saldo_relativo_per_capita!Q216*Saldo_relativo_per_capita!Q$543/1000000</f>
        <v>-99.62855978985543</v>
      </c>
      <c r="R216" s="340">
        <f>Saldo_relativo_per_capita!R216*Saldo_relativo_per_capita!R$543/1000000</f>
        <v>3.3903441779531098</v>
      </c>
      <c r="S216" s="340">
        <f>Saldo_relativo_per_capita!S216*Saldo_relativo_per_capita!S$543/1000000</f>
        <v>-9.8879837179368035</v>
      </c>
      <c r="T216" s="340">
        <f>Saldo_relativo_per_capita!T216*Saldo_relativo_per_capita!T$543/1000000</f>
        <v>-33.701918721715458</v>
      </c>
      <c r="U216" s="340">
        <f>Saldo_relativo_per_capita!U216*Saldo_relativo_per_capita!U$543/1000000</f>
        <v>-4.9316479102982571</v>
      </c>
      <c r="V216" s="340">
        <f>Saldo_relativo_per_capita!V216*Saldo_relativo_per_capita!V$543/1000000</f>
        <v>-2.5951988462750069</v>
      </c>
      <c r="W216" s="148"/>
    </row>
    <row r="217" spans="1:23" s="115" customFormat="1">
      <c r="A217" s="355" t="str">
        <f>IF(B217="","",(IF(ISERROR(MATCH(B217,Tot_res!C:C,0)),"Eliminar!!!","")))</f>
        <v/>
      </c>
      <c r="B217" s="115" t="s">
        <v>740</v>
      </c>
      <c r="C217" s="333" t="str">
        <f>VLOOKUP(B217,Tot_res!C:D,2,FALSE)</f>
        <v>Recursos REF de los cabildos canarios</v>
      </c>
      <c r="D217" s="340">
        <f>Saldo_relativo_per_capita!D217*Saldo_relativo_per_capita!D$543/1000000</f>
        <v>0</v>
      </c>
      <c r="E217" s="340">
        <f>Saldo_relativo_per_capita!E217*Saldo_relativo_per_capita!E$543/1000000</f>
        <v>-72.503267880016409</v>
      </c>
      <c r="F217" s="340">
        <f>Saldo_relativo_per_capita!F217*Saldo_relativo_per_capita!F$543/1000000</f>
        <v>-11.504605197576009</v>
      </c>
      <c r="G217" s="340">
        <f>Saldo_relativo_per_capita!G217*Saldo_relativo_per_capita!G$543/1000000</f>
        <v>-9.168785519002105</v>
      </c>
      <c r="H217" s="340">
        <f>Saldo_relativo_per_capita!H217*Saldo_relativo_per_capita!H$543/1000000</f>
        <v>-9.5355290190151969</v>
      </c>
      <c r="I217" s="340">
        <f>Saldo_relativo_per_capita!I217*Saldo_relativo_per_capita!I$543/1000000</f>
        <v>386.0401185407481</v>
      </c>
      <c r="J217" s="340">
        <f>Saldo_relativo_per_capita!J217*Saldo_relativo_per_capita!J$543/1000000</f>
        <v>-5.0819512703733238</v>
      </c>
      <c r="K217" s="340">
        <f>Saldo_relativo_per_capita!K217*Saldo_relativo_per_capita!K$543/1000000</f>
        <v>-21.586898215777342</v>
      </c>
      <c r="L217" s="340">
        <f>Saldo_relativo_per_capita!L217*Saldo_relativo_per_capita!L$543/1000000</f>
        <v>-17.992187726348007</v>
      </c>
      <c r="M217" s="340">
        <f>Saldo_relativo_per_capita!M217*Saldo_relativo_per_capita!M$543/1000000</f>
        <v>-64.883629806359821</v>
      </c>
      <c r="N217" s="340">
        <f>Saldo_relativo_per_capita!N217*Saldo_relativo_per_capita!N$543/1000000</f>
        <v>-43.558335783778041</v>
      </c>
      <c r="O217" s="340">
        <f>Saldo_relativo_per_capita!O217*Saldo_relativo_per_capita!O$543/1000000</f>
        <v>-9.4861104453882206</v>
      </c>
      <c r="P217" s="340">
        <f>Saldo_relativo_per_capita!P217*Saldo_relativo_per_capita!P$543/1000000</f>
        <v>-23.739145973292988</v>
      </c>
      <c r="Q217" s="340">
        <f>Saldo_relativo_per_capita!Q217*Saldo_relativo_per_capita!Q$543/1000000</f>
        <v>-55.746522970573828</v>
      </c>
      <c r="R217" s="340">
        <f>Saldo_relativo_per_capita!R217*Saldo_relativo_per_capita!R$543/1000000</f>
        <v>-12.65109888670667</v>
      </c>
      <c r="S217" s="340">
        <f>Saldo_relativo_per_capita!S217*Saldo_relativo_per_capita!S$543/1000000</f>
        <v>-5.5327580025978795</v>
      </c>
      <c r="T217" s="340">
        <f>Saldo_relativo_per_capita!T217*Saldo_relativo_per_capita!T$543/1000000</f>
        <v>-18.857692915920541</v>
      </c>
      <c r="U217" s="340">
        <f>Saldo_relativo_per_capita!U217*Saldo_relativo_per_capita!U$543/1000000</f>
        <v>-2.7594720238264236</v>
      </c>
      <c r="V217" s="340">
        <f>Saldo_relativo_per_capita!V217*Saldo_relativo_per_capita!V$543/1000000</f>
        <v>-1.4521269041952725</v>
      </c>
      <c r="W217" s="148"/>
    </row>
    <row r="218" spans="1:23" s="115" customFormat="1">
      <c r="A218" s="355" t="str">
        <f>IF(B218="","",(IF(ISERROR(MATCH(B218,Tot_res!C:C,0)),"Eliminar!!!","")))</f>
        <v/>
      </c>
      <c r="B218" s="115" t="s">
        <v>243</v>
      </c>
      <c r="C218" s="333" t="str">
        <f>VLOOKUP(B218,Tot_res!C:D,2,FALSE)</f>
        <v>Recargo provincial sobre el IAE</v>
      </c>
      <c r="D218" s="340">
        <f>Saldo_relativo_per_capita!D218*Saldo_relativo_per_capita!D$543/1000000</f>
        <v>0</v>
      </c>
      <c r="E218" s="340">
        <f>Saldo_relativo_per_capita!E218*Saldo_relativo_per_capita!E$543/1000000</f>
        <v>-1.7656663412556268</v>
      </c>
      <c r="F218" s="340">
        <f>Saldo_relativo_per_capita!F218*Saldo_relativo_per_capita!F$543/1000000</f>
        <v>3.2205346825872474</v>
      </c>
      <c r="G218" s="340">
        <f>Saldo_relativo_per_capita!G218*Saldo_relativo_per_capita!G$543/1000000</f>
        <v>2.9336391649088647</v>
      </c>
      <c r="H218" s="340">
        <f>Saldo_relativo_per_capita!H218*Saldo_relativo_per_capita!H$543/1000000</f>
        <v>0.14036577567063993</v>
      </c>
      <c r="I218" s="340">
        <f>Saldo_relativo_per_capita!I218*Saldo_relativo_per_capita!I$543/1000000</f>
        <v>-2.8009639224084455</v>
      </c>
      <c r="J218" s="340">
        <f>Saldo_relativo_per_capita!J218*Saldo_relativo_per_capita!J$543/1000000</f>
        <v>-1.3241963437840363</v>
      </c>
      <c r="K218" s="340">
        <f>Saldo_relativo_per_capita!K218*Saldo_relativo_per_capita!K$543/1000000</f>
        <v>2.4081582193895992</v>
      </c>
      <c r="L218" s="340">
        <f>Saldo_relativo_per_capita!L218*Saldo_relativo_per_capita!L$543/1000000</f>
        <v>0.36374857296005603</v>
      </c>
      <c r="M218" s="340">
        <f>Saldo_relativo_per_capita!M218*Saldo_relativo_per_capita!M$543/1000000</f>
        <v>5.4889550734966125E-2</v>
      </c>
      <c r="N218" s="340">
        <f>Saldo_relativo_per_capita!N218*Saldo_relativo_per_capita!N$543/1000000</f>
        <v>0.17288213788429171</v>
      </c>
      <c r="O218" s="340">
        <f>Saldo_relativo_per_capita!O218*Saldo_relativo_per_capita!O$543/1000000</f>
        <v>1.1177892077506315</v>
      </c>
      <c r="P218" s="340">
        <f>Saldo_relativo_per_capita!P218*Saldo_relativo_per_capita!P$543/1000000</f>
        <v>3.3903631708675577</v>
      </c>
      <c r="Q218" s="340">
        <f>Saldo_relativo_per_capita!Q218*Saldo_relativo_per_capita!Q$543/1000000</f>
        <v>3.213448304234058</v>
      </c>
      <c r="R218" s="340">
        <f>Saldo_relativo_per_capita!R218*Saldo_relativo_per_capita!R$543/1000000</f>
        <v>-2.2984873313089307</v>
      </c>
      <c r="S218" s="340">
        <f>Saldo_relativo_per_capita!S218*Saldo_relativo_per_capita!S$543/1000000</f>
        <v>-2.0951007586370749</v>
      </c>
      <c r="T218" s="340">
        <f>Saldo_relativo_per_capita!T218*Saldo_relativo_per_capita!T$543/1000000</f>
        <v>-5.8273030426443695</v>
      </c>
      <c r="U218" s="340">
        <f>Saldo_relativo_per_capita!U218*Saldo_relativo_per_capita!U$543/1000000</f>
        <v>-0.35422119007007546</v>
      </c>
      <c r="V218" s="340">
        <f>Saldo_relativo_per_capita!V218*Saldo_relativo_per_capita!V$543/1000000</f>
        <v>-0.54987985687939023</v>
      </c>
      <c r="W218" s="148"/>
    </row>
    <row r="219" spans="1:23" s="115" customFormat="1">
      <c r="A219" s="355" t="str">
        <f>IF(B219="","",(IF(ISERROR(MATCH(B219,Tot_res!C:C,0)),"Eliminar!!!","")))</f>
        <v/>
      </c>
      <c r="B219" s="115" t="s">
        <v>229</v>
      </c>
      <c r="C219" s="333" t="str">
        <f>VLOOKUP(B219,Tot_res!C:D,2,FALSE)</f>
        <v>Ajuste por competencias atípicas forales: financiación provincias</v>
      </c>
      <c r="D219" s="340">
        <f>Saldo_relativo_per_capita!D219*Saldo_relativo_per_capita!D$543/1000000</f>
        <v>0</v>
      </c>
      <c r="E219" s="340">
        <f>Saldo_relativo_per_capita!E219*Saldo_relativo_per_capita!E$543/1000000</f>
        <v>-78.764759987786789</v>
      </c>
      <c r="F219" s="340">
        <f>Saldo_relativo_per_capita!F219*Saldo_relativo_per_capita!F$543/1000000</f>
        <v>-12.498160340040021</v>
      </c>
      <c r="G219" s="340">
        <f>Saldo_relativo_per_capita!G219*Saldo_relativo_per_capita!G$543/1000000</f>
        <v>-9.9606157336081207</v>
      </c>
      <c r="H219" s="340">
        <f>Saldo_relativo_per_capita!H219*Saldo_relativo_per_capita!H$543/1000000</f>
        <v>-10.359031758157737</v>
      </c>
      <c r="I219" s="340">
        <f>Saldo_relativo_per_capita!I219*Saldo_relativo_per_capita!I$543/1000000</f>
        <v>-19.751249359576953</v>
      </c>
      <c r="J219" s="340">
        <f>Saldo_relativo_per_capita!J219*Saldo_relativo_per_capita!J$543/1000000</f>
        <v>-5.5208362848277783</v>
      </c>
      <c r="K219" s="340">
        <f>Saldo_relativo_per_capita!K219*Saldo_relativo_per_capita!K$543/1000000</f>
        <v>-23.451175465087189</v>
      </c>
      <c r="L219" s="340">
        <f>Saldo_relativo_per_capita!L219*Saldo_relativo_per_capita!L$543/1000000</f>
        <v>-19.546020329265783</v>
      </c>
      <c r="M219" s="340">
        <f>Saldo_relativo_per_capita!M219*Saldo_relativo_per_capita!M$543/1000000</f>
        <v>-70.487078420956593</v>
      </c>
      <c r="N219" s="340">
        <f>Saldo_relativo_per_capita!N219*Saldo_relativo_per_capita!N$543/1000000</f>
        <v>-47.320099683704427</v>
      </c>
      <c r="O219" s="340">
        <f>Saldo_relativo_per_capita!O219*Saldo_relativo_per_capita!O$543/1000000</f>
        <v>-10.305345321608298</v>
      </c>
      <c r="P219" s="340">
        <f>Saldo_relativo_per_capita!P219*Saldo_relativo_per_capita!P$543/1000000</f>
        <v>-25.789294601117142</v>
      </c>
      <c r="Q219" s="340">
        <f>Saldo_relativo_per_capita!Q219*Saldo_relativo_per_capita!Q$543/1000000</f>
        <v>-60.560877189662705</v>
      </c>
      <c r="R219" s="340">
        <f>Saldo_relativo_per_capita!R219*Saldo_relativo_per_capita!R$543/1000000</f>
        <v>-13.743666961911591</v>
      </c>
      <c r="S219" s="340">
        <f>Saldo_relativo_per_capita!S219*Saldo_relativo_per_capita!S$543/1000000</f>
        <v>93.592598544818941</v>
      </c>
      <c r="T219" s="340">
        <f>Saldo_relativo_per_capita!T219*Saldo_relativo_per_capita!T$543/1000000</f>
        <v>319.04093188748431</v>
      </c>
      <c r="U219" s="340">
        <f>Saldo_relativo_per_capita!U219*Saldo_relativo_per_capita!U$543/1000000</f>
        <v>-2.9977842103529104</v>
      </c>
      <c r="V219" s="340">
        <f>Saldo_relativo_per_capita!V219*Saldo_relativo_per_capita!V$543/1000000</f>
        <v>-1.5775347846393182</v>
      </c>
      <c r="W219" s="148"/>
    </row>
    <row r="220" spans="1:23">
      <c r="A220" s="356"/>
      <c r="D220" s="39"/>
      <c r="E220" s="39"/>
      <c r="F220" s="39"/>
      <c r="G220" s="39"/>
      <c r="H220" s="39"/>
      <c r="I220" s="39"/>
      <c r="J220" s="39"/>
      <c r="K220" s="39"/>
      <c r="L220" s="39"/>
      <c r="M220" s="39"/>
      <c r="N220" s="39"/>
      <c r="O220" s="39"/>
      <c r="P220" s="39"/>
      <c r="Q220" s="39"/>
      <c r="R220" s="39"/>
      <c r="S220" s="39"/>
      <c r="T220" s="39"/>
      <c r="U220" s="39"/>
      <c r="V220" s="39"/>
      <c r="W220" s="35"/>
    </row>
    <row r="221" spans="1:23" s="115" customFormat="1">
      <c r="A221" s="356"/>
      <c r="C221" s="128" t="s">
        <v>477</v>
      </c>
      <c r="D221" s="219">
        <f>Saldo_relativo_per_capita!D221*Saldo_relativo_per_capita!D$543/1000000</f>
        <v>0</v>
      </c>
      <c r="E221" s="219">
        <f>Saldo_relativo_per_capita!E221*Saldo_relativo_per_capita!E$543/1000000</f>
        <v>-916.61600936863613</v>
      </c>
      <c r="F221" s="219">
        <f>Saldo_relativo_per_capita!F221*Saldo_relativo_per_capita!F$543/1000000</f>
        <v>63.76914535949421</v>
      </c>
      <c r="G221" s="219">
        <f>Saldo_relativo_per_capita!G221*Saldo_relativo_per_capita!G$543/1000000</f>
        <v>-74.058930343951246</v>
      </c>
      <c r="H221" s="219">
        <f>Saldo_relativo_per_capita!H221*Saldo_relativo_per_capita!H$543/1000000</f>
        <v>108.04684878192141</v>
      </c>
      <c r="I221" s="219">
        <f>Saldo_relativo_per_capita!I221*Saldo_relativo_per_capita!I$543/1000000</f>
        <v>-110.91996744912338</v>
      </c>
      <c r="J221" s="219">
        <f>Saldo_relativo_per_capita!J221*Saldo_relativo_per_capita!J$543/1000000</f>
        <v>-4.8608896304152642</v>
      </c>
      <c r="K221" s="219">
        <f>Saldo_relativo_per_capita!K221*Saldo_relativo_per_capita!K$543/1000000</f>
        <v>-190.67394659610278</v>
      </c>
      <c r="L221" s="219">
        <f>Saldo_relativo_per_capita!L221*Saldo_relativo_per_capita!L$543/1000000</f>
        <v>-258.25472252991239</v>
      </c>
      <c r="M221" s="219">
        <f>Saldo_relativo_per_capita!M221*Saldo_relativo_per_capita!M$543/1000000</f>
        <v>1321.9773436257706</v>
      </c>
      <c r="N221" s="219">
        <f>Saldo_relativo_per_capita!N221*Saldo_relativo_per_capita!N$543/1000000</f>
        <v>-204.18071699992578</v>
      </c>
      <c r="O221" s="219">
        <f>Saldo_relativo_per_capita!O221*Saldo_relativo_per_capita!O$543/1000000</f>
        <v>-247.4500215693738</v>
      </c>
      <c r="P221" s="219">
        <f>Saldo_relativo_per_capita!P221*Saldo_relativo_per_capita!P$543/1000000</f>
        <v>-507.52363823172766</v>
      </c>
      <c r="Q221" s="219">
        <f>Saldo_relativo_per_capita!Q221*Saldo_relativo_per_capita!Q$543/1000000</f>
        <v>1264.5810694915542</v>
      </c>
      <c r="R221" s="219">
        <f>Saldo_relativo_per_capita!R221*Saldo_relativo_per_capita!R$543/1000000</f>
        <v>-139.48696115559335</v>
      </c>
      <c r="S221" s="219">
        <f>Saldo_relativo_per_capita!S221*Saldo_relativo_per_capita!S$543/1000000</f>
        <v>-20.437902327388301</v>
      </c>
      <c r="T221" s="219">
        <f>Saldo_relativo_per_capita!T221*Saldo_relativo_per_capita!T$543/1000000</f>
        <v>-7.6220697326305951</v>
      </c>
      <c r="U221" s="219">
        <f>Saldo_relativo_per_capita!U221*Saldo_relativo_per_capita!U$543/1000000</f>
        <v>-6.3756350628471514</v>
      </c>
      <c r="V221" s="219">
        <f>Saldo_relativo_per_capita!V221*Saldo_relativo_per_capita!V$543/1000000</f>
        <v>-69.91299626111531</v>
      </c>
      <c r="W221" s="148"/>
    </row>
    <row r="222" spans="1:23" s="115" customFormat="1">
      <c r="A222" s="355" t="str">
        <f>IF(B222="","",(IF(ISERROR(MATCH(B222,Tot_res!C:C,0)),"Eliminar!!!","")))</f>
        <v/>
      </c>
      <c r="B222" s="115" t="s">
        <v>742</v>
      </c>
      <c r="C222" s="333" t="str">
        <f>VLOOKUP(B222,Tot_res!C:D,2,FALSE)</f>
        <v xml:space="preserve">Transferencias a CC.LL. por participación en ingresos Estado, parte correspondiente a los municipios (excluyendo provincias y entes asimilados) </v>
      </c>
      <c r="D222" s="340">
        <f>Saldo_relativo_per_capita!D222*Saldo_relativo_per_capita!D$543/1000000</f>
        <v>0</v>
      </c>
      <c r="E222" s="340">
        <f>Saldo_relativo_per_capita!E222*Saldo_relativo_per_capita!E$543/1000000</f>
        <v>13.933648221725953</v>
      </c>
      <c r="F222" s="340">
        <f>Saldo_relativo_per_capita!F222*Saldo_relativo_per_capita!F$543/1000000</f>
        <v>50.320927014712929</v>
      </c>
      <c r="G222" s="340">
        <f>Saldo_relativo_per_capita!G222*Saldo_relativo_per_capita!G$543/1000000</f>
        <v>-22.188862653509471</v>
      </c>
      <c r="H222" s="340">
        <f>Saldo_relativo_per_capita!H222*Saldo_relativo_per_capita!H$543/1000000</f>
        <v>-34.113791427196752</v>
      </c>
      <c r="I222" s="340">
        <f>Saldo_relativo_per_capita!I222*Saldo_relativo_per_capita!I$543/1000000</f>
        <v>-28.482161106908119</v>
      </c>
      <c r="J222" s="340">
        <f>Saldo_relativo_per_capita!J222*Saldo_relativo_per_capita!J$543/1000000</f>
        <v>-14.974973161742602</v>
      </c>
      <c r="K222" s="340">
        <f>Saldo_relativo_per_capita!K222*Saldo_relativo_per_capita!K$543/1000000</f>
        <v>-81.851845655470783</v>
      </c>
      <c r="L222" s="340">
        <f>Saldo_relativo_per_capita!L222*Saldo_relativo_per_capita!L$543/1000000</f>
        <v>-95.744932999373404</v>
      </c>
      <c r="M222" s="340">
        <f>Saldo_relativo_per_capita!M222*Saldo_relativo_per_capita!M$543/1000000</f>
        <v>501.67223155319135</v>
      </c>
      <c r="N222" s="340">
        <f>Saldo_relativo_per_capita!N222*Saldo_relativo_per_capita!N$543/1000000</f>
        <v>-0.57694743680871197</v>
      </c>
      <c r="O222" s="340">
        <f>Saldo_relativo_per_capita!O222*Saldo_relativo_per_capita!O$543/1000000</f>
        <v>-46.574727502879838</v>
      </c>
      <c r="P222" s="340">
        <f>Saldo_relativo_per_capita!P222*Saldo_relativo_per_capita!P$543/1000000</f>
        <v>-81.041848072651533</v>
      </c>
      <c r="Q222" s="340">
        <f>Saldo_relativo_per_capita!Q222*Saldo_relativo_per_capita!Q$543/1000000</f>
        <v>528.97633824745037</v>
      </c>
      <c r="R222" s="340">
        <f>Saldo_relativo_per_capita!R222*Saldo_relativo_per_capita!R$543/1000000</f>
        <v>-48.212634368020133</v>
      </c>
      <c r="S222" s="340">
        <f>Saldo_relativo_per_capita!S222*Saldo_relativo_per_capita!S$543/1000000</f>
        <v>-142.3112600160276</v>
      </c>
      <c r="T222" s="340">
        <f>Saldo_relativo_per_capita!T222*Saldo_relativo_per_capita!T$543/1000000</f>
        <v>-484.78133323099473</v>
      </c>
      <c r="U222" s="340">
        <f>Saldo_relativo_per_capita!U222*Saldo_relativo_per_capita!U$543/1000000</f>
        <v>-11.912731927317676</v>
      </c>
      <c r="V222" s="340">
        <f>Saldo_relativo_per_capita!V222*Saldo_relativo_per_capita!V$543/1000000</f>
        <v>-2.1350954781798035</v>
      </c>
      <c r="W222" s="148"/>
    </row>
    <row r="223" spans="1:23" s="115" customFormat="1">
      <c r="A223" s="355" t="str">
        <f>IF(B223="","",(IF(ISERROR(MATCH(B223,Tot_res!C:C,0)),"Eliminar!!!","")))</f>
        <v/>
      </c>
      <c r="B223" s="115" t="s">
        <v>487</v>
      </c>
      <c r="C223" s="333" t="str">
        <f>VLOOKUP(B223,Tot_res!C:D,2,FALSE)</f>
        <v>Otros flujos de financiación local, para reintegros parciales saldos pendientes</v>
      </c>
      <c r="D223" s="340">
        <f>Saldo_relativo_per_capita!D223*Saldo_relativo_per_capita!D$543/1000000</f>
        <v>0</v>
      </c>
      <c r="E223" s="340">
        <f>Saldo_relativo_per_capita!E223*Saldo_relativo_per_capita!E$543/1000000</f>
        <v>0.37930886143925996</v>
      </c>
      <c r="F223" s="340">
        <f>Saldo_relativo_per_capita!F223*Saldo_relativo_per_capita!F$543/1000000</f>
        <v>-1.2500297103357583</v>
      </c>
      <c r="G223" s="340">
        <f>Saldo_relativo_per_capita!G223*Saldo_relativo_per_capita!G$543/1000000</f>
        <v>-5.5094020866386888</v>
      </c>
      <c r="H223" s="340">
        <f>Saldo_relativo_per_capita!H223*Saldo_relativo_per_capita!H$543/1000000</f>
        <v>1.828440409636896</v>
      </c>
      <c r="I223" s="340">
        <f>Saldo_relativo_per_capita!I223*Saldo_relativo_per_capita!I$543/1000000</f>
        <v>-2.1469126525787483</v>
      </c>
      <c r="J223" s="340">
        <f>Saldo_relativo_per_capita!J223*Saldo_relativo_per_capita!J$543/1000000</f>
        <v>1.0471164213658544</v>
      </c>
      <c r="K223" s="340">
        <f>Saldo_relativo_per_capita!K223*Saldo_relativo_per_capita!K$543/1000000</f>
        <v>4.4274826991860152</v>
      </c>
      <c r="L223" s="340">
        <f>Saldo_relativo_per_capita!L223*Saldo_relativo_per_capita!L$543/1000000</f>
        <v>4.3355613126950461</v>
      </c>
      <c r="M223" s="340">
        <f>Saldo_relativo_per_capita!M223*Saldo_relativo_per_capita!M$543/1000000</f>
        <v>-9.6690312739714148</v>
      </c>
      <c r="N223" s="340">
        <f>Saldo_relativo_per_capita!N223*Saldo_relativo_per_capita!N$543/1000000</f>
        <v>1.3571262610882067</v>
      </c>
      <c r="O223" s="340">
        <f>Saldo_relativo_per_capita!O223*Saldo_relativo_per_capita!O$543/1000000</f>
        <v>1.1755293331692507</v>
      </c>
      <c r="P223" s="340">
        <f>Saldo_relativo_per_capita!P223*Saldo_relativo_per_capita!P$543/1000000</f>
        <v>-0.41901954263601515</v>
      </c>
      <c r="Q223" s="340">
        <f>Saldo_relativo_per_capita!Q223*Saldo_relativo_per_capita!Q$543/1000000</f>
        <v>-16.148131685054508</v>
      </c>
      <c r="R223" s="340">
        <f>Saldo_relativo_per_capita!R223*Saldo_relativo_per_capita!R$543/1000000</f>
        <v>0.27148011331532906</v>
      </c>
      <c r="S223" s="340">
        <f>Saldo_relativo_per_capita!S223*Saldo_relativo_per_capita!S$543/1000000</f>
        <v>4.6600920457924992</v>
      </c>
      <c r="T223" s="340">
        <f>Saldo_relativo_per_capita!T223*Saldo_relativo_per_capita!T$543/1000000</f>
        <v>15.889066987089292</v>
      </c>
      <c r="U223" s="340">
        <f>Saldo_relativo_per_capita!U223*Saldo_relativo_per_capita!U$543/1000000</f>
        <v>6.9373296751595703E-2</v>
      </c>
      <c r="V223" s="340">
        <f>Saldo_relativo_per_capita!V223*Saldo_relativo_per_capita!V$543/1000000</f>
        <v>-0.29805079031408294</v>
      </c>
      <c r="W223" s="148"/>
    </row>
    <row r="224" spans="1:23" s="115" customFormat="1">
      <c r="A224" s="355" t="str">
        <f>IF(B224="","",(IF(ISERROR(MATCH(B224,Tot_res!C:C,0)),"Eliminar!!!","")))</f>
        <v/>
      </c>
      <c r="B224" s="115" t="s">
        <v>246</v>
      </c>
      <c r="C224" s="333" t="str">
        <f>VLOOKUP(B224,Tot_res!C:D,2,FALSE)</f>
        <v>Participacón de los municipios en el IRPF, IVA e Impuestos Especiales</v>
      </c>
      <c r="D224" s="340">
        <f>Saldo_relativo_per_capita!D224*Saldo_relativo_per_capita!D$543/1000000</f>
        <v>0</v>
      </c>
      <c r="E224" s="340">
        <f>Saldo_relativo_per_capita!E224*Saldo_relativo_per_capita!E$543/1000000</f>
        <v>-35.317104463375983</v>
      </c>
      <c r="F224" s="340">
        <f>Saldo_relativo_per_capita!F224*Saldo_relativo_per_capita!F$543/1000000</f>
        <v>8.7057323592817184</v>
      </c>
      <c r="G224" s="340">
        <f>Saldo_relativo_per_capita!G224*Saldo_relativo_per_capita!G$543/1000000</f>
        <v>5.2937687248439591</v>
      </c>
      <c r="H224" s="340">
        <f>Saldo_relativo_per_capita!H224*Saldo_relativo_per_capita!H$543/1000000</f>
        <v>-1.857665226305115</v>
      </c>
      <c r="I224" s="340">
        <f>Saldo_relativo_per_capita!I224*Saldo_relativo_per_capita!I$543/1000000</f>
        <v>-23.894548849717491</v>
      </c>
      <c r="J224" s="340">
        <f>Saldo_relativo_per_capita!J224*Saldo_relativo_per_capita!J$543/1000000</f>
        <v>-2.7598512181343215</v>
      </c>
      <c r="K224" s="340">
        <f>Saldo_relativo_per_capita!K224*Saldo_relativo_per_capita!K$543/1000000</f>
        <v>1.336313400494441</v>
      </c>
      <c r="L224" s="340">
        <f>Saldo_relativo_per_capita!L224*Saldo_relativo_per_capita!L$543/1000000</f>
        <v>-15.710964514848342</v>
      </c>
      <c r="M224" s="340">
        <f>Saldo_relativo_per_capita!M224*Saldo_relativo_per_capita!M$543/1000000</f>
        <v>29.962491420523691</v>
      </c>
      <c r="N224" s="340">
        <f>Saldo_relativo_per_capita!N224*Saldo_relativo_per_capita!N$543/1000000</f>
        <v>-25.708170490120533</v>
      </c>
      <c r="O224" s="340">
        <f>Saldo_relativo_per_capita!O224*Saldo_relativo_per_capita!O$543/1000000</f>
        <v>-8.5832176478956903</v>
      </c>
      <c r="P224" s="340">
        <f>Saldo_relativo_per_capita!P224*Saldo_relativo_per_capita!P$543/1000000</f>
        <v>-11.219382922342037</v>
      </c>
      <c r="Q224" s="340">
        <f>Saldo_relativo_per_capita!Q224*Saldo_relativo_per_capita!Q$543/1000000</f>
        <v>134.3829831284572</v>
      </c>
      <c r="R224" s="340">
        <f>Saldo_relativo_per_capita!R224*Saldo_relativo_per_capita!R$543/1000000</f>
        <v>-2.1645652840405987</v>
      </c>
      <c r="S224" s="340">
        <f>Saldo_relativo_per_capita!S224*Saldo_relativo_per_capita!S$543/1000000</f>
        <v>-11.209384309908778</v>
      </c>
      <c r="T224" s="340">
        <f>Saldo_relativo_per_capita!T224*Saldo_relativo_per_capita!T$543/1000000</f>
        <v>-38.20574241518311</v>
      </c>
      <c r="U224" s="340">
        <f>Saldo_relativo_per_capita!U224*Saldo_relativo_per_capita!U$543/1000000</f>
        <v>-0.10867822787617153</v>
      </c>
      <c r="V224" s="340">
        <f>Saldo_relativo_per_capita!V224*Saldo_relativo_per_capita!V$543/1000000</f>
        <v>-2.9420134638529092</v>
      </c>
      <c r="W224" s="148"/>
    </row>
    <row r="225" spans="1:24" s="115" customFormat="1">
      <c r="A225" s="355" t="str">
        <f>IF(B225="","",(IF(ISERROR(MATCH(B225,Tot_res!C:C,0)),"Eliminar!!!","")))</f>
        <v/>
      </c>
      <c r="B225" s="115" t="s">
        <v>247</v>
      </c>
      <c r="C225" s="333" t="str">
        <f>VLOOKUP(B225,Tot_res!C:D,2,FALSE)</f>
        <v>Impuestos municipales</v>
      </c>
      <c r="D225" s="340">
        <f>Saldo_relativo_per_capita!D225*Saldo_relativo_per_capita!D$543/1000000</f>
        <v>0</v>
      </c>
      <c r="E225" s="340">
        <f>Saldo_relativo_per_capita!E225*Saldo_relativo_per_capita!E$543/1000000</f>
        <v>-490.21004442971383</v>
      </c>
      <c r="F225" s="340">
        <f>Saldo_relativo_per_capita!F225*Saldo_relativo_per_capita!F$543/1000000</f>
        <v>-9.4474127081880592</v>
      </c>
      <c r="G225" s="340">
        <f>Saldo_relativo_per_capita!G225*Saldo_relativo_per_capita!G$543/1000000</f>
        <v>-12.572745670456003</v>
      </c>
      <c r="H225" s="340">
        <f>Saldo_relativo_per_capita!H225*Saldo_relativo_per_capita!H$543/1000000</f>
        <v>76.541160354210177</v>
      </c>
      <c r="I225" s="340">
        <f>Saldo_relativo_per_capita!I225*Saldo_relativo_per_capita!I$543/1000000</f>
        <v>-200.61526499702947</v>
      </c>
      <c r="J225" s="340">
        <f>Saldo_relativo_per_capita!J225*Saldo_relativo_per_capita!J$543/1000000</f>
        <v>10.381476834698011</v>
      </c>
      <c r="K225" s="340">
        <f>Saldo_relativo_per_capita!K225*Saldo_relativo_per_capita!K$543/1000000</f>
        <v>-68.58824838274991</v>
      </c>
      <c r="L225" s="340">
        <f>Saldo_relativo_per_capita!L225*Saldo_relativo_per_capita!L$543/1000000</f>
        <v>-111.79713164965926</v>
      </c>
      <c r="M225" s="340">
        <f>Saldo_relativo_per_capita!M225*Saldo_relativo_per_capita!M$543/1000000</f>
        <v>726.76508878549168</v>
      </c>
      <c r="N225" s="340">
        <f>Saldo_relativo_per_capita!N225*Saldo_relativo_per_capita!N$543/1000000</f>
        <v>55.038694643167482</v>
      </c>
      <c r="O225" s="340">
        <f>Saldo_relativo_per_capita!O225*Saldo_relativo_per_capita!O$543/1000000</f>
        <v>-139.04815029823902</v>
      </c>
      <c r="P225" s="340">
        <f>Saldo_relativo_per_capita!P225*Saldo_relativo_per_capita!P$543/1000000</f>
        <v>-289.9017264261654</v>
      </c>
      <c r="Q225" s="340">
        <f>Saldo_relativo_per_capita!Q225*Saldo_relativo_per_capita!Q$543/1000000</f>
        <v>763.20258704651678</v>
      </c>
      <c r="R225" s="340">
        <f>Saldo_relativo_per_capita!R225*Saldo_relativo_per_capita!R$543/1000000</f>
        <v>-62.988521895092845</v>
      </c>
      <c r="S225" s="340">
        <f>Saldo_relativo_per_capita!S225*Saldo_relativo_per_capita!S$543/1000000</f>
        <v>-44.810061095389045</v>
      </c>
      <c r="T225" s="340">
        <f>Saldo_relativo_per_capita!T225*Saldo_relativo_per_capita!T$543/1000000</f>
        <v>-146.35143808620373</v>
      </c>
      <c r="U225" s="340">
        <f>Saldo_relativo_per_capita!U225*Saldo_relativo_per_capita!U$543/1000000</f>
        <v>-6.2876172084680215</v>
      </c>
      <c r="V225" s="340">
        <f>Saldo_relativo_per_capita!V225*Saldo_relativo_per_capita!V$543/1000000</f>
        <v>-49.310644816730616</v>
      </c>
      <c r="W225" s="148"/>
    </row>
    <row r="226" spans="1:24" s="115" customFormat="1">
      <c r="A226" s="355" t="str">
        <f>IF(B226="","",(IF(ISERROR(MATCH(B226,Tot_res!C:C,0)),"Eliminar!!!","")))</f>
        <v/>
      </c>
      <c r="B226" s="115" t="s">
        <v>248</v>
      </c>
      <c r="C226" s="333" t="str">
        <f>VLOOKUP(B226,Tot_res!C:D,2,FALSE)</f>
        <v>Tasas municipales</v>
      </c>
      <c r="D226" s="340">
        <f>Saldo_relativo_per_capita!D226*Saldo_relativo_per_capita!D$543/1000000</f>
        <v>0</v>
      </c>
      <c r="E226" s="340">
        <f>Saldo_relativo_per_capita!E226*Saldo_relativo_per_capita!E$543/1000000</f>
        <v>-241.54163242254532</v>
      </c>
      <c r="F226" s="340">
        <f>Saldo_relativo_per_capita!F226*Saldo_relativo_per_capita!F$543/1000000</f>
        <v>40.103320460060225</v>
      </c>
      <c r="G226" s="340">
        <f>Saldo_relativo_per_capita!G226*Saldo_relativo_per_capita!G$543/1000000</f>
        <v>-16.943230226372357</v>
      </c>
      <c r="H226" s="340">
        <f>Saldo_relativo_per_capita!H226*Saldo_relativo_per_capita!H$543/1000000</f>
        <v>87.937680945658997</v>
      </c>
      <c r="I226" s="340">
        <f>Saldo_relativo_per_capita!I226*Saldo_relativo_per_capita!I$543/1000000</f>
        <v>-44.982411907536608</v>
      </c>
      <c r="J226" s="340">
        <f>Saldo_relativo_per_capita!J226*Saldo_relativo_per_capita!J$543/1000000</f>
        <v>13.49279505903621</v>
      </c>
      <c r="K226" s="340">
        <f>Saldo_relativo_per_capita!K226*Saldo_relativo_per_capita!K$543/1000000</f>
        <v>3.8329048353147881</v>
      </c>
      <c r="L226" s="340">
        <f>Saldo_relativo_per_capita!L226*Saldo_relativo_per_capita!L$543/1000000</f>
        <v>3.8655285110959694</v>
      </c>
      <c r="M226" s="340">
        <f>Saldo_relativo_per_capita!M226*Saldo_relativo_per_capita!M$543/1000000</f>
        <v>226.55023023352069</v>
      </c>
      <c r="N226" s="340">
        <f>Saldo_relativo_per_capita!N226*Saldo_relativo_per_capita!N$543/1000000</f>
        <v>-131.45589753265244</v>
      </c>
      <c r="O226" s="340">
        <f>Saldo_relativo_per_capita!O226*Saldo_relativo_per_capita!O$543/1000000</f>
        <v>-32.80653749444803</v>
      </c>
      <c r="P226" s="340">
        <f>Saldo_relativo_per_capita!P226*Saldo_relativo_per_capita!P$543/1000000</f>
        <v>-66.522699781381988</v>
      </c>
      <c r="Q226" s="340">
        <f>Saldo_relativo_per_capita!Q226*Saldo_relativo_per_capita!Q$543/1000000</f>
        <v>-13.902652373665383</v>
      </c>
      <c r="R226" s="340">
        <f>Saldo_relativo_per_capita!R226*Saldo_relativo_per_capita!R$543/1000000</f>
        <v>-10.681119683616528</v>
      </c>
      <c r="S226" s="340">
        <f>Saldo_relativo_per_capita!S226*Saldo_relativo_per_capita!S$543/1000000</f>
        <v>27.485010582729007</v>
      </c>
      <c r="T226" s="340">
        <f>Saldo_relativo_per_capita!T226*Saldo_relativo_per_capita!T$543/1000000</f>
        <v>149.33912276310065</v>
      </c>
      <c r="U226" s="340">
        <f>Saldo_relativo_per_capita!U226*Saldo_relativo_per_capita!U$543/1000000</f>
        <v>17.81316035830848</v>
      </c>
      <c r="V226" s="340">
        <f>Saldo_relativo_per_capita!V226*Saldo_relativo_per_capita!V$543/1000000</f>
        <v>-11.583572326607065</v>
      </c>
      <c r="W226" s="145"/>
      <c r="X226" s="156"/>
    </row>
    <row r="227" spans="1:24" s="115" customFormat="1">
      <c r="A227" s="355" t="str">
        <f>IF(B227="","",(IF(ISERROR(MATCH(B227,Tot_res!C:C,0)),"Eliminar!!!","")))</f>
        <v/>
      </c>
      <c r="B227" s="115" t="s">
        <v>748</v>
      </c>
      <c r="C227" s="333" t="str">
        <f>VLOOKUP(B227,Tot_res!C:D,2,FALSE)</f>
        <v>Recursos REF de los municipios canarios</v>
      </c>
      <c r="D227" s="340">
        <f>Saldo_relativo_per_capita!D227*Saldo_relativo_per_capita!D$543/1000000</f>
        <v>0</v>
      </c>
      <c r="E227" s="340">
        <f>Saldo_relativo_per_capita!E227*Saldo_relativo_per_capita!E$543/1000000</f>
        <v>-40.79193937057569</v>
      </c>
      <c r="F227" s="340">
        <f>Saldo_relativo_per_capita!F227*Saldo_relativo_per_capita!F$543/1000000</f>
        <v>-6.4727449041131999</v>
      </c>
      <c r="G227" s="340">
        <f>Saldo_relativo_per_capita!G227*Saldo_relativo_per_capita!G$543/1000000</f>
        <v>-5.1585611783994185</v>
      </c>
      <c r="H227" s="340">
        <f>Saldo_relativo_per_capita!H227*Saldo_relativo_per_capita!H$543/1000000</f>
        <v>-5.3648991691482486</v>
      </c>
      <c r="I227" s="340">
        <f>Saldo_relativo_per_capita!I227*Saldo_relativo_per_capita!I$543/1000000</f>
        <v>217.19469439893172</v>
      </c>
      <c r="J227" s="340">
        <f>Saldo_relativo_per_capita!J227*Saldo_relativo_per_capita!J$543/1000000</f>
        <v>-2.8592179934337296</v>
      </c>
      <c r="K227" s="340">
        <f>Saldo_relativo_per_capita!K227*Saldo_relativo_per_capita!K$543/1000000</f>
        <v>-12.145265571670649</v>
      </c>
      <c r="L227" s="340">
        <f>Saldo_relativo_per_capita!L227*Saldo_relativo_per_capita!L$543/1000000</f>
        <v>-10.122802079649349</v>
      </c>
      <c r="M227" s="340">
        <f>Saldo_relativo_per_capita!M227*Saldo_relativo_per_capita!M$543/1000000</f>
        <v>-36.504962749870856</v>
      </c>
      <c r="N227" s="340">
        <f>Saldo_relativo_per_capita!N227*Saldo_relativo_per_capita!N$543/1000000</f>
        <v>-24.506881473473374</v>
      </c>
      <c r="O227" s="340">
        <f>Saldo_relativo_per_capita!O227*Saldo_relativo_per_capita!O$543/1000000</f>
        <v>-5.3370951884710189</v>
      </c>
      <c r="P227" s="340">
        <f>Saldo_relativo_per_capita!P227*Saldo_relativo_per_capita!P$543/1000000</f>
        <v>-13.356167681356576</v>
      </c>
      <c r="Q227" s="340">
        <f>Saldo_relativo_per_capita!Q227*Saldo_relativo_per_capita!Q$543/1000000</f>
        <v>-31.3642246981094</v>
      </c>
      <c r="R227" s="340">
        <f>Saldo_relativo_per_capita!R227*Saldo_relativo_per_capita!R$543/1000000</f>
        <v>-7.1177875680267793</v>
      </c>
      <c r="S227" s="340">
        <f>Saldo_relativo_per_capita!S227*Saldo_relativo_per_capita!S$543/1000000</f>
        <v>-3.1128518147282862</v>
      </c>
      <c r="T227" s="340">
        <f>Saldo_relativo_per_capita!T227*Saldo_relativo_per_capita!T$543/1000000</f>
        <v>-10.609754409527605</v>
      </c>
      <c r="U227" s="340">
        <f>Saldo_relativo_per_capita!U227*Saldo_relativo_per_capita!U$543/1000000</f>
        <v>-1.5525398893330791</v>
      </c>
      <c r="V227" s="340">
        <f>Saldo_relativo_per_capita!V227*Saldo_relativo_per_capita!V$543/1000000</f>
        <v>-0.816998659044469</v>
      </c>
      <c r="W227" s="145"/>
      <c r="X227" s="146"/>
    </row>
    <row r="228" spans="1:24" s="115" customFormat="1">
      <c r="A228" s="355" t="str">
        <f>IF(B228="","",(IF(ISERROR(MATCH(B228,Tot_res!C:C,0)),"Eliminar!!!","")))</f>
        <v/>
      </c>
      <c r="B228" s="115" t="s">
        <v>749</v>
      </c>
      <c r="C228" s="333" t="str">
        <f>VLOOKUP(B228,Tot_res!C:D,2,FALSE)</f>
        <v>Otras aportaciones a Corporaciones Locales, compensaciones por beneficios fiscales</v>
      </c>
      <c r="D228" s="340">
        <f>Saldo_relativo_per_capita!D228*Saldo_relativo_per_capita!D$543/1000000</f>
        <v>0</v>
      </c>
      <c r="E228" s="340">
        <f>Saldo_relativo_per_capita!E228*Saldo_relativo_per_capita!E$543/1000000</f>
        <v>2.9046678856049444</v>
      </c>
      <c r="F228" s="340">
        <f>Saldo_relativo_per_capita!F228*Saldo_relativo_per_capita!F$543/1000000</f>
        <v>2.0935502859748962</v>
      </c>
      <c r="G228" s="340">
        <f>Saldo_relativo_per_capita!G228*Saldo_relativo_per_capita!G$543/1000000</f>
        <v>-0.92329303550278075</v>
      </c>
      <c r="H228" s="340">
        <f>Saldo_relativo_per_capita!H228*Saldo_relativo_per_capita!H$543/1000000</f>
        <v>-1.0346581890991295</v>
      </c>
      <c r="I228" s="340">
        <f>Saldo_relativo_per_capita!I228*Saldo_relativo_per_capita!I$543/1000000</f>
        <v>-2.4846269359474</v>
      </c>
      <c r="J228" s="340">
        <f>Saldo_relativo_per_capita!J228*Saldo_relativo_per_capita!J$543/1000000</f>
        <v>-0.357249525802316</v>
      </c>
      <c r="K228" s="340">
        <f>Saldo_relativo_per_capita!K228*Saldo_relativo_per_capita!K$543/1000000</f>
        <v>-3.6913440628652669E-3</v>
      </c>
      <c r="L228" s="340">
        <f>Saldo_relativo_per_capita!L228*Saldo_relativo_per_capita!L$543/1000000</f>
        <v>-1.4981323247504306</v>
      </c>
      <c r="M228" s="340">
        <f>Saldo_relativo_per_capita!M228*Saldo_relativo_per_capita!M$543/1000000</f>
        <v>-2.0227359103406539</v>
      </c>
      <c r="N228" s="340">
        <f>Saldo_relativo_per_capita!N228*Saldo_relativo_per_capita!N$543/1000000</f>
        <v>-1.5280433283703247</v>
      </c>
      <c r="O228" s="340">
        <f>Saldo_relativo_per_capita!O228*Saldo_relativo_per_capita!O$543/1000000</f>
        <v>0.4962139900256553</v>
      </c>
      <c r="P228" s="340">
        <f>Saldo_relativo_per_capita!P228*Saldo_relativo_per_capita!P$543/1000000</f>
        <v>-3.2891298179582424</v>
      </c>
      <c r="Q228" s="340">
        <f>Saldo_relativo_per_capita!Q228*Saldo_relativo_per_capita!Q$543/1000000</f>
        <v>-1.9529569454170788</v>
      </c>
      <c r="R228" s="340">
        <f>Saldo_relativo_per_capita!R228*Saldo_relativo_per_capita!R$543/1000000</f>
        <v>13.704628192157619</v>
      </c>
      <c r="S228" s="340">
        <f>Saldo_relativo_per_capita!S228*Saldo_relativo_per_capita!S$543/1000000</f>
        <v>-0.98254733854403165</v>
      </c>
      <c r="T228" s="340">
        <f>Saldo_relativo_per_capita!T228*Saldo_relativo_per_capita!T$543/1000000</f>
        <v>-3.3488860306050552</v>
      </c>
      <c r="U228" s="340">
        <f>Saldo_relativo_per_capita!U228*Saldo_relativo_per_capita!U$543/1000000</f>
        <v>0.48476961193797691</v>
      </c>
      <c r="V228" s="340">
        <f>Saldo_relativo_per_capita!V228*Saldo_relativo_per_capita!V$543/1000000</f>
        <v>-0.25787923930078088</v>
      </c>
      <c r="W228" s="145"/>
      <c r="X228" s="145"/>
    </row>
    <row r="229" spans="1:24" s="115" customFormat="1">
      <c r="A229" s="355" t="str">
        <f>IF(B229="","",(IF(ISERROR(MATCH(B229,Tot_res!C:C,0)),"Eliminar!!!","")))</f>
        <v/>
      </c>
      <c r="B229" s="115" t="s">
        <v>251</v>
      </c>
      <c r="C229" s="333" t="str">
        <f>VLOOKUP(B229,Tot_res!C:D,2,FALSE)</f>
        <v xml:space="preserve">Cooperación económica local del Estado </v>
      </c>
      <c r="D229" s="340">
        <f>Saldo_relativo_per_capita!D229*Saldo_relativo_per_capita!D$543/1000000</f>
        <v>0</v>
      </c>
      <c r="E229" s="340">
        <f>Saldo_relativo_per_capita!E229*Saldo_relativo_per_capita!E$543/1000000</f>
        <v>0.19902042145296886</v>
      </c>
      <c r="F229" s="340">
        <f>Saldo_relativo_per_capita!F229*Saldo_relativo_per_capita!F$543/1000000</f>
        <v>-0.26360621541004775</v>
      </c>
      <c r="G229" s="340">
        <f>Saldo_relativo_per_capita!G229*Saldo_relativo_per_capita!G$543/1000000</f>
        <v>-0.10086269266260858</v>
      </c>
      <c r="H229" s="340">
        <f>Saldo_relativo_per_capita!H229*Saldo_relativo_per_capita!H$543/1000000</f>
        <v>0.70453848655366225</v>
      </c>
      <c r="I229" s="340">
        <f>Saldo_relativo_per_capita!I229*Saldo_relativo_per_capita!I$543/1000000</f>
        <v>6.1304561949001428</v>
      </c>
      <c r="J229" s="340">
        <f>Saldo_relativo_per_capita!J229*Saldo_relativo_per_capita!J$543/1000000</f>
        <v>1.2748027861020103E-2</v>
      </c>
      <c r="K229" s="340">
        <f>Saldo_relativo_per_capita!K229*Saldo_relativo_per_capita!K$543/1000000</f>
        <v>-0.1155560640278519</v>
      </c>
      <c r="L229" s="340">
        <f>Saldo_relativo_per_capita!L229*Saldo_relativo_per_capita!L$543/1000000</f>
        <v>-0.27141009749740197</v>
      </c>
      <c r="M229" s="340">
        <f>Saldo_relativo_per_capita!M229*Saldo_relativo_per_capita!M$543/1000000</f>
        <v>-1.863912166983837</v>
      </c>
      <c r="N229" s="340">
        <f>Saldo_relativo_per_capita!N229*Saldo_relativo_per_capita!N$543/1000000</f>
        <v>-0.99933196849762795</v>
      </c>
      <c r="O229" s="340">
        <f>Saldo_relativo_per_capita!O229*Saldo_relativo_per_capita!O$543/1000000</f>
        <v>-0.26407875104513318</v>
      </c>
      <c r="P229" s="340">
        <f>Saldo_relativo_per_capita!P229*Saldo_relativo_per_capita!P$543/1000000</f>
        <v>-0.46223005794056049</v>
      </c>
      <c r="Q229" s="340">
        <f>Saldo_relativo_per_capita!Q229*Saldo_relativo_per_capita!Q$543/1000000</f>
        <v>-1.6014304801071979</v>
      </c>
      <c r="R229" s="340">
        <f>Saldo_relativo_per_capita!R229*Saldo_relativo_per_capita!R$543/1000000</f>
        <v>-0.28269349178829334</v>
      </c>
      <c r="S229" s="340">
        <f>Saldo_relativo_per_capita!S229*Saldo_relativo_per_capita!S$543/1000000</f>
        <v>-0.15893955052755929</v>
      </c>
      <c r="T229" s="340">
        <f>Saldo_relativo_per_capita!T229*Saldo_relativo_per_capita!T$543/1000000</f>
        <v>-0.54172498320653339</v>
      </c>
      <c r="U229" s="340">
        <f>Saldo_relativo_per_capita!U229*Saldo_relativo_per_capita!U$543/1000000</f>
        <v>-7.927135850771147E-2</v>
      </c>
      <c r="V229" s="340">
        <f>Saldo_relativo_per_capita!V229*Saldo_relativo_per_capita!V$543/1000000</f>
        <v>-4.171525256542967E-2</v>
      </c>
      <c r="W229" s="145"/>
      <c r="X229" s="145"/>
    </row>
    <row r="230" spans="1:24" s="115" customFormat="1">
      <c r="A230" s="355" t="str">
        <f>IF(B230="","",(IF(ISERROR(MATCH(B230,Tot_res!C:C,0)),"Eliminar!!!","")))</f>
        <v/>
      </c>
      <c r="B230" s="115" t="s">
        <v>230</v>
      </c>
      <c r="C230" s="333" t="str">
        <f>VLOOKUP(B230,Tot_res!C:D,2,FALSE)</f>
        <v>Ajuste por competencias atípicas forales: financiación municipios</v>
      </c>
      <c r="D230" s="340">
        <f>Saldo_relativo_per_capita!D230*Saldo_relativo_per_capita!D$543/1000000</f>
        <v>0</v>
      </c>
      <c r="E230" s="340">
        <f>Saldo_relativo_per_capita!E230*Saldo_relativo_per_capita!E$543/1000000</f>
        <v>-126.17193407264733</v>
      </c>
      <c r="F230" s="340">
        <f>Saldo_relativo_per_capita!F230*Saldo_relativo_per_capita!F$543/1000000</f>
        <v>-20.020591222488598</v>
      </c>
      <c r="G230" s="340">
        <f>Saldo_relativo_per_capita!G230*Saldo_relativo_per_capita!G$543/1000000</f>
        <v>-15.955741525253789</v>
      </c>
      <c r="H230" s="340">
        <f>Saldo_relativo_per_capita!H230*Saldo_relativo_per_capita!H$543/1000000</f>
        <v>-16.593957402389137</v>
      </c>
      <c r="I230" s="340">
        <f>Saldo_relativo_per_capita!I230*Saldo_relativo_per_capita!I$543/1000000</f>
        <v>-31.639191593237602</v>
      </c>
      <c r="J230" s="340">
        <f>Saldo_relativo_per_capita!J230*Saldo_relativo_per_capita!J$543/1000000</f>
        <v>-8.8437340742634163</v>
      </c>
      <c r="K230" s="340">
        <f>Saldo_relativo_per_capita!K230*Saldo_relativo_per_capita!K$543/1000000</f>
        <v>-37.566040513116114</v>
      </c>
      <c r="L230" s="340">
        <f>Saldo_relativo_per_capita!L230*Saldo_relativo_per_capita!L$543/1000000</f>
        <v>-31.310438687925263</v>
      </c>
      <c r="M230" s="340">
        <f>Saldo_relativo_per_capita!M230*Saldo_relativo_per_capita!M$543/1000000</f>
        <v>-112.9120562657904</v>
      </c>
      <c r="N230" s="340">
        <f>Saldo_relativo_per_capita!N230*Saldo_relativo_per_capita!N$543/1000000</f>
        <v>-75.801265674258801</v>
      </c>
      <c r="O230" s="340">
        <f>Saldo_relativo_per_capita!O230*Saldo_relativo_per_capita!O$543/1000000</f>
        <v>-16.507958009590102</v>
      </c>
      <c r="P230" s="340">
        <f>Saldo_relativo_per_capita!P230*Saldo_relativo_per_capita!P$543/1000000</f>
        <v>-41.311433929294999</v>
      </c>
      <c r="Q230" s="340">
        <f>Saldo_relativo_per_capita!Q230*Saldo_relativo_per_capita!Q$543/1000000</f>
        <v>-97.01144274851643</v>
      </c>
      <c r="R230" s="340">
        <f>Saldo_relativo_per_capita!R230*Saldo_relativo_per_capita!R$543/1000000</f>
        <v>-22.015747170480985</v>
      </c>
      <c r="S230" s="340">
        <f>Saldo_relativo_per_capita!S230*Saldo_relativo_per_capita!S$543/1000000</f>
        <v>150.00203916921546</v>
      </c>
      <c r="T230" s="340">
        <f>Saldo_relativo_per_capita!T230*Saldo_relativo_per_capita!T$543/1000000</f>
        <v>510.98861967290014</v>
      </c>
      <c r="U230" s="340">
        <f>Saldo_relativo_per_capita!U230*Saldo_relativo_per_capita!U$543/1000000</f>
        <v>-4.8020997183425633</v>
      </c>
      <c r="V230" s="340">
        <f>Saldo_relativo_per_capita!V230*Saldo_relativo_per_capita!V$543/1000000</f>
        <v>-2.5270262345201471</v>
      </c>
      <c r="W230" s="145"/>
      <c r="X230" s="146"/>
    </row>
    <row r="231" spans="1:24">
      <c r="A231" s="356"/>
      <c r="D231" s="39"/>
      <c r="E231" s="39"/>
      <c r="F231" s="39"/>
      <c r="G231" s="39"/>
      <c r="H231" s="39"/>
      <c r="I231" s="39"/>
      <c r="J231" s="39"/>
      <c r="K231" s="39"/>
      <c r="L231" s="39"/>
      <c r="M231" s="39"/>
      <c r="N231" s="39"/>
      <c r="O231" s="39"/>
      <c r="P231" s="39"/>
      <c r="Q231" s="39"/>
      <c r="R231" s="39"/>
      <c r="S231" s="39"/>
      <c r="T231" s="39"/>
      <c r="U231" s="39"/>
      <c r="V231" s="39"/>
      <c r="W231" s="45"/>
      <c r="X231" s="46"/>
    </row>
    <row r="232" spans="1:24">
      <c r="A232" s="356"/>
      <c r="D232" s="39"/>
      <c r="E232" s="39"/>
      <c r="F232" s="39"/>
      <c r="G232" s="39"/>
      <c r="H232" s="39"/>
      <c r="I232" s="39"/>
      <c r="J232" s="39"/>
      <c r="K232" s="39"/>
      <c r="L232" s="39"/>
      <c r="M232" s="39"/>
      <c r="N232" s="39"/>
      <c r="O232" s="39"/>
      <c r="P232" s="39"/>
      <c r="Q232" s="39"/>
      <c r="R232" s="39"/>
      <c r="S232" s="39"/>
      <c r="T232" s="39"/>
      <c r="U232" s="39"/>
      <c r="V232" s="39"/>
      <c r="W232" s="45"/>
      <c r="X232" s="46"/>
    </row>
    <row r="233" spans="1:24" s="115" customFormat="1" ht="26.3">
      <c r="A233" s="364"/>
      <c r="C233" s="128" t="s">
        <v>23</v>
      </c>
      <c r="D233" s="219">
        <f>Saldo_relativo_per_capita!D233*Saldo_relativo_per_capita!D$543/1000000</f>
        <v>0</v>
      </c>
      <c r="E233" s="219">
        <f>Saldo_relativo_per_capita!E233*Saldo_relativo_per_capita!E$543/1000000</f>
        <v>-251.70545680701801</v>
      </c>
      <c r="F233" s="219">
        <f>Saldo_relativo_per_capita!F233*Saldo_relativo_per_capita!F$543/1000000</f>
        <v>132.04122155077454</v>
      </c>
      <c r="G233" s="219">
        <f>Saldo_relativo_per_capita!G233*Saldo_relativo_per_capita!G$543/1000000</f>
        <v>104.88221472207678</v>
      </c>
      <c r="H233" s="219">
        <f>Saldo_relativo_per_capita!H233*Saldo_relativo_per_capita!H$543/1000000</f>
        <v>-124.24011850359207</v>
      </c>
      <c r="I233" s="219">
        <f>Saldo_relativo_per_capita!I233*Saldo_relativo_per_capita!I$543/1000000</f>
        <v>-2.4106457005122164</v>
      </c>
      <c r="J233" s="219">
        <f>Saldo_relativo_per_capita!J233*Saldo_relativo_per_capita!J$543/1000000</f>
        <v>60.798302260734012</v>
      </c>
      <c r="K233" s="219">
        <f>Saldo_relativo_per_capita!K233*Saldo_relativo_per_capita!K$543/1000000</f>
        <v>443.48108028167047</v>
      </c>
      <c r="L233" s="219">
        <f>Saldo_relativo_per_capita!L233*Saldo_relativo_per_capita!L$543/1000000</f>
        <v>109.86267206644371</v>
      </c>
      <c r="M233" s="219">
        <f>Saldo_relativo_per_capita!M233*Saldo_relativo_per_capita!M$543/1000000</f>
        <v>-217.23493570545892</v>
      </c>
      <c r="N233" s="219">
        <f>Saldo_relativo_per_capita!N233*Saldo_relativo_per_capita!N$543/1000000</f>
        <v>-391.53464033105024</v>
      </c>
      <c r="O233" s="219">
        <f>Saldo_relativo_per_capita!O233*Saldo_relativo_per_capita!O$543/1000000</f>
        <v>103.95484820940548</v>
      </c>
      <c r="P233" s="219">
        <f>Saldo_relativo_per_capita!P233*Saldo_relativo_per_capita!P$543/1000000</f>
        <v>108.22676549293089</v>
      </c>
      <c r="Q233" s="219">
        <f>Saldo_relativo_per_capita!Q233*Saldo_relativo_per_capita!Q$543/1000000</f>
        <v>-121.47308626292144</v>
      </c>
      <c r="R233" s="219">
        <f>Saldo_relativo_per_capita!R233*Saldo_relativo_per_capita!R$543/1000000</f>
        <v>-98.64881651343525</v>
      </c>
      <c r="S233" s="219">
        <f>Saldo_relativo_per_capita!S233*Saldo_relativo_per_capita!S$543/1000000</f>
        <v>-39.801060625118573</v>
      </c>
      <c r="T233" s="219">
        <f>Saldo_relativo_per_capita!T233*Saldo_relativo_per_capita!T$543/1000000</f>
        <v>193.9090023635664</v>
      </c>
      <c r="U233" s="219">
        <f>Saldo_relativo_per_capita!U233*Saldo_relativo_per_capita!U$543/1000000</f>
        <v>-7.2188280859637981</v>
      </c>
      <c r="V233" s="219">
        <f>Saldo_relativo_per_capita!V233*Saldo_relativo_per_capita!V$543/1000000</f>
        <v>-2.8885184125292946</v>
      </c>
      <c r="W233" s="145"/>
      <c r="X233" s="146"/>
    </row>
    <row r="234" spans="1:24" s="115" customFormat="1">
      <c r="A234" s="355" t="str">
        <f>IF(B234="","",(IF(ISERROR(MATCH(B234,Tot_res!C:C,0)),"Eliminar!!!","")))</f>
        <v/>
      </c>
      <c r="B234" s="115" t="s">
        <v>253</v>
      </c>
      <c r="C234" s="333" t="str">
        <f>VLOOKUP(B234,Tot_res!C:D,2,FALSE)</f>
        <v>Gestión de recursos hídricos para el regadío</v>
      </c>
      <c r="D234" s="340">
        <f>Saldo_relativo_per_capita!D234*Saldo_relativo_per_capita!D$543/1000000</f>
        <v>0</v>
      </c>
      <c r="E234" s="340">
        <f>Saldo_relativo_per_capita!E234*Saldo_relativo_per_capita!E$543/1000000</f>
        <v>0.68757585229604212</v>
      </c>
      <c r="F234" s="340">
        <f>Saldo_relativo_per_capita!F234*Saldo_relativo_per_capita!F$543/1000000</f>
        <v>10.34038766872864</v>
      </c>
      <c r="G234" s="340">
        <f>Saldo_relativo_per_capita!G234*Saldo_relativo_per_capita!G$543/1000000</f>
        <v>-0.73500828566392495</v>
      </c>
      <c r="H234" s="340">
        <f>Saldo_relativo_per_capita!H234*Saldo_relativo_per_capita!H$543/1000000</f>
        <v>-0.12128916924930579</v>
      </c>
      <c r="I234" s="340">
        <f>Saldo_relativo_per_capita!I234*Saldo_relativo_per_capita!I$543/1000000</f>
        <v>-1.4574733449981823</v>
      </c>
      <c r="J234" s="340">
        <f>Saldo_relativo_per_capita!J234*Saldo_relativo_per_capita!J$543/1000000</f>
        <v>-0.40739051898677586</v>
      </c>
      <c r="K234" s="340">
        <f>Saldo_relativo_per_capita!K234*Saldo_relativo_per_capita!K$543/1000000</f>
        <v>4.1662835131282829</v>
      </c>
      <c r="L234" s="340">
        <f>Saldo_relativo_per_capita!L234*Saldo_relativo_per_capita!L$543/1000000</f>
        <v>-1.4423291971089593</v>
      </c>
      <c r="M234" s="340">
        <f>Saldo_relativo_per_capita!M234*Saldo_relativo_per_capita!M$543/1000000</f>
        <v>0.95969068341162334</v>
      </c>
      <c r="N234" s="340">
        <f>Saldo_relativo_per_capita!N234*Saldo_relativo_per_capita!N$543/1000000</f>
        <v>-3.4918188068044991</v>
      </c>
      <c r="O234" s="340">
        <f>Saldo_relativo_per_capita!O234*Saldo_relativo_per_capita!O$543/1000000</f>
        <v>-0.76044638208990334</v>
      </c>
      <c r="P234" s="340">
        <f>Saldo_relativo_per_capita!P234*Saldo_relativo_per_capita!P$543/1000000</f>
        <v>-1.9030294632581579</v>
      </c>
      <c r="Q234" s="340">
        <f>Saldo_relativo_per_capita!Q234*Saldo_relativo_per_capita!Q$543/1000000</f>
        <v>-4.4688749884494579</v>
      </c>
      <c r="R234" s="340">
        <f>Saldo_relativo_per_capita!R234*Saldo_relativo_per_capita!R$543/1000000</f>
        <v>-1.0141651241826728</v>
      </c>
      <c r="S234" s="340">
        <f>Saldo_relativo_per_capita!S234*Saldo_relativo_per_capita!S$543/1000000</f>
        <v>-0.44352907656688484</v>
      </c>
      <c r="T234" s="340">
        <f>Saldo_relativo_per_capita!T234*Saldo_relativo_per_capita!T$543/1000000</f>
        <v>-0.18500656661371917</v>
      </c>
      <c r="U234" s="340">
        <f>Saldo_relativo_per_capita!U234*Saldo_relativo_per_capita!U$543/1000000</f>
        <v>0.39283178682529646</v>
      </c>
      <c r="V234" s="340">
        <f>Saldo_relativo_per_capita!V234*Saldo_relativo_per_capita!V$543/1000000</f>
        <v>-0.11640858041744154</v>
      </c>
      <c r="W234" s="145"/>
      <c r="X234" s="146"/>
    </row>
    <row r="235" spans="1:24" s="115" customFormat="1">
      <c r="A235" s="355" t="str">
        <f>IF(B235="","",(IF(ISERROR(MATCH(B235,Tot_res!C:C,0)),"Eliminar!!!","")))</f>
        <v/>
      </c>
      <c r="B235" s="115" t="s">
        <v>254</v>
      </c>
      <c r="C235" s="333" t="str">
        <f>VLOOKUP(B235,Tot_res!C:D,2,FALSE)</f>
        <v>Subvenciones y apoyo al transporte terrestre</v>
      </c>
      <c r="D235" s="340">
        <f>Saldo_relativo_per_capita!D235*Saldo_relativo_per_capita!D$543/1000000</f>
        <v>0</v>
      </c>
      <c r="E235" s="340">
        <f>Saldo_relativo_per_capita!E235*Saldo_relativo_per_capita!E$543/1000000</f>
        <v>-83.245414345827257</v>
      </c>
      <c r="F235" s="340">
        <f>Saldo_relativo_per_capita!F235*Saldo_relativo_per_capita!F$543/1000000</f>
        <v>-6.6493111683480519</v>
      </c>
      <c r="G235" s="340">
        <f>Saldo_relativo_per_capita!G235*Saldo_relativo_per_capita!G$543/1000000</f>
        <v>-10.847613695704313</v>
      </c>
      <c r="H235" s="340">
        <f>Saldo_relativo_per_capita!H235*Saldo_relativo_per_capita!H$543/1000000</f>
        <v>-17.53228911932673</v>
      </c>
      <c r="I235" s="340">
        <f>Saldo_relativo_per_capita!I235*Saldo_relativo_per_capita!I$543/1000000</f>
        <v>-8.6667233754190978</v>
      </c>
      <c r="J235" s="340">
        <f>Saldo_relativo_per_capita!J235*Saldo_relativo_per_capita!J$543/1000000</f>
        <v>-5.6263470962946593</v>
      </c>
      <c r="K235" s="340">
        <f>Saldo_relativo_per_capita!K235*Saldo_relativo_per_capita!K$543/1000000</f>
        <v>-30.660988418482439</v>
      </c>
      <c r="L235" s="340">
        <f>Saldo_relativo_per_capita!L235*Saldo_relativo_per_capita!L$543/1000000</f>
        <v>-13.34244165414926</v>
      </c>
      <c r="M235" s="340">
        <f>Saldo_relativo_per_capita!M235*Saldo_relativo_per_capita!M$543/1000000</f>
        <v>131.48731223064192</v>
      </c>
      <c r="N235" s="340">
        <f>Saldo_relativo_per_capita!N235*Saldo_relativo_per_capita!N$543/1000000</f>
        <v>-45.040784152877649</v>
      </c>
      <c r="O235" s="340">
        <f>Saldo_relativo_per_capita!O235*Saldo_relativo_per_capita!O$543/1000000</f>
        <v>-14.529533950877338</v>
      </c>
      <c r="P235" s="340">
        <f>Saldo_relativo_per_capita!P235*Saldo_relativo_per_capita!P$543/1000000</f>
        <v>-29.139484343277765</v>
      </c>
      <c r="Q235" s="340">
        <f>Saldo_relativo_per_capita!Q235*Saldo_relativo_per_capita!Q$543/1000000</f>
        <v>173.97687746309137</v>
      </c>
      <c r="R235" s="340">
        <f>Saldo_relativo_per_capita!R235*Saldo_relativo_per_capita!R$543/1000000</f>
        <v>-17.778357286315522</v>
      </c>
      <c r="S235" s="340">
        <f>Saldo_relativo_per_capita!S235*Saldo_relativo_per_capita!S$543/1000000</f>
        <v>-1.8855378656488027</v>
      </c>
      <c r="T235" s="340">
        <f>Saldo_relativo_per_capita!T235*Saldo_relativo_per_capita!T$543/1000000</f>
        <v>-17.258881693538275</v>
      </c>
      <c r="U235" s="340">
        <f>Saldo_relativo_per_capita!U235*Saldo_relativo_per_capita!U$543/1000000</f>
        <v>-0.87647586646565123</v>
      </c>
      <c r="V235" s="340">
        <f>Saldo_relativo_per_capita!V235*Saldo_relativo_per_capita!V$543/1000000</f>
        <v>-2.3840056611803506</v>
      </c>
      <c r="W235" s="145"/>
      <c r="X235" s="146"/>
    </row>
    <row r="236" spans="1:24" s="115" customFormat="1">
      <c r="A236" s="355" t="str">
        <f>IF(B236="","",(IF(ISERROR(MATCH(B236,Tot_res!C:C,0)),"Eliminar!!!","")))</f>
        <v/>
      </c>
      <c r="B236" s="115" t="s">
        <v>255</v>
      </c>
      <c r="C236" s="333" t="str">
        <f>VLOOKUP(B236,Tot_res!C:D,2,FALSE)</f>
        <v>Estudios y servicios de asistencia técnica en obras públicas y urbanismo</v>
      </c>
      <c r="D236" s="340">
        <f>Saldo_relativo_per_capita!D236*Saldo_relativo_per_capita!D$543/1000000</f>
        <v>0</v>
      </c>
      <c r="E236" s="340">
        <f>Saldo_relativo_per_capita!E236*Saldo_relativo_per_capita!E$543/1000000</f>
        <v>-0.97700915286080681</v>
      </c>
      <c r="F236" s="340">
        <f>Saldo_relativo_per_capita!F236*Saldo_relativo_per_capita!F$543/1000000</f>
        <v>0.53005289450920434</v>
      </c>
      <c r="G236" s="340">
        <f>Saldo_relativo_per_capita!G236*Saldo_relativo_per_capita!G$543/1000000</f>
        <v>0.41273970225924572</v>
      </c>
      <c r="H236" s="340">
        <f>Saldo_relativo_per_capita!H236*Saldo_relativo_per_capita!H$543/1000000</f>
        <v>-0.43462929741613882</v>
      </c>
      <c r="I236" s="340">
        <f>Saldo_relativo_per_capita!I236*Saldo_relativo_per_capita!I$543/1000000</f>
        <v>-0.31308469572285319</v>
      </c>
      <c r="J236" s="340">
        <f>Saldo_relativo_per_capita!J236*Saldo_relativo_per_capita!J$543/1000000</f>
        <v>0.20821577753359188</v>
      </c>
      <c r="K236" s="340">
        <f>Saldo_relativo_per_capita!K236*Saldo_relativo_per_capita!K$543/1000000</f>
        <v>1.6298897978664773</v>
      </c>
      <c r="L236" s="340">
        <f>Saldo_relativo_per_capita!L236*Saldo_relativo_per_capita!L$543/1000000</f>
        <v>0.58693325064596946</v>
      </c>
      <c r="M236" s="340">
        <f>Saldo_relativo_per_capita!M236*Saldo_relativo_per_capita!M$543/1000000</f>
        <v>-0.98452552771461133</v>
      </c>
      <c r="N236" s="340">
        <f>Saldo_relativo_per_capita!N236*Saldo_relativo_per_capita!N$543/1000000</f>
        <v>-0.73896287576572117</v>
      </c>
      <c r="O236" s="340">
        <f>Saldo_relativo_per_capita!O236*Saldo_relativo_per_capita!O$543/1000000</f>
        <v>0.37688336823500362</v>
      </c>
      <c r="P236" s="340">
        <f>Saldo_relativo_per_capita!P236*Saldo_relativo_per_capita!P$543/1000000</f>
        <v>0.47862876856062131</v>
      </c>
      <c r="Q236" s="340">
        <f>Saldo_relativo_per_capita!Q236*Saldo_relativo_per_capita!Q$543/1000000</f>
        <v>-0.72906915916023562</v>
      </c>
      <c r="R236" s="340">
        <f>Saldo_relativo_per_capita!R236*Saldo_relativo_per_capita!R$543/1000000</f>
        <v>-0.15721810894509752</v>
      </c>
      <c r="S236" s="340">
        <f>Saldo_relativo_per_capita!S236*Saldo_relativo_per_capita!S$543/1000000</f>
        <v>-4.7685039947599081E-2</v>
      </c>
      <c r="T236" s="340">
        <f>Saldo_relativo_per_capita!T236*Saldo_relativo_per_capita!T$543/1000000</f>
        <v>0.15191365897085066</v>
      </c>
      <c r="U236" s="340">
        <f>Saldo_relativo_per_capita!U236*Saldo_relativo_per_capita!U$543/1000000</f>
        <v>4.798631353567577E-2</v>
      </c>
      <c r="V236" s="340">
        <f>Saldo_relativo_per_capita!V236*Saldo_relativo_per_capita!V$543/1000000</f>
        <v>-4.105967458357454E-2</v>
      </c>
      <c r="W236" s="145"/>
      <c r="X236" s="146"/>
    </row>
    <row r="237" spans="1:24" s="115" customFormat="1">
      <c r="A237" s="355" t="str">
        <f>IF(B237="","",(IF(ISERROR(MATCH(B237,Tot_res!C:C,0)),"Eliminar!!!","")))</f>
        <v/>
      </c>
      <c r="B237" s="115" t="s">
        <v>256</v>
      </c>
      <c r="C237" s="333" t="str">
        <f>VLOOKUP(B237,Tot_res!C:D,2,FALSE)</f>
        <v>Dirección y servicios generales de fomento</v>
      </c>
      <c r="D237" s="340">
        <f>Saldo_relativo_per_capita!D237*Saldo_relativo_per_capita!D$543/1000000</f>
        <v>0</v>
      </c>
      <c r="E237" s="340">
        <f>Saldo_relativo_per_capita!E237*Saldo_relativo_per_capita!E$543/1000000</f>
        <v>-2.1722387443995026</v>
      </c>
      <c r="F237" s="340">
        <f>Saldo_relativo_per_capita!F237*Saldo_relativo_per_capita!F$543/1000000</f>
        <v>0.59445045257086682</v>
      </c>
      <c r="G237" s="340">
        <f>Saldo_relativo_per_capita!G237*Saldo_relativo_per_capita!G$543/1000000</f>
        <v>0.88612586824291373</v>
      </c>
      <c r="H237" s="340">
        <f>Saldo_relativo_per_capita!H237*Saldo_relativo_per_capita!H$543/1000000</f>
        <v>-0.8460735691467014</v>
      </c>
      <c r="I237" s="340">
        <f>Saldo_relativo_per_capita!I237*Saldo_relativo_per_capita!I$543/1000000</f>
        <v>-0.75317151435690444</v>
      </c>
      <c r="J237" s="340">
        <f>Saldo_relativo_per_capita!J237*Saldo_relativo_per_capita!J$543/1000000</f>
        <v>0.40641267117917479</v>
      </c>
      <c r="K237" s="340">
        <f>Saldo_relativo_per_capita!K237*Saldo_relativo_per_capita!K$543/1000000</f>
        <v>3.3609850705000075</v>
      </c>
      <c r="L237" s="340">
        <f>Saldo_relativo_per_capita!L237*Saldo_relativo_per_capita!L$543/1000000</f>
        <v>1.0364907171828039</v>
      </c>
      <c r="M237" s="340">
        <f>Saldo_relativo_per_capita!M237*Saldo_relativo_per_capita!M$543/1000000</f>
        <v>-1.2756697355097464</v>
      </c>
      <c r="N237" s="340">
        <f>Saldo_relativo_per_capita!N237*Saldo_relativo_per_capita!N$543/1000000</f>
        <v>-1.4493719678898815</v>
      </c>
      <c r="O237" s="340">
        <f>Saldo_relativo_per_capita!O237*Saldo_relativo_per_capita!O$543/1000000</f>
        <v>9.6274085427868902E-2</v>
      </c>
      <c r="P237" s="340">
        <f>Saldo_relativo_per_capita!P237*Saldo_relativo_per_capita!P$543/1000000</f>
        <v>1.401603184623792</v>
      </c>
      <c r="Q237" s="340">
        <f>Saldo_relativo_per_capita!Q237*Saldo_relativo_per_capita!Q$543/1000000</f>
        <v>-1.0210930321423368</v>
      </c>
      <c r="R237" s="340">
        <f>Saldo_relativo_per_capita!R237*Saldo_relativo_per_capita!R$543/1000000</f>
        <v>-0.62973630917365342</v>
      </c>
      <c r="S237" s="340">
        <f>Saldo_relativo_per_capita!S237*Saldo_relativo_per_capita!S$543/1000000</f>
        <v>-0.10392474780461722</v>
      </c>
      <c r="T237" s="340">
        <f>Saldo_relativo_per_capita!T237*Saldo_relativo_per_capita!T$543/1000000</f>
        <v>0.50273622539454921</v>
      </c>
      <c r="U237" s="340">
        <f>Saldo_relativo_per_capita!U237*Saldo_relativo_per_capita!U$543/1000000</f>
        <v>9.3282453861212242E-2</v>
      </c>
      <c r="V237" s="340">
        <f>Saldo_relativo_per_capita!V237*Saldo_relativo_per_capita!V$543/1000000</f>
        <v>-0.1270811085598551</v>
      </c>
      <c r="W237" s="145"/>
      <c r="X237" s="145"/>
    </row>
    <row r="238" spans="1:24" s="115" customFormat="1">
      <c r="A238" s="355" t="str">
        <f>IF(B238="","",(IF(ISERROR(MATCH(B238,Tot_res!C:C,0)),"Eliminar!!!","")))</f>
        <v/>
      </c>
      <c r="B238" s="115" t="s">
        <v>756</v>
      </c>
      <c r="C238" s="333" t="str">
        <f>VLOOKUP(B238,Tot_res!C:D,2,FALSE)</f>
        <v>Dirección y Servicios Generales de Agricultura, Alimentación y Medio Ambiente</v>
      </c>
      <c r="D238" s="340">
        <f>Saldo_relativo_per_capita!D238*Saldo_relativo_per_capita!D$543/1000000</f>
        <v>0</v>
      </c>
      <c r="E238" s="340">
        <f>Saldo_relativo_per_capita!E238*Saldo_relativo_per_capita!E$543/1000000</f>
        <v>-0.32387812811168643</v>
      </c>
      <c r="F238" s="340">
        <f>Saldo_relativo_per_capita!F238*Saldo_relativo_per_capita!F$543/1000000</f>
        <v>2.0137679906480015</v>
      </c>
      <c r="G238" s="340">
        <f>Saldo_relativo_per_capita!G238*Saldo_relativo_per_capita!G$543/1000000</f>
        <v>0.23608681458472908</v>
      </c>
      <c r="H238" s="340">
        <f>Saldo_relativo_per_capita!H238*Saldo_relativo_per_capita!H$543/1000000</f>
        <v>-0.52255684597619778</v>
      </c>
      <c r="I238" s="340">
        <f>Saldo_relativo_per_capita!I238*Saldo_relativo_per_capita!I$543/1000000</f>
        <v>7.5827275569052444E-2</v>
      </c>
      <c r="J238" s="340">
        <f>Saldo_relativo_per_capita!J238*Saldo_relativo_per_capita!J$543/1000000</f>
        <v>0.24691394810118036</v>
      </c>
      <c r="K238" s="340">
        <f>Saldo_relativo_per_capita!K238*Saldo_relativo_per_capita!K$543/1000000</f>
        <v>1.3674925528239641</v>
      </c>
      <c r="L238" s="340">
        <f>Saldo_relativo_per_capita!L238*Saldo_relativo_per_capita!L$543/1000000</f>
        <v>1.0394745880416523</v>
      </c>
      <c r="M238" s="340">
        <f>Saldo_relativo_per_capita!M238*Saldo_relativo_per_capita!M$543/1000000</f>
        <v>-3.2005641254736799</v>
      </c>
      <c r="N238" s="340">
        <f>Saldo_relativo_per_capita!N238*Saldo_relativo_per_capita!N$543/1000000</f>
        <v>-0.85426290727456256</v>
      </c>
      <c r="O238" s="340">
        <f>Saldo_relativo_per_capita!O238*Saldo_relativo_per_capita!O$543/1000000</f>
        <v>2.459058843357707</v>
      </c>
      <c r="P238" s="340">
        <f>Saldo_relativo_per_capita!P238*Saldo_relativo_per_capita!P$543/1000000</f>
        <v>-0.90329942929384344</v>
      </c>
      <c r="Q238" s="340">
        <f>Saldo_relativo_per_capita!Q238*Saldo_relativo_per_capita!Q$543/1000000</f>
        <v>-2.129596241482389</v>
      </c>
      <c r="R238" s="340">
        <f>Saldo_relativo_per_capita!R238*Saldo_relativo_per_capita!R$543/1000000</f>
        <v>0.82965382239459273</v>
      </c>
      <c r="S238" s="340">
        <f>Saldo_relativo_per_capita!S238*Saldo_relativo_per_capita!S$543/1000000</f>
        <v>-2.2404075217381768E-2</v>
      </c>
      <c r="T238" s="340">
        <f>Saldo_relativo_per_capita!T238*Saldo_relativo_per_capita!T$543/1000000</f>
        <v>-0.4688450316967453</v>
      </c>
      <c r="U238" s="340">
        <f>Saldo_relativo_per_capita!U238*Saldo_relativo_per_capita!U$543/1000000</f>
        <v>5.810447018139233E-2</v>
      </c>
      <c r="V238" s="340">
        <f>Saldo_relativo_per_capita!V238*Saldo_relativo_per_capita!V$543/1000000</f>
        <v>9.9026478824196282E-2</v>
      </c>
      <c r="W238" s="145"/>
      <c r="X238" s="145"/>
    </row>
    <row r="239" spans="1:24" s="115" customFormat="1">
      <c r="A239" s="355" t="str">
        <f>IF(B239="","",(IF(ISERROR(MATCH(B239,Tot_res!C:C,0)),"Eliminar!!!","")))</f>
        <v/>
      </c>
      <c r="B239" s="115" t="s">
        <v>257</v>
      </c>
      <c r="C239" s="333" t="str">
        <f>VLOOKUP(B239,Tot_res!C:D,2,FALSE)</f>
        <v>Gestión e infraestructuras del agua</v>
      </c>
      <c r="D239" s="340">
        <f>Saldo_relativo_per_capita!D239*Saldo_relativo_per_capita!D$543/1000000</f>
        <v>0</v>
      </c>
      <c r="E239" s="340">
        <f>Saldo_relativo_per_capita!E239*Saldo_relativo_per_capita!E$543/1000000</f>
        <v>18.251233506861642</v>
      </c>
      <c r="F239" s="340">
        <f>Saldo_relativo_per_capita!F239*Saldo_relativo_per_capita!F$543/1000000</f>
        <v>66.281997415739809</v>
      </c>
      <c r="G239" s="340">
        <f>Saldo_relativo_per_capita!G239*Saldo_relativo_per_capita!G$543/1000000</f>
        <v>-14.054066809736813</v>
      </c>
      <c r="H239" s="340">
        <f>Saldo_relativo_per_capita!H239*Saldo_relativo_per_capita!H$543/1000000</f>
        <v>-17.52498343202566</v>
      </c>
      <c r="I239" s="340">
        <f>Saldo_relativo_per_capita!I239*Saldo_relativo_per_capita!I$543/1000000</f>
        <v>-16.899012502707546</v>
      </c>
      <c r="J239" s="340">
        <f>Saldo_relativo_per_capita!J239*Saldo_relativo_per_capita!J$543/1000000</f>
        <v>-7.6363511723426001</v>
      </c>
      <c r="K239" s="340">
        <f>Saldo_relativo_per_capita!K239*Saldo_relativo_per_capita!K$543/1000000</f>
        <v>47.096767782518192</v>
      </c>
      <c r="L239" s="340">
        <f>Saldo_relativo_per_capita!L239*Saldo_relativo_per_capita!L$543/1000000</f>
        <v>37.705483605655097</v>
      </c>
      <c r="M239" s="340">
        <f>Saldo_relativo_per_capita!M239*Saldo_relativo_per_capita!M$543/1000000</f>
        <v>-100.15095062880656</v>
      </c>
      <c r="N239" s="340">
        <f>Saldo_relativo_per_capita!N239*Saldo_relativo_per_capita!N$543/1000000</f>
        <v>-19.696812090174014</v>
      </c>
      <c r="O239" s="340">
        <f>Saldo_relativo_per_capita!O239*Saldo_relativo_per_capita!O$543/1000000</f>
        <v>71.504277415041543</v>
      </c>
      <c r="P239" s="340">
        <f>Saldo_relativo_per_capita!P239*Saldo_relativo_per_capita!P$543/1000000</f>
        <v>-38.62506987895911</v>
      </c>
      <c r="Q239" s="340">
        <f>Saldo_relativo_per_capita!Q239*Saldo_relativo_per_capita!Q$543/1000000</f>
        <v>-51.235769470738127</v>
      </c>
      <c r="R239" s="340">
        <f>Saldo_relativo_per_capita!R239*Saldo_relativo_per_capita!R$543/1000000</f>
        <v>42.71792984289845</v>
      </c>
      <c r="S239" s="340">
        <f>Saldo_relativo_per_capita!S239*Saldo_relativo_per_capita!S$543/1000000</f>
        <v>2.1870601245222687</v>
      </c>
      <c r="T239" s="340">
        <f>Saldo_relativo_per_capita!T239*Saldo_relativo_per_capita!T$543/1000000</f>
        <v>-26.121488944596244</v>
      </c>
      <c r="U239" s="340">
        <f>Saldo_relativo_per_capita!U239*Saldo_relativo_per_capita!U$543/1000000</f>
        <v>2.9679037964363038</v>
      </c>
      <c r="V239" s="340">
        <f>Saldo_relativo_per_capita!V239*Saldo_relativo_per_capita!V$543/1000000</f>
        <v>3.2318514404133807</v>
      </c>
      <c r="W239" s="145"/>
      <c r="X239" s="145"/>
    </row>
    <row r="240" spans="1:24" s="115" customFormat="1">
      <c r="A240" s="355" t="str">
        <f>IF(B240="","",(IF(ISERROR(MATCH(B240,Tot_res!C:C,0)),"Eliminar!!!","")))</f>
        <v/>
      </c>
      <c r="B240" s="115" t="s">
        <v>258</v>
      </c>
      <c r="C240" s="333" t="str">
        <f>VLOOKUP(B240,Tot_res!C:D,2,FALSE)</f>
        <v>Normativa y ordenac. territorial recursos hídricos</v>
      </c>
      <c r="D240" s="340">
        <f>Saldo_relativo_per_capita!D240*Saldo_relativo_per_capita!D$543/1000000</f>
        <v>0</v>
      </c>
      <c r="E240" s="340">
        <f>Saldo_relativo_per_capita!E240*Saldo_relativo_per_capita!E$543/1000000</f>
        <v>0</v>
      </c>
      <c r="F240" s="340">
        <f>Saldo_relativo_per_capita!F240*Saldo_relativo_per_capita!F$543/1000000</f>
        <v>0</v>
      </c>
      <c r="G240" s="340">
        <f>Saldo_relativo_per_capita!G240*Saldo_relativo_per_capita!G$543/1000000</f>
        <v>0</v>
      </c>
      <c r="H240" s="340">
        <f>Saldo_relativo_per_capita!H240*Saldo_relativo_per_capita!H$543/1000000</f>
        <v>0</v>
      </c>
      <c r="I240" s="340">
        <f>Saldo_relativo_per_capita!I240*Saldo_relativo_per_capita!I$543/1000000</f>
        <v>0</v>
      </c>
      <c r="J240" s="340">
        <f>Saldo_relativo_per_capita!J240*Saldo_relativo_per_capita!J$543/1000000</f>
        <v>0</v>
      </c>
      <c r="K240" s="340">
        <f>Saldo_relativo_per_capita!K240*Saldo_relativo_per_capita!K$543/1000000</f>
        <v>0</v>
      </c>
      <c r="L240" s="340">
        <f>Saldo_relativo_per_capita!L240*Saldo_relativo_per_capita!L$543/1000000</f>
        <v>0</v>
      </c>
      <c r="M240" s="340">
        <f>Saldo_relativo_per_capita!M240*Saldo_relativo_per_capita!M$543/1000000</f>
        <v>0</v>
      </c>
      <c r="N240" s="340">
        <f>Saldo_relativo_per_capita!N240*Saldo_relativo_per_capita!N$543/1000000</f>
        <v>0</v>
      </c>
      <c r="O240" s="340">
        <f>Saldo_relativo_per_capita!O240*Saldo_relativo_per_capita!O$543/1000000</f>
        <v>0</v>
      </c>
      <c r="P240" s="340">
        <f>Saldo_relativo_per_capita!P240*Saldo_relativo_per_capita!P$543/1000000</f>
        <v>0</v>
      </c>
      <c r="Q240" s="340">
        <f>Saldo_relativo_per_capita!Q240*Saldo_relativo_per_capita!Q$543/1000000</f>
        <v>0</v>
      </c>
      <c r="R240" s="340">
        <f>Saldo_relativo_per_capita!R240*Saldo_relativo_per_capita!R$543/1000000</f>
        <v>0</v>
      </c>
      <c r="S240" s="340">
        <f>Saldo_relativo_per_capita!S240*Saldo_relativo_per_capita!S$543/1000000</f>
        <v>0</v>
      </c>
      <c r="T240" s="340">
        <f>Saldo_relativo_per_capita!T240*Saldo_relativo_per_capita!T$543/1000000</f>
        <v>0</v>
      </c>
      <c r="U240" s="340">
        <f>Saldo_relativo_per_capita!U240*Saldo_relativo_per_capita!U$543/1000000</f>
        <v>0</v>
      </c>
      <c r="V240" s="340">
        <f>Saldo_relativo_per_capita!V240*Saldo_relativo_per_capita!V$543/1000000</f>
        <v>0</v>
      </c>
      <c r="W240" s="145"/>
      <c r="X240" s="146"/>
    </row>
    <row r="241" spans="1:24" s="115" customFormat="1">
      <c r="A241" s="355" t="str">
        <f>IF(B241="","",(IF(ISERROR(MATCH(B241,Tot_res!C:C,0)),"Eliminar!!!","")))</f>
        <v/>
      </c>
      <c r="B241" s="115" t="s">
        <v>259</v>
      </c>
      <c r="C241" s="333" t="str">
        <f>VLOOKUP(B241,Tot_res!C:D,2,FALSE)</f>
        <v>Infraestructura del transporte ferroviario + AF10 (no se ha hecho)</v>
      </c>
      <c r="D241" s="340">
        <f>Saldo_relativo_per_capita!D241*Saldo_relativo_per_capita!D$543/1000000</f>
        <v>0</v>
      </c>
      <c r="E241" s="340">
        <f>Saldo_relativo_per_capita!E241*Saldo_relativo_per_capita!E$543/1000000</f>
        <v>23.182444168077371</v>
      </c>
      <c r="F241" s="340">
        <f>Saldo_relativo_per_capita!F241*Saldo_relativo_per_capita!F$543/1000000</f>
        <v>-1.7132912638268982</v>
      </c>
      <c r="G241" s="340">
        <f>Saldo_relativo_per_capita!G241*Saldo_relativo_per_capita!G$543/1000000</f>
        <v>6.7508719783249529E-2</v>
      </c>
      <c r="H241" s="340">
        <f>Saldo_relativo_per_capita!H241*Saldo_relativo_per_capita!H$543/1000000</f>
        <v>0.30145142902761995</v>
      </c>
      <c r="I241" s="340">
        <f>Saldo_relativo_per_capita!I241*Saldo_relativo_per_capita!I$543/1000000</f>
        <v>7.4193863233468171</v>
      </c>
      <c r="J241" s="340">
        <f>Saldo_relativo_per_capita!J241*Saldo_relativo_per_capita!J$543/1000000</f>
        <v>-0.88289154672771919</v>
      </c>
      <c r="K241" s="340">
        <f>Saldo_relativo_per_capita!K241*Saldo_relativo_per_capita!K$543/1000000</f>
        <v>-4.3336923662589637</v>
      </c>
      <c r="L241" s="340">
        <f>Saldo_relativo_per_capita!L241*Saldo_relativo_per_capita!L$543/1000000</f>
        <v>-3.7336050906039429</v>
      </c>
      <c r="M241" s="340">
        <f>Saldo_relativo_per_capita!M241*Saldo_relativo_per_capita!M$543/1000000</f>
        <v>-11.362277999798563</v>
      </c>
      <c r="N241" s="340">
        <f>Saldo_relativo_per_capita!N241*Saldo_relativo_per_capita!N$543/1000000</f>
        <v>-10.858531120131062</v>
      </c>
      <c r="O241" s="340">
        <f>Saldo_relativo_per_capita!O241*Saldo_relativo_per_capita!O$543/1000000</f>
        <v>5.0412787892262694</v>
      </c>
      <c r="P241" s="340">
        <f>Saldo_relativo_per_capita!P241*Saldo_relativo_per_capita!P$543/1000000</f>
        <v>-4.9291487457273826</v>
      </c>
      <c r="Q241" s="340">
        <f>Saldo_relativo_per_capita!Q241*Saldo_relativo_per_capita!Q$543/1000000</f>
        <v>13.016195878923552</v>
      </c>
      <c r="R241" s="340">
        <f>Saldo_relativo_per_capita!R241*Saldo_relativo_per_capita!R$543/1000000</f>
        <v>-3.0696532903953098</v>
      </c>
      <c r="S241" s="340">
        <f>Saldo_relativo_per_capita!S241*Saldo_relativo_per_capita!S$543/1000000</f>
        <v>-1.3705706673496099</v>
      </c>
      <c r="T241" s="340">
        <f>Saldo_relativo_per_capita!T241*Saldo_relativo_per_capita!T$543/1000000</f>
        <v>-5.3343134583935132</v>
      </c>
      <c r="U241" s="340">
        <f>Saldo_relativo_per_capita!U241*Saldo_relativo_per_capita!U$543/1000000</f>
        <v>-0.90851163955279823</v>
      </c>
      <c r="V241" s="340">
        <f>Saldo_relativo_per_capita!V241*Saldo_relativo_per_capita!V$543/1000000</f>
        <v>-0.53177811961909904</v>
      </c>
      <c r="W241" s="145"/>
      <c r="X241" s="146"/>
    </row>
    <row r="242" spans="1:24" s="115" customFormat="1">
      <c r="A242" s="355" t="str">
        <f>IF(B242="","",(IF(ISERROR(MATCH(B242,Tot_res!C:C,0)),"Eliminar!!!","")))</f>
        <v/>
      </c>
      <c r="B242" s="115" t="s">
        <v>260</v>
      </c>
      <c r="C242" s="333" t="str">
        <f>VLOOKUP(B242,Tot_res!C:D,2,FALSE)</f>
        <v>Creación de infraestructura de carreteras + AF06/1</v>
      </c>
      <c r="D242" s="340">
        <f>Saldo_relativo_per_capita!D242*Saldo_relativo_per_capita!D$543/1000000</f>
        <v>0</v>
      </c>
      <c r="E242" s="340">
        <f>Saldo_relativo_per_capita!E242*Saldo_relativo_per_capita!E$543/1000000</f>
        <v>33.18916790817044</v>
      </c>
      <c r="F242" s="340">
        <f>Saldo_relativo_per_capita!F242*Saldo_relativo_per_capita!F$543/1000000</f>
        <v>72.383448546306383</v>
      </c>
      <c r="G242" s="340">
        <f>Saldo_relativo_per_capita!G242*Saldo_relativo_per_capita!G$543/1000000</f>
        <v>80.984727455254941</v>
      </c>
      <c r="H242" s="340">
        <f>Saldo_relativo_per_capita!H242*Saldo_relativo_per_capita!H$543/1000000</f>
        <v>-37.327579460160514</v>
      </c>
      <c r="I242" s="340">
        <f>Saldo_relativo_per_capita!I242*Saldo_relativo_per_capita!I$543/1000000</f>
        <v>-20.383219448628598</v>
      </c>
      <c r="J242" s="340">
        <f>Saldo_relativo_per_capita!J242*Saldo_relativo_per_capita!J$543/1000000</f>
        <v>33.352053594800367</v>
      </c>
      <c r="K242" s="340">
        <f>Saldo_relativo_per_capita!K242*Saldo_relativo_per_capita!K$543/1000000</f>
        <v>108.84011247041086</v>
      </c>
      <c r="L242" s="340">
        <f>Saldo_relativo_per_capita!L242*Saldo_relativo_per_capita!L$543/1000000</f>
        <v>19.572809001216381</v>
      </c>
      <c r="M242" s="340">
        <f>Saldo_relativo_per_capita!M242*Saldo_relativo_per_capita!M$543/1000000</f>
        <v>-81.285991182361244</v>
      </c>
      <c r="N242" s="340">
        <f>Saldo_relativo_per_capita!N242*Saldo_relativo_per_capita!N$543/1000000</f>
        <v>-85.371596786383193</v>
      </c>
      <c r="O242" s="340">
        <f>Saldo_relativo_per_capita!O242*Saldo_relativo_per_capita!O$543/1000000</f>
        <v>-18.859119141781687</v>
      </c>
      <c r="P242" s="340">
        <f>Saldo_relativo_per_capita!P242*Saldo_relativo_per_capita!P$543/1000000</f>
        <v>56.032332803582499</v>
      </c>
      <c r="Q242" s="340">
        <f>Saldo_relativo_per_capita!Q242*Saldo_relativo_per_capita!Q$543/1000000</f>
        <v>-165.47483834636665</v>
      </c>
      <c r="R242" s="340">
        <f>Saldo_relativo_per_capita!R242*Saldo_relativo_per_capita!R$543/1000000</f>
        <v>-20.66931166728217</v>
      </c>
      <c r="S242" s="340">
        <f>Saldo_relativo_per_capita!S242*Saldo_relativo_per_capita!S$543/1000000</f>
        <v>3.2880096622427568</v>
      </c>
      <c r="T242" s="340">
        <f>Saldo_relativo_per_capita!T242*Saldo_relativo_per_capita!T$543/1000000</f>
        <v>3.6392265879223022</v>
      </c>
      <c r="U242" s="340">
        <f>Saldo_relativo_per_capita!U242*Saldo_relativo_per_capita!U$543/1000000</f>
        <v>23.010220343381171</v>
      </c>
      <c r="V242" s="340">
        <f>Saldo_relativo_per_capita!V242*Saldo_relativo_per_capita!V$543/1000000</f>
        <v>-4.9204523403237577</v>
      </c>
      <c r="W242" s="145"/>
      <c r="X242" s="146"/>
    </row>
    <row r="243" spans="1:24" s="115" customFormat="1">
      <c r="A243" s="355" t="str">
        <f>IF(B243="","",(IF(ISERROR(MATCH(B243,Tot_res!C:C,0)),"Eliminar!!!","")))</f>
        <v/>
      </c>
      <c r="B243" s="115" t="s">
        <v>262</v>
      </c>
      <c r="C243" s="333" t="str">
        <f>VLOOKUP(B243,Tot_res!C:D,2,FALSE)</f>
        <v>Conservación y explotación de carreteras + AF07</v>
      </c>
      <c r="D243" s="340">
        <f>Saldo_relativo_per_capita!D243*Saldo_relativo_per_capita!D$543/1000000</f>
        <v>0</v>
      </c>
      <c r="E243" s="340">
        <f>Saldo_relativo_per_capita!E243*Saldo_relativo_per_capita!E$543/1000000</f>
        <v>-67.571829958434037</v>
      </c>
      <c r="F243" s="340">
        <f>Saldo_relativo_per_capita!F243*Saldo_relativo_per_capita!F$543/1000000</f>
        <v>64.334176790738027</v>
      </c>
      <c r="G243" s="340">
        <f>Saldo_relativo_per_capita!G243*Saldo_relativo_per_capita!G$543/1000000</f>
        <v>5.4065513429228567</v>
      </c>
      <c r="H243" s="340">
        <f>Saldo_relativo_per_capita!H243*Saldo_relativo_per_capita!H$543/1000000</f>
        <v>-23.077603556482735</v>
      </c>
      <c r="I243" s="340">
        <f>Saldo_relativo_per_capita!I243*Saldo_relativo_per_capita!I$543/1000000</f>
        <v>-43.361414691559887</v>
      </c>
      <c r="J243" s="340">
        <f>Saldo_relativo_per_capita!J243*Saldo_relativo_per_capita!J$543/1000000</f>
        <v>16.785918163379694</v>
      </c>
      <c r="K243" s="340">
        <f>Saldo_relativo_per_capita!K243*Saldo_relativo_per_capita!K$543/1000000</f>
        <v>106.19037057113412</v>
      </c>
      <c r="L243" s="340">
        <f>Saldo_relativo_per_capita!L243*Saldo_relativo_per_capita!L$543/1000000</f>
        <v>95.364101854634043</v>
      </c>
      <c r="M243" s="340">
        <f>Saldo_relativo_per_capita!M243*Saldo_relativo_per_capita!M$543/1000000</f>
        <v>-91.921048327919038</v>
      </c>
      <c r="N243" s="340">
        <f>Saldo_relativo_per_capita!N243*Saldo_relativo_per_capita!N$543/1000000</f>
        <v>-39.207233776064534</v>
      </c>
      <c r="O243" s="340">
        <f>Saldo_relativo_per_capita!O243*Saldo_relativo_per_capita!O$543/1000000</f>
        <v>1.9267122998359083</v>
      </c>
      <c r="P243" s="340">
        <f>Saldo_relativo_per_capita!P243*Saldo_relativo_per_capita!P$543/1000000</f>
        <v>2.7760932362476343</v>
      </c>
      <c r="Q243" s="340">
        <f>Saldo_relativo_per_capita!Q243*Saldo_relativo_per_capita!Q$543/1000000</f>
        <v>-35.579936872553112</v>
      </c>
      <c r="R243" s="340">
        <f>Saldo_relativo_per_capita!R243*Saldo_relativo_per_capita!R$543/1000000</f>
        <v>0.16069938792224789</v>
      </c>
      <c r="S243" s="340">
        <f>Saldo_relativo_per_capita!S243*Saldo_relativo_per_capita!S$543/1000000</f>
        <v>2.9160185307552298</v>
      </c>
      <c r="T243" s="340">
        <f>Saldo_relativo_per_capita!T243*Saldo_relativo_per_capita!T$543/1000000</f>
        <v>5.2638431685598448</v>
      </c>
      <c r="U243" s="340">
        <f>Saldo_relativo_per_capita!U243*Saldo_relativo_per_capita!U$543/1000000</f>
        <v>1.8342361156753446</v>
      </c>
      <c r="V243" s="340">
        <f>Saldo_relativo_per_capita!V243*Saldo_relativo_per_capita!V$543/1000000</f>
        <v>-2.239654278791563</v>
      </c>
      <c r="W243" s="145"/>
      <c r="X243" s="146"/>
    </row>
    <row r="244" spans="1:24" s="115" customFormat="1">
      <c r="A244" s="355" t="str">
        <f>IF(B244="","",(IF(ISERROR(MATCH(B244,Tot_res!C:C,0)),"Eliminar!!!","")))</f>
        <v/>
      </c>
      <c r="B244" s="115" t="s">
        <v>264</v>
      </c>
      <c r="C244" s="333" t="str">
        <f>VLOOKUP(B244,Tot_res!C:D,2,FALSE)</f>
        <v>Ordenac. e inspección del transporte terrestre</v>
      </c>
      <c r="D244" s="340">
        <f>Saldo_relativo_per_capita!D244*Saldo_relativo_per_capita!D$543/1000000</f>
        <v>0</v>
      </c>
      <c r="E244" s="340">
        <f>Saldo_relativo_per_capita!E244*Saldo_relativo_per_capita!E$543/1000000</f>
        <v>-1.2303731281846837</v>
      </c>
      <c r="F244" s="340">
        <f>Saldo_relativo_per_capita!F244*Saldo_relativo_per_capita!F$543/1000000</f>
        <v>5.7835479437836256E-2</v>
      </c>
      <c r="G244" s="340">
        <f>Saldo_relativo_per_capita!G244*Saldo_relativo_per_capita!G$543/1000000</f>
        <v>0.12082939642823744</v>
      </c>
      <c r="H244" s="340">
        <f>Saldo_relativo_per_capita!H244*Saldo_relativo_per_capita!H$543/1000000</f>
        <v>-0.24338072993060289</v>
      </c>
      <c r="I244" s="340">
        <f>Saldo_relativo_per_capita!I244*Saldo_relativo_per_capita!I$543/1000000</f>
        <v>-0.61076514102644675</v>
      </c>
      <c r="J244" s="340">
        <f>Saldo_relativo_per_capita!J244*Saldo_relativo_per_capita!J$543/1000000</f>
        <v>7.6090877654052966E-2</v>
      </c>
      <c r="K244" s="340">
        <f>Saldo_relativo_per_capita!K244*Saldo_relativo_per_capita!K$543/1000000</f>
        <v>0.42779545291356935</v>
      </c>
      <c r="L244" s="340">
        <f>Saldo_relativo_per_capita!L244*Saldo_relativo_per_capita!L$543/1000000</f>
        <v>-5.2159646252219138E-2</v>
      </c>
      <c r="M244" s="340">
        <f>Saldo_relativo_per_capita!M244*Saldo_relativo_per_capita!M$543/1000000</f>
        <v>1.145289469103266</v>
      </c>
      <c r="N244" s="340">
        <f>Saldo_relativo_per_capita!N244*Saldo_relativo_per_capita!N$543/1000000</f>
        <v>-0.77645977302370195</v>
      </c>
      <c r="O244" s="340">
        <f>Saldo_relativo_per_capita!O244*Saldo_relativo_per_capita!O$543/1000000</f>
        <v>0.15560531392312285</v>
      </c>
      <c r="P244" s="340">
        <f>Saldo_relativo_per_capita!P244*Saldo_relativo_per_capita!P$543/1000000</f>
        <v>6.0006284709140318E-3</v>
      </c>
      <c r="Q244" s="340">
        <f>Saldo_relativo_per_capita!Q244*Saldo_relativo_per_capita!Q$543/1000000</f>
        <v>-4.7636205780590732E-2</v>
      </c>
      <c r="R244" s="340">
        <f>Saldo_relativo_per_capita!R244*Saldo_relativo_per_capita!R$543/1000000</f>
        <v>3.6144204449644439E-2</v>
      </c>
      <c r="S244" s="340">
        <f>Saldo_relativo_per_capita!S244*Saldo_relativo_per_capita!S$543/1000000</f>
        <v>0.27038061414301479</v>
      </c>
      <c r="T244" s="340">
        <f>Saldo_relativo_per_capita!T244*Saldo_relativo_per_capita!T$543/1000000</f>
        <v>0.49341079346917566</v>
      </c>
      <c r="U244" s="340">
        <f>Saldo_relativo_per_capita!U244*Saldo_relativo_per_capita!U$543/1000000</f>
        <v>0.22588886917033379</v>
      </c>
      <c r="V244" s="340">
        <f>Saldo_relativo_per_capita!V244*Saldo_relativo_per_capita!V$543/1000000</f>
        <v>-5.4496474964924442E-2</v>
      </c>
      <c r="W244" s="145"/>
      <c r="X244" s="145"/>
    </row>
    <row r="245" spans="1:24" s="115" customFormat="1">
      <c r="A245" s="355" t="str">
        <f>IF(B245="","",(IF(ISERROR(MATCH(B245,Tot_res!C:C,0)),"Eliminar!!!","")))</f>
        <v/>
      </c>
      <c r="B245" s="115" t="s">
        <v>265</v>
      </c>
      <c r="C245" s="333" t="str">
        <f>VLOOKUP(B245,Tot_res!C:D,2,FALSE)</f>
        <v>Seguridad tráfico marítimo y vigilancia costera</v>
      </c>
      <c r="D245" s="340">
        <f>Saldo_relativo_per_capita!D245*Saldo_relativo_per_capita!D$543/1000000</f>
        <v>0</v>
      </c>
      <c r="E245" s="340">
        <f>Saldo_relativo_per_capita!E245*Saldo_relativo_per_capita!E$543/1000000</f>
        <v>-2.3064493454505848</v>
      </c>
      <c r="F245" s="340">
        <f>Saldo_relativo_per_capita!F245*Saldo_relativo_per_capita!F$543/1000000</f>
        <v>0.85917044600523707</v>
      </c>
      <c r="G245" s="340">
        <f>Saldo_relativo_per_capita!G245*Saldo_relativo_per_capita!G$543/1000000</f>
        <v>-0.13701983056353392</v>
      </c>
      <c r="H245" s="340">
        <f>Saldo_relativo_per_capita!H245*Saldo_relativo_per_capita!H$543/1000000</f>
        <v>-0.32052371427681481</v>
      </c>
      <c r="I245" s="340">
        <f>Saldo_relativo_per_capita!I245*Saldo_relativo_per_capita!I$543/1000000</f>
        <v>0.28713446588413544</v>
      </c>
      <c r="J245" s="340">
        <f>Saldo_relativo_per_capita!J245*Saldo_relativo_per_capita!J$543/1000000</f>
        <v>0.1060677330185599</v>
      </c>
      <c r="K245" s="340">
        <f>Saldo_relativo_per_capita!K245*Saldo_relativo_per_capita!K$543/1000000</f>
        <v>0.30950429405365776</v>
      </c>
      <c r="L245" s="340">
        <f>Saldo_relativo_per_capita!L245*Saldo_relativo_per_capita!L$543/1000000</f>
        <v>-0.12761684552756869</v>
      </c>
      <c r="M245" s="340">
        <f>Saldo_relativo_per_capita!M245*Saldo_relativo_per_capita!M$543/1000000</f>
        <v>1.344851009577271</v>
      </c>
      <c r="N245" s="340">
        <f>Saldo_relativo_per_capita!N245*Saldo_relativo_per_capita!N$543/1000000</f>
        <v>-0.91999536918958802</v>
      </c>
      <c r="O245" s="340">
        <f>Saldo_relativo_per_capita!O245*Saldo_relativo_per_capita!O$543/1000000</f>
        <v>-0.46950216796673405</v>
      </c>
      <c r="P245" s="340">
        <f>Saldo_relativo_per_capita!P245*Saldo_relativo_per_capita!P$543/1000000</f>
        <v>-0.29490689788506141</v>
      </c>
      <c r="Q245" s="340">
        <f>Saldo_relativo_per_capita!Q245*Saldo_relativo_per_capita!Q$543/1000000</f>
        <v>-0.31899038071763669</v>
      </c>
      <c r="R245" s="340">
        <f>Saldo_relativo_per_capita!R245*Saldo_relativo_per_capita!R$543/1000000</f>
        <v>0.34667365692625146</v>
      </c>
      <c r="S245" s="340">
        <f>Saldo_relativo_per_capita!S245*Saldo_relativo_per_capita!S$543/1000000</f>
        <v>0.66304781143325975</v>
      </c>
      <c r="T245" s="340">
        <f>Saldo_relativo_per_capita!T245*Saldo_relativo_per_capita!T$543/1000000</f>
        <v>0.64120578121959326</v>
      </c>
      <c r="U245" s="340">
        <f>Saldo_relativo_per_capita!U245*Saldo_relativo_per_capita!U$543/1000000</f>
        <v>0.22573383954670043</v>
      </c>
      <c r="V245" s="340">
        <f>Saldo_relativo_per_capita!V245*Saldo_relativo_per_capita!V$543/1000000</f>
        <v>0.11161551391285225</v>
      </c>
      <c r="W245" s="145"/>
      <c r="X245" s="145"/>
    </row>
    <row r="246" spans="1:24" s="115" customFormat="1">
      <c r="A246" s="355" t="str">
        <f>IF(B246="","",(IF(ISERROR(MATCH(B246,Tot_res!C:C,0)),"Eliminar!!!","")))</f>
        <v/>
      </c>
      <c r="B246" s="115" t="s">
        <v>266</v>
      </c>
      <c r="C246" s="333" t="str">
        <f>VLOOKUP(B246,Tot_res!C:D,2,FALSE)</f>
        <v>Regulación y supervisción de la aviación civil</v>
      </c>
      <c r="D246" s="340">
        <f>Saldo_relativo_per_capita!D246*Saldo_relativo_per_capita!D$543/1000000</f>
        <v>0</v>
      </c>
      <c r="E246" s="340">
        <f>Saldo_relativo_per_capita!E246*Saldo_relativo_per_capita!E$543/1000000</f>
        <v>-1.2673288891584211</v>
      </c>
      <c r="F246" s="340">
        <f>Saldo_relativo_per_capita!F246*Saldo_relativo_per_capita!F$543/1000000</f>
        <v>-3.232665099965612E-2</v>
      </c>
      <c r="G246" s="340">
        <f>Saldo_relativo_per_capita!G246*Saldo_relativo_per_capita!G$543/1000000</f>
        <v>-3.1151452061319918E-3</v>
      </c>
      <c r="H246" s="340">
        <f>Saldo_relativo_per_capita!H246*Saldo_relativo_per_capita!H$543/1000000</f>
        <v>0.69770648605248753</v>
      </c>
      <c r="I246" s="340">
        <f>Saldo_relativo_per_capita!I246*Saldo_relativo_per_capita!I$543/1000000</f>
        <v>0.67056208258256944</v>
      </c>
      <c r="J246" s="340">
        <f>Saldo_relativo_per_capita!J246*Saldo_relativo_per_capita!J$543/1000000</f>
        <v>3.620872382722786E-3</v>
      </c>
      <c r="K246" s="340">
        <f>Saldo_relativo_per_capita!K246*Saldo_relativo_per_capita!K$543/1000000</f>
        <v>-0.49905231533334832</v>
      </c>
      <c r="L246" s="340">
        <f>Saldo_relativo_per_capita!L246*Saldo_relativo_per_capita!L$543/1000000</f>
        <v>-0.20948567536601706</v>
      </c>
      <c r="M246" s="340">
        <f>Saldo_relativo_per_capita!M246*Saldo_relativo_per_capita!M$543/1000000</f>
        <v>0.97676124311917056</v>
      </c>
      <c r="N246" s="340">
        <f>Saldo_relativo_per_capita!N246*Saldo_relativo_per_capita!N$543/1000000</f>
        <v>-0.40289616273659151</v>
      </c>
      <c r="O246" s="340">
        <f>Saldo_relativo_per_capita!O246*Saldo_relativo_per_capita!O$543/1000000</f>
        <v>-0.22593847653765098</v>
      </c>
      <c r="P246" s="340">
        <f>Saldo_relativo_per_capita!P246*Saldo_relativo_per_capita!P$543/1000000</f>
        <v>-0.33610517104428611</v>
      </c>
      <c r="Q246" s="340">
        <f>Saldo_relativo_per_capita!Q246*Saldo_relativo_per_capita!Q$543/1000000</f>
        <v>0.73667505695000413</v>
      </c>
      <c r="R246" s="340">
        <f>Saldo_relativo_per_capita!R246*Saldo_relativo_per_capita!R$543/1000000</f>
        <v>-0.1793541878906332</v>
      </c>
      <c r="S246" s="340">
        <f>Saldo_relativo_per_capita!S246*Saldo_relativo_per_capita!S$543/1000000</f>
        <v>1.6775250204706005E-3</v>
      </c>
      <c r="T246" s="340">
        <f>Saldo_relativo_per_capita!T246*Saldo_relativo_per_capita!T$543/1000000</f>
        <v>8.5245698973475101E-2</v>
      </c>
      <c r="U246" s="340">
        <f>Saldo_relativo_per_capita!U246*Saldo_relativo_per_capita!U$543/1000000</f>
        <v>-2.7238331243131794E-2</v>
      </c>
      <c r="V246" s="340">
        <f>Saldo_relativo_per_capita!V246*Saldo_relativo_per_capita!V$543/1000000</f>
        <v>1.0592040434964643E-2</v>
      </c>
      <c r="W246" s="145"/>
      <c r="X246" s="146"/>
    </row>
    <row r="247" spans="1:24" s="115" customFormat="1">
      <c r="A247" s="355" t="str">
        <f>IF(B247="","",(IF(ISERROR(MATCH(B247,Tot_res!C:C,0)),"Eliminar!!!","")))</f>
        <v/>
      </c>
      <c r="B247" s="115" t="s">
        <v>267</v>
      </c>
      <c r="C247" s="333" t="str">
        <f>VLOOKUP(B247,Tot_res!C:D,2,FALSE)</f>
        <v>Calidad del agua</v>
      </c>
      <c r="D247" s="340">
        <f>Saldo_relativo_per_capita!D247*Saldo_relativo_per_capita!D$543/1000000</f>
        <v>0</v>
      </c>
      <c r="E247" s="340">
        <f>Saldo_relativo_per_capita!E247*Saldo_relativo_per_capita!E$543/1000000</f>
        <v>-18.085096326519427</v>
      </c>
      <c r="F247" s="340">
        <f>Saldo_relativo_per_capita!F247*Saldo_relativo_per_capita!F$543/1000000</f>
        <v>9.770928093124688</v>
      </c>
      <c r="G247" s="340">
        <f>Saldo_relativo_per_capita!G247*Saldo_relativo_per_capita!G$543/1000000</f>
        <v>21.95753741489802</v>
      </c>
      <c r="H247" s="340">
        <f>Saldo_relativo_per_capita!H247*Saldo_relativo_per_capita!H$543/1000000</f>
        <v>-3.1586832223885355</v>
      </c>
      <c r="I247" s="340">
        <f>Saldo_relativo_per_capita!I247*Saldo_relativo_per_capita!I$543/1000000</f>
        <v>1.976957704829436</v>
      </c>
      <c r="J247" s="340">
        <f>Saldo_relativo_per_capita!J247*Saldo_relativo_per_capita!J$543/1000000</f>
        <v>19.192864083127724</v>
      </c>
      <c r="K247" s="340">
        <f>Saldo_relativo_per_capita!K247*Saldo_relativo_per_capita!K$543/1000000</f>
        <v>-6.2352695424751206</v>
      </c>
      <c r="L247" s="340">
        <f>Saldo_relativo_per_capita!L247*Saldo_relativo_per_capita!L$543/1000000</f>
        <v>-5.6596177963303242</v>
      </c>
      <c r="M247" s="340">
        <f>Saldo_relativo_per_capita!M247*Saldo_relativo_per_capita!M$543/1000000</f>
        <v>-21.135949914995646</v>
      </c>
      <c r="N247" s="340">
        <f>Saldo_relativo_per_capita!N247*Saldo_relativo_per_capita!N$543/1000000</f>
        <v>-14.313905644064956</v>
      </c>
      <c r="O247" s="340">
        <f>Saldo_relativo_per_capita!O247*Saldo_relativo_per_capita!O$543/1000000</f>
        <v>28.808571817733426</v>
      </c>
      <c r="P247" s="340">
        <f>Saldo_relativo_per_capita!P247*Saldo_relativo_per_capita!P$543/1000000</f>
        <v>2.1126555015984696</v>
      </c>
      <c r="Q247" s="340">
        <f>Saldo_relativo_per_capita!Q247*Saldo_relativo_per_capita!Q$543/1000000</f>
        <v>-18.047237915589836</v>
      </c>
      <c r="R247" s="340">
        <f>Saldo_relativo_per_capita!R247*Saldo_relativo_per_capita!R$543/1000000</f>
        <v>-4.1757410564965225</v>
      </c>
      <c r="S247" s="340">
        <f>Saldo_relativo_per_capita!S247*Saldo_relativo_per_capita!S$543/1000000</f>
        <v>-1.6977736237163776</v>
      </c>
      <c r="T247" s="340">
        <f>Saldo_relativo_per_capita!T247*Saldo_relativo_per_capita!T$543/1000000</f>
        <v>7.8934905052835598</v>
      </c>
      <c r="U247" s="340">
        <f>Saldo_relativo_per_capita!U247*Saldo_relativo_per_capita!U$543/1000000</f>
        <v>-0.81499944776228472</v>
      </c>
      <c r="V247" s="340">
        <f>Saldo_relativo_per_capita!V247*Saldo_relativo_per_capita!V$543/1000000</f>
        <v>1.6112693697436971</v>
      </c>
      <c r="W247" s="145"/>
      <c r="X247" s="146"/>
    </row>
    <row r="248" spans="1:24" s="115" customFormat="1">
      <c r="A248" s="355" t="str">
        <f>IF(B248="","",(IF(ISERROR(MATCH(B248,Tot_res!C:C,0)),"Eliminar!!!","")))</f>
        <v/>
      </c>
      <c r="B248" s="115" t="s">
        <v>269</v>
      </c>
      <c r="C248" s="333" t="str">
        <f>VLOOKUP(B248,Tot_res!C:D,2,FALSE)</f>
        <v>Protección y mejora del medio ambiente</v>
      </c>
      <c r="D248" s="340">
        <f>Saldo_relativo_per_capita!D248*Saldo_relativo_per_capita!D$543/1000000</f>
        <v>0</v>
      </c>
      <c r="E248" s="340">
        <f>Saldo_relativo_per_capita!E248*Saldo_relativo_per_capita!E$543/1000000</f>
        <v>0.14088783935110935</v>
      </c>
      <c r="F248" s="340">
        <f>Saldo_relativo_per_capita!F248*Saldo_relativo_per_capita!F$543/1000000</f>
        <v>-1.0526967724549325E-2</v>
      </c>
      <c r="G248" s="340">
        <f>Saldo_relativo_per_capita!G248*Saldo_relativo_per_capita!G$543/1000000</f>
        <v>-8.3896411544993141E-3</v>
      </c>
      <c r="H248" s="340">
        <f>Saldo_relativo_per_capita!H248*Saldo_relativo_per_capita!H$543/1000000</f>
        <v>-8.7252195530209964E-3</v>
      </c>
      <c r="I248" s="340">
        <f>Saldo_relativo_per_capita!I248*Saldo_relativo_per_capita!I$543/1000000</f>
        <v>-1.663610954499295E-2</v>
      </c>
      <c r="J248" s="340">
        <f>Saldo_relativo_per_capita!J248*Saldo_relativo_per_capita!J$543/1000000</f>
        <v>-4.6500975985011824E-3</v>
      </c>
      <c r="K248" s="340">
        <f>Saldo_relativo_per_capita!K248*Saldo_relativo_per_capita!K$543/1000000</f>
        <v>-1.9752488406859833E-2</v>
      </c>
      <c r="L248" s="340">
        <f>Saldo_relativo_per_capita!L248*Saldo_relativo_per_capita!L$543/1000000</f>
        <v>-1.6463248954358269E-2</v>
      </c>
      <c r="M248" s="340">
        <f>Saldo_relativo_per_capita!M248*Saldo_relativo_per_capita!M$543/1000000</f>
        <v>-2.9369953604932816E-2</v>
      </c>
      <c r="N248" s="340">
        <f>Saldo_relativo_per_capita!N248*Saldo_relativo_per_capita!N$543/1000000</f>
        <v>-3.9856838809864251E-2</v>
      </c>
      <c r="O248" s="340">
        <f>Saldo_relativo_per_capita!O248*Saldo_relativo_per_capita!O$543/1000000</f>
        <v>-8.680000467217508E-3</v>
      </c>
      <c r="P248" s="340">
        <f>Saldo_relativo_per_capita!P248*Saldo_relativo_per_capita!P$543/1000000</f>
        <v>-2.1721842616718015E-2</v>
      </c>
      <c r="Q248" s="340">
        <f>Saldo_relativo_per_capita!Q248*Saldo_relativo_per_capita!Q$543/1000000</f>
        <v>8.1632110855103954E-2</v>
      </c>
      <c r="R248" s="340">
        <f>Saldo_relativo_per_capita!R248*Saldo_relativo_per_capita!R$543/1000000</f>
        <v>-1.1576034759411316E-2</v>
      </c>
      <c r="S248" s="340">
        <f>Saldo_relativo_per_capita!S248*Saldo_relativo_per_capita!S$543/1000000</f>
        <v>-5.0625957102258109E-3</v>
      </c>
      <c r="T248" s="340">
        <f>Saldo_relativo_per_capita!T248*Saldo_relativo_per_capita!T$543/1000000</f>
        <v>-1.7255205309190832E-2</v>
      </c>
      <c r="U248" s="340">
        <f>Saldo_relativo_per_capita!U248*Saldo_relativo_per_capita!U$543/1000000</f>
        <v>-2.5249778182512596E-3</v>
      </c>
      <c r="V248" s="340">
        <f>Saldo_relativo_per_capita!V248*Saldo_relativo_per_capita!V$543/1000000</f>
        <v>-1.3287281736216639E-3</v>
      </c>
      <c r="W248" s="145"/>
      <c r="X248" s="145"/>
    </row>
    <row r="249" spans="1:24" s="115" customFormat="1">
      <c r="A249" s="355" t="str">
        <f>IF(B249="","",(IF(ISERROR(MATCH(B249,Tot_res!C:C,0)),"Eliminar!!!","")))</f>
        <v/>
      </c>
      <c r="B249" s="115" t="s">
        <v>271</v>
      </c>
      <c r="C249" s="333" t="str">
        <f>VLOOKUP(B249,Tot_res!C:D,2,FALSE)</f>
        <v>Protección y mejora del medio natural + AF09</v>
      </c>
      <c r="D249" s="340">
        <f>Saldo_relativo_per_capita!D249*Saldo_relativo_per_capita!D$543/1000000</f>
        <v>0</v>
      </c>
      <c r="E249" s="340">
        <f>Saldo_relativo_per_capita!E249*Saldo_relativo_per_capita!E$543/1000000</f>
        <v>-9.8871578827490847</v>
      </c>
      <c r="F249" s="340">
        <f>Saldo_relativo_per_capita!F249*Saldo_relativo_per_capita!F$543/1000000</f>
        <v>1.2523844244722764</v>
      </c>
      <c r="G249" s="340">
        <f>Saldo_relativo_per_capita!G249*Saldo_relativo_per_capita!G$543/1000000</f>
        <v>3.1311162170694282</v>
      </c>
      <c r="H249" s="340">
        <f>Saldo_relativo_per_capita!H249*Saldo_relativo_per_capita!H$543/1000000</f>
        <v>-1.6548813421632478</v>
      </c>
      <c r="I249" s="340">
        <f>Saldo_relativo_per_capita!I249*Saldo_relativo_per_capita!I$543/1000000</f>
        <v>1.8227011055361355</v>
      </c>
      <c r="J249" s="340">
        <f>Saldo_relativo_per_capita!J249*Saldo_relativo_per_capita!J$543/1000000</f>
        <v>-0.78228901033513298</v>
      </c>
      <c r="K249" s="340">
        <f>Saldo_relativo_per_capita!K249*Saldo_relativo_per_capita!K$543/1000000</f>
        <v>16.318063201947304</v>
      </c>
      <c r="L249" s="340">
        <f>Saldo_relativo_per_capita!L249*Saldo_relativo_per_capita!L$543/1000000</f>
        <v>16.289789670679163</v>
      </c>
      <c r="M249" s="340">
        <f>Saldo_relativo_per_capita!M249*Saldo_relativo_per_capita!M$543/1000000</f>
        <v>-12.107088485048294</v>
      </c>
      <c r="N249" s="340">
        <f>Saldo_relativo_per_capita!N249*Saldo_relativo_per_capita!N$543/1000000</f>
        <v>-6.8621650967309682</v>
      </c>
      <c r="O249" s="340">
        <f>Saldo_relativo_per_capita!O249*Saldo_relativo_per_capita!O$543/1000000</f>
        <v>6.9786614579670152</v>
      </c>
      <c r="P249" s="340">
        <f>Saldo_relativo_per_capita!P249*Saldo_relativo_per_capita!P$543/1000000</f>
        <v>-0.89102415197957963</v>
      </c>
      <c r="Q249" s="340">
        <f>Saldo_relativo_per_capita!Q249*Saldo_relativo_per_capita!Q$543/1000000</f>
        <v>-10.733860506221262</v>
      </c>
      <c r="R249" s="340">
        <f>Saldo_relativo_per_capita!R249*Saldo_relativo_per_capita!R$543/1000000</f>
        <v>-1.4787038212130212</v>
      </c>
      <c r="S249" s="340">
        <f>Saldo_relativo_per_capita!S249*Saldo_relativo_per_capita!S$543/1000000</f>
        <v>-0.31595635891635582</v>
      </c>
      <c r="T249" s="340">
        <f>Saldo_relativo_per_capita!T249*Saldo_relativo_per_capita!T$543/1000000</f>
        <v>-1.0145269290506462</v>
      </c>
      <c r="U249" s="340">
        <f>Saldo_relativo_per_capita!U249*Saldo_relativo_per_capita!U$543/1000000</f>
        <v>0.29390551089474493</v>
      </c>
      <c r="V249" s="340">
        <f>Saldo_relativo_per_capita!V249*Saldo_relativo_per_capita!V$543/1000000</f>
        <v>-0.35896800415842778</v>
      </c>
      <c r="W249" s="145"/>
      <c r="X249" s="145"/>
    </row>
    <row r="250" spans="1:24" s="115" customFormat="1">
      <c r="A250" s="355" t="str">
        <f>IF(B250="","",(IF(ISERROR(MATCH(B250,Tot_res!C:C,0)),"Eliminar!!!","")))</f>
        <v/>
      </c>
      <c r="B250" s="115" t="s">
        <v>273</v>
      </c>
      <c r="C250" s="333" t="str">
        <f>VLOOKUP(B250,Tot_res!C:D,2,FALSE)</f>
        <v>Actuación en la costa</v>
      </c>
      <c r="D250" s="340">
        <f>Saldo_relativo_per_capita!D250*Saldo_relativo_per_capita!D$543/1000000</f>
        <v>0</v>
      </c>
      <c r="E250" s="340">
        <f>Saldo_relativo_per_capita!E250*Saldo_relativo_per_capita!E$543/1000000</f>
        <v>-4.9684547287246863</v>
      </c>
      <c r="F250" s="340">
        <f>Saldo_relativo_per_capita!F250*Saldo_relativo_per_capita!F$543/1000000</f>
        <v>-1.4519451053084733</v>
      </c>
      <c r="G250" s="340">
        <f>Saldo_relativo_per_capita!G250*Saldo_relativo_per_capita!G$543/1000000</f>
        <v>-0.18738186288544217</v>
      </c>
      <c r="H250" s="340">
        <f>Saldo_relativo_per_capita!H250*Saldo_relativo_per_capita!H$543/1000000</f>
        <v>0.10469786987783816</v>
      </c>
      <c r="I250" s="340">
        <f>Saldo_relativo_per_capita!I250*Saldo_relativo_per_capita!I$543/1000000</f>
        <v>17.818642940172516</v>
      </c>
      <c r="J250" s="340">
        <f>Saldo_relativo_per_capita!J250*Saldo_relativo_per_capita!J$543/1000000</f>
        <v>0.20499256473952229</v>
      </c>
      <c r="K250" s="340">
        <f>Saldo_relativo_per_capita!K250*Saldo_relativo_per_capita!K$543/1000000</f>
        <v>-2.8015158339409201</v>
      </c>
      <c r="L250" s="340">
        <f>Saldo_relativo_per_capita!L250*Saldo_relativo_per_capita!L$543/1000000</f>
        <v>-2.3904707241370495</v>
      </c>
      <c r="M250" s="340">
        <f>Saldo_relativo_per_capita!M250*Saldo_relativo_per_capita!M$543/1000000</f>
        <v>-4.5108695458389603</v>
      </c>
      <c r="N250" s="340">
        <f>Saldo_relativo_per_capita!N250*Saldo_relativo_per_capita!N$543/1000000</f>
        <v>7.8446701773172727</v>
      </c>
      <c r="O250" s="340">
        <f>Saldo_relativo_per_capita!O250*Saldo_relativo_per_capita!O$543/1000000</f>
        <v>-1.2820468559726956</v>
      </c>
      <c r="P250" s="340">
        <f>Saldo_relativo_per_capita!P250*Saldo_relativo_per_capita!P$543/1000000</f>
        <v>0.6696855802007442</v>
      </c>
      <c r="Q250" s="340">
        <f>Saldo_relativo_per_capita!Q250*Saldo_relativo_per_capita!Q$543/1000000</f>
        <v>-6.7362162277034718</v>
      </c>
      <c r="R250" s="340">
        <f>Saldo_relativo_per_capita!R250*Saldo_relativo_per_capita!R$543/1000000</f>
        <v>-0.53105047388900328</v>
      </c>
      <c r="S250" s="340">
        <f>Saldo_relativo_per_capita!S250*Saldo_relativo_per_capita!S$543/1000000</f>
        <v>-0.68356564145940402</v>
      </c>
      <c r="T250" s="340">
        <f>Saldo_relativo_per_capita!T250*Saldo_relativo_per_capita!T$543/1000000</f>
        <v>-0.62037294396190845</v>
      </c>
      <c r="U250" s="340">
        <f>Saldo_relativo_per_capita!U250*Saldo_relativo_per_capita!U$543/1000000</f>
        <v>-0.3504197495943423</v>
      </c>
      <c r="V250" s="340">
        <f>Saldo_relativo_per_capita!V250*Saldo_relativo_per_capita!V$543/1000000</f>
        <v>-0.12837943889152345</v>
      </c>
      <c r="W250" s="145"/>
      <c r="X250" s="146"/>
    </row>
    <row r="251" spans="1:24" s="115" customFormat="1">
      <c r="A251" s="355" t="str">
        <f>IF(B251="","",(IF(ISERROR(MATCH(B251,Tot_res!C:C,0)),"Eliminar!!!","")))</f>
        <v/>
      </c>
      <c r="B251" s="115" t="s">
        <v>275</v>
      </c>
      <c r="C251" s="333" t="str">
        <f>VLOOKUP(B251,Tot_res!C:D,2,FALSE)</f>
        <v>Actuac. prevención contaminac. y cambio climático</v>
      </c>
      <c r="D251" s="340">
        <f>Saldo_relativo_per_capita!D251*Saldo_relativo_per_capita!D$543/1000000</f>
        <v>0</v>
      </c>
      <c r="E251" s="340">
        <f>Saldo_relativo_per_capita!E251*Saldo_relativo_per_capita!E$543/1000000</f>
        <v>0</v>
      </c>
      <c r="F251" s="340">
        <f>Saldo_relativo_per_capita!F251*Saldo_relativo_per_capita!F$543/1000000</f>
        <v>0</v>
      </c>
      <c r="G251" s="340">
        <f>Saldo_relativo_per_capita!G251*Saldo_relativo_per_capita!G$543/1000000</f>
        <v>0</v>
      </c>
      <c r="H251" s="340">
        <f>Saldo_relativo_per_capita!H251*Saldo_relativo_per_capita!H$543/1000000</f>
        <v>0</v>
      </c>
      <c r="I251" s="340">
        <f>Saldo_relativo_per_capita!I251*Saldo_relativo_per_capita!I$543/1000000</f>
        <v>0</v>
      </c>
      <c r="J251" s="340">
        <f>Saldo_relativo_per_capita!J251*Saldo_relativo_per_capita!J$543/1000000</f>
        <v>0</v>
      </c>
      <c r="K251" s="340">
        <f>Saldo_relativo_per_capita!K251*Saldo_relativo_per_capita!K$543/1000000</f>
        <v>0</v>
      </c>
      <c r="L251" s="340">
        <f>Saldo_relativo_per_capita!L251*Saldo_relativo_per_capita!L$543/1000000</f>
        <v>0</v>
      </c>
      <c r="M251" s="340">
        <f>Saldo_relativo_per_capita!M251*Saldo_relativo_per_capita!M$543/1000000</f>
        <v>0</v>
      </c>
      <c r="N251" s="340">
        <f>Saldo_relativo_per_capita!N251*Saldo_relativo_per_capita!N$543/1000000</f>
        <v>0</v>
      </c>
      <c r="O251" s="340">
        <f>Saldo_relativo_per_capita!O251*Saldo_relativo_per_capita!O$543/1000000</f>
        <v>0</v>
      </c>
      <c r="P251" s="340">
        <f>Saldo_relativo_per_capita!P251*Saldo_relativo_per_capita!P$543/1000000</f>
        <v>0</v>
      </c>
      <c r="Q251" s="340">
        <f>Saldo_relativo_per_capita!Q251*Saldo_relativo_per_capita!Q$543/1000000</f>
        <v>0</v>
      </c>
      <c r="R251" s="340">
        <f>Saldo_relativo_per_capita!R251*Saldo_relativo_per_capita!R$543/1000000</f>
        <v>0</v>
      </c>
      <c r="S251" s="340">
        <f>Saldo_relativo_per_capita!S251*Saldo_relativo_per_capita!S$543/1000000</f>
        <v>0</v>
      </c>
      <c r="T251" s="340">
        <f>Saldo_relativo_per_capita!T251*Saldo_relativo_per_capita!T$543/1000000</f>
        <v>0</v>
      </c>
      <c r="U251" s="340">
        <f>Saldo_relativo_per_capita!U251*Saldo_relativo_per_capita!U$543/1000000</f>
        <v>0</v>
      </c>
      <c r="V251" s="340">
        <f>Saldo_relativo_per_capita!V251*Saldo_relativo_per_capita!V$543/1000000</f>
        <v>0</v>
      </c>
      <c r="W251" s="145"/>
      <c r="X251" s="146"/>
    </row>
    <row r="252" spans="1:24" s="115" customFormat="1">
      <c r="A252" s="355" t="str">
        <f>IF(B252="","",(IF(ISERROR(MATCH(B252,Tot_res!C:C,0)),"Eliminar!!!","")))</f>
        <v/>
      </c>
      <c r="B252" s="115" t="s">
        <v>276</v>
      </c>
      <c r="C252" s="333" t="str">
        <f>VLOOKUP(B252,Tot_res!C:D,2,FALSE)</f>
        <v>Investigación, desarrollo y experimentación en transporte e infraestructuras</v>
      </c>
      <c r="D252" s="340">
        <f>Saldo_relativo_per_capita!D252*Saldo_relativo_per_capita!D$543/1000000</f>
        <v>0</v>
      </c>
      <c r="E252" s="340">
        <f>Saldo_relativo_per_capita!E252*Saldo_relativo_per_capita!E$543/1000000</f>
        <v>-8.5961000529485472E-3</v>
      </c>
      <c r="F252" s="340">
        <f>Saldo_relativo_per_capita!F252*Saldo_relativo_per_capita!F$543/1000000</f>
        <v>4.6636080135118727E-3</v>
      </c>
      <c r="G252" s="340">
        <f>Saldo_relativo_per_capita!G252*Saldo_relativo_per_capita!G$543/1000000</f>
        <v>3.6314416974045946E-3</v>
      </c>
      <c r="H252" s="340">
        <f>Saldo_relativo_per_capita!H252*Saldo_relativo_per_capita!H$543/1000000</f>
        <v>-3.8240347243339917E-3</v>
      </c>
      <c r="I252" s="340">
        <f>Saldo_relativo_per_capita!I252*Saldo_relativo_per_capita!I$543/1000000</f>
        <v>-2.7546388502094478E-3</v>
      </c>
      <c r="J252" s="340">
        <f>Saldo_relativo_per_capita!J252*Saldo_relativo_per_capita!J$543/1000000</f>
        <v>1.8319620149313276E-3</v>
      </c>
      <c r="K252" s="340">
        <f>Saldo_relativo_per_capita!K252*Saldo_relativo_per_capita!K$543/1000000</f>
        <v>1.4340393574323469E-2</v>
      </c>
      <c r="L252" s="340">
        <f>Saldo_relativo_per_capita!L252*Saldo_relativo_per_capita!L$543/1000000</f>
        <v>5.1640631330645108E-3</v>
      </c>
      <c r="M252" s="340">
        <f>Saldo_relativo_per_capita!M252*Saldo_relativo_per_capita!M$543/1000000</f>
        <v>-8.6622319925415154E-3</v>
      </c>
      <c r="N252" s="340">
        <f>Saldo_relativo_per_capita!N252*Saldo_relativo_per_capita!N$543/1000000</f>
        <v>-6.5016778982025765E-3</v>
      </c>
      <c r="O252" s="340">
        <f>Saldo_relativo_per_capita!O252*Saldo_relativo_per_capita!O$543/1000000</f>
        <v>3.3159639622146937E-3</v>
      </c>
      <c r="P252" s="340">
        <f>Saldo_relativo_per_capita!P252*Saldo_relativo_per_capita!P$543/1000000</f>
        <v>4.2111588931581061E-3</v>
      </c>
      <c r="Q252" s="340">
        <f>Saldo_relativo_per_capita!Q252*Saldo_relativo_per_capita!Q$543/1000000</f>
        <v>-6.4146291969828934E-3</v>
      </c>
      <c r="R252" s="340">
        <f>Saldo_relativo_per_capita!R252*Saldo_relativo_per_capita!R$543/1000000</f>
        <v>-1.3832650294730293E-3</v>
      </c>
      <c r="S252" s="340">
        <f>Saldo_relativo_per_capita!S252*Saldo_relativo_per_capita!S$543/1000000</f>
        <v>-4.195512122052847E-4</v>
      </c>
      <c r="T252" s="340">
        <f>Saldo_relativo_per_capita!T252*Saldo_relativo_per_capita!T$543/1000000</f>
        <v>1.3365944506243338E-3</v>
      </c>
      <c r="U252" s="340">
        <f>Saldo_relativo_per_capita!U252*Saldo_relativo_per_capita!U$543/1000000</f>
        <v>4.2220193241484979E-4</v>
      </c>
      <c r="V252" s="340">
        <f>Saldo_relativo_per_capita!V252*Saldo_relativo_per_capita!V$543/1000000</f>
        <v>-3.612587147504442E-4</v>
      </c>
      <c r="W252" s="145"/>
      <c r="X252" s="145"/>
    </row>
    <row r="253" spans="1:24" s="115" customFormat="1">
      <c r="A253" s="355" t="str">
        <f>IF(B253="","",(IF(ISERROR(MATCH(B253,Tot_res!C:C,0)),"Eliminar!!!","")))</f>
        <v/>
      </c>
      <c r="B253" s="115" t="s">
        <v>277</v>
      </c>
      <c r="C253" s="333" t="str">
        <f>VLOOKUP(B253,Tot_res!C:D,2,FALSE)</f>
        <v>Servicio postal universal</v>
      </c>
      <c r="D253" s="340">
        <f>Saldo_relativo_per_capita!D253*Saldo_relativo_per_capita!D$543/1000000</f>
        <v>0</v>
      </c>
      <c r="E253" s="340">
        <f>Saldo_relativo_per_capita!E253*Saldo_relativo_per_capita!E$543/1000000</f>
        <v>-25.35851673615517</v>
      </c>
      <c r="F253" s="340">
        <f>Saldo_relativo_per_capita!F253*Saldo_relativo_per_capita!F$543/1000000</f>
        <v>3.0298314827505544</v>
      </c>
      <c r="G253" s="340">
        <f>Saldo_relativo_per_capita!G253*Saldo_relativo_per_capita!G$543/1000000</f>
        <v>-1.093569566623928</v>
      </c>
      <c r="H253" s="340">
        <f>Saldo_relativo_per_capita!H253*Saldo_relativo_per_capita!H$543/1000000</f>
        <v>11.243100640475669</v>
      </c>
      <c r="I253" s="340">
        <f>Saldo_relativo_per_capita!I253*Saldo_relativo_per_capita!I$543/1000000</f>
        <v>57.080627981222406</v>
      </c>
      <c r="J253" s="340">
        <f>Saldo_relativo_per_capita!J253*Saldo_relativo_per_capita!J$543/1000000</f>
        <v>0.87747318038813182</v>
      </c>
      <c r="K253" s="340">
        <f>Saldo_relativo_per_capita!K253*Saldo_relativo_per_capita!K$543/1000000</f>
        <v>15.419453533968003</v>
      </c>
      <c r="L253" s="340">
        <f>Saldo_relativo_per_capita!L253*Saldo_relativo_per_capita!L$543/1000000</f>
        <v>9.4736689319549878</v>
      </c>
      <c r="M253" s="340">
        <f>Saldo_relativo_per_capita!M253*Saldo_relativo_per_capita!M$543/1000000</f>
        <v>-22.708689599365151</v>
      </c>
      <c r="N253" s="340">
        <f>Saldo_relativo_per_capita!N253*Saldo_relativo_per_capita!N$543/1000000</f>
        <v>-17.946279944445678</v>
      </c>
      <c r="O253" s="340">
        <f>Saldo_relativo_per_capita!O253*Saldo_relativo_per_capita!O$543/1000000</f>
        <v>6.1801168925032091</v>
      </c>
      <c r="P253" s="340">
        <f>Saldo_relativo_per_capita!P253*Saldo_relativo_per_capita!P$543/1000000</f>
        <v>12.124066794777583</v>
      </c>
      <c r="Q253" s="340">
        <f>Saldo_relativo_per_capita!Q253*Saldo_relativo_per_capita!Q$543/1000000</f>
        <v>-38.374794564958357</v>
      </c>
      <c r="R253" s="340">
        <f>Saldo_relativo_per_capita!R253*Saldo_relativo_per_capita!R$543/1000000</f>
        <v>-8.8036214816504668</v>
      </c>
      <c r="S253" s="340">
        <f>Saldo_relativo_per_capita!S253*Saldo_relativo_per_capita!S$543/1000000</f>
        <v>3.0510859841696676</v>
      </c>
      <c r="T253" s="340">
        <f>Saldo_relativo_per_capita!T253*Saldo_relativo_per_capita!T$543/1000000</f>
        <v>-6.4280806176030847</v>
      </c>
      <c r="U253" s="340">
        <f>Saldo_relativo_per_capita!U253*Saldo_relativo_per_capita!U$543/1000000</f>
        <v>0.54472152652030559</v>
      </c>
      <c r="V253" s="340">
        <f>Saldo_relativo_per_capita!V253*Saldo_relativo_per_capita!V$543/1000000</f>
        <v>1.6894055620712511</v>
      </c>
      <c r="W253" s="145"/>
      <c r="X253" s="145"/>
    </row>
    <row r="254" spans="1:24" s="115" customFormat="1">
      <c r="A254" s="355" t="str">
        <f>IF(B254="","",(IF(ISERROR(MATCH(B254,Tot_res!C:C,0)),"Eliminar!!!","")))</f>
        <v/>
      </c>
      <c r="B254" s="115" t="s">
        <v>767</v>
      </c>
      <c r="C254" s="333" t="str">
        <f>VLOOKUP(B254,Tot_res!C:D,2,FALSE)</f>
        <v>Salvamento y lucha contra la contaminación en la mar</v>
      </c>
      <c r="D254" s="340">
        <f>Saldo_relativo_per_capita!D254*Saldo_relativo_per_capita!D$543/1000000</f>
        <v>0</v>
      </c>
      <c r="E254" s="340">
        <f>Saldo_relativo_per_capita!E254*Saldo_relativo_per_capita!E$543/1000000</f>
        <v>-4.9268529661431106</v>
      </c>
      <c r="F254" s="340">
        <f>Saldo_relativo_per_capita!F254*Saldo_relativo_per_capita!F$543/1000000</f>
        <v>1.8352913185251181</v>
      </c>
      <c r="G254" s="340">
        <f>Saldo_relativo_per_capita!G254*Saldo_relativo_per_capita!G$543/1000000</f>
        <v>-0.29269082365235821</v>
      </c>
      <c r="H254" s="340">
        <f>Saldo_relativo_per_capita!H254*Saldo_relativo_per_capita!H$543/1000000</f>
        <v>-0.68467717078582824</v>
      </c>
      <c r="I254" s="340">
        <f>Saldo_relativo_per_capita!I254*Saldo_relativo_per_capita!I$543/1000000</f>
        <v>0.61335372385852294</v>
      </c>
      <c r="J254" s="340">
        <f>Saldo_relativo_per_capita!J254*Saldo_relativo_per_capita!J$543/1000000</f>
        <v>0.22657342380631224</v>
      </c>
      <c r="K254" s="340">
        <f>Saldo_relativo_per_capita!K254*Saldo_relativo_per_capita!K$543/1000000</f>
        <v>0.66113836499383116</v>
      </c>
      <c r="L254" s="340">
        <f>Saldo_relativo_per_capita!L254*Saldo_relativo_per_capita!L$543/1000000</f>
        <v>-0.2726049176659891</v>
      </c>
      <c r="M254" s="340">
        <f>Saldo_relativo_per_capita!M254*Saldo_relativo_per_capita!M$543/1000000</f>
        <v>2.8727633661782845</v>
      </c>
      <c r="N254" s="340">
        <f>Saldo_relativo_per_capita!N254*Saldo_relativo_per_capita!N$543/1000000</f>
        <v>-1.9652206637315717</v>
      </c>
      <c r="O254" s="340">
        <f>Saldo_relativo_per_capita!O254*Saldo_relativo_per_capita!O$543/1000000</f>
        <v>-1.0029130504947756</v>
      </c>
      <c r="P254" s="340">
        <f>Saldo_relativo_per_capita!P254*Saldo_relativo_per_capita!P$543/1000000</f>
        <v>-0.62995657261973426</v>
      </c>
      <c r="Q254" s="340">
        <f>Saldo_relativo_per_capita!Q254*Saldo_relativo_per_capita!Q$543/1000000</f>
        <v>-0.68140178604390034</v>
      </c>
      <c r="R254" s="340">
        <f>Saldo_relativo_per_capita!R254*Saldo_relativo_per_capita!R$543/1000000</f>
        <v>0.74053659070371103</v>
      </c>
      <c r="S254" s="340">
        <f>Saldo_relativo_per_capita!S254*Saldo_relativo_per_capita!S$543/1000000</f>
        <v>1.4163498031717958</v>
      </c>
      <c r="T254" s="340">
        <f>Saldo_relativo_per_capita!T254*Saldo_relativo_per_capita!T$543/1000000</f>
        <v>1.3696926018952742</v>
      </c>
      <c r="U254" s="340">
        <f>Saldo_relativo_per_capita!U254*Saldo_relativo_per_capita!U$543/1000000</f>
        <v>0.48219460753527332</v>
      </c>
      <c r="V254" s="340">
        <f>Saldo_relativo_per_capita!V254*Saldo_relativo_per_capita!V$543/1000000</f>
        <v>0.23842415046912421</v>
      </c>
      <c r="W254" s="145"/>
      <c r="X254" s="145"/>
    </row>
    <row r="255" spans="1:24" s="115" customFormat="1">
      <c r="A255" s="355" t="str">
        <f>IF(B255="","",(IF(ISERROR(MATCH(B255,Tot_res!C:C,0)),"Eliminar!!!","")))</f>
        <v/>
      </c>
      <c r="B255" s="115" t="s">
        <v>769</v>
      </c>
      <c r="C255" s="333" t="str">
        <f>VLOOKUP(B255,Tot_res!C:D,2,FALSE)</f>
        <v>Otras aportaciones a Corporaciones Locales, transferencias a corporaciones locales para financiar los servicios de transporte colectivo urbano</v>
      </c>
      <c r="D255" s="340">
        <f>Saldo_relativo_per_capita!D255*Saldo_relativo_per_capita!D$543/1000000</f>
        <v>0</v>
      </c>
      <c r="E255" s="340">
        <f>Saldo_relativo_per_capita!E255*Saldo_relativo_per_capita!E$543/1000000</f>
        <v>11.086069309196745</v>
      </c>
      <c r="F255" s="340">
        <f>Saldo_relativo_per_capita!F255*Saldo_relativo_per_capita!F$543/1000000</f>
        <v>3.8415127871225789</v>
      </c>
      <c r="G255" s="340">
        <f>Saldo_relativo_per_capita!G255*Saldo_relativo_per_capita!G$543/1000000</f>
        <v>0.72502606606495668</v>
      </c>
      <c r="H255" s="340">
        <f>Saldo_relativo_per_capita!H255*Saldo_relativo_per_capita!H$543/1000000</f>
        <v>0.99690490912927876</v>
      </c>
      <c r="I255" s="340">
        <f>Saldo_relativo_per_capita!I255*Saldo_relativo_per_capita!I$543/1000000</f>
        <v>-2.2963451891647866</v>
      </c>
      <c r="J255" s="340">
        <f>Saldo_relativo_per_capita!J255*Saldo_relativo_per_capita!J$543/1000000</f>
        <v>0.26221942199104492</v>
      </c>
      <c r="K255" s="340">
        <f>Saldo_relativo_per_capita!K255*Saldo_relativo_per_capita!K$543/1000000</f>
        <v>1.1091592371048626</v>
      </c>
      <c r="L255" s="340">
        <f>Saldo_relativo_per_capita!L255*Saldo_relativo_per_capita!L$543/1000000</f>
        <v>-1.0922645873439965</v>
      </c>
      <c r="M255" s="340">
        <f>Saldo_relativo_per_capita!M255*Saldo_relativo_per_capita!M$543/1000000</f>
        <v>-5.1068994862881949</v>
      </c>
      <c r="N255" s="340">
        <f>Saldo_relativo_per_capita!N255*Saldo_relativo_per_capita!N$543/1000000</f>
        <v>1.7003296306401829</v>
      </c>
      <c r="O255" s="340">
        <f>Saldo_relativo_per_capita!O255*Saldo_relativo_per_capita!O$543/1000000</f>
        <v>-0.44398332924595929</v>
      </c>
      <c r="P255" s="340">
        <f>Saldo_relativo_per_capita!P255*Saldo_relativo_per_capita!P$543/1000000</f>
        <v>6.7361819027148634E-2</v>
      </c>
      <c r="Q255" s="340">
        <f>Saldo_relativo_per_capita!Q255*Saldo_relativo_per_capita!Q$543/1000000</f>
        <v>-7.04100669554101</v>
      </c>
      <c r="R255" s="340">
        <f>Saldo_relativo_per_capita!R255*Saldo_relativo_per_capita!R$543/1000000</f>
        <v>-0.9966539077420612</v>
      </c>
      <c r="S255" s="340">
        <f>Saldo_relativo_per_capita!S255*Saldo_relativo_per_capita!S$543/1000000</f>
        <v>-0.69862925419623134</v>
      </c>
      <c r="T255" s="340">
        <f>Saldo_relativo_per_capita!T255*Saldo_relativo_per_capita!T$543/1000000</f>
        <v>-2.3553713215557872</v>
      </c>
      <c r="U255" s="340">
        <f>Saldo_relativo_per_capita!U255*Saldo_relativo_per_capita!U$543/1000000</f>
        <v>0.27482775151921279</v>
      </c>
      <c r="V255" s="340">
        <f>Saldo_relativo_per_capita!V255*Saldo_relativo_per_capita!V$543/1000000</f>
        <v>-3.2257160717990035E-2</v>
      </c>
      <c r="W255" s="145"/>
      <c r="X255" s="145"/>
    </row>
    <row r="256" spans="1:24" s="115" customFormat="1">
      <c r="A256" s="355" t="str">
        <f>IF(B256="","",(IF(ISERROR(MATCH(B256,Tot_res!C:C,0)),"Eliminar!!!","")))</f>
        <v/>
      </c>
      <c r="B256" s="119" t="s">
        <v>770</v>
      </c>
      <c r="C256" s="333" t="str">
        <f>VLOOKUP(B256,Tot_res!C:D,2,FALSE)</f>
        <v>Otras aportaciones a Corporaciones Locales, mejoras suminstro agua CyMel</v>
      </c>
      <c r="D256" s="340">
        <f>Saldo_relativo_per_capita!D256*Saldo_relativo_per_capita!D$543/1000000</f>
        <v>0</v>
      </c>
      <c r="E256" s="340">
        <f>Saldo_relativo_per_capita!E256*Saldo_relativo_per_capita!E$543/1000000</f>
        <v>2.6715745575727134</v>
      </c>
      <c r="F256" s="340">
        <f>Saldo_relativo_per_capita!F256*Saldo_relativo_per_capita!F$543/1000000</f>
        <v>-0.3383407364054199</v>
      </c>
      <c r="G256" s="340">
        <f>Saldo_relativo_per_capita!G256*Saldo_relativo_per_capita!G$543/1000000</f>
        <v>-0.26964624958152777</v>
      </c>
      <c r="H256" s="340">
        <f>Saldo_relativo_per_capita!H256*Saldo_relativo_per_capita!H$543/1000000</f>
        <v>-0.28043186662229985</v>
      </c>
      <c r="I256" s="340">
        <f>Saldo_relativo_per_capita!I256*Saldo_relativo_per_capita!I$543/1000000</f>
        <v>-0.53469087221079337</v>
      </c>
      <c r="J256" s="340">
        <f>Saldo_relativo_per_capita!J256*Saldo_relativo_per_capita!J$543/1000000</f>
        <v>-0.1494559009775363</v>
      </c>
      <c r="K256" s="340">
        <f>Saldo_relativo_per_capita!K256*Saldo_relativo_per_capita!K$543/1000000</f>
        <v>-0.63485247112815546</v>
      </c>
      <c r="L256" s="340">
        <f>Saldo_relativo_per_capita!L256*Saldo_relativo_per_capita!L$543/1000000</f>
        <v>-0.52913506724765835</v>
      </c>
      <c r="M256" s="340">
        <f>Saldo_relativo_per_capita!M256*Saldo_relativo_per_capita!M$543/1000000</f>
        <v>-1.9081728327336109</v>
      </c>
      <c r="N256" s="340">
        <f>Saldo_relativo_per_capita!N256*Saldo_relativo_per_capita!N$543/1000000</f>
        <v>-1.2810139203023831</v>
      </c>
      <c r="O256" s="340">
        <f>Saldo_relativo_per_capita!O256*Saldo_relativo_per_capita!O$543/1000000</f>
        <v>-0.2789785080492842</v>
      </c>
      <c r="P256" s="340">
        <f>Saldo_relativo_per_capita!P256*Saldo_relativo_per_capita!P$543/1000000</f>
        <v>-0.69814826256984575</v>
      </c>
      <c r="Q256" s="340">
        <f>Saldo_relativo_per_capita!Q256*Saldo_relativo_per_capita!Q$543/1000000</f>
        <v>-1.6394582265091233</v>
      </c>
      <c r="R256" s="340">
        <f>Saldo_relativo_per_capita!R256*Saldo_relativo_per_capita!R$543/1000000</f>
        <v>-0.37205814890266625</v>
      </c>
      <c r="S256" s="340">
        <f>Saldo_relativo_per_capita!S256*Saldo_relativo_per_capita!S$543/1000000</f>
        <v>-0.16271374678258088</v>
      </c>
      <c r="T256" s="340">
        <f>Saldo_relativo_per_capita!T256*Saldo_relativo_per_capita!T$543/1000000</f>
        <v>-0.55458884494568694</v>
      </c>
      <c r="U256" s="340">
        <f>Saldo_relativo_per_capita!U256*Saldo_relativo_per_capita!U$543/1000000</f>
        <v>-8.1153745008851114E-2</v>
      </c>
      <c r="V256" s="340">
        <f>Saldo_relativo_per_capita!V256*Saldo_relativo_per_capita!V$543/1000000</f>
        <v>7.0412648424047113</v>
      </c>
      <c r="W256" s="145"/>
      <c r="X256" s="146"/>
    </row>
    <row r="257" spans="1:24" s="115" customFormat="1">
      <c r="A257" s="355" t="str">
        <f>IF(B257="","",(IF(ISERROR(MATCH(B257,Tot_res!C:C,0)),"Eliminar!!!","")))</f>
        <v/>
      </c>
      <c r="B257" s="119" t="s">
        <v>279</v>
      </c>
      <c r="C257" s="333" t="str">
        <f>VLOOKUP(B257,Tot_res!C:D,2,FALSE)</f>
        <v>Obras hidráulicas</v>
      </c>
      <c r="D257" s="340">
        <f>Saldo_relativo_per_capita!D257*Saldo_relativo_per_capita!D$543/1000000</f>
        <v>0</v>
      </c>
      <c r="E257" s="340">
        <f>Saldo_relativo_per_capita!E257*Saldo_relativo_per_capita!E$543/1000000</f>
        <v>-33.324184516771588</v>
      </c>
      <c r="F257" s="340">
        <f>Saldo_relativo_per_capita!F257*Saldo_relativo_per_capita!F$543/1000000</f>
        <v>-5.2877835386824152</v>
      </c>
      <c r="G257" s="340">
        <f>Saldo_relativo_per_capita!G257*Saldo_relativo_per_capita!G$543/1000000</f>
        <v>-4.2141866065342413</v>
      </c>
      <c r="H257" s="340">
        <f>Saldo_relativo_per_capita!H257*Saldo_relativo_per_capita!H$543/1000000</f>
        <v>-4.3827504302364746</v>
      </c>
      <c r="I257" s="340">
        <f>Saldo_relativo_per_capita!I257*Saldo_relativo_per_capita!I$543/1000000</f>
        <v>4.4773420867570026</v>
      </c>
      <c r="J257" s="340">
        <f>Saldo_relativo_per_capita!J257*Saldo_relativo_per_capita!J$543/1000000</f>
        <v>-2.3357827418126584</v>
      </c>
      <c r="K257" s="340">
        <f>Saldo_relativo_per_capita!K257*Saldo_relativo_per_capita!K$543/1000000</f>
        <v>-9.9218393918159542</v>
      </c>
      <c r="L257" s="340">
        <f>Saldo_relativo_per_capita!L257*Saldo_relativo_per_capita!L$543/1000000</f>
        <v>-8.2696270276456136</v>
      </c>
      <c r="M257" s="340">
        <f>Saldo_relativo_per_capita!M257*Saldo_relativo_per_capita!M$543/1000000</f>
        <v>106.86677259262731</v>
      </c>
      <c r="N257" s="340">
        <f>Saldo_relativo_per_capita!N257*Saldo_relativo_per_capita!N$543/1000000</f>
        <v>-20.020421994002202</v>
      </c>
      <c r="O257" s="340">
        <f>Saldo_relativo_per_capita!O257*Saldo_relativo_per_capita!O$543/1000000</f>
        <v>-4.3600365069299238</v>
      </c>
      <c r="P257" s="340">
        <f>Saldo_relativo_per_capita!P257*Saldo_relativo_per_capita!P$543/1000000</f>
        <v>25.355798282613257</v>
      </c>
      <c r="Q257" s="340">
        <f>Saldo_relativo_per_capita!Q257*Saldo_relativo_per_capita!Q$543/1000000</f>
        <v>-25.622395678966011</v>
      </c>
      <c r="R257" s="340">
        <f>Saldo_relativo_per_capita!R257*Saldo_relativo_per_capita!R$543/1000000</f>
        <v>-5.8147386451354137</v>
      </c>
      <c r="S257" s="340">
        <f>Saldo_relativo_per_capita!S257*Saldo_relativo_per_capita!S$543/1000000</f>
        <v>-2.5429839779130048</v>
      </c>
      <c r="T257" s="340">
        <f>Saldo_relativo_per_capita!T257*Saldo_relativo_per_capita!T$543/1000000</f>
        <v>-8.6674332987404394</v>
      </c>
      <c r="U257" s="340">
        <f>Saldo_relativo_per_capita!U257*Saldo_relativo_per_capita!U$543/1000000</f>
        <v>-1.2683173818184046</v>
      </c>
      <c r="V257" s="340">
        <f>Saldo_relativo_per_capita!V257*Saldo_relativo_per_capita!V$543/1000000</f>
        <v>-0.66743122499322849</v>
      </c>
      <c r="W257" s="145"/>
      <c r="X257" s="146"/>
    </row>
    <row r="258" spans="1:24" s="115" customFormat="1">
      <c r="A258" s="355" t="str">
        <f>IF(B258="","",(IF(ISERROR(MATCH(B258,Tot_res!C:C,0)),"Eliminar!!!","")))</f>
        <v/>
      </c>
      <c r="B258" s="119" t="s">
        <v>280</v>
      </c>
      <c r="C258" s="333" t="str">
        <f>VLOOKUP(B258,Tot_res!C:D,2,FALSE)</f>
        <v>Confederaciones hidrográficas, Andalucía</v>
      </c>
      <c r="D258" s="340">
        <f>Saldo_relativo_per_capita!D258*Saldo_relativo_per_capita!D$543/1000000</f>
        <v>0</v>
      </c>
      <c r="E258" s="340">
        <f>Saldo_relativo_per_capita!E258*Saldo_relativo_per_capita!E$543/1000000</f>
        <v>153.49046951743037</v>
      </c>
      <c r="F258" s="340">
        <f>Saldo_relativo_per_capita!F258*Saldo_relativo_per_capita!F$543/1000000</f>
        <v>-5.3233394214566436</v>
      </c>
      <c r="G258" s="340">
        <f>Saldo_relativo_per_capita!G258*Saldo_relativo_per_capita!G$543/1000000</f>
        <v>-4.2425234557782607</v>
      </c>
      <c r="H258" s="340">
        <f>Saldo_relativo_per_capita!H258*Saldo_relativo_per_capita!H$543/1000000</f>
        <v>-4.4122207289705671</v>
      </c>
      <c r="I258" s="340">
        <f>Saldo_relativo_per_capita!I258*Saldo_relativo_per_capita!I$543/1000000</f>
        <v>-8.4126464598164663</v>
      </c>
      <c r="J258" s="340">
        <f>Saldo_relativo_per_capita!J258*Saldo_relativo_per_capita!J$543/1000000</f>
        <v>-2.3514889099540737</v>
      </c>
      <c r="K258" s="340">
        <f>Saldo_relativo_per_capita!K258*Saldo_relativo_per_capita!K$543/1000000</f>
        <v>-9.9885553902563959</v>
      </c>
      <c r="L258" s="340">
        <f>Saldo_relativo_per_capita!L258*Saldo_relativo_per_capita!L$543/1000000</f>
        <v>-8.3252332919774581</v>
      </c>
      <c r="M258" s="340">
        <f>Saldo_relativo_per_capita!M258*Saldo_relativo_per_capita!M$543/1000000</f>
        <v>-30.022549963571887</v>
      </c>
      <c r="N258" s="340">
        <f>Saldo_relativo_per_capita!N258*Saldo_relativo_per_capita!N$543/1000000</f>
        <v>-20.155042439847204</v>
      </c>
      <c r="O258" s="340">
        <f>Saldo_relativo_per_capita!O258*Saldo_relativo_per_capita!O$543/1000000</f>
        <v>-4.389354073694463</v>
      </c>
      <c r="P258" s="340">
        <f>Saldo_relativo_per_capita!P258*Saldo_relativo_per_capita!P$543/1000000</f>
        <v>-10.984430097433544</v>
      </c>
      <c r="Q258" s="340">
        <f>Saldo_relativo_per_capita!Q258*Saldo_relativo_per_capita!Q$543/1000000</f>
        <v>-25.794684671223663</v>
      </c>
      <c r="R258" s="340">
        <f>Saldo_relativo_per_capita!R258*Saldo_relativo_per_capita!R$543/1000000</f>
        <v>-5.853837856386547</v>
      </c>
      <c r="S258" s="340">
        <f>Saldo_relativo_per_capita!S258*Saldo_relativo_per_capita!S$543/1000000</f>
        <v>-2.560083399542874</v>
      </c>
      <c r="T258" s="340">
        <f>Saldo_relativo_per_capita!T258*Saldo_relativo_per_capita!T$543/1000000</f>
        <v>-8.7257144745996609</v>
      </c>
      <c r="U258" s="340">
        <f>Saldo_relativo_per_capita!U258*Saldo_relativo_per_capita!U$543/1000000</f>
        <v>-1.276845746078884</v>
      </c>
      <c r="V258" s="340">
        <f>Saldo_relativo_per_capita!V258*Saldo_relativo_per_capita!V$543/1000000</f>
        <v>-0.67191913684175919</v>
      </c>
      <c r="W258" s="145"/>
      <c r="X258" s="146"/>
    </row>
    <row r="259" spans="1:24" s="115" customFormat="1">
      <c r="A259" s="355" t="str">
        <f>IF(B259="","",(IF(ISERROR(MATCH(B259,Tot_res!C:C,0)),"Eliminar!!!","")))</f>
        <v/>
      </c>
      <c r="B259" s="119" t="s">
        <v>281</v>
      </c>
      <c r="C259" s="333" t="str">
        <f>VLOOKUP(B259,Tot_res!C:D,2,FALSE)</f>
        <v>Parques Nacionales</v>
      </c>
      <c r="D259" s="340">
        <f>Saldo_relativo_per_capita!D259*Saldo_relativo_per_capita!D$543/1000000</f>
        <v>0</v>
      </c>
      <c r="E259" s="340">
        <f>Saldo_relativo_per_capita!E259*Saldo_relativo_per_capita!E$543/1000000</f>
        <v>4.0901912248530055</v>
      </c>
      <c r="F259" s="340">
        <f>Saldo_relativo_per_capita!F259*Saldo_relativo_per_capita!F$543/1000000</f>
        <v>2.0337894079736123</v>
      </c>
      <c r="G259" s="340">
        <f>Saldo_relativo_per_capita!G259*Saldo_relativo_per_capita!G$543/1000000</f>
        <v>1.7298172769439173</v>
      </c>
      <c r="H259" s="340">
        <f>Saldo_relativo_per_capita!H259*Saldo_relativo_per_capita!H$543/1000000</f>
        <v>4.5292971032999558</v>
      </c>
      <c r="I259" s="340">
        <f>Saldo_relativo_per_capita!I259*Saldo_relativo_per_capita!I$543/1000000</f>
        <v>17.965898524964071</v>
      </c>
      <c r="J259" s="340">
        <f>Saldo_relativo_per_capita!J259*Saldo_relativo_per_capita!J$543/1000000</f>
        <v>0.90363212348875732</v>
      </c>
      <c r="K259" s="340">
        <f>Saldo_relativo_per_capita!K259*Saldo_relativo_per_capita!K$543/1000000</f>
        <v>-1.1433845489508188</v>
      </c>
      <c r="L259" s="340">
        <f>Saldo_relativo_per_capita!L259*Saldo_relativo_per_capita!L$543/1000000</f>
        <v>-2.4723944549719921</v>
      </c>
      <c r="M259" s="340">
        <f>Saldo_relativo_per_capita!M259*Saldo_relativo_per_capita!M$543/1000000</f>
        <v>-8.3816095087973093</v>
      </c>
      <c r="N259" s="340">
        <f>Saldo_relativo_per_capita!N259*Saldo_relativo_per_capita!N$543/1000000</f>
        <v>-5.9272476421429765</v>
      </c>
      <c r="O259" s="340">
        <f>Saldo_relativo_per_capita!O259*Saldo_relativo_per_capita!O$543/1000000</f>
        <v>-1.3259838347802511</v>
      </c>
      <c r="P259" s="340">
        <f>Saldo_relativo_per_capita!P259*Saldo_relativo_per_capita!P$543/1000000</f>
        <v>0.34931309003872413</v>
      </c>
      <c r="Q259" s="340">
        <f>Saldo_relativo_per_capita!Q259*Saldo_relativo_per_capita!Q$543/1000000</f>
        <v>-6.9670728366182573</v>
      </c>
      <c r="R259" s="340">
        <f>Saldo_relativo_per_capita!R259*Saldo_relativo_per_capita!R$543/1000000</f>
        <v>-1.7319067018285264</v>
      </c>
      <c r="S259" s="340">
        <f>Saldo_relativo_per_capita!S259*Saldo_relativo_per_capita!S$543/1000000</f>
        <v>-0.70699209343536396</v>
      </c>
      <c r="T259" s="340">
        <f>Saldo_relativo_per_capita!T259*Saldo_relativo_per_capita!T$543/1000000</f>
        <v>-2.3833444591298085</v>
      </c>
      <c r="U259" s="340">
        <f>Saldo_relativo_per_capita!U259*Saldo_relativo_per_capita!U$543/1000000</f>
        <v>-0.36242897144138181</v>
      </c>
      <c r="V259" s="340">
        <f>Saldo_relativo_per_capita!V259*Saldo_relativo_per_capita!V$543/1000000</f>
        <v>-0.19957369946535747</v>
      </c>
      <c r="W259" s="145"/>
      <c r="X259" s="145"/>
    </row>
    <row r="260" spans="1:24" s="115" customFormat="1">
      <c r="A260" s="355" t="str">
        <f>IF(B260="","",(IF(ISERROR(MATCH(B260,Tot_res!C:C,0)),"Eliminar!!!","")))</f>
        <v/>
      </c>
      <c r="B260" s="119" t="s">
        <v>283</v>
      </c>
      <c r="C260" s="333" t="str">
        <f>VLOOKUP(B260,Tot_res!C:D,2,FALSE)</f>
        <v>Infraestructuras ferroviarias, ADIF y Renfe</v>
      </c>
      <c r="D260" s="340">
        <f>Saldo_relativo_per_capita!D260*Saldo_relativo_per_capita!D$543/1000000</f>
        <v>0</v>
      </c>
      <c r="E260" s="340">
        <f>Saldo_relativo_per_capita!E260*Saldo_relativo_per_capita!E$543/1000000</f>
        <v>-174.20193919252694</v>
      </c>
      <c r="F260" s="340">
        <f>Saldo_relativo_per_capita!F260*Saldo_relativo_per_capita!F$543/1000000</f>
        <v>-41.853465288853656</v>
      </c>
      <c r="G260" s="340">
        <f>Saldo_relativo_per_capita!G260*Saldo_relativo_per_capita!G$543/1000000</f>
        <v>-22.169432009129086</v>
      </c>
      <c r="H260" s="340">
        <f>Saldo_relativo_per_capita!H260*Saldo_relativo_per_capita!H$543/1000000</f>
        <v>-54.07166867587366</v>
      </c>
      <c r="I260" s="340">
        <f>Saldo_relativo_per_capita!I260*Saldo_relativo_per_capita!I$543/1000000</f>
        <v>-103.75550192044325</v>
      </c>
      <c r="J260" s="340">
        <f>Saldo_relativo_per_capita!J260*Saldo_relativo_per_capita!J$543/1000000</f>
        <v>-13.055654600485022</v>
      </c>
      <c r="K260" s="340">
        <f>Saldo_relativo_per_capita!K260*Saldo_relativo_per_capita!K$543/1000000</f>
        <v>278.28272906926327</v>
      </c>
      <c r="L260" s="340">
        <f>Saldo_relativo_per_capita!L260*Saldo_relativo_per_capita!L$543/1000000</f>
        <v>1.4300385326597953</v>
      </c>
      <c r="M260" s="340">
        <f>Saldo_relativo_per_capita!M260*Saldo_relativo_per_capita!M$543/1000000</f>
        <v>-8.7674423563413661</v>
      </c>
      <c r="N260" s="340">
        <f>Saldo_relativo_per_capita!N260*Saldo_relativo_per_capita!N$543/1000000</f>
        <v>-17.006038445040197</v>
      </c>
      <c r="O260" s="340">
        <f>Saldo_relativo_per_capita!O260*Saldo_relativo_per_capita!O$543/1000000</f>
        <v>58.161606603663706</v>
      </c>
      <c r="P260" s="340">
        <f>Saldo_relativo_per_capita!P260*Saldo_relativo_per_capita!P$543/1000000</f>
        <v>119.9667496048763</v>
      </c>
      <c r="Q260" s="340">
        <f>Saldo_relativo_per_capita!Q260*Saldo_relativo_per_capita!Q$543/1000000</f>
        <v>15.371029520121184</v>
      </c>
      <c r="R260" s="340">
        <f>Saldo_relativo_per_capita!R260*Saldo_relativo_per_capita!R$543/1000000</f>
        <v>-46.675392049328664</v>
      </c>
      <c r="S260" s="340">
        <f>Saldo_relativo_per_capita!S260*Saldo_relativo_per_capita!S$543/1000000</f>
        <v>-14.078049189926217</v>
      </c>
      <c r="T260" s="340">
        <f>Saldo_relativo_per_capita!T260*Saldo_relativo_per_capita!T$543/1000000</f>
        <v>38.710412328361578</v>
      </c>
      <c r="U260" s="340">
        <f>Saldo_relativo_per_capita!U260*Saldo_relativo_per_capita!U$543/1000000</f>
        <v>-8.5669891167081431</v>
      </c>
      <c r="V260" s="340">
        <f>Saldo_relativo_per_capita!V260*Saldo_relativo_per_capita!V$543/1000000</f>
        <v>-7.7209928142895112</v>
      </c>
      <c r="W260" s="145"/>
      <c r="X260" s="146"/>
    </row>
    <row r="261" spans="1:24" s="115" customFormat="1">
      <c r="A261" s="355" t="str">
        <f>IF(B261="","",(IF(ISERROR(MATCH(B261,Tot_res!C:C,0)),"Eliminar!!!","")))</f>
        <v/>
      </c>
      <c r="B261" s="119" t="s">
        <v>284</v>
      </c>
      <c r="C261" s="333" t="str">
        <f>VLOOKUP(B261,Tot_res!C:D,2,FALSE)</f>
        <v>Infraestructuras aeroportuarias, AENA</v>
      </c>
      <c r="D261" s="340">
        <f>Saldo_relativo_per_capita!D261*Saldo_relativo_per_capita!D$543/1000000</f>
        <v>0</v>
      </c>
      <c r="E261" s="340">
        <f>Saldo_relativo_per_capita!E261*Saldo_relativo_per_capita!E$543/1000000</f>
        <v>-42.970721865588722</v>
      </c>
      <c r="F261" s="340">
        <f>Saldo_relativo_per_capita!F261*Saldo_relativo_per_capita!F$543/1000000</f>
        <v>-6.2693174080049507</v>
      </c>
      <c r="G261" s="340">
        <f>Saldo_relativo_per_capita!G261*Saldo_relativo_per_capita!G$543/1000000</f>
        <v>-5.2130274277081785</v>
      </c>
      <c r="H261" s="340">
        <f>Saldo_relativo_per_capita!H261*Saldo_relativo_per_capita!H$543/1000000</f>
        <v>13.526004425462929</v>
      </c>
      <c r="I261" s="340">
        <f>Saldo_relativo_per_capita!I261*Saldo_relativo_per_capita!I$543/1000000</f>
        <v>66.501060857064459</v>
      </c>
      <c r="J261" s="340">
        <f>Saldo_relativo_per_capita!J261*Saldo_relativo_per_capita!J$543/1000000</f>
        <v>-3.7427189197426602</v>
      </c>
      <c r="K261" s="340">
        <f>Saldo_relativo_per_capita!K261*Saldo_relativo_per_capita!K$543/1000000</f>
        <v>-21.836232277144749</v>
      </c>
      <c r="L261" s="340">
        <f>Saldo_relativo_per_capita!L261*Saldo_relativo_per_capita!L$543/1000000</f>
        <v>-17.831270074495965</v>
      </c>
      <c r="M261" s="340">
        <f>Saldo_relativo_per_capita!M261*Saldo_relativo_per_capita!M$543/1000000</f>
        <v>-10.003088975422363</v>
      </c>
      <c r="N261" s="340">
        <f>Saldo_relativo_per_capita!N261*Saldo_relativo_per_capita!N$543/1000000</f>
        <v>-22.133951472157513</v>
      </c>
      <c r="O261" s="340">
        <f>Saldo_relativo_per_capita!O261*Saldo_relativo_per_capita!O$543/1000000</f>
        <v>-9.5247429881727914</v>
      </c>
      <c r="P261" s="340">
        <f>Saldo_relativo_per_capita!P261*Saldo_relativo_per_capita!P$543/1000000</f>
        <v>13.895396262785205</v>
      </c>
      <c r="Q261" s="340">
        <f>Saldo_relativo_per_capita!Q261*Saldo_relativo_per_capita!Q$543/1000000</f>
        <v>72.028809926840935</v>
      </c>
      <c r="R261" s="340">
        <f>Saldo_relativo_per_capita!R261*Saldo_relativo_per_capita!R$543/1000000</f>
        <v>-12.451449500968417</v>
      </c>
      <c r="S261" s="340">
        <f>Saldo_relativo_per_capita!S261*Saldo_relativo_per_capita!S$543/1000000</f>
        <v>-3.9787754895221745</v>
      </c>
      <c r="T261" s="340">
        <f>Saldo_relativo_per_capita!T261*Saldo_relativo_per_capita!T$543/1000000</f>
        <v>-7.100763303150762</v>
      </c>
      <c r="U261" s="340">
        <f>Saldo_relativo_per_capita!U261*Saldo_relativo_per_capita!U$543/1000000</f>
        <v>-2.5534095957869494</v>
      </c>
      <c r="V261" s="340">
        <f>Saldo_relativo_per_capita!V261*Saldo_relativo_per_capita!V$543/1000000</f>
        <v>-0.34180217428737475</v>
      </c>
      <c r="W261" s="145"/>
      <c r="X261" s="145"/>
    </row>
    <row r="262" spans="1:24" s="115" customFormat="1">
      <c r="A262" s="355" t="str">
        <f>IF(B262="","",(IF(ISERROR(MATCH(B262,Tot_res!C:C,0)),"Eliminar!!!","")))</f>
        <v/>
      </c>
      <c r="B262" s="119" t="s">
        <v>285</v>
      </c>
      <c r="C262" s="333" t="str">
        <f>VLOOKUP(B262,Tot_res!C:D,2,FALSE)</f>
        <v xml:space="preserve">Infraestructuras portuarias, Puertos del Estado </v>
      </c>
      <c r="D262" s="340">
        <f>Saldo_relativo_per_capita!D262*Saldo_relativo_per_capita!D$543/1000000</f>
        <v>0</v>
      </c>
      <c r="E262" s="340">
        <f>Saldo_relativo_per_capita!E262*Saldo_relativo_per_capita!E$543/1000000</f>
        <v>-24.242691006140987</v>
      </c>
      <c r="F262" s="340">
        <f>Saldo_relativo_per_capita!F262*Saldo_relativo_per_capita!F$543/1000000</f>
        <v>-5.0512172424705923</v>
      </c>
      <c r="G262" s="340">
        <f>Saldo_relativo_per_capita!G262*Saldo_relativo_per_capita!G$543/1000000</f>
        <v>-4.736768806401578</v>
      </c>
      <c r="H262" s="340">
        <f>Saldo_relativo_per_capita!H262*Saldo_relativo_per_capita!H$543/1000000</f>
        <v>-0.29537273090004756</v>
      </c>
      <c r="I262" s="340">
        <f>Saldo_relativo_per_capita!I262*Saldo_relativo_per_capita!I$543/1000000</f>
        <v>23.538925145274984</v>
      </c>
      <c r="J262" s="340">
        <f>Saldo_relativo_per_capita!J262*Saldo_relativo_per_capita!J$543/1000000</f>
        <v>18.660039961372217</v>
      </c>
      <c r="K262" s="340">
        <f>Saldo_relativo_per_capita!K262*Saldo_relativo_per_capita!K$543/1000000</f>
        <v>-13.012551924527331</v>
      </c>
      <c r="L262" s="340">
        <f>Saldo_relativo_per_capita!L262*Saldo_relativo_per_capita!L$543/1000000</f>
        <v>-11.891925190255407</v>
      </c>
      <c r="M262" s="340">
        <f>Saldo_relativo_per_capita!M262*Saldo_relativo_per_capita!M$543/1000000</f>
        <v>30.943172557001603</v>
      </c>
      <c r="N262" s="340">
        <f>Saldo_relativo_per_capita!N262*Saldo_relativo_per_capita!N$543/1000000</f>
        <v>-7.2185538568033722</v>
      </c>
      <c r="O262" s="340">
        <f>Saldo_relativo_per_capita!O262*Saldo_relativo_per_capita!O$543/1000000</f>
        <v>-7.361240854124663</v>
      </c>
      <c r="P262" s="340">
        <f>Saldo_relativo_per_capita!P262*Saldo_relativo_per_capita!P$543/1000000</f>
        <v>4.4736327633358419</v>
      </c>
      <c r="Q262" s="340">
        <f>Saldo_relativo_per_capita!Q262*Saldo_relativo_per_capita!Q$543/1000000</f>
        <v>-36.638282333114326</v>
      </c>
      <c r="R262" s="340">
        <f>Saldo_relativo_per_capita!R262*Saldo_relativo_per_capita!R$543/1000000</f>
        <v>7.4891021678058483</v>
      </c>
      <c r="S262" s="340">
        <f>Saldo_relativo_per_capita!S262*Saldo_relativo_per_capita!S$543/1000000</f>
        <v>-1.7512351509583308</v>
      </c>
      <c r="T262" s="340">
        <f>Saldo_relativo_per_capita!T262*Saldo_relativo_per_capita!T$543/1000000</f>
        <v>28.282845703446704</v>
      </c>
      <c r="U262" s="340">
        <f>Saldo_relativo_per_capita!U262*Saldo_relativo_per_capita!U$543/1000000</f>
        <v>-1.1582422932904683</v>
      </c>
      <c r="V262" s="340">
        <f>Saldo_relativo_per_capita!V262*Saldo_relativo_per_capita!V$543/1000000</f>
        <v>-2.9636909250033785E-2</v>
      </c>
      <c r="W262" s="148"/>
    </row>
    <row r="263" spans="1:24" s="115" customFormat="1">
      <c r="A263" s="355" t="str">
        <f>IF(B263="","",(IF(ISERROR(MATCH(B263,Tot_res!C:C,0)),"Eliminar!!!","")))</f>
        <v/>
      </c>
      <c r="B263" s="119" t="s">
        <v>286</v>
      </c>
      <c r="C263" s="333" t="str">
        <f>VLOOKUP(B263,Tot_res!C:D,2,FALSE)</f>
        <v>Autopistas de peaje</v>
      </c>
      <c r="D263" s="340">
        <f>Saldo_relativo_per_capita!D263*Saldo_relativo_per_capita!D$543/1000000</f>
        <v>0</v>
      </c>
      <c r="E263" s="340">
        <f>Saldo_relativo_per_capita!E263*Saldo_relativo_per_capita!E$543/1000000</f>
        <v>-23.078719538450692</v>
      </c>
      <c r="F263" s="340">
        <f>Saldo_relativo_per_capita!F263*Saldo_relativo_per_capita!F$543/1000000</f>
        <v>-0.27965160446962495</v>
      </c>
      <c r="G263" s="340">
        <f>Saldo_relativo_per_capita!G263*Saldo_relativo_per_capita!G$543/1000000</f>
        <v>-2.5959144078525962</v>
      </c>
      <c r="H263" s="340">
        <f>Saldo_relativo_per_capita!H263*Saldo_relativo_per_capita!H$543/1000000</f>
        <v>-3.7410793909457216</v>
      </c>
      <c r="I263" s="340">
        <f>Saldo_relativo_per_capita!I263*Saldo_relativo_per_capita!I$543/1000000</f>
        <v>-7.0295528858467717</v>
      </c>
      <c r="J263" s="340">
        <f>Saldo_relativo_per_capita!J263*Saldo_relativo_per_capita!J$543/1000000</f>
        <v>-1.8083684602481047</v>
      </c>
      <c r="K263" s="340">
        <f>Saldo_relativo_per_capita!K263*Saldo_relativo_per_capita!K$543/1000000</f>
        <v>4.0915963701919278</v>
      </c>
      <c r="L263" s="340">
        <f>Saldo_relativo_per_capita!L263*Saldo_relativo_per_capita!L$543/1000000</f>
        <v>17.077071710911895</v>
      </c>
      <c r="M263" s="340">
        <f>Saldo_relativo_per_capita!M263*Saldo_relativo_per_capita!M$543/1000000</f>
        <v>25.107545852934155</v>
      </c>
      <c r="N263" s="340">
        <f>Saldo_relativo_per_capita!N263*Saldo_relativo_per_capita!N$543/1000000</f>
        <v>-8.8624193695864673</v>
      </c>
      <c r="O263" s="340">
        <f>Saldo_relativo_per_capita!O263*Saldo_relativo_per_capita!O$543/1000000</f>
        <v>-3.3615363171546786</v>
      </c>
      <c r="P263" s="340">
        <f>Saldo_relativo_per_capita!P263*Saldo_relativo_per_capita!P$543/1000000</f>
        <v>-6.8061360258627586</v>
      </c>
      <c r="Q263" s="340">
        <f>Saldo_relativo_per_capita!Q263*Saldo_relativo_per_capita!Q$543/1000000</f>
        <v>11.445101319734041</v>
      </c>
      <c r="R263" s="340">
        <f>Saldo_relativo_per_capita!R263*Saldo_relativo_per_capita!R$543/1000000</f>
        <v>-3.2885444182708969</v>
      </c>
      <c r="S263" s="340">
        <f>Saldo_relativo_per_capita!S263*Saldo_relativo_per_capita!S$543/1000000</f>
        <v>-0.14592245120751429</v>
      </c>
      <c r="T263" s="340">
        <f>Saldo_relativo_per_capita!T263*Saldo_relativo_per_capita!T$543/1000000</f>
        <v>1.70061638242444</v>
      </c>
      <c r="U263" s="340">
        <f>Saldo_relativo_per_capita!U263*Saldo_relativo_per_capita!U$543/1000000</f>
        <v>2.1272276810210777</v>
      </c>
      <c r="V263" s="340">
        <f>Saldo_relativo_per_capita!V263*Saldo_relativo_per_capita!V$543/1000000</f>
        <v>-0.55131444732172952</v>
      </c>
      <c r="W263" s="148"/>
    </row>
    <row r="264" spans="1:24" s="115" customFormat="1">
      <c r="A264" s="355" t="str">
        <f>IF(B264="","",(IF(ISERROR(MATCH(B264,Tot_res!C:C,0)),"Eliminar!!!","")))</f>
        <v/>
      </c>
      <c r="B264" s="119" t="s">
        <v>288</v>
      </c>
      <c r="C264" s="333" t="str">
        <f>VLOOKUP(B264,Tot_res!C:D,2,FALSE)</f>
        <v>Excedente bruto de AENA</v>
      </c>
      <c r="D264" s="340">
        <f>Saldo_relativo_per_capita!D264*Saldo_relativo_per_capita!D$543/1000000</f>
        <v>0</v>
      </c>
      <c r="E264" s="340">
        <f>Saldo_relativo_per_capita!E264*Saldo_relativo_per_capita!E$543/1000000</f>
        <v>13.191827617722344</v>
      </c>
      <c r="F264" s="340">
        <f>Saldo_relativo_per_capita!F264*Saldo_relativo_per_capita!F$543/1000000</f>
        <v>-8.606875428932236</v>
      </c>
      <c r="G264" s="340">
        <f>Saldo_relativo_per_capita!G264*Saldo_relativo_per_capita!G$543/1000000</f>
        <v>-9.3710400933570863</v>
      </c>
      <c r="H264" s="340">
        <f>Saldo_relativo_per_capita!H264*Saldo_relativo_per_capita!H$543/1000000</f>
        <v>15.071108460871953</v>
      </c>
      <c r="I264" s="340">
        <f>Saldo_relativo_per_capita!I264*Saldo_relativo_per_capita!I$543/1000000</f>
        <v>14.742315986373551</v>
      </c>
      <c r="J264" s="340">
        <f>Saldo_relativo_per_capita!J264*Saldo_relativo_per_capita!J$543/1000000</f>
        <v>-4.0996529700430759</v>
      </c>
      <c r="K264" s="340">
        <f>Saldo_relativo_per_capita!K264*Saldo_relativo_per_capita!K$543/1000000</f>
        <v>-3.2086381192574898</v>
      </c>
      <c r="L264" s="340">
        <f>Saldo_relativo_per_capita!L264*Saldo_relativo_per_capita!L$543/1000000</f>
        <v>-15.434480683348045</v>
      </c>
      <c r="M264" s="340">
        <f>Saldo_relativo_per_capita!M264*Saldo_relativo_per_capita!M$543/1000000</f>
        <v>-22.051402714800833</v>
      </c>
      <c r="N264" s="340">
        <f>Saldo_relativo_per_capita!N264*Saldo_relativo_per_capita!N$543/1000000</f>
        <v>-10.546502629163061</v>
      </c>
      <c r="O264" s="340">
        <f>Saldo_relativo_per_capita!O264*Saldo_relativo_per_capita!O$543/1000000</f>
        <v>-4.0155309259257965</v>
      </c>
      <c r="P264" s="340">
        <f>Saldo_relativo_per_capita!P264*Saldo_relativo_per_capita!P$543/1000000</f>
        <v>-4.7375825823083115</v>
      </c>
      <c r="Q264" s="340">
        <f>Saldo_relativo_per_capita!Q264*Saldo_relativo_per_capita!Q$543/1000000</f>
        <v>65.147456640074964</v>
      </c>
      <c r="R264" s="340">
        <f>Saldo_relativo_per_capita!R264*Saldo_relativo_per_capita!R$543/1000000</f>
        <v>-5.3742751854013733</v>
      </c>
      <c r="S264" s="340">
        <f>Saldo_relativo_per_capita!S264*Saldo_relativo_per_capita!S$543/1000000</f>
        <v>-3.8382920448026066</v>
      </c>
      <c r="T264" s="340">
        <f>Saldo_relativo_per_capita!T264*Saldo_relativo_per_capita!T$543/1000000</f>
        <v>-16.174449263867995</v>
      </c>
      <c r="U264" s="340">
        <f>Saldo_relativo_per_capita!U264*Saldo_relativo_per_capita!U$543/1000000</f>
        <v>-0.5424620731428591</v>
      </c>
      <c r="V264" s="340">
        <f>Saldo_relativo_per_capita!V264*Saldo_relativo_per_capita!V$543/1000000</f>
        <v>-0.15152399069134395</v>
      </c>
      <c r="W264" s="148"/>
    </row>
    <row r="265" spans="1:24" s="115" customFormat="1">
      <c r="A265" s="355" t="str">
        <f>IF(B265="","",(IF(ISERROR(MATCH(B265,Tot_res!C:C,0)),"Eliminar!!!","")))</f>
        <v/>
      </c>
      <c r="B265" s="119" t="s">
        <v>289</v>
      </c>
      <c r="C265" s="333" t="str">
        <f>VLOOKUP(B265,Tot_res!C:D,2,FALSE)</f>
        <v>Excedene bruto de puertos del Estado</v>
      </c>
      <c r="D265" s="340">
        <f>Saldo_relativo_per_capita!D265*Saldo_relativo_per_capita!D$543/1000000</f>
        <v>0</v>
      </c>
      <c r="E265" s="340">
        <f>Saldo_relativo_per_capita!E265*Saldo_relativo_per_capita!E$543/1000000</f>
        <v>4.7408042885961281</v>
      </c>
      <c r="F265" s="340">
        <f>Saldo_relativo_per_capita!F265*Saldo_relativo_per_capita!F$543/1000000</f>
        <v>2.3290112842483159</v>
      </c>
      <c r="G265" s="340">
        <f>Saldo_relativo_per_capita!G265*Saldo_relativo_per_capita!G$543/1000000</f>
        <v>2.886371910284776</v>
      </c>
      <c r="H265" s="340">
        <f>Saldo_relativo_per_capita!H265*Saldo_relativo_per_capita!H$543/1000000</f>
        <v>-3.4013662426002846</v>
      </c>
      <c r="I265" s="340">
        <f>Saldo_relativo_per_capita!I265*Saldo_relativo_per_capita!I$543/1000000</f>
        <v>-9.7144027031174165</v>
      </c>
      <c r="J265" s="340">
        <f>Saldo_relativo_per_capita!J265*Saldo_relativo_per_capita!J$543/1000000</f>
        <v>2.7362480237939351</v>
      </c>
      <c r="K265" s="340">
        <f>Saldo_relativo_per_capita!K265*Saldo_relativo_per_capita!K$543/1000000</f>
        <v>-2.6021341948998828</v>
      </c>
      <c r="L265" s="340">
        <f>Saldo_relativo_per_capita!L265*Saldo_relativo_per_capita!L$543/1000000</f>
        <v>-2.2399280751266626</v>
      </c>
      <c r="M265" s="340">
        <f>Saldo_relativo_per_capita!M265*Saldo_relativo_per_capita!M$543/1000000</f>
        <v>6.0083245847088946</v>
      </c>
      <c r="N265" s="340">
        <f>Saldo_relativo_per_capita!N265*Saldo_relativo_per_capita!N$543/1000000</f>
        <v>4.5314986083085191</v>
      </c>
      <c r="O265" s="340">
        <f>Saldo_relativo_per_capita!O265*Saldo_relativo_per_capita!O$543/1000000</f>
        <v>-3.6303722368128297</v>
      </c>
      <c r="P265" s="340">
        <f>Saldo_relativo_per_capita!P265*Saldo_relativo_per_capita!P$543/1000000</f>
        <v>8.4916200532547688</v>
      </c>
      <c r="Q265" s="340">
        <f>Saldo_relativo_per_capita!Q265*Saldo_relativo_per_capita!Q$543/1000000</f>
        <v>-30.567853477105466</v>
      </c>
      <c r="R265" s="340">
        <f>Saldo_relativo_per_capita!R265*Saldo_relativo_per_capita!R$543/1000000</f>
        <v>6.1541789646373513</v>
      </c>
      <c r="S265" s="340">
        <f>Saldo_relativo_per_capita!S265*Saldo_relativo_per_capita!S$543/1000000</f>
        <v>2.4362882651785762</v>
      </c>
      <c r="T265" s="340">
        <f>Saldo_relativo_per_capita!T265*Saldo_relativo_per_capita!T$543/1000000</f>
        <v>7.3153759188676055</v>
      </c>
      <c r="U265" s="340">
        <f>Saldo_relativo_per_capita!U265*Saldo_relativo_per_capita!U$543/1000000</f>
        <v>0.7511549573629871</v>
      </c>
      <c r="V265" s="340">
        <f>Saldo_relativo_per_capita!V265*Saldo_relativo_per_capita!V$543/1000000</f>
        <v>3.7751800704208178</v>
      </c>
      <c r="W265" s="148"/>
    </row>
    <row r="266" spans="1:24" s="115" customFormat="1">
      <c r="A266" s="355" t="str">
        <f>IF(B266="","",(IF(ISERROR(MATCH(B266,Tot_res!C:C,0)),"Eliminar!!!","")))</f>
        <v/>
      </c>
      <c r="B266" s="119" t="s">
        <v>290</v>
      </c>
      <c r="C266" s="333" t="str">
        <f>VLOOKUP(B266,Tot_res!C:D,2,FALSE)</f>
        <v>Excedente bruto de los concesionarios de autopistas de peaje</v>
      </c>
      <c r="D266" s="340">
        <f>Saldo_relativo_per_capita!D266*Saldo_relativo_per_capita!D$543/1000000</f>
        <v>0</v>
      </c>
      <c r="E266" s="340">
        <f>Saldo_relativo_per_capita!E266*Saldo_relativo_per_capita!E$543/1000000</f>
        <v>64.429516617543854</v>
      </c>
      <c r="F266" s="340">
        <f>Saldo_relativo_per_capita!F266*Saldo_relativo_per_capita!F$543/1000000</f>
        <v>-18.1866797687026</v>
      </c>
      <c r="G266" s="340">
        <f>Saldo_relativo_per_capita!G266*Saldo_relativo_per_capita!G$543/1000000</f>
        <v>6.2460559975071623</v>
      </c>
      <c r="H266" s="340">
        <f>Saldo_relativo_per_capita!H266*Saldo_relativo_per_capita!H$543/1000000</f>
        <v>17.649198119131594</v>
      </c>
      <c r="I266" s="340">
        <f>Saldo_relativo_per_capita!I266*Saldo_relativo_per_capita!I$543/1000000</f>
        <v>34.003073922330515</v>
      </c>
      <c r="J266" s="340">
        <f>Saldo_relativo_per_capita!J266*Saldo_relativo_per_capita!J$543/1000000</f>
        <v>7.9471332182974948</v>
      </c>
      <c r="K266" s="340">
        <f>Saldo_relativo_per_capita!K266*Saldo_relativo_per_capita!K$543/1000000</f>
        <v>-15.02288310743185</v>
      </c>
      <c r="L266" s="340">
        <f>Saldo_relativo_per_capita!L266*Saldo_relativo_per_capita!L$543/1000000</f>
        <v>-21.385725343144287</v>
      </c>
      <c r="M266" s="340">
        <f>Saldo_relativo_per_capita!M266*Saldo_relativo_per_capita!M$543/1000000</f>
        <v>-26.95293480179393</v>
      </c>
      <c r="N266" s="340">
        <f>Saldo_relativo_per_capita!N266*Saldo_relativo_per_capita!N$543/1000000</f>
        <v>-4.7779826645447629</v>
      </c>
      <c r="O266" s="340">
        <f>Saldo_relativo_per_capita!O266*Saldo_relativo_per_capita!O$543/1000000</f>
        <v>11.161380650609173</v>
      </c>
      <c r="P266" s="340">
        <f>Saldo_relativo_per_capita!P266*Saldo_relativo_per_capita!P$543/1000000</f>
        <v>-21.55879147046776</v>
      </c>
      <c r="Q266" s="340">
        <f>Saldo_relativo_per_capita!Q266*Saldo_relativo_per_capita!Q$543/1000000</f>
        <v>26.580539029123148</v>
      </c>
      <c r="R266" s="340">
        <f>Saldo_relativo_per_capita!R266*Saldo_relativo_per_capita!R$543/1000000</f>
        <v>0.94626825567400707</v>
      </c>
      <c r="S266" s="340">
        <f>Saldo_relativo_per_capita!S266*Saldo_relativo_per_capita!S$543/1000000</f>
        <v>-21.07822319026015</v>
      </c>
      <c r="T266" s="340">
        <f>Saldo_relativo_per_capita!T266*Saldo_relativo_per_capita!T$543/1000000</f>
        <v>-24.463323845524684</v>
      </c>
      <c r="U266" s="340">
        <f>Saldo_relativo_per_capita!U266*Saldo_relativo_per_capita!U$543/1000000</f>
        <v>-18.195126227726458</v>
      </c>
      <c r="V266" s="340">
        <f>Saldo_relativo_per_capita!V266*Saldo_relativo_per_capita!V$543/1000000</f>
        <v>2.6585046093798126</v>
      </c>
      <c r="W266" s="220"/>
    </row>
    <row r="267" spans="1:24" s="115" customFormat="1">
      <c r="A267" s="355" t="str">
        <f>IF(B267="","",(IF(ISERROR(MATCH(B267,Tot_res!C:C,0)),"Eliminar!!!","")))</f>
        <v/>
      </c>
      <c r="B267" s="119" t="s">
        <v>291</v>
      </c>
      <c r="C267" s="333" t="str">
        <f>VLOOKUP(B267,Tot_res!C:D,2,FALSE)</f>
        <v>Infraestructuras de carreteras, SEITT + AF06/2</v>
      </c>
      <c r="D267" s="340">
        <f>Saldo_relativo_per_capita!D267*Saldo_relativo_per_capita!D$543/1000000</f>
        <v>0</v>
      </c>
      <c r="E267" s="340">
        <f>Saldo_relativo_per_capita!E267*Saldo_relativo_per_capita!E$543/1000000</f>
        <v>-10.917791335185157</v>
      </c>
      <c r="F267" s="340">
        <f>Saldo_relativo_per_capita!F267*Saldo_relativo_per_capita!F$543/1000000</f>
        <v>-1.2969630596496666</v>
      </c>
      <c r="G267" s="340">
        <f>Saldo_relativo_per_capita!G267*Saldo_relativo_per_capita!G$543/1000000</f>
        <v>66.663590230720004</v>
      </c>
      <c r="H267" s="340">
        <f>Saldo_relativo_per_capita!H267*Saldo_relativo_per_capita!H$543/1000000</f>
        <v>-6.3091023182693364</v>
      </c>
      <c r="I267" s="340">
        <f>Saldo_relativo_per_capita!I267*Saldo_relativo_per_capita!I$543/1000000</f>
        <v>-11.854912385936114</v>
      </c>
      <c r="J267" s="340">
        <f>Saldo_relativo_per_capita!J267*Saldo_relativo_per_capita!J$543/1000000</f>
        <v>4.9077968388082498</v>
      </c>
      <c r="K267" s="340">
        <f>Saldo_relativo_per_capita!K267*Saldo_relativo_per_capita!K$543/1000000</f>
        <v>-7.7602965196854417</v>
      </c>
      <c r="L267" s="340">
        <f>Saldo_relativo_per_capita!L267*Saldo_relativo_per_capita!L$543/1000000</f>
        <v>37.765406237589985</v>
      </c>
      <c r="M267" s="340">
        <f>Saldo_relativo_per_capita!M267*Saldo_relativo_per_capita!M$543/1000000</f>
        <v>-31.123183564098667</v>
      </c>
      <c r="N267" s="340">
        <f>Saldo_relativo_per_capita!N267*Saldo_relativo_per_capita!N$543/1000000</f>
        <v>-9.0294971812577618</v>
      </c>
      <c r="O267" s="340">
        <f>Saldo_relativo_per_capita!O267*Saldo_relativo_per_capita!O$543/1000000</f>
        <v>-5.6690260631292908</v>
      </c>
      <c r="P267" s="340">
        <f>Saldo_relativo_per_capita!P267*Saldo_relativo_per_capita!P$543/1000000</f>
        <v>0.9289450936566972</v>
      </c>
      <c r="Q267" s="340">
        <f>Saldo_relativo_per_capita!Q267*Saldo_relativo_per_capita!Q$543/1000000</f>
        <v>-17.424932097998937</v>
      </c>
      <c r="R267" s="340">
        <f>Saldo_relativo_per_capita!R267*Saldo_relativo_per_capita!R$543/1000000</f>
        <v>-7.6128012496977799</v>
      </c>
      <c r="S267" s="340">
        <f>Saldo_relativo_per_capita!S267*Saldo_relativo_per_capita!S$543/1000000</f>
        <v>0.55462838878433351</v>
      </c>
      <c r="T267" s="340">
        <f>Saldo_relativo_per_capita!T267*Saldo_relativo_per_capita!T$543/1000000</f>
        <v>0.61209791223553189</v>
      </c>
      <c r="U267" s="340">
        <f>Saldo_relativo_per_capita!U267*Saldo_relativo_per_capita!U$543/1000000</f>
        <v>-1.5042007223131475</v>
      </c>
      <c r="V267" s="340">
        <f>Saldo_relativo_per_capita!V267*Saldo_relativo_per_capita!V$543/1000000</f>
        <v>-0.92975820457357594</v>
      </c>
    </row>
    <row r="268" spans="1:24" s="115" customFormat="1">
      <c r="A268" s="355" t="str">
        <f>IF(B268="","",(IF(ISERROR(MATCH(B268,Tot_res!C:C,0)),"Eliminar!!!","")))</f>
        <v/>
      </c>
      <c r="B268" s="119" t="s">
        <v>293</v>
      </c>
      <c r="C268" s="333" t="str">
        <f>VLOOKUP(B268,Tot_res!C:D,2,FALSE)</f>
        <v>"Y" ferroviaria vasca, parte financiada mediante descuento del cupo</v>
      </c>
      <c r="D268" s="340">
        <f>Saldo_relativo_per_capita!D268*Saldo_relativo_per_capita!D$543/1000000</f>
        <v>0</v>
      </c>
      <c r="E268" s="340">
        <f>Saldo_relativo_per_capita!E268*Saldo_relativo_per_capita!E$543/1000000</f>
        <v>-46.360206124284964</v>
      </c>
      <c r="F268" s="340">
        <f>Saldo_relativo_per_capita!F268*Saldo_relativo_per_capita!F$543/1000000</f>
        <v>-6.5559008475730165</v>
      </c>
      <c r="G268" s="340">
        <f>Saldo_relativo_per_capita!G268*Saldo_relativo_per_capita!G$543/1000000</f>
        <v>-5.9701238278830031</v>
      </c>
      <c r="H268" s="340">
        <f>Saldo_relativo_per_capita!H268*Saldo_relativo_per_capita!H$543/1000000</f>
        <v>-7.552554163151008</v>
      </c>
      <c r="I268" s="340">
        <f>Saldo_relativo_per_capita!I268*Saldo_relativo_per_capita!I$543/1000000</f>
        <v>-14.481588868440788</v>
      </c>
      <c r="J268" s="340">
        <f>Saldo_relativo_per_capita!J268*Saldo_relativo_per_capita!J$543/1000000</f>
        <v>-3.1842121950000939</v>
      </c>
      <c r="K268" s="340">
        <f>Saldo_relativo_per_capita!K268*Saldo_relativo_per_capita!K$543/1000000</f>
        <v>-15.101198160846158</v>
      </c>
      <c r="L268" s="340">
        <f>Saldo_relativo_per_capita!L268*Saldo_relativo_per_capita!L$543/1000000</f>
        <v>-9.913364226894906</v>
      </c>
      <c r="M268" s="340">
        <f>Saldo_relativo_per_capita!M268*Saldo_relativo_per_capita!M$543/1000000</f>
        <v>-26.877366018396497</v>
      </c>
      <c r="N268" s="340">
        <f>Saldo_relativo_per_capita!N268*Saldo_relativo_per_capita!N$543/1000000</f>
        <v>-26.648081577928071</v>
      </c>
      <c r="O268" s="340">
        <f>Saldo_relativo_per_capita!O268*Saldo_relativo_per_capita!O$543/1000000</f>
        <v>-6.950927222404232</v>
      </c>
      <c r="P268" s="340">
        <f>Saldo_relativo_per_capita!P268*Saldo_relativo_per_capita!P$543/1000000</f>
        <v>-17.324858361772673</v>
      </c>
      <c r="Q268" s="340">
        <f>Saldo_relativo_per_capita!Q268*Saldo_relativo_per_capita!Q$543/1000000</f>
        <v>-9.9373582026450489</v>
      </c>
      <c r="R268" s="340">
        <f>Saldo_relativo_per_capita!R268*Saldo_relativo_per_capita!R$543/1000000</f>
        <v>-8.7996640538205693</v>
      </c>
      <c r="S268" s="340">
        <f>Saldo_relativo_per_capita!S268*Saldo_relativo_per_capita!S$543/1000000</f>
        <v>-2.5513715272025195</v>
      </c>
      <c r="T268" s="340">
        <f>Saldo_relativo_per_capita!T268*Saldo_relativo_per_capita!T$543/1000000</f>
        <v>211.22502287664565</v>
      </c>
      <c r="U268" s="340">
        <f>Saldo_relativo_per_capita!U268*Saldo_relativo_per_capita!U$543/1000000</f>
        <v>-1.9295114010577188</v>
      </c>
      <c r="V268" s="340">
        <f>Saldo_relativo_per_capita!V268*Saldo_relativo_per_capita!V$543/1000000</f>
        <v>-1.0867360973443914</v>
      </c>
      <c r="W268" s="220"/>
    </row>
    <row r="269" spans="1:24" s="115" customFormat="1">
      <c r="A269" s="355" t="str">
        <f>IF(B269="","",(IF(ISERROR(MATCH(B269,Tot_res!C:C,0)),"Eliminar!!!","")))</f>
        <v/>
      </c>
      <c r="B269" s="115" t="s">
        <v>233</v>
      </c>
      <c r="C269" s="333" t="str">
        <f>VLOOKUP(B269,Tot_res!C:D,2,FALSE)</f>
        <v>Ajuste forales, ayudas al transporte colectivo urbano</v>
      </c>
      <c r="D269" s="340">
        <f>Saldo_relativo_per_capita!D269*Saldo_relativo_per_capita!D$543/1000000</f>
        <v>0</v>
      </c>
      <c r="E269" s="340">
        <f>Saldo_relativo_per_capita!E269*Saldo_relativo_per_capita!E$543/1000000</f>
        <v>-3.4317692029697571</v>
      </c>
      <c r="F269" s="340">
        <f>Saldo_relativo_per_capita!F269*Saldo_relativo_per_capita!F$543/1000000</f>
        <v>-0.54454303873176269</v>
      </c>
      <c r="G269" s="340">
        <f>Saldo_relativo_per_capita!G269*Saldo_relativo_per_capita!G$543/1000000</f>
        <v>-0.43398258716858512</v>
      </c>
      <c r="H269" s="340">
        <f>Saldo_relativo_per_capita!H269*Saldo_relativo_per_capita!H$543/1000000</f>
        <v>-0.45134151574566733</v>
      </c>
      <c r="I269" s="340">
        <f>Saldo_relativo_per_capita!I269*Saldo_relativo_per_capita!I$543/1000000</f>
        <v>-0.86055907848741631</v>
      </c>
      <c r="J269" s="340">
        <f>Saldo_relativo_per_capita!J269*Saldo_relativo_per_capita!J$543/1000000</f>
        <v>-0.24054203859502307</v>
      </c>
      <c r="K269" s="340">
        <f>Saldo_relativo_per_capita!K269*Saldo_relativo_per_capita!K$543/1000000</f>
        <v>-1.021764323880441</v>
      </c>
      <c r="L269" s="340">
        <f>Saldo_relativo_per_capita!L269*Saldo_relativo_per_capita!L$543/1000000</f>
        <v>-0.85161727931369424</v>
      </c>
      <c r="M269" s="340">
        <f>Saldo_relativo_per_capita!M269*Saldo_relativo_per_capita!M$543/1000000</f>
        <v>-3.0711118140887002</v>
      </c>
      <c r="N269" s="340">
        <f>Saldo_relativo_per_capita!N269*Saldo_relativo_per_capita!N$543/1000000</f>
        <v>-2.0617299005440524</v>
      </c>
      <c r="O269" s="340">
        <f>Saldo_relativo_per_capita!O269*Saldo_relativo_per_capita!O$543/1000000</f>
        <v>-0.44900240546848086</v>
      </c>
      <c r="P269" s="340">
        <f>Saldo_relativo_per_capita!P269*Saldo_relativo_per_capita!P$543/1000000</f>
        <v>-1.1236358365359234</v>
      </c>
      <c r="Q269" s="340">
        <f>Saldo_relativo_per_capita!Q269*Saldo_relativo_per_capita!Q$543/1000000</f>
        <v>-2.6386286618094719</v>
      </c>
      <c r="R269" s="340">
        <f>Saldo_relativo_per_capita!R269*Saldo_relativo_per_capita!R$543/1000000</f>
        <v>-0.59880958214148705</v>
      </c>
      <c r="S269" s="340">
        <f>Saldo_relativo_per_capita!S269*Saldo_relativo_per_capita!S$543/1000000</f>
        <v>4.0840934247590877</v>
      </c>
      <c r="T269" s="340">
        <f>Saldo_relativo_per_capita!T269*Saldo_relativo_per_capita!T$543/1000000</f>
        <v>13.894289827723828</v>
      </c>
      <c r="U269" s="340">
        <f>Saldo_relativo_per_capita!U269*Saldo_relativo_per_capita!U$543/1000000</f>
        <v>-0.13061302455353552</v>
      </c>
      <c r="V269" s="340">
        <f>Saldo_relativo_per_capita!V269*Saldo_relativo_per_capita!V$543/1000000</f>
        <v>-6.8732962448919938E-2</v>
      </c>
      <c r="W269" s="148"/>
    </row>
    <row r="270" spans="1:24">
      <c r="A270" s="356"/>
      <c r="C270" s="31"/>
      <c r="D270" s="39"/>
      <c r="E270" s="39"/>
      <c r="F270" s="39"/>
      <c r="G270" s="39"/>
      <c r="H270" s="39"/>
      <c r="I270" s="39"/>
      <c r="J270" s="39"/>
      <c r="K270" s="39"/>
      <c r="L270" s="39"/>
      <c r="M270" s="39"/>
      <c r="N270" s="39"/>
      <c r="O270" s="39"/>
      <c r="P270" s="39"/>
      <c r="Q270" s="39"/>
      <c r="R270" s="39"/>
      <c r="S270" s="39"/>
      <c r="T270" s="39"/>
      <c r="U270" s="39"/>
      <c r="V270" s="39"/>
      <c r="W270" s="35"/>
    </row>
    <row r="271" spans="1:24" s="115" customFormat="1">
      <c r="A271" s="356"/>
      <c r="C271" s="117" t="s">
        <v>55</v>
      </c>
      <c r="D271" s="219">
        <f>Saldo_relativo_per_capita!D271*Saldo_relativo_per_capita!D$543/1000000</f>
        <v>0</v>
      </c>
      <c r="E271" s="219">
        <f>Saldo_relativo_per_capita!E271*Saldo_relativo_per_capita!E$543/1000000</f>
        <v>901.89582792746069</v>
      </c>
      <c r="F271" s="219">
        <f>Saldo_relativo_per_capita!F271*Saldo_relativo_per_capita!F$543/1000000</f>
        <v>-36.346192053823607</v>
      </c>
      <c r="G271" s="219">
        <f>Saldo_relativo_per_capita!G271*Saldo_relativo_per_capita!G$543/1000000</f>
        <v>34.942367943970169</v>
      </c>
      <c r="H271" s="219">
        <f>Saldo_relativo_per_capita!H271*Saldo_relativo_per_capita!H$543/1000000</f>
        <v>128.32938792219122</v>
      </c>
      <c r="I271" s="219">
        <f>Saldo_relativo_per_capita!I271*Saldo_relativo_per_capita!I$543/1000000</f>
        <v>701.73179411011802</v>
      </c>
      <c r="J271" s="219">
        <f>Saldo_relativo_per_capita!J271*Saldo_relativo_per_capita!J$543/1000000</f>
        <v>-36.16900394247503</v>
      </c>
      <c r="K271" s="219">
        <f>Saldo_relativo_per_capita!K271*Saldo_relativo_per_capita!K$543/1000000</f>
        <v>18.11805751518898</v>
      </c>
      <c r="L271" s="219">
        <f>Saldo_relativo_per_capita!L271*Saldo_relativo_per_capita!L$543/1000000</f>
        <v>-22.364704233170652</v>
      </c>
      <c r="M271" s="219">
        <f>Saldo_relativo_per_capita!M271*Saldo_relativo_per_capita!M$543/1000000</f>
        <v>-812.72955872188152</v>
      </c>
      <c r="N271" s="219">
        <f>Saldo_relativo_per_capita!N271*Saldo_relativo_per_capita!N$543/1000000</f>
        <v>-299.15818579688721</v>
      </c>
      <c r="O271" s="219">
        <f>Saldo_relativo_per_capita!O271*Saldo_relativo_per_capita!O$543/1000000</f>
        <v>225.38158566643415</v>
      </c>
      <c r="P271" s="219">
        <f>Saldo_relativo_per_capita!P271*Saldo_relativo_per_capita!P$543/1000000</f>
        <v>99.403151232209197</v>
      </c>
      <c r="Q271" s="219">
        <f>Saldo_relativo_per_capita!Q271*Saldo_relativo_per_capita!Q$543/1000000</f>
        <v>-627.77396839987387</v>
      </c>
      <c r="R271" s="219">
        <f>Saldo_relativo_per_capita!R271*Saldo_relativo_per_capita!R$543/1000000</f>
        <v>-69.191265203006353</v>
      </c>
      <c r="S271" s="219">
        <f>Saldo_relativo_per_capita!S271*Saldo_relativo_per_capita!S$543/1000000</f>
        <v>-54.506735360314039</v>
      </c>
      <c r="T271" s="219">
        <f>Saldo_relativo_per_capita!T271*Saldo_relativo_per_capita!T$543/1000000</f>
        <v>-182.09340978466025</v>
      </c>
      <c r="U271" s="219">
        <f>Saldo_relativo_per_capita!U271*Saldo_relativo_per_capita!U$543/1000000</f>
        <v>-23.417009525416713</v>
      </c>
      <c r="V271" s="219">
        <f>Saldo_relativo_per_capita!V271*Saldo_relativo_per_capita!V$543/1000000</f>
        <v>53.947860703937195</v>
      </c>
      <c r="W271" s="148"/>
    </row>
    <row r="272" spans="1:24" s="115" customFormat="1">
      <c r="A272" s="355" t="str">
        <f>IF(B272="","",(IF(ISERROR(MATCH(B272,Tot_res!C:C,0)),"Eliminar!!!","")))</f>
        <v/>
      </c>
      <c r="B272" s="115" t="s">
        <v>641</v>
      </c>
      <c r="C272" s="333" t="str">
        <f>VLOOKUP(B272,Tot_res!C:D,2,FALSE)</f>
        <v>Subsidio y renta para eventuales agrarios en Andalucía y Extremadura</v>
      </c>
      <c r="D272" s="340">
        <f>Saldo_relativo_per_capita!D272*Saldo_relativo_per_capita!D$543/1000000</f>
        <v>0</v>
      </c>
      <c r="E272" s="340">
        <f>Saldo_relativo_per_capita!E272*Saldo_relativo_per_capita!E$543/1000000</f>
        <v>714.80462941987184</v>
      </c>
      <c r="F272" s="340">
        <f>Saldo_relativo_per_capita!F272*Saldo_relativo_per_capita!F$543/1000000</f>
        <v>-29.35092370231629</v>
      </c>
      <c r="G272" s="340">
        <f>Saldo_relativo_per_capita!G272*Saldo_relativo_per_capita!G$543/1000000</f>
        <v>-23.391704416578726</v>
      </c>
      <c r="H272" s="340">
        <f>Saldo_relativo_per_capita!H272*Saldo_relativo_per_capita!H$543/1000000</f>
        <v>-24.327352385574017</v>
      </c>
      <c r="I272" s="340">
        <f>Saldo_relativo_per_capita!I272*Saldo_relativo_per_capita!I$543/1000000</f>
        <v>-46.384219533585402</v>
      </c>
      <c r="J272" s="340">
        <f>Saldo_relativo_per_capita!J272*Saldo_relativo_per_capita!J$543/1000000</f>
        <v>-12.965239696103994</v>
      </c>
      <c r="K272" s="340">
        <f>Saldo_relativo_per_capita!K272*Saldo_relativo_per_capita!K$543/1000000</f>
        <v>-55.073198221043292</v>
      </c>
      <c r="L272" s="340">
        <f>Saldo_relativo_per_capita!L272*Saldo_relativo_per_capita!L$543/1000000</f>
        <v>-45.90225567280298</v>
      </c>
      <c r="M272" s="340">
        <f>Saldo_relativo_per_capita!M272*Saldo_relativo_per_capita!M$543/1000000</f>
        <v>-165.53323084716141</v>
      </c>
      <c r="N272" s="340">
        <f>Saldo_relativo_per_capita!N272*Saldo_relativo_per_capita!N$543/1000000</f>
        <v>-111.12744576918772</v>
      </c>
      <c r="O272" s="340">
        <f>Saldo_relativo_per_capita!O272*Saldo_relativo_per_capita!O$543/1000000</f>
        <v>107.2837472258271</v>
      </c>
      <c r="P272" s="340">
        <f>Saldo_relativo_per_capita!P272*Saldo_relativo_per_capita!P$543/1000000</f>
        <v>-60.56408283937273</v>
      </c>
      <c r="Q272" s="340">
        <f>Saldo_relativo_per_capita!Q272*Saldo_relativo_per_capita!Q$543/1000000</f>
        <v>-142.2223461195766</v>
      </c>
      <c r="R272" s="340">
        <f>Saldo_relativo_per_capita!R272*Saldo_relativo_per_capita!R$543/1000000</f>
        <v>-32.275895764977889</v>
      </c>
      <c r="S272" s="340">
        <f>Saldo_relativo_per_capita!S272*Saldo_relativo_per_capita!S$543/1000000</f>
        <v>-14.115352522644214</v>
      </c>
      <c r="T272" s="340">
        <f>Saldo_relativo_per_capita!T272*Saldo_relativo_per_capita!T$543/1000000</f>
        <v>-48.110360718289868</v>
      </c>
      <c r="U272" s="340">
        <f>Saldo_relativo_per_capita!U272*Saldo_relativo_per_capita!U$543/1000000</f>
        <v>-7.0400549553035265</v>
      </c>
      <c r="V272" s="340">
        <f>Saldo_relativo_per_capita!V272*Saldo_relativo_per_capita!V$543/1000000</f>
        <v>-3.7047134811802493</v>
      </c>
      <c r="W272" s="148"/>
    </row>
    <row r="273" spans="1:24" s="115" customFormat="1">
      <c r="A273" s="355" t="str">
        <f>IF(B273="","",(IF(ISERROR(MATCH(B273,Tot_res!C:C,0)),"Eliminar!!!","")))</f>
        <v/>
      </c>
      <c r="B273" s="115" t="s">
        <v>295</v>
      </c>
      <c r="C273" s="333" t="str">
        <f>VLOOKUP(B273,Tot_res!C:D,2,FALSE)</f>
        <v>Incentivos regionales a la localización industrial</v>
      </c>
      <c r="D273" s="340">
        <f>Saldo_relativo_per_capita!D273*Saldo_relativo_per_capita!D$543/1000000</f>
        <v>0</v>
      </c>
      <c r="E273" s="340">
        <f>Saldo_relativo_per_capita!E273*Saldo_relativo_per_capita!E$543/1000000</f>
        <v>0.22158785550192911</v>
      </c>
      <c r="F273" s="340">
        <f>Saldo_relativo_per_capita!F273*Saldo_relativo_per_capita!F$543/1000000</f>
        <v>-1.4452199591142143</v>
      </c>
      <c r="G273" s="340">
        <f>Saldo_relativo_per_capita!G273*Saldo_relativo_per_capita!G$543/1000000</f>
        <v>1.7451791197875848</v>
      </c>
      <c r="H273" s="340">
        <f>Saldo_relativo_per_capita!H273*Saldo_relativo_per_capita!H$543/1000000</f>
        <v>-1.9237880789496458</v>
      </c>
      <c r="I273" s="340">
        <f>Saldo_relativo_per_capita!I273*Saldo_relativo_per_capita!I$543/1000000</f>
        <v>2.7671337881682092</v>
      </c>
      <c r="J273" s="340">
        <f>Saldo_relativo_per_capita!J273*Saldo_relativo_per_capita!J$543/1000000</f>
        <v>-1.0252810570080892</v>
      </c>
      <c r="K273" s="340">
        <f>Saldo_relativo_per_capita!K273*Saldo_relativo_per_capita!K$543/1000000</f>
        <v>8.0870973251942058</v>
      </c>
      <c r="L273" s="340">
        <f>Saldo_relativo_per_capita!L273*Saldo_relativo_per_capita!L$543/1000000</f>
        <v>5.2794631692122937</v>
      </c>
      <c r="M273" s="340">
        <f>Saldo_relativo_per_capita!M273*Saldo_relativo_per_capita!M$543/1000000</f>
        <v>-13.090238967501802</v>
      </c>
      <c r="N273" s="340">
        <f>Saldo_relativo_per_capita!N273*Saldo_relativo_per_capita!N$543/1000000</f>
        <v>9.4814379422839625</v>
      </c>
      <c r="O273" s="340">
        <f>Saldo_relativo_per_capita!O273*Saldo_relativo_per_capita!O$543/1000000</f>
        <v>6.2209596001984684</v>
      </c>
      <c r="P273" s="340">
        <f>Saldo_relativo_per_capita!P273*Saldo_relativo_per_capita!P$543/1000000</f>
        <v>1.3555188882596574</v>
      </c>
      <c r="Q273" s="340">
        <f>Saldo_relativo_per_capita!Q273*Saldo_relativo_per_capita!Q$543/1000000</f>
        <v>-11.246832359255768</v>
      </c>
      <c r="R273" s="340">
        <f>Saldo_relativo_per_capita!R273*Saldo_relativo_per_capita!R$543/1000000</f>
        <v>-0.6565684098154847</v>
      </c>
      <c r="S273" s="340">
        <f>Saldo_relativo_per_capita!S273*Saldo_relativo_per_capita!S$543/1000000</f>
        <v>-1.1162310835492926</v>
      </c>
      <c r="T273" s="340">
        <f>Saldo_relativo_per_capita!T273*Saldo_relativo_per_capita!T$543/1000000</f>
        <v>-3.8045298541693109</v>
      </c>
      <c r="U273" s="340">
        <f>Saldo_relativo_per_capita!U273*Saldo_relativo_per_capita!U$543/1000000</f>
        <v>-0.55672206261929957</v>
      </c>
      <c r="V273" s="340">
        <f>Saldo_relativo_per_capita!V273*Saldo_relativo_per_capita!V$543/1000000</f>
        <v>-0.29296585662338359</v>
      </c>
      <c r="W273" s="148"/>
    </row>
    <row r="274" spans="1:24" s="115" customFormat="1">
      <c r="A274" s="355" t="str">
        <f>IF(B274="","",(IF(ISERROR(MATCH(B274,Tot_res!C:C,0)),"Eliminar!!!","")))</f>
        <v/>
      </c>
      <c r="B274" s="115" t="s">
        <v>296</v>
      </c>
      <c r="C274" s="333" t="str">
        <f>VLOOKUP(B274,Tot_res!C:D,2,FALSE)</f>
        <v>Desarrollo alternativo de las comarcas mineras del carbón</v>
      </c>
      <c r="D274" s="340">
        <f>Saldo_relativo_per_capita!D274*Saldo_relativo_per_capita!D$543/1000000</f>
        <v>0</v>
      </c>
      <c r="E274" s="340">
        <f>Saldo_relativo_per_capita!E274*Saldo_relativo_per_capita!E$543/1000000</f>
        <v>-1.5922444920163132</v>
      </c>
      <c r="F274" s="340">
        <f>Saldo_relativo_per_capita!F274*Saldo_relativo_per_capita!F$543/1000000</f>
        <v>0.31875887318900681</v>
      </c>
      <c r="G274" s="340">
        <f>Saldo_relativo_per_capita!G274*Saldo_relativo_per_capita!G$543/1000000</f>
        <v>8.7913046864455904</v>
      </c>
      <c r="H274" s="340">
        <f>Saldo_relativo_per_capita!H274*Saldo_relativo_per_capita!H$543/1000000</f>
        <v>-0.47223745542958273</v>
      </c>
      <c r="I274" s="340">
        <f>Saldo_relativo_per_capita!I274*Saldo_relativo_per_capita!I$543/1000000</f>
        <v>-0.90040072826078188</v>
      </c>
      <c r="J274" s="340">
        <f>Saldo_relativo_per_capita!J274*Saldo_relativo_per_capita!J$543/1000000</f>
        <v>-0.25167851010180115</v>
      </c>
      <c r="K274" s="340">
        <f>Saldo_relativo_per_capita!K274*Saldo_relativo_per_capita!K$543/1000000</f>
        <v>0.78439477226352572</v>
      </c>
      <c r="L274" s="340">
        <f>Saldo_relativo_per_capita!L274*Saldo_relativo_per_capita!L$543/1000000</f>
        <v>0.28457909298567535</v>
      </c>
      <c r="M274" s="340">
        <f>Saldo_relativo_per_capita!M274*Saldo_relativo_per_capita!M$543/1000000</f>
        <v>-3.0842877029459239</v>
      </c>
      <c r="N274" s="340">
        <f>Saldo_relativo_per_capita!N274*Saldo_relativo_per_capita!N$543/1000000</f>
        <v>-2.1571826389767605</v>
      </c>
      <c r="O274" s="340">
        <f>Saldo_relativo_per_capita!O274*Saldo_relativo_per_capita!O$543/1000000</f>
        <v>-0.46979005042310379</v>
      </c>
      <c r="P274" s="340">
        <f>Saldo_relativo_per_capita!P274*Saldo_relativo_per_capita!P$543/1000000</f>
        <v>3.5525950432139375</v>
      </c>
      <c r="Q274" s="340">
        <f>Saldo_relativo_per_capita!Q274*Saldo_relativo_per_capita!Q$543/1000000</f>
        <v>-2.7607903142210146</v>
      </c>
      <c r="R274" s="340">
        <f>Saldo_relativo_per_capita!R274*Saldo_relativo_per_capita!R$543/1000000</f>
        <v>-0.62653291020694701</v>
      </c>
      <c r="S274" s="340">
        <f>Saldo_relativo_per_capita!S274*Saldo_relativo_per_capita!S$543/1000000</f>
        <v>-0.27400425875106021</v>
      </c>
      <c r="T274" s="340">
        <f>Saldo_relativo_per_capita!T274*Saldo_relativo_per_capita!T$543/1000000</f>
        <v>-0.93390821842483374</v>
      </c>
      <c r="U274" s="340">
        <f>Saldo_relativo_per_capita!U274*Saldo_relativo_per_capita!U$543/1000000</f>
        <v>-0.13666006828381447</v>
      </c>
      <c r="V274" s="340">
        <f>Saldo_relativo_per_capita!V274*Saldo_relativo_per_capita!V$543/1000000</f>
        <v>-7.191512005579688E-2</v>
      </c>
      <c r="W274" s="148"/>
    </row>
    <row r="275" spans="1:24" s="115" customFormat="1">
      <c r="A275" s="355" t="str">
        <f>IF(B275="","",(IF(ISERROR(MATCH(B275,Tot_res!C:C,0)),"Eliminar!!!","")))</f>
        <v/>
      </c>
      <c r="B275" s="115" t="s">
        <v>642</v>
      </c>
      <c r="C275" s="333" t="str">
        <f>VLOOKUP(B275,Tot_res!C:D,2,FALSE)</f>
        <v>Explotación minera</v>
      </c>
      <c r="D275" s="340">
        <f>Saldo_relativo_per_capita!D275*Saldo_relativo_per_capita!D$543/1000000</f>
        <v>0</v>
      </c>
      <c r="E275" s="340">
        <f>Saldo_relativo_per_capita!E275*Saldo_relativo_per_capita!E$543/1000000</f>
        <v>-46.615042736393363</v>
      </c>
      <c r="F275" s="340">
        <f>Saldo_relativo_per_capita!F275*Saldo_relativo_per_capita!F$543/1000000</f>
        <v>28.451034695537665</v>
      </c>
      <c r="G275" s="340">
        <f>Saldo_relativo_per_capita!G275*Saldo_relativo_per_capita!G$543/1000000</f>
        <v>74.805385925886142</v>
      </c>
      <c r="H275" s="340">
        <f>Saldo_relativo_per_capita!H275*Saldo_relativo_per_capita!H$543/1000000</f>
        <v>-8.3000499681098159</v>
      </c>
      <c r="I275" s="340">
        <f>Saldo_relativo_per_capita!I275*Saldo_relativo_per_capita!I$543/1000000</f>
        <v>-15.83652609308673</v>
      </c>
      <c r="J275" s="340">
        <f>Saldo_relativo_per_capita!J275*Saldo_relativo_per_capita!J$543/1000000</f>
        <v>-3.9096981152976231</v>
      </c>
      <c r="K275" s="340">
        <f>Saldo_relativo_per_capita!K275*Saldo_relativo_per_capita!K$543/1000000</f>
        <v>134.06688155354902</v>
      </c>
      <c r="L275" s="340">
        <f>Saldo_relativo_per_capita!L275*Saldo_relativo_per_capita!L$543/1000000</f>
        <v>-10.852202204124708</v>
      </c>
      <c r="M275" s="340">
        <f>Saldo_relativo_per_capita!M275*Saldo_relativo_per_capita!M$543/1000000</f>
        <v>-52.269394896405977</v>
      </c>
      <c r="N275" s="340">
        <f>Saldo_relativo_per_capita!N275*Saldo_relativo_per_capita!N$543/1000000</f>
        <v>-36.727884117055261</v>
      </c>
      <c r="O275" s="340">
        <f>Saldo_relativo_per_capita!O275*Saldo_relativo_per_capita!O$543/1000000</f>
        <v>-8.1311137315277691</v>
      </c>
      <c r="P275" s="340">
        <f>Saldo_relativo_per_capita!P275*Saldo_relativo_per_capita!P$543/1000000</f>
        <v>27.890819381025075</v>
      </c>
      <c r="Q275" s="340">
        <f>Saldo_relativo_per_capita!Q275*Saldo_relativo_per_capita!Q$543/1000000</f>
        <v>-46.568480039297583</v>
      </c>
      <c r="R275" s="340">
        <f>Saldo_relativo_per_capita!R275*Saldo_relativo_per_capita!R$543/1000000</f>
        <v>-11.055729309332056</v>
      </c>
      <c r="S275" s="340">
        <f>Saldo_relativo_per_capita!S275*Saldo_relativo_per_capita!S$543/1000000</f>
        <v>-4.8101603096456733</v>
      </c>
      <c r="T275" s="340">
        <f>Saldo_relativo_per_capita!T275*Saldo_relativo_per_capita!T$543/1000000</f>
        <v>-16.464867997292689</v>
      </c>
      <c r="U275" s="340">
        <f>Saldo_relativo_per_capita!U275*Saldo_relativo_per_capita!U$543/1000000</f>
        <v>-2.3960962643035515</v>
      </c>
      <c r="V275" s="340">
        <f>Saldo_relativo_per_capita!V275*Saldo_relativo_per_capita!V$543/1000000</f>
        <v>-1.2768757741251711</v>
      </c>
      <c r="W275" s="148"/>
    </row>
    <row r="276" spans="1:24" s="115" customFormat="1">
      <c r="A276" s="355" t="str">
        <f>IF(B276="","",(IF(ISERROR(MATCH(B276,Tot_res!C:C,0)),"Eliminar!!!","")))</f>
        <v/>
      </c>
      <c r="B276" s="115" t="s">
        <v>1188</v>
      </c>
      <c r="C276" s="333" t="str">
        <f>VLOOKUP(B276,Tot_res!C:D,2,FALSE)</f>
        <v>Sobrecostes sistemas eléctricos extrapeninsulares</v>
      </c>
      <c r="D276" s="340">
        <f>Saldo_relativo_per_capita!D276*Saldo_relativo_per_capita!D$543/1000000</f>
        <v>0</v>
      </c>
      <c r="E276" s="340">
        <f>Saldo_relativo_per_capita!E276*Saldo_relativo_per_capita!E$543/1000000</f>
        <v>-90.160130055507011</v>
      </c>
      <c r="F276" s="340">
        <f>Saldo_relativo_per_capita!F276*Saldo_relativo_per_capita!F$543/1000000</f>
        <v>-14.306344130132747</v>
      </c>
      <c r="G276" s="340">
        <f>Saldo_relativo_per_capita!G276*Saldo_relativo_per_capita!G$543/1000000</f>
        <v>-11.401677731440921</v>
      </c>
      <c r="H276" s="340">
        <f>Saldo_relativo_per_capita!H276*Saldo_relativo_per_capita!H$543/1000000</f>
        <v>96.306405901471308</v>
      </c>
      <c r="I276" s="340">
        <f>Saldo_relativo_per_capita!I276*Saldo_relativo_per_capita!I$543/1000000</f>
        <v>342.33760416166848</v>
      </c>
      <c r="J276" s="340">
        <f>Saldo_relativo_per_capita!J276*Saldo_relativo_per_capita!J$543/1000000</f>
        <v>-6.3195687707601333</v>
      </c>
      <c r="K276" s="340">
        <f>Saldo_relativo_per_capita!K276*Saldo_relativo_per_capita!K$543/1000000</f>
        <v>-26.843997622980474</v>
      </c>
      <c r="L276" s="340">
        <f>Saldo_relativo_per_capita!L276*Saldo_relativo_per_capita!L$543/1000000</f>
        <v>-22.373860279996332</v>
      </c>
      <c r="M276" s="340">
        <f>Saldo_relativo_per_capita!M276*Saldo_relativo_per_capita!M$543/1000000</f>
        <v>-80.684866666915383</v>
      </c>
      <c r="N276" s="340">
        <f>Saldo_relativo_per_capita!N276*Saldo_relativo_per_capita!N$543/1000000</f>
        <v>-54.166182216309565</v>
      </c>
      <c r="O276" s="340">
        <f>Saldo_relativo_per_capita!O276*Saldo_relativo_per_capita!O$543/1000000</f>
        <v>-11.796281415790327</v>
      </c>
      <c r="P276" s="340">
        <f>Saldo_relativo_per_capita!P276*Saldo_relativo_per_capita!P$543/1000000</f>
        <v>-29.520386472796275</v>
      </c>
      <c r="Q276" s="340">
        <f>Saldo_relativo_per_capita!Q276*Saldo_relativo_per_capita!Q$543/1000000</f>
        <v>-69.322582390173338</v>
      </c>
      <c r="R276" s="340">
        <f>Saldo_relativo_per_capita!R276*Saldo_relativo_per_capita!R$543/1000000</f>
        <v>-15.732045662522971</v>
      </c>
      <c r="S276" s="340">
        <f>Saldo_relativo_per_capita!S276*Saldo_relativo_per_capita!S$543/1000000</f>
        <v>-6.8801613453531285</v>
      </c>
      <c r="T276" s="340">
        <f>Saldo_relativo_per_capita!T276*Saldo_relativo_per_capita!T$543/1000000</f>
        <v>-23.450143635730207</v>
      </c>
      <c r="U276" s="340">
        <f>Saldo_relativo_per_capita!U276*Saldo_relativo_per_capita!U$543/1000000</f>
        <v>-3.4314916255146759</v>
      </c>
      <c r="V276" s="340">
        <f>Saldo_relativo_per_capita!V276*Saldo_relativo_per_capita!V$543/1000000</f>
        <v>27.745709958783682</v>
      </c>
      <c r="W276" s="148"/>
    </row>
    <row r="277" spans="1:24" s="115" customFormat="1">
      <c r="A277" s="355" t="str">
        <f>IF(B277="","",(IF(ISERROR(MATCH(B277,Tot_res!C:C,0)),"Eliminar!!!","")))</f>
        <v/>
      </c>
      <c r="B277" s="115" t="s">
        <v>297</v>
      </c>
      <c r="C277" s="333" t="str">
        <f>VLOOKUP(B277,Tot_res!C:D,2,FALSE)</f>
        <v>Subvenciones y apoyo al transporte marítimo</v>
      </c>
      <c r="D277" s="340">
        <f>Saldo_relativo_per_capita!D277*Saldo_relativo_per_capita!D$543/1000000</f>
        <v>0</v>
      </c>
      <c r="E277" s="340">
        <f>Saldo_relativo_per_capita!E277*Saldo_relativo_per_capita!E$543/1000000</f>
        <v>-10.241024446758432</v>
      </c>
      <c r="F277" s="340">
        <f>Saldo_relativo_per_capita!F277*Saldo_relativo_per_capita!F$543/1000000</f>
        <v>-1.6713228346484792</v>
      </c>
      <c r="G277" s="340">
        <f>Saldo_relativo_per_capita!G277*Saldo_relativo_per_capita!G$543/1000000</f>
        <v>-1.3466049800682895</v>
      </c>
      <c r="H277" s="340">
        <f>Saldo_relativo_per_capita!H277*Saldo_relativo_per_capita!H$543/1000000</f>
        <v>11.597840801889062</v>
      </c>
      <c r="I277" s="340">
        <f>Saldo_relativo_per_capita!I277*Saldo_relativo_per_capita!I$543/1000000</f>
        <v>22.166653913566975</v>
      </c>
      <c r="J277" s="340">
        <f>Saldo_relativo_per_capita!J277*Saldo_relativo_per_capita!J$543/1000000</f>
        <v>-0.7357653576327523</v>
      </c>
      <c r="K277" s="340">
        <f>Saldo_relativo_per_capita!K277*Saldo_relativo_per_capita!K$543/1000000</f>
        <v>-3.1788666373891408</v>
      </c>
      <c r="L277" s="340">
        <f>Saldo_relativo_per_capita!L277*Saldo_relativo_per_capita!L$543/1000000</f>
        <v>-2.6362786802019649</v>
      </c>
      <c r="M277" s="340">
        <f>Saldo_relativo_per_capita!M277*Saldo_relativo_per_capita!M$543/1000000</f>
        <v>-9.2494586439690032</v>
      </c>
      <c r="N277" s="340">
        <f>Saldo_relativo_per_capita!N277*Saldo_relativo_per_capita!N$543/1000000</f>
        <v>-6.2189513113030648</v>
      </c>
      <c r="O277" s="340">
        <f>Saldo_relativo_per_capita!O277*Saldo_relativo_per_capita!O$543/1000000</f>
        <v>-1.3885440269814933</v>
      </c>
      <c r="P277" s="340">
        <f>Saldo_relativo_per_capita!P277*Saldo_relativo_per_capita!P$543/1000000</f>
        <v>-3.493548111338233</v>
      </c>
      <c r="Q277" s="340">
        <f>Saldo_relativo_per_capita!Q277*Saldo_relativo_per_capita!Q$543/1000000</f>
        <v>-8.1125398138474178</v>
      </c>
      <c r="R277" s="340">
        <f>Saldo_relativo_per_capita!R277*Saldo_relativo_per_capita!R$543/1000000</f>
        <v>-1.8356509839730635</v>
      </c>
      <c r="S277" s="340">
        <f>Saldo_relativo_per_capita!S277*Saldo_relativo_per_capita!S$543/1000000</f>
        <v>-0.80072473650543874</v>
      </c>
      <c r="T277" s="340">
        <f>Saldo_relativo_per_capita!T277*Saldo_relativo_per_capita!T$543/1000000</f>
        <v>-2.7714997260302927</v>
      </c>
      <c r="U277" s="340">
        <f>Saldo_relativo_per_capita!U277*Saldo_relativo_per_capita!U$543/1000000</f>
        <v>-0.39927161651328408</v>
      </c>
      <c r="V277" s="340">
        <f>Saldo_relativo_per_capita!V277*Saldo_relativo_per_capita!V$543/1000000</f>
        <v>20.315557191704315</v>
      </c>
      <c r="W277" s="148"/>
    </row>
    <row r="278" spans="1:24" s="115" customFormat="1">
      <c r="A278" s="355" t="str">
        <f>IF(B278="","",(IF(ISERROR(MATCH(B278,Tot_res!C:C,0)),"Eliminar!!!","")))</f>
        <v/>
      </c>
      <c r="B278" s="115" t="s">
        <v>298</v>
      </c>
      <c r="C278" s="333" t="str">
        <f>VLOOKUP(B278,Tot_res!C:D,2,FALSE)</f>
        <v>Subvenciones y apoyo al transporte aéreo</v>
      </c>
      <c r="D278" s="340">
        <f>Saldo_relativo_per_capita!D278*Saldo_relativo_per_capita!D$543/1000000</f>
        <v>0</v>
      </c>
      <c r="E278" s="340">
        <f>Saldo_relativo_per_capita!E278*Saldo_relativo_per_capita!E$543/1000000</f>
        <v>-47.95454239593105</v>
      </c>
      <c r="F278" s="340">
        <f>Saldo_relativo_per_capita!F278*Saldo_relativo_per_capita!F$543/1000000</f>
        <v>-7.6093340344126883</v>
      </c>
      <c r="G278" s="340">
        <f>Saldo_relativo_per_capita!G278*Saldo_relativo_per_capita!G$543/1000000</f>
        <v>-6.0571103185418993</v>
      </c>
      <c r="H278" s="340">
        <f>Saldo_relativo_per_capita!H278*Saldo_relativo_per_capita!H$543/1000000</f>
        <v>90.874467728664641</v>
      </c>
      <c r="I278" s="340">
        <f>Saldo_relativo_per_capita!I278*Saldo_relativo_per_capita!I$543/1000000</f>
        <v>156.80262025648707</v>
      </c>
      <c r="J278" s="340">
        <f>Saldo_relativo_per_capita!J278*Saldo_relativo_per_capita!J$543/1000000</f>
        <v>-3.3522734808760495</v>
      </c>
      <c r="K278" s="340">
        <f>Saldo_relativo_per_capita!K278*Saldo_relativo_per_capita!K$543/1000000</f>
        <v>-14.284270882069496</v>
      </c>
      <c r="L278" s="340">
        <f>Saldo_relativo_per_capita!L278*Saldo_relativo_per_capita!L$543/1000000</f>
        <v>-11.91251810256604</v>
      </c>
      <c r="M278" s="340">
        <f>Saldo_relativo_per_capita!M278*Saldo_relativo_per_capita!M$543/1000000</f>
        <v>-42.816989285998417</v>
      </c>
      <c r="N278" s="340">
        <f>Saldo_relativo_per_capita!N278*Saldo_relativo_per_capita!N$543/1000000</f>
        <v>-28.804658442745513</v>
      </c>
      <c r="O278" s="340">
        <f>Saldo_relativo_per_capita!O278*Saldo_relativo_per_capita!O$543/1000000</f>
        <v>-6.2779453702825299</v>
      </c>
      <c r="P278" s="340">
        <f>Saldo_relativo_per_capita!P278*Saldo_relativo_per_capita!P$543/1000000</f>
        <v>-15.700065120435497</v>
      </c>
      <c r="Q278" s="340">
        <f>Saldo_relativo_per_capita!Q278*Saldo_relativo_per_capita!Q$543/1000000</f>
        <v>-36.809366298610158</v>
      </c>
      <c r="R278" s="340">
        <f>Saldo_relativo_per_capita!R278*Saldo_relativo_per_capita!R$543/1000000</f>
        <v>-8.3761628098522998</v>
      </c>
      <c r="S278" s="340">
        <f>Saldo_relativo_per_capita!S278*Saldo_relativo_per_capita!S$543/1000000</f>
        <v>-3.6588862198618037</v>
      </c>
      <c r="T278" s="340">
        <f>Saldo_relativo_per_capita!T278*Saldo_relativo_per_capita!T$543/1000000</f>
        <v>-12.450570306207856</v>
      </c>
      <c r="U278" s="340">
        <f>Saldo_relativo_per_capita!U278*Saldo_relativo_per_capita!U$543/1000000</f>
        <v>-1.8251875426928261</v>
      </c>
      <c r="V278" s="340">
        <f>Saldo_relativo_per_capita!V278*Saldo_relativo_per_capita!V$543/1000000</f>
        <v>0.21279262593247594</v>
      </c>
      <c r="W278" s="148"/>
    </row>
    <row r="279" spans="1:24" s="115" customFormat="1">
      <c r="A279" s="355" t="str">
        <f>IF(B279="","",(IF(ISERROR(MATCH(B279,Tot_res!C:C,0)),"Eliminar!!!","")))</f>
        <v/>
      </c>
      <c r="B279" s="115" t="s">
        <v>299</v>
      </c>
      <c r="C279" s="333" t="str">
        <f>VLOOKUP(B279,Tot_res!C:D,2,FALSE)</f>
        <v>Subvenciones al transporte extrapeninsular de mercancías</v>
      </c>
      <c r="D279" s="340">
        <f>Saldo_relativo_per_capita!D279*Saldo_relativo_per_capita!D$543/1000000</f>
        <v>0</v>
      </c>
      <c r="E279" s="340">
        <f>Saldo_relativo_per_capita!E279*Saldo_relativo_per_capita!E$543/1000000</f>
        <v>-3.5558197773208295</v>
      </c>
      <c r="F279" s="340">
        <f>Saldo_relativo_per_capita!F279*Saldo_relativo_per_capita!F$543/1000000</f>
        <v>-0.56422701883598902</v>
      </c>
      <c r="G279" s="340">
        <f>Saldo_relativo_per_capita!G279*Saldo_relativo_per_capita!G$543/1000000</f>
        <v>-0.44967006089206268</v>
      </c>
      <c r="H279" s="340">
        <f>Saldo_relativo_per_capita!H279*Saldo_relativo_per_capita!H$543/1000000</f>
        <v>0.70168392513403921</v>
      </c>
      <c r="I279" s="340">
        <f>Saldo_relativo_per_capita!I279*Saldo_relativo_per_capita!I$543/1000000</f>
        <v>17.763448817419736</v>
      </c>
      <c r="J279" s="340">
        <f>Saldo_relativo_per_capita!J279*Saldo_relativo_per_capita!J$543/1000000</f>
        <v>-0.24923708079584134</v>
      </c>
      <c r="K279" s="340">
        <f>Saldo_relativo_per_capita!K279*Saldo_relativo_per_capita!K$543/1000000</f>
        <v>-1.0586987573263493</v>
      </c>
      <c r="L279" s="340">
        <f>Saldo_relativo_per_capita!L279*Saldo_relativo_per_capita!L$543/1000000</f>
        <v>-0.88240128790458106</v>
      </c>
      <c r="M279" s="340">
        <f>Saldo_relativo_per_capita!M279*Saldo_relativo_per_capita!M$543/1000000</f>
        <v>-3.1821254522157592</v>
      </c>
      <c r="N279" s="340">
        <f>Saldo_relativo_per_capita!N279*Saldo_relativo_per_capita!N$543/1000000</f>
        <v>-2.1362567009180236</v>
      </c>
      <c r="O279" s="340">
        <f>Saldo_relativo_per_capita!O279*Saldo_relativo_per_capita!O$543/1000000</f>
        <v>-0.46523281112489218</v>
      </c>
      <c r="P279" s="340">
        <f>Saldo_relativo_per_capita!P279*Saldo_relativo_per_capita!P$543/1000000</f>
        <v>-1.1642526911784523</v>
      </c>
      <c r="Q279" s="340">
        <f>Saldo_relativo_per_capita!Q279*Saldo_relativo_per_capita!Q$543/1000000</f>
        <v>-2.7340090273402926</v>
      </c>
      <c r="R279" s="340">
        <f>Saldo_relativo_per_capita!R279*Saldo_relativo_per_capita!R$543/1000000</f>
        <v>-0.62045517314664411</v>
      </c>
      <c r="S279" s="340">
        <f>Saldo_relativo_per_capita!S279*Saldo_relativo_per_capita!S$543/1000000</f>
        <v>-0.27134625657597566</v>
      </c>
      <c r="T279" s="340">
        <f>Saldo_relativo_per_capita!T279*Saldo_relativo_per_capita!T$543/1000000</f>
        <v>-0.92484876041780395</v>
      </c>
      <c r="U279" s="340">
        <f>Saldo_relativo_per_capita!U279*Saldo_relativo_per_capita!U$543/1000000</f>
        <v>-0.13533438538968254</v>
      </c>
      <c r="V279" s="340">
        <f>Saldo_relativo_per_capita!V279*Saldo_relativo_per_capita!V$543/1000000</f>
        <v>-7.1217501170597594E-2</v>
      </c>
      <c r="W279" s="148"/>
    </row>
    <row r="280" spans="1:24" s="115" customFormat="1">
      <c r="A280" s="355" t="str">
        <f>IF(B280="","",(IF(ISERROR(MATCH(B280,Tot_res!C:C,0)),"Eliminar!!!","")))</f>
        <v/>
      </c>
      <c r="B280" s="115" t="s">
        <v>300</v>
      </c>
      <c r="C280" s="333" t="str">
        <f>VLOOKUP(B280,Tot_res!C:D,2,FALSE)</f>
        <v>Infraestructuras en comarcas mineras del carbón</v>
      </c>
      <c r="D280" s="340">
        <f>Saldo_relativo_per_capita!D280*Saldo_relativo_per_capita!D$543/1000000</f>
        <v>0</v>
      </c>
      <c r="E280" s="340">
        <f>Saldo_relativo_per_capita!E280*Saldo_relativo_per_capita!E$543/1000000</f>
        <v>-1.4292690664083232</v>
      </c>
      <c r="F280" s="340">
        <f>Saldo_relativo_per_capita!F280*Saldo_relativo_per_capita!F$543/1000000</f>
        <v>0.41378308355479942</v>
      </c>
      <c r="G280" s="340">
        <f>Saldo_relativo_per_capita!G280*Saldo_relativo_per_capita!G$543/1000000</f>
        <v>-0.23131702003086885</v>
      </c>
      <c r="H280" s="340">
        <f>Saldo_relativo_per_capita!H280*Saldo_relativo_per_capita!H$543/1000000</f>
        <v>-0.24056950100153859</v>
      </c>
      <c r="I280" s="340">
        <f>Saldo_relativo_per_capita!I280*Saldo_relativo_per_capita!I$543/1000000</f>
        <v>-0.45868651757424544</v>
      </c>
      <c r="J280" s="340">
        <f>Saldo_relativo_per_capita!J280*Saldo_relativo_per_capita!J$543/1000000</f>
        <v>-0.12821129051045652</v>
      </c>
      <c r="K280" s="340">
        <f>Saldo_relativo_per_capita!K280*Saldo_relativo_per_capita!K$543/1000000</f>
        <v>8.5494587389748968</v>
      </c>
      <c r="L280" s="340">
        <f>Saldo_relativo_per_capita!L280*Saldo_relativo_per_capita!L$543/1000000</f>
        <v>-0.45392044999518749</v>
      </c>
      <c r="M280" s="340">
        <f>Saldo_relativo_per_capita!M280*Saldo_relativo_per_capita!M$543/1000000</f>
        <v>-1.6369330337685446</v>
      </c>
      <c r="N280" s="340">
        <f>Saldo_relativo_per_capita!N280*Saldo_relativo_per_capita!N$543/1000000</f>
        <v>-1.0989224701707394</v>
      </c>
      <c r="O280" s="340">
        <f>Saldo_relativo_per_capita!O280*Saldo_relativo_per_capita!O$543/1000000</f>
        <v>-0.2393227320415845</v>
      </c>
      <c r="P280" s="340">
        <f>Saldo_relativo_per_capita!P280*Saldo_relativo_per_capita!P$543/1000000</f>
        <v>-0.59890903688818997</v>
      </c>
      <c r="Q280" s="340">
        <f>Saldo_relativo_per_capita!Q280*Saldo_relativo_per_capita!Q$543/1000000</f>
        <v>-1.4064152273941481</v>
      </c>
      <c r="R280" s="340">
        <f>Saldo_relativo_per_capita!R280*Saldo_relativo_per_capita!R$543/1000000</f>
        <v>-0.31917144190186375</v>
      </c>
      <c r="S280" s="340">
        <f>Saldo_relativo_per_capita!S280*Saldo_relativo_per_capita!S$543/1000000</f>
        <v>-0.13958458195586348</v>
      </c>
      <c r="T280" s="340">
        <f>Saldo_relativo_per_capita!T280*Saldo_relativo_per_capita!T$543/1000000</f>
        <v>-0.47575606615811861</v>
      </c>
      <c r="U280" s="340">
        <f>Saldo_relativo_per_capita!U280*Saldo_relativo_per_capita!U$543/1000000</f>
        <v>-6.9618036553171614E-2</v>
      </c>
      <c r="V280" s="340">
        <f>Saldo_relativo_per_capita!V280*Saldo_relativo_per_capita!V$543/1000000</f>
        <v>-3.663535017685305E-2</v>
      </c>
      <c r="W280" s="148"/>
    </row>
    <row r="281" spans="1:24" s="115" customFormat="1">
      <c r="A281" s="355" t="str">
        <f>IF(B281="","",(IF(ISERROR(MATCH(B281,Tot_res!C:C,0)),"Eliminar!!!","")))</f>
        <v/>
      </c>
      <c r="B281" s="115" t="s">
        <v>643</v>
      </c>
      <c r="C281" s="333" t="str">
        <f>VLOOKUP(B281,Tot_res!C:D,2,FALSE)</f>
        <v>Direc. y serv. grales. de hacienda y admones. Públicas, transferencias a la ZEC</v>
      </c>
      <c r="D281" s="340">
        <f>Saldo_relativo_per_capita!D281*Saldo_relativo_per_capita!D$543/1000000</f>
        <v>0</v>
      </c>
      <c r="E281" s="340">
        <f>Saldo_relativo_per_capita!E281*Saldo_relativo_per_capita!E$543/1000000</f>
        <v>-0.16096781764987178</v>
      </c>
      <c r="F281" s="340">
        <f>Saldo_relativo_per_capita!F281*Saldo_relativo_per_capita!F$543/1000000</f>
        <v>-2.5541899637431389E-2</v>
      </c>
      <c r="G281" s="340">
        <f>Saldo_relativo_per_capita!G281*Saldo_relativo_per_capita!G$543/1000000</f>
        <v>-2.0356039646873662E-2</v>
      </c>
      <c r="H281" s="340">
        <f>Saldo_relativo_per_capita!H281*Saldo_relativo_per_capita!H$543/1000000</f>
        <v>-2.1170263647536318E-2</v>
      </c>
      <c r="I281" s="340">
        <f>Saldo_relativo_per_capita!I281*Saldo_relativo_per_capita!I$543/1000000</f>
        <v>0.85706530510646484</v>
      </c>
      <c r="J281" s="340">
        <f>Saldo_relativo_per_capita!J281*Saldo_relativo_per_capita!J$543/1000000</f>
        <v>-1.1282672206564854E-2</v>
      </c>
      <c r="K281" s="340">
        <f>Saldo_relativo_per_capita!K281*Saldo_relativo_per_capita!K$543/1000000</f>
        <v>-4.7926059020869653E-2</v>
      </c>
      <c r="L281" s="340">
        <f>Saldo_relativo_per_capita!L281*Saldo_relativo_per_capita!L$543/1000000</f>
        <v>-3.9945278023189583E-2</v>
      </c>
      <c r="M281" s="340">
        <f>Saldo_relativo_per_capita!M281*Saldo_relativo_per_capita!M$543/1000000</f>
        <v>-0.14405111102599794</v>
      </c>
      <c r="N281" s="340">
        <f>Saldo_relativo_per_capita!N281*Saldo_relativo_per_capita!N$543/1000000</f>
        <v>-9.6705851426975464E-2</v>
      </c>
      <c r="O281" s="340">
        <f>Saldo_relativo_per_capita!O281*Saldo_relativo_per_capita!O$543/1000000</f>
        <v>-2.1060547214323013E-2</v>
      </c>
      <c r="P281" s="340">
        <f>Saldo_relativo_per_capita!P281*Saldo_relativo_per_capita!P$543/1000000</f>
        <v>-5.2704362602198455E-2</v>
      </c>
      <c r="Q281" s="340">
        <f>Saldo_relativo_per_capita!Q281*Saldo_relativo_per_capita!Q$543/1000000</f>
        <v>-0.12376540267111179</v>
      </c>
      <c r="R281" s="340">
        <f>Saldo_relativo_per_capita!R281*Saldo_relativo_per_capita!R$543/1000000</f>
        <v>-2.8087282659257622E-2</v>
      </c>
      <c r="S281" s="340">
        <f>Saldo_relativo_per_capita!S281*Saldo_relativo_per_capita!S$543/1000000</f>
        <v>-1.2283528829857244E-2</v>
      </c>
      <c r="T281" s="340">
        <f>Saldo_relativo_per_capita!T281*Saldo_relativo_per_capita!T$543/1000000</f>
        <v>-4.1866825638956141E-2</v>
      </c>
      <c r="U281" s="340">
        <f>Saldo_relativo_per_capita!U281*Saldo_relativo_per_capita!U$543/1000000</f>
        <v>-6.1264299186663618E-3</v>
      </c>
      <c r="V281" s="340">
        <f>Saldo_relativo_per_capita!V281*Saldo_relativo_per_capita!V$543/1000000</f>
        <v>-3.2239332867836598E-3</v>
      </c>
      <c r="W281" s="148"/>
    </row>
    <row r="282" spans="1:24" s="115" customFormat="1">
      <c r="A282" s="355" t="str">
        <f>IF(B282="","",(IF(ISERROR(MATCH(B282,Tot_res!C:C,0)),"Eliminar!!!","")))</f>
        <v/>
      </c>
      <c r="B282" s="115" t="s">
        <v>301</v>
      </c>
      <c r="C282" s="333" t="str">
        <f>VLOOKUP(B282,Tot_res!C:D,2,FALSE)</f>
        <v>Transfer. a cc.aa. por fondos de compens. intert.</v>
      </c>
      <c r="D282" s="340">
        <f>Saldo_relativo_per_capita!D282*Saldo_relativo_per_capita!D$543/1000000</f>
        <v>0</v>
      </c>
      <c r="E282" s="340">
        <f>Saldo_relativo_per_capita!E282*Saldo_relativo_per_capita!E$543/1000000</f>
        <v>99.165386737957817</v>
      </c>
      <c r="F282" s="340">
        <f>Saldo_relativo_per_capita!F282*Saldo_relativo_per_capita!F$543/1000000</f>
        <v>-16.72876413385708</v>
      </c>
      <c r="G282" s="340">
        <f>Saldo_relativo_per_capita!G282*Saldo_relativo_per_capita!G$543/1000000</f>
        <v>2.8895345543654223</v>
      </c>
      <c r="H282" s="340">
        <f>Saldo_relativo_per_capita!H282*Saldo_relativo_per_capita!H$543/1000000</f>
        <v>-13.865544545958409</v>
      </c>
      <c r="I282" s="340">
        <f>Saldo_relativo_per_capita!I282*Saldo_relativo_per_capita!I$543/1000000</f>
        <v>50.076948260447153</v>
      </c>
      <c r="J282" s="340">
        <f>Saldo_relativo_per_capita!J282*Saldo_relativo_per_capita!J$543/1000000</f>
        <v>-3.8111164948083642</v>
      </c>
      <c r="K282" s="340">
        <f>Saldo_relativo_per_capita!K282*Saldo_relativo_per_capita!K$543/1000000</f>
        <v>-6.3517243004332649</v>
      </c>
      <c r="L282" s="340">
        <f>Saldo_relativo_per_capita!L282*Saldo_relativo_per_capita!L$543/1000000</f>
        <v>20.519223511938563</v>
      </c>
      <c r="M282" s="340">
        <f>Saldo_relativo_per_capita!M282*Saldo_relativo_per_capita!M$543/1000000</f>
        <v>-94.346822036777795</v>
      </c>
      <c r="N282" s="340">
        <f>Saldo_relativo_per_capita!N282*Saldo_relativo_per_capita!N$543/1000000</f>
        <v>9.495805477391265</v>
      </c>
      <c r="O282" s="340">
        <f>Saldo_relativo_per_capita!O282*Saldo_relativo_per_capita!O$543/1000000</f>
        <v>15.233632138498047</v>
      </c>
      <c r="P282" s="340">
        <f>Saldo_relativo_per_capita!P282*Saldo_relativo_per_capita!P$543/1000000</f>
        <v>38.841497008800765</v>
      </c>
      <c r="Q282" s="340">
        <f>Saldo_relativo_per_capita!Q282*Saldo_relativo_per_capita!Q$543/1000000</f>
        <v>-81.060620337833541</v>
      </c>
      <c r="R282" s="340">
        <f>Saldo_relativo_per_capita!R282*Saldo_relativo_per_capita!R$543/1000000</f>
        <v>10.575070592800039</v>
      </c>
      <c r="S282" s="340">
        <f>Saldo_relativo_per_capita!S282*Saldo_relativo_per_capita!S$543/1000000</f>
        <v>-8.0451438398487163</v>
      </c>
      <c r="T282" s="340">
        <f>Saldo_relativo_per_capita!T282*Saldo_relativo_per_capita!T$543/1000000</f>
        <v>-27.420836393899908</v>
      </c>
      <c r="U282" s="340">
        <f>Saldo_relativo_per_capita!U282*Saldo_relativo_per_capita!U$543/1000000</f>
        <v>-4.0125285333820768</v>
      </c>
      <c r="V282" s="340">
        <f>Saldo_relativo_per_capita!V282*Saldo_relativo_per_capita!V$543/1000000</f>
        <v>8.8460023346001666</v>
      </c>
      <c r="W282" s="148"/>
    </row>
    <row r="283" spans="1:24" s="115" customFormat="1">
      <c r="A283" s="355" t="str">
        <f>IF(B283="","",(IF(ISERROR(MATCH(B283,Tot_res!C:C,0)),"Eliminar!!!","")))</f>
        <v/>
      </c>
      <c r="B283" s="115" t="s">
        <v>644</v>
      </c>
      <c r="C283" s="333" t="str">
        <f>VLOOKUP(B283,Tot_res!C:D,2,FALSE)</f>
        <v>Otras transferencias a Comunidades Autónomas: Transferencias de capital a Aragón para proyectos de inversión en Teruel y a la CA de Extremadura para proyectos de inversión.</v>
      </c>
      <c r="D283" s="340">
        <f>Saldo_relativo_per_capita!D283*Saldo_relativo_per_capita!D$543/1000000</f>
        <v>0</v>
      </c>
      <c r="E283" s="340">
        <f>Saldo_relativo_per_capita!E283*Saldo_relativo_per_capita!E$543/1000000</f>
        <v>-8.968265917668889</v>
      </c>
      <c r="F283" s="340">
        <f>Saldo_relativo_per_capita!F283*Saldo_relativo_per_capita!F$543/1000000</f>
        <v>28.576941954390239</v>
      </c>
      <c r="G283" s="340">
        <f>Saldo_relativo_per_capita!G283*Saldo_relativo_per_capita!G$543/1000000</f>
        <v>-1.13412966174931</v>
      </c>
      <c r="H283" s="340">
        <f>Saldo_relativo_per_capita!H283*Saldo_relativo_per_capita!H$543/1000000</f>
        <v>-1.1794938684653018</v>
      </c>
      <c r="I283" s="340">
        <f>Saldo_relativo_per_capita!I283*Saldo_relativo_per_capita!I$543/1000000</f>
        <v>-2.2489049225864428</v>
      </c>
      <c r="J283" s="340">
        <f>Saldo_relativo_per_capita!J283*Saldo_relativo_per_capita!J$543/1000000</f>
        <v>-0.62861015380390983</v>
      </c>
      <c r="K283" s="340">
        <f>Saldo_relativo_per_capita!K283*Saldo_relativo_per_capita!K$543/1000000</f>
        <v>-2.6701836923698594</v>
      </c>
      <c r="L283" s="340">
        <f>Saldo_relativo_per_capita!L283*Saldo_relativo_per_capita!L$543/1000000</f>
        <v>-2.2255372576796844</v>
      </c>
      <c r="M283" s="340">
        <f>Saldo_relativo_per_capita!M283*Saldo_relativo_per_capita!M$543/1000000</f>
        <v>-8.0257574978548707</v>
      </c>
      <c r="N283" s="340">
        <f>Saldo_relativo_per_capita!N283*Saldo_relativo_per_capita!N$543/1000000</f>
        <v>-5.387932843061602</v>
      </c>
      <c r="O283" s="340">
        <f>Saldo_relativo_per_capita!O283*Saldo_relativo_per_capita!O$543/1000000</f>
        <v>18.826618944412211</v>
      </c>
      <c r="P283" s="340">
        <f>Saldo_relativo_per_capita!P283*Saldo_relativo_per_capita!P$543/1000000</f>
        <v>-2.9364052127853126</v>
      </c>
      <c r="Q283" s="340">
        <f>Saldo_relativo_per_capita!Q283*Saldo_relativo_per_capita!Q$543/1000000</f>
        <v>-6.8955463195520421</v>
      </c>
      <c r="R283" s="340">
        <f>Saldo_relativo_per_capita!R283*Saldo_relativo_per_capita!R$543/1000000</f>
        <v>-1.5648731744680713</v>
      </c>
      <c r="S283" s="340">
        <f>Saldo_relativo_per_capita!S283*Saldo_relativo_per_capita!S$543/1000000</f>
        <v>-0.68437253211154325</v>
      </c>
      <c r="T283" s="340">
        <f>Saldo_relativo_per_capita!T283*Saldo_relativo_per_capita!T$543/1000000</f>
        <v>-2.332595614084449</v>
      </c>
      <c r="U283" s="340">
        <f>Saldo_relativo_per_capita!U283*Saldo_relativo_per_capita!U$543/1000000</f>
        <v>-0.34133190993539114</v>
      </c>
      <c r="V283" s="340">
        <f>Saldo_relativo_per_capita!V283*Saldo_relativo_per_capita!V$543/1000000</f>
        <v>-0.17962032062576802</v>
      </c>
      <c r="W283" s="148"/>
    </row>
    <row r="284" spans="1:24" s="115" customFormat="1">
      <c r="A284" s="355" t="str">
        <f>IF(B284="","",(IF(ISERROR(MATCH(B284,Tot_res!C:C,0)),"Eliminar!!!","")))</f>
        <v/>
      </c>
      <c r="B284" s="115" t="s">
        <v>302</v>
      </c>
      <c r="C284" s="333" t="str">
        <f>VLOOKUP(B284,Tot_res!C:D,2,FALSE)</f>
        <v>Infraestructuras REF Canarias</v>
      </c>
      <c r="D284" s="340">
        <f>Saldo_relativo_per_capita!D284*Saldo_relativo_per_capita!D$543/1000000</f>
        <v>0</v>
      </c>
      <c r="E284" s="340">
        <f>Saldo_relativo_per_capita!E284*Saldo_relativo_per_capita!E$543/1000000</f>
        <v>-20.677335489985929</v>
      </c>
      <c r="F284" s="340">
        <f>Saldo_relativo_per_capita!F284*Saldo_relativo_per_capita!F$543/1000000</f>
        <v>-3.2810187499932191</v>
      </c>
      <c r="G284" s="340">
        <f>Saldo_relativo_per_capita!G284*Saldo_relativo_per_capita!G$543/1000000</f>
        <v>-2.614862195258175</v>
      </c>
      <c r="H284" s="340">
        <f>Saldo_relativo_per_capita!H284*Saldo_relativo_per_capita!H$543/1000000</f>
        <v>-2.7194544241366265</v>
      </c>
      <c r="I284" s="340">
        <f>Saldo_relativo_per_capita!I284*Saldo_relativo_per_capita!I$543/1000000</f>
        <v>110.0954657226021</v>
      </c>
      <c r="J284" s="340">
        <f>Saldo_relativo_per_capita!J284*Saldo_relativo_per_capita!J$543/1000000</f>
        <v>-1.4493306913443582</v>
      </c>
      <c r="K284" s="340">
        <f>Saldo_relativo_per_capita!K284*Saldo_relativo_per_capita!K$543/1000000</f>
        <v>-6.1564057682817044</v>
      </c>
      <c r="L284" s="340">
        <f>Saldo_relativo_per_capita!L284*Saldo_relativo_per_capita!L$543/1000000</f>
        <v>-5.131223911619645</v>
      </c>
      <c r="M284" s="340">
        <f>Saldo_relativo_per_capita!M284*Saldo_relativo_per_capita!M$543/1000000</f>
        <v>-18.504277400769883</v>
      </c>
      <c r="N284" s="340">
        <f>Saldo_relativo_per_capita!N284*Saldo_relativo_per_capita!N$543/1000000</f>
        <v>-12.422478996079615</v>
      </c>
      <c r="O284" s="340">
        <f>Saldo_relativo_per_capita!O284*Saldo_relativo_per_capita!O$543/1000000</f>
        <v>-2.7053606535218648</v>
      </c>
      <c r="P284" s="340">
        <f>Saldo_relativo_per_capita!P284*Saldo_relativo_per_capita!P$543/1000000</f>
        <v>-6.770209121440451</v>
      </c>
      <c r="Q284" s="340">
        <f>Saldo_relativo_per_capita!Q284*Saldo_relativo_per_capita!Q$543/1000000</f>
        <v>-15.898449705333489</v>
      </c>
      <c r="R284" s="340">
        <f>Saldo_relativo_per_capita!R284*Saldo_relativo_per_capita!R$543/1000000</f>
        <v>-3.6079893175342219</v>
      </c>
      <c r="S284" s="340">
        <f>Saldo_relativo_per_capita!S284*Saldo_relativo_per_capita!S$543/1000000</f>
        <v>-1.5778970624323103</v>
      </c>
      <c r="T284" s="340">
        <f>Saldo_relativo_per_capita!T284*Saldo_relativo_per_capita!T$543/1000000</f>
        <v>-5.3780588708759822</v>
      </c>
      <c r="U284" s="340">
        <f>Saldo_relativo_per_capita!U284*Saldo_relativo_per_capita!U$543/1000000</f>
        <v>-0.78697871806707975</v>
      </c>
      <c r="V284" s="340">
        <f>Saldo_relativo_per_capita!V284*Saldo_relativo_per_capita!V$543/1000000</f>
        <v>-0.41413464592754168</v>
      </c>
      <c r="W284" s="148"/>
    </row>
    <row r="285" spans="1:24" s="115" customFormat="1">
      <c r="A285" s="355" t="str">
        <f>IF(B285="","",(IF(ISERROR(MATCH(B285,Tot_res!C:C,0)),"Eliminar!!!","")))</f>
        <v/>
      </c>
      <c r="B285" s="115" t="s">
        <v>303</v>
      </c>
      <c r="C285" s="333" t="str">
        <f>VLOOKUP(B285,Tot_res!C:D,2,FALSE)</f>
        <v>Transporte interinsular Canarias</v>
      </c>
      <c r="D285" s="340">
        <f>Saldo_relativo_per_capita!D285*Saldo_relativo_per_capita!D$543/1000000</f>
        <v>0</v>
      </c>
      <c r="E285" s="340">
        <f>Saldo_relativo_per_capita!E285*Saldo_relativo_per_capita!E$543/1000000</f>
        <v>-5.3530167154131671</v>
      </c>
      <c r="F285" s="340">
        <f>Saldo_relativo_per_capita!F285*Saldo_relativo_per_capita!F$543/1000000</f>
        <v>-0.84940094050336801</v>
      </c>
      <c r="G285" s="340">
        <f>Saldo_relativo_per_capita!G285*Saldo_relativo_per_capita!G$543/1000000</f>
        <v>-0.67694413753154747</v>
      </c>
      <c r="H285" s="340">
        <f>Saldo_relativo_per_capita!H285*Saldo_relativo_per_capita!H$543/1000000</f>
        <v>-0.70402131823308522</v>
      </c>
      <c r="I285" s="340">
        <f>Saldo_relativo_per_capita!I285*Saldo_relativo_per_capita!I$543/1000000</f>
        <v>28.501876781450214</v>
      </c>
      <c r="J285" s="340">
        <f>Saldo_relativo_per_capita!J285*Saldo_relativo_per_capita!J$543/1000000</f>
        <v>-0.37520750295341615</v>
      </c>
      <c r="K285" s="340">
        <f>Saldo_relativo_per_capita!K285*Saldo_relativo_per_capita!K$543/1000000</f>
        <v>-1.5937906022968162</v>
      </c>
      <c r="L285" s="340">
        <f>Saldo_relativo_per_capita!L285*Saldo_relativo_per_capita!L$543/1000000</f>
        <v>-1.3283881466608825</v>
      </c>
      <c r="M285" s="340">
        <f>Saldo_relativo_per_capita!M285*Saldo_relativo_per_capita!M$543/1000000</f>
        <v>-4.7904482799989001</v>
      </c>
      <c r="N285" s="340">
        <f>Saldo_relativo_per_capita!N285*Saldo_relativo_per_capita!N$543/1000000</f>
        <v>-3.215972277718671</v>
      </c>
      <c r="O285" s="340">
        <f>Saldo_relativo_per_capita!O285*Saldo_relativo_per_capita!O$543/1000000</f>
        <v>-0.70037267647648382</v>
      </c>
      <c r="P285" s="340">
        <f>Saldo_relativo_per_capita!P285*Saldo_relativo_per_capita!P$543/1000000</f>
        <v>-1.7526940360117982</v>
      </c>
      <c r="Q285" s="340">
        <f>Saldo_relativo_per_capita!Q285*Saldo_relativo_per_capita!Q$543/1000000</f>
        <v>-4.115843023537634</v>
      </c>
      <c r="R285" s="340">
        <f>Saldo_relativo_per_capita!R285*Saldo_relativo_per_capita!R$543/1000000</f>
        <v>-0.93404815795277196</v>
      </c>
      <c r="S285" s="340">
        <f>Saldo_relativo_per_capita!S285*Saldo_relativo_per_capita!S$543/1000000</f>
        <v>-0.40849118855242017</v>
      </c>
      <c r="T285" s="340">
        <f>Saldo_relativo_per_capita!T285*Saldo_relativo_per_capita!T$543/1000000</f>
        <v>-1.3922895938994502</v>
      </c>
      <c r="U285" s="340">
        <f>Saldo_relativo_per_capita!U285*Saldo_relativo_per_capita!U$543/1000000</f>
        <v>-0.20373564256031576</v>
      </c>
      <c r="V285" s="340">
        <f>Saldo_relativo_per_capita!V285*Saldo_relativo_per_capita!V$543/1000000</f>
        <v>-0.10721254114948602</v>
      </c>
      <c r="W285" s="148"/>
    </row>
    <row r="286" spans="1:24" s="115" customFormat="1">
      <c r="A286" s="355" t="str">
        <f>IF(B286="","",(IF(ISERROR(MATCH(B286,Tot_res!C:C,0)),"Eliminar!!!","")))</f>
        <v/>
      </c>
      <c r="B286" s="115" t="s">
        <v>304</v>
      </c>
      <c r="C286" s="333" t="str">
        <f>VLOOKUP(B286,Tot_res!C:D,2,FALSE)</f>
        <v>Ayudas de la UE gestionadas por las comunidades autónomas, excepto FEOGA Garantía</v>
      </c>
      <c r="D286" s="340">
        <f>Saldo_relativo_per_capita!D286*Saldo_relativo_per_capita!D$543/1000000</f>
        <v>0</v>
      </c>
      <c r="E286" s="340">
        <f>Saldo_relativo_per_capita!E286*Saldo_relativo_per_capita!E$543/1000000</f>
        <v>324.41188282518226</v>
      </c>
      <c r="F286" s="340">
        <f>Saldo_relativo_per_capita!F286*Saldo_relativo_per_capita!F$543/1000000</f>
        <v>-18.274613257043796</v>
      </c>
      <c r="G286" s="340">
        <f>Saldo_relativo_per_capita!G286*Saldo_relativo_per_capita!G$543/1000000</f>
        <v>-5.9646597807759019</v>
      </c>
      <c r="H286" s="340">
        <f>Saldo_relativo_per_capita!H286*Saldo_relativo_per_capita!H$543/1000000</f>
        <v>-17.397328625462244</v>
      </c>
      <c r="I286" s="340">
        <f>Saldo_relativo_per_capita!I286*Saldo_relativo_per_capita!I$543/1000000</f>
        <v>36.191714898295139</v>
      </c>
      <c r="J286" s="340">
        <f>Saldo_relativo_per_capita!J286*Saldo_relativo_per_capita!J$543/1000000</f>
        <v>-0.95650306827168086</v>
      </c>
      <c r="K286" s="340">
        <f>Saldo_relativo_per_capita!K286*Saldo_relativo_per_capita!K$543/1000000</f>
        <v>-16.110712331581432</v>
      </c>
      <c r="L286" s="340">
        <f>Saldo_relativo_per_capita!L286*Saldo_relativo_per_capita!L$543/1000000</f>
        <v>55.290561264267986</v>
      </c>
      <c r="M286" s="340">
        <f>Saldo_relativo_per_capita!M286*Saldo_relativo_per_capita!M$543/1000000</f>
        <v>-315.37067689857184</v>
      </c>
      <c r="N286" s="340">
        <f>Saldo_relativo_per_capita!N286*Saldo_relativo_per_capita!N$543/1000000</f>
        <v>-54.574855581608894</v>
      </c>
      <c r="O286" s="340">
        <f>Saldo_relativo_per_capita!O286*Saldo_relativo_per_capita!O$543/1000000</f>
        <v>110.01165177288267</v>
      </c>
      <c r="P286" s="340">
        <f>Saldo_relativo_per_capita!P286*Saldo_relativo_per_capita!P$543/1000000</f>
        <v>150.31597791575885</v>
      </c>
      <c r="Q286" s="340">
        <f>Saldo_relativo_per_capita!Q286*Saldo_relativo_per_capita!Q$543/1000000</f>
        <v>-198.49638202122981</v>
      </c>
      <c r="R286" s="340">
        <f>Saldo_relativo_per_capita!R286*Saldo_relativo_per_capita!R$543/1000000</f>
        <v>-2.1331253974628619</v>
      </c>
      <c r="S286" s="340">
        <f>Saldo_relativo_per_capita!S286*Saldo_relativo_per_capita!S$543/1000000</f>
        <v>-11.71209589369675</v>
      </c>
      <c r="T286" s="340">
        <f>Saldo_relativo_per_capita!T286*Saldo_relativo_per_capita!T$543/1000000</f>
        <v>-36.141277203540511</v>
      </c>
      <c r="U286" s="340">
        <f>Saldo_relativo_per_capita!U286*Saldo_relativo_per_capita!U$543/1000000</f>
        <v>-2.0758717343793434</v>
      </c>
      <c r="V286" s="340">
        <f>Saldo_relativo_per_capita!V286*Saldo_relativo_per_capita!V$543/1000000</f>
        <v>2.9863131172381943</v>
      </c>
      <c r="W286" s="148"/>
    </row>
    <row r="287" spans="1:24" s="115" customFormat="1">
      <c r="A287" s="356"/>
      <c r="C287" s="147"/>
      <c r="D287" s="218"/>
      <c r="E287" s="218"/>
      <c r="F287" s="218"/>
      <c r="G287" s="218"/>
      <c r="H287" s="218"/>
      <c r="I287" s="218"/>
      <c r="J287" s="218"/>
      <c r="K287" s="218"/>
      <c r="L287" s="218"/>
      <c r="M287" s="218"/>
      <c r="N287" s="218"/>
      <c r="O287" s="218"/>
      <c r="P287" s="218"/>
      <c r="Q287" s="218"/>
      <c r="R287" s="218"/>
      <c r="S287" s="218"/>
      <c r="T287" s="218"/>
      <c r="U287" s="218"/>
      <c r="V287" s="218"/>
      <c r="X287" s="232"/>
    </row>
    <row r="288" spans="1:24" s="115" customFormat="1">
      <c r="A288" s="356"/>
      <c r="C288" s="112" t="s">
        <v>22</v>
      </c>
      <c r="D288" s="219">
        <f>Saldo_relativo_per_capita!D288*Saldo_relativo_per_capita!D$543/1000000</f>
        <v>0</v>
      </c>
      <c r="E288" s="219">
        <f>Saldo_relativo_per_capita!E288*Saldo_relativo_per_capita!E$543/1000000</f>
        <v>-294.2084859338151</v>
      </c>
      <c r="F288" s="219">
        <f>Saldo_relativo_per_capita!F288*Saldo_relativo_per_capita!F$543/1000000</f>
        <v>54.942413028900887</v>
      </c>
      <c r="G288" s="219">
        <f>Saldo_relativo_per_capita!G288*Saldo_relativo_per_capita!G$543/1000000</f>
        <v>-15.584131067094088</v>
      </c>
      <c r="H288" s="219">
        <f>Saldo_relativo_per_capita!H288*Saldo_relativo_per_capita!H$543/1000000</f>
        <v>-8.5370726583823267</v>
      </c>
      <c r="I288" s="219">
        <f>Saldo_relativo_per_capita!I288*Saldo_relativo_per_capita!I$543/1000000</f>
        <v>-61.817102535762722</v>
      </c>
      <c r="J288" s="219">
        <f>Saldo_relativo_per_capita!J288*Saldo_relativo_per_capita!J$543/1000000</f>
        <v>-8.4129609610344716</v>
      </c>
      <c r="K288" s="219">
        <f>Saldo_relativo_per_capita!K288*Saldo_relativo_per_capita!K$543/1000000</f>
        <v>110.15350353438558</v>
      </c>
      <c r="L288" s="219">
        <f>Saldo_relativo_per_capita!L288*Saldo_relativo_per_capita!L$543/1000000</f>
        <v>-44.459070181732017</v>
      </c>
      <c r="M288" s="219">
        <f>Saldo_relativo_per_capita!M288*Saldo_relativo_per_capita!M$543/1000000</f>
        <v>173.12961208616403</v>
      </c>
      <c r="N288" s="219">
        <f>Saldo_relativo_per_capita!N288*Saldo_relativo_per_capita!N$543/1000000</f>
        <v>-328.83759251706329</v>
      </c>
      <c r="O288" s="219">
        <f>Saldo_relativo_per_capita!O288*Saldo_relativo_per_capita!O$543/1000000</f>
        <v>-17.068538166098037</v>
      </c>
      <c r="P288" s="219">
        <f>Saldo_relativo_per_capita!P288*Saldo_relativo_per_capita!P$543/1000000</f>
        <v>-39.157253604278779</v>
      </c>
      <c r="Q288" s="219">
        <f>Saldo_relativo_per_capita!Q288*Saldo_relativo_per_capita!Q$543/1000000</f>
        <v>172.95681216303421</v>
      </c>
      <c r="R288" s="219">
        <f>Saldo_relativo_per_capita!R288*Saldo_relativo_per_capita!R$543/1000000</f>
        <v>-79.559236763345325</v>
      </c>
      <c r="S288" s="219">
        <f>Saldo_relativo_per_capita!S288*Saldo_relativo_per_capita!S$543/1000000</f>
        <v>38.937863358980948</v>
      </c>
      <c r="T288" s="219">
        <f>Saldo_relativo_per_capita!T288*Saldo_relativo_per_capita!T$543/1000000</f>
        <v>227.13095079245755</v>
      </c>
      <c r="U288" s="219">
        <f>Saldo_relativo_per_capita!U288*Saldo_relativo_per_capita!U$543/1000000</f>
        <v>37.351621250335405</v>
      </c>
      <c r="V288" s="219">
        <f>Saldo_relativo_per_capita!V288*Saldo_relativo_per_capita!V$543/1000000</f>
        <v>83.038668174350164</v>
      </c>
      <c r="W288" s="220"/>
      <c r="X288" s="232"/>
    </row>
    <row r="289" spans="1:24" s="115" customFormat="1">
      <c r="A289" s="356"/>
      <c r="D289" s="218"/>
      <c r="E289" s="218"/>
      <c r="F289" s="218"/>
      <c r="G289" s="218"/>
      <c r="H289" s="218"/>
      <c r="I289" s="218"/>
      <c r="J289" s="218"/>
      <c r="K289" s="218"/>
      <c r="L289" s="218"/>
      <c r="M289" s="218"/>
      <c r="N289" s="218"/>
      <c r="O289" s="218"/>
      <c r="P289" s="218"/>
      <c r="Q289" s="218"/>
      <c r="R289" s="218"/>
      <c r="S289" s="218"/>
      <c r="T289" s="218"/>
      <c r="U289" s="218"/>
      <c r="V289" s="218"/>
      <c r="W289" s="148"/>
      <c r="X289" s="232"/>
    </row>
    <row r="290" spans="1:24" s="115" customFormat="1">
      <c r="A290" s="356"/>
      <c r="C290" s="117" t="s">
        <v>28</v>
      </c>
      <c r="D290" s="219">
        <f>Saldo_relativo_per_capita!D290*Saldo_relativo_per_capita!D$543/1000000</f>
        <v>0</v>
      </c>
      <c r="E290" s="220">
        <f>Saldo_relativo_per_capita!E290*Saldo_relativo_per_capita!E$543/1000000</f>
        <v>5.293294044801943</v>
      </c>
      <c r="F290" s="220">
        <f>Saldo_relativo_per_capita!F290*Saldo_relativo_per_capita!F$543/1000000</f>
        <v>31.232255356285354</v>
      </c>
      <c r="G290" s="220">
        <f>Saldo_relativo_per_capita!G290*Saldo_relativo_per_capita!G$543/1000000</f>
        <v>0.87037058429748726</v>
      </c>
      <c r="H290" s="220">
        <f>Saldo_relativo_per_capita!H290*Saldo_relativo_per_capita!H$543/1000000</f>
        <v>-14.524402665312605</v>
      </c>
      <c r="I290" s="220">
        <f>Saldo_relativo_per_capita!I290*Saldo_relativo_per_capita!I$543/1000000</f>
        <v>-6.8825246230847466</v>
      </c>
      <c r="J290" s="220">
        <f>Saldo_relativo_per_capita!J290*Saldo_relativo_per_capita!J$543/1000000</f>
        <v>6.7306707297608437</v>
      </c>
      <c r="K290" s="220">
        <f>Saldo_relativo_per_capita!K290*Saldo_relativo_per_capita!K$543/1000000</f>
        <v>30.360327579552923</v>
      </c>
      <c r="L290" s="220">
        <f>Saldo_relativo_per_capita!L290*Saldo_relativo_per_capita!L$543/1000000</f>
        <v>-6.3668194155124418</v>
      </c>
      <c r="M290" s="220">
        <f>Saldo_relativo_per_capita!M290*Saldo_relativo_per_capita!M$543/1000000</f>
        <v>-119.62046937547399</v>
      </c>
      <c r="N290" s="220">
        <f>Saldo_relativo_per_capita!N290*Saldo_relativo_per_capita!N$543/1000000</f>
        <v>-43.696827722447892</v>
      </c>
      <c r="O290" s="220">
        <f>Saldo_relativo_per_capita!O290*Saldo_relativo_per_capita!O$543/1000000</f>
        <v>5.6678639153483914</v>
      </c>
      <c r="P290" s="220">
        <f>Saldo_relativo_per_capita!P290*Saldo_relativo_per_capita!P$543/1000000</f>
        <v>71.108302109983939</v>
      </c>
      <c r="Q290" s="220">
        <f>Saldo_relativo_per_capita!Q290*Saldo_relativo_per_capita!Q$543/1000000</f>
        <v>60.08325405888754</v>
      </c>
      <c r="R290" s="220">
        <f>Saldo_relativo_per_capita!R290*Saldo_relativo_per_capita!R$543/1000000</f>
        <v>6.7887890671790441</v>
      </c>
      <c r="S290" s="220">
        <f>Saldo_relativo_per_capita!S290*Saldo_relativo_per_capita!S$543/1000000</f>
        <v>-8.3159927643476497</v>
      </c>
      <c r="T290" s="220">
        <f>Saldo_relativo_per_capita!T290*Saldo_relativo_per_capita!T$543/1000000</f>
        <v>-41.617136914174438</v>
      </c>
      <c r="U290" s="220">
        <f>Saldo_relativo_per_capita!U290*Saldo_relativo_per_capita!U$543/1000000</f>
        <v>0.17208306992965927</v>
      </c>
      <c r="V290" s="220">
        <f>Saldo_relativo_per_capita!V290*Saldo_relativo_per_capita!V$543/1000000</f>
        <v>22.716962964326939</v>
      </c>
      <c r="W290" s="148"/>
      <c r="X290" s="232"/>
    </row>
    <row r="291" spans="1:24" s="115" customFormat="1">
      <c r="A291" s="355" t="str">
        <f>IF(B291="","",(IF(ISERROR(MATCH(B291,Tot_res!C:C,0)),"Eliminar!!!","")))</f>
        <v/>
      </c>
      <c r="B291" s="119" t="s">
        <v>305</v>
      </c>
      <c r="C291" s="333" t="str">
        <f>VLOOKUP(B291,Tot_res!C:D,2,FALSE)</f>
        <v>Plan nacional sobre drogas + AF 11/1</v>
      </c>
      <c r="D291" s="340">
        <f>Saldo_relativo_per_capita!D291*Saldo_relativo_per_capita!D$543/1000000</f>
        <v>0</v>
      </c>
      <c r="E291" s="340">
        <f>Saldo_relativo_per_capita!E291*Saldo_relativo_per_capita!E$543/1000000</f>
        <v>-1.0401993545212387</v>
      </c>
      <c r="F291" s="340">
        <f>Saldo_relativo_per_capita!F291*Saldo_relativo_per_capita!F$543/1000000</f>
        <v>-4.4674950205432697E-2</v>
      </c>
      <c r="G291" s="340">
        <f>Saldo_relativo_per_capita!G291*Saldo_relativo_per_capita!G$543/1000000</f>
        <v>0.21965661892721505</v>
      </c>
      <c r="H291" s="340">
        <f>Saldo_relativo_per_capita!H291*Saldo_relativo_per_capita!H$543/1000000</f>
        <v>1.4396794213319171E-2</v>
      </c>
      <c r="I291" s="340">
        <f>Saldo_relativo_per_capita!I291*Saldo_relativo_per_capita!I$543/1000000</f>
        <v>-0.2554317339637438</v>
      </c>
      <c r="J291" s="340">
        <f>Saldo_relativo_per_capita!J291*Saldo_relativo_per_capita!J$543/1000000</f>
        <v>0.25202919366991533</v>
      </c>
      <c r="K291" s="340">
        <f>Saldo_relativo_per_capita!K291*Saldo_relativo_per_capita!K$543/1000000</f>
        <v>0.71415302858842789</v>
      </c>
      <c r="L291" s="340">
        <f>Saldo_relativo_per_capita!L291*Saldo_relativo_per_capita!L$543/1000000</f>
        <v>8.4925066821153569E-2</v>
      </c>
      <c r="M291" s="340">
        <f>Saldo_relativo_per_capita!M291*Saldo_relativo_per_capita!M$543/1000000</f>
        <v>-0.78558838707384415</v>
      </c>
      <c r="N291" s="340">
        <f>Saldo_relativo_per_capita!N291*Saldo_relativo_per_capita!N$543/1000000</f>
        <v>-1.1806719952272478</v>
      </c>
      <c r="O291" s="340">
        <f>Saldo_relativo_per_capita!O291*Saldo_relativo_per_capita!O$543/1000000</f>
        <v>0.25054620524466492</v>
      </c>
      <c r="P291" s="340">
        <f>Saldo_relativo_per_capita!P291*Saldo_relativo_per_capita!P$543/1000000</f>
        <v>-3.6193753079000517E-2</v>
      </c>
      <c r="Q291" s="340">
        <f>Saldo_relativo_per_capita!Q291*Saldo_relativo_per_capita!Q$543/1000000</f>
        <v>0.26753240170280229</v>
      </c>
      <c r="R291" s="340">
        <f>Saldo_relativo_per_capita!R291*Saldo_relativo_per_capita!R$543/1000000</f>
        <v>-0.19258171506958349</v>
      </c>
      <c r="S291" s="340">
        <f>Saldo_relativo_per_capita!S291*Saldo_relativo_per_capita!S$543/1000000</f>
        <v>0.33279336255214564</v>
      </c>
      <c r="T291" s="340">
        <f>Saldo_relativo_per_capita!T291*Saldo_relativo_per_capita!T$543/1000000</f>
        <v>1.134283305454213</v>
      </c>
      <c r="U291" s="340">
        <f>Saldo_relativo_per_capita!U291*Saldo_relativo_per_capita!U$543/1000000</f>
        <v>4.2549652683561312E-2</v>
      </c>
      <c r="V291" s="340">
        <f>Saldo_relativo_per_capita!V291*Saldo_relativo_per_capita!V$543/1000000</f>
        <v>0.22247625928266646</v>
      </c>
      <c r="W291" s="148"/>
      <c r="X291" s="232"/>
    </row>
    <row r="292" spans="1:24" s="115" customFormat="1">
      <c r="A292" s="355" t="str">
        <f>IF(B292="","",(IF(ISERROR(MATCH(B292,Tot_res!C:C,0)),"Eliminar!!!","")))</f>
        <v/>
      </c>
      <c r="B292" s="119" t="s">
        <v>306</v>
      </c>
      <c r="C292" s="333" t="str">
        <f>VLOOKUP(B292,Tot_res!C:D,2,FALSE)</f>
        <v>Direc. y serv. grales. de sanidad, serv. soc. e igualdad</v>
      </c>
      <c r="D292" s="340">
        <f>Saldo_relativo_per_capita!D292*Saldo_relativo_per_capita!D$543/1000000</f>
        <v>0</v>
      </c>
      <c r="E292" s="340">
        <f>Saldo_relativo_per_capita!E292*Saldo_relativo_per_capita!E$543/1000000</f>
        <v>-2.7516132851250821</v>
      </c>
      <c r="F292" s="340">
        <f>Saldo_relativo_per_capita!F292*Saldo_relativo_per_capita!F$543/1000000</f>
        <v>-0.3051912537067617</v>
      </c>
      <c r="G292" s="340">
        <f>Saldo_relativo_per_capita!G292*Saldo_relativo_per_capita!G$543/1000000</f>
        <v>-0.17113894890871462</v>
      </c>
      <c r="H292" s="340">
        <f>Saldo_relativo_per_capita!H292*Saldo_relativo_per_capita!H$543/1000000</f>
        <v>-0.3825676743689731</v>
      </c>
      <c r="I292" s="340">
        <f>Saldo_relativo_per_capita!I292*Saldo_relativo_per_capita!I$543/1000000</f>
        <v>-0.73883268441747185</v>
      </c>
      <c r="J292" s="340">
        <f>Saldo_relativo_per_capita!J292*Saldo_relativo_per_capita!J$543/1000000</f>
        <v>-0.13954599146706551</v>
      </c>
      <c r="K292" s="340">
        <f>Saldo_relativo_per_capita!K292*Saldo_relativo_per_capita!K$543/1000000</f>
        <v>-0.41435642621806729</v>
      </c>
      <c r="L292" s="340">
        <f>Saldo_relativo_per_capita!L292*Saldo_relativo_per_capita!L$543/1000000</f>
        <v>-0.59719818370075928</v>
      </c>
      <c r="M292" s="340">
        <f>Saldo_relativo_per_capita!M292*Saldo_relativo_per_capita!M$543/1000000</f>
        <v>11.08965002171734</v>
      </c>
      <c r="N292" s="340">
        <f>Saldo_relativo_per_capita!N292*Saldo_relativo_per_capita!N$543/1000000</f>
        <v>-1.4371927782832385</v>
      </c>
      <c r="O292" s="340">
        <f>Saldo_relativo_per_capita!O292*Saldo_relativo_per_capita!O$543/1000000</f>
        <v>-0.27671111852690083</v>
      </c>
      <c r="P292" s="340">
        <f>Saldo_relativo_per_capita!P292*Saldo_relativo_per_capita!P$543/1000000</f>
        <v>-0.48164992977673809</v>
      </c>
      <c r="Q292" s="340">
        <f>Saldo_relativo_per_capita!Q292*Saldo_relativo_per_capita!Q$543/1000000</f>
        <v>-2.0616211631963717</v>
      </c>
      <c r="R292" s="340">
        <f>Saldo_relativo_per_capita!R292*Saldo_relativo_per_capita!R$543/1000000</f>
        <v>-0.51815134400211271</v>
      </c>
      <c r="S292" s="340">
        <f>Saldo_relativo_per_capita!S292*Saldo_relativo_per_capita!S$543/1000000</f>
        <v>-0.17398857594275366</v>
      </c>
      <c r="T292" s="340">
        <f>Saldo_relativo_per_capita!T292*Saldo_relativo_per_capita!T$543/1000000</f>
        <v>-0.48636840999171777</v>
      </c>
      <c r="U292" s="340">
        <f>Saldo_relativo_per_capita!U292*Saldo_relativo_per_capita!U$543/1000000</f>
        <v>-8.1157609098775826E-2</v>
      </c>
      <c r="V292" s="340">
        <f>Saldo_relativo_per_capita!V292*Saldo_relativo_per_capita!V$543/1000000</f>
        <v>-7.2364644985834892E-2</v>
      </c>
      <c r="W292" s="148"/>
      <c r="X292" s="232"/>
    </row>
    <row r="293" spans="1:24" s="115" customFormat="1">
      <c r="A293" s="355" t="str">
        <f>IF(B293="","",(IF(ISERROR(MATCH(B293,Tot_res!C:C,0)),"Eliminar!!!","")))</f>
        <v/>
      </c>
      <c r="B293" s="119" t="s">
        <v>307</v>
      </c>
      <c r="C293" s="333" t="str">
        <f>VLOOKUP(B293,Tot_res!C:D,2,FALSE)</f>
        <v>Políticas de salud y ordenación profesional</v>
      </c>
      <c r="D293" s="340">
        <f>Saldo_relativo_per_capita!D293*Saldo_relativo_per_capita!D$543/1000000</f>
        <v>0</v>
      </c>
      <c r="E293" s="340">
        <f>Saldo_relativo_per_capita!E293*Saldo_relativo_per_capita!E$543/1000000</f>
        <v>-0.64583289169323588</v>
      </c>
      <c r="F293" s="340">
        <f>Saldo_relativo_per_capita!F293*Saldo_relativo_per_capita!F$543/1000000</f>
        <v>-6.0899780183410461E-2</v>
      </c>
      <c r="G293" s="340">
        <f>Saldo_relativo_per_capita!G293*Saldo_relativo_per_capita!G$543/1000000</f>
        <v>-3.5344786889798668E-2</v>
      </c>
      <c r="H293" s="340">
        <f>Saldo_relativo_per_capita!H293*Saldo_relativo_per_capita!H$543/1000000</f>
        <v>-0.11644611059246905</v>
      </c>
      <c r="I293" s="340">
        <f>Saldo_relativo_per_capita!I293*Saldo_relativo_per_capita!I$543/1000000</f>
        <v>-0.2263916025545876</v>
      </c>
      <c r="J293" s="340">
        <f>Saldo_relativo_per_capita!J293*Saldo_relativo_per_capita!J$543/1000000</f>
        <v>0.93933696645553999</v>
      </c>
      <c r="K293" s="340">
        <f>Saldo_relativo_per_capita!K293*Saldo_relativo_per_capita!K$543/1000000</f>
        <v>-9.0993961681004737E-2</v>
      </c>
      <c r="L293" s="340">
        <f>Saldo_relativo_per_capita!L293*Saldo_relativo_per_capita!L$543/1000000</f>
        <v>-9.3449559178987954E-3</v>
      </c>
      <c r="M293" s="340">
        <f>Saldo_relativo_per_capita!M293*Saldo_relativo_per_capita!M$543/1000000</f>
        <v>0.69320474629063644</v>
      </c>
      <c r="N293" s="340">
        <f>Saldo_relativo_per_capita!N293*Saldo_relativo_per_capita!N$543/1000000</f>
        <v>-0.4065437491163309</v>
      </c>
      <c r="O293" s="340">
        <f>Saldo_relativo_per_capita!O293*Saldo_relativo_per_capita!O$543/1000000</f>
        <v>-7.6930951062385552E-2</v>
      </c>
      <c r="P293" s="340">
        <f>Saldo_relativo_per_capita!P293*Saldo_relativo_per_capita!P$543/1000000</f>
        <v>-1.8757075340160644E-2</v>
      </c>
      <c r="Q293" s="340">
        <f>Saldo_relativo_per_capita!Q293*Saldo_relativo_per_capita!Q$543/1000000</f>
        <v>-2.9052869269453521E-2</v>
      </c>
      <c r="R293" s="340">
        <f>Saldo_relativo_per_capita!R293*Saldo_relativo_per_capita!R$543/1000000</f>
        <v>-3.8514202823343752E-2</v>
      </c>
      <c r="S293" s="340">
        <f>Saldo_relativo_per_capita!S293*Saldo_relativo_per_capita!S$543/1000000</f>
        <v>0.11615561767351669</v>
      </c>
      <c r="T293" s="340">
        <f>Saldo_relativo_per_capita!T293*Saldo_relativo_per_capita!T$543/1000000</f>
        <v>5.5322985511738844E-2</v>
      </c>
      <c r="U293" s="340">
        <f>Saldo_relativo_per_capita!U293*Saldo_relativo_per_capita!U$543/1000000</f>
        <v>-1.7018778954790238E-2</v>
      </c>
      <c r="V293" s="340">
        <f>Saldo_relativo_per_capita!V293*Saldo_relativo_per_capita!V$543/1000000</f>
        <v>-3.1948599852564971E-2</v>
      </c>
      <c r="W293" s="148"/>
      <c r="X293" s="232"/>
    </row>
    <row r="294" spans="1:24" s="115" customFormat="1">
      <c r="A294" s="355" t="str">
        <f>IF(B294="","",(IF(ISERROR(MATCH(B294,Tot_res!C:C,0)),"Eliminar!!!","")))</f>
        <v/>
      </c>
      <c r="B294" s="119" t="s">
        <v>308</v>
      </c>
      <c r="C294" s="333" t="str">
        <f>VLOOKUP(B294,Tot_res!C:D,2,FALSE)</f>
        <v>Asistencia sanitaria del mutualismo administrativo</v>
      </c>
      <c r="D294" s="340">
        <f>Saldo_relativo_per_capita!D294*Saldo_relativo_per_capita!D$543/1000000</f>
        <v>0</v>
      </c>
      <c r="E294" s="340">
        <f>Saldo_relativo_per_capita!E294*Saldo_relativo_per_capita!E$543/1000000</f>
        <v>89.102411291825618</v>
      </c>
      <c r="F294" s="340">
        <f>Saldo_relativo_per_capita!F294*Saldo_relativo_per_capita!F$543/1000000</f>
        <v>15.243305528434234</v>
      </c>
      <c r="G294" s="340">
        <f>Saldo_relativo_per_capita!G294*Saldo_relativo_per_capita!G$543/1000000</f>
        <v>-3.0327643096506822</v>
      </c>
      <c r="H294" s="340">
        <f>Saldo_relativo_per_capita!H294*Saldo_relativo_per_capita!H$543/1000000</f>
        <v>-13.520477487193993</v>
      </c>
      <c r="I294" s="340">
        <f>Saldo_relativo_per_capita!I294*Saldo_relativo_per_capita!I$543/1000000</f>
        <v>-2.6766554267341123</v>
      </c>
      <c r="J294" s="340">
        <f>Saldo_relativo_per_capita!J294*Saldo_relativo_per_capita!J$543/1000000</f>
        <v>-2.7025290271388824</v>
      </c>
      <c r="K294" s="340">
        <f>Saldo_relativo_per_capita!K294*Saldo_relativo_per_capita!K$543/1000000</f>
        <v>46.430892292866865</v>
      </c>
      <c r="L294" s="340">
        <f>Saldo_relativo_per_capita!L294*Saldo_relativo_per_capita!L$543/1000000</f>
        <v>5.4996927224494945</v>
      </c>
      <c r="M294" s="340">
        <f>Saldo_relativo_per_capita!M294*Saldo_relativo_per_capita!M$543/1000000</f>
        <v>-165.56853163804735</v>
      </c>
      <c r="N294" s="340">
        <f>Saldo_relativo_per_capita!N294*Saldo_relativo_per_capita!N$543/1000000</f>
        <v>-38.713395588982181</v>
      </c>
      <c r="O294" s="340">
        <f>Saldo_relativo_per_capita!O294*Saldo_relativo_per_capita!O$543/1000000</f>
        <v>19.660880913492363</v>
      </c>
      <c r="P294" s="340">
        <f>Saldo_relativo_per_capita!P294*Saldo_relativo_per_capita!P$543/1000000</f>
        <v>20.675364061702641</v>
      </c>
      <c r="Q294" s="340">
        <f>Saldo_relativo_per_capita!Q294*Saldo_relativo_per_capita!Q$543/1000000</f>
        <v>59.938015363550775</v>
      </c>
      <c r="R294" s="340">
        <f>Saldo_relativo_per_capita!R294*Saldo_relativo_per_capita!R$543/1000000</f>
        <v>15.8249523394952</v>
      </c>
      <c r="S294" s="340">
        <f>Saldo_relativo_per_capita!S294*Saldo_relativo_per_capita!S$543/1000000</f>
        <v>-9.0670274723547575</v>
      </c>
      <c r="T294" s="340">
        <f>Saldo_relativo_per_capita!T294*Saldo_relativo_per_capita!T$543/1000000</f>
        <v>-57.610234704642835</v>
      </c>
      <c r="U294" s="340">
        <f>Saldo_relativo_per_capita!U294*Saldo_relativo_per_capita!U$543/1000000</f>
        <v>-1.4499362053660427E-2</v>
      </c>
      <c r="V294" s="340">
        <f>Saldo_relativo_per_capita!V294*Saldo_relativo_per_capita!V$543/1000000</f>
        <v>20.530600502981301</v>
      </c>
      <c r="W294" s="148"/>
      <c r="X294" s="232"/>
    </row>
    <row r="295" spans="1:24" s="115" customFormat="1">
      <c r="A295" s="355" t="str">
        <f>IF(B295="","",(IF(ISERROR(MATCH(B295,Tot_res!C:C,0)),"Eliminar!!!","")))</f>
        <v/>
      </c>
      <c r="B295" s="119" t="s">
        <v>310</v>
      </c>
      <c r="C295" s="333" t="str">
        <f>VLOOKUP(B295,Tot_res!C:D,2,FALSE)</f>
        <v>Prestaciones y farmacia</v>
      </c>
      <c r="D295" s="340">
        <f>Saldo_relativo_per_capita!D295*Saldo_relativo_per_capita!D$543/1000000</f>
        <v>0</v>
      </c>
      <c r="E295" s="340">
        <f>Saldo_relativo_per_capita!E295*Saldo_relativo_per_capita!E$543/1000000</f>
        <v>-2.5397745680830077</v>
      </c>
      <c r="F295" s="340">
        <f>Saldo_relativo_per_capita!F295*Saldo_relativo_per_capita!F$543/1000000</f>
        <v>0.84188512432824336</v>
      </c>
      <c r="G295" s="340">
        <f>Saldo_relativo_per_capita!G295*Saldo_relativo_per_capita!G$543/1000000</f>
        <v>5.2006853728952813E-2</v>
      </c>
      <c r="H295" s="340">
        <f>Saldo_relativo_per_capita!H295*Saldo_relativo_per_capita!H$543/1000000</f>
        <v>-0.14194720955240173</v>
      </c>
      <c r="I295" s="340">
        <f>Saldo_relativo_per_capita!I295*Saldo_relativo_per_capita!I$543/1000000</f>
        <v>-0.44102375206519301</v>
      </c>
      <c r="J295" s="340">
        <f>Saldo_relativo_per_capita!J295*Saldo_relativo_per_capita!J$543/1000000</f>
        <v>2.4954835198870141E-2</v>
      </c>
      <c r="K295" s="340">
        <f>Saldo_relativo_per_capita!K295*Saldo_relativo_per_capita!K$543/1000000</f>
        <v>1.7704651193043077</v>
      </c>
      <c r="L295" s="340">
        <f>Saldo_relativo_per_capita!L295*Saldo_relativo_per_capita!L$543/1000000</f>
        <v>1.4554920180617388</v>
      </c>
      <c r="M295" s="340">
        <f>Saldo_relativo_per_capita!M295*Saldo_relativo_per_capita!M$543/1000000</f>
        <v>-1.6595015475149992</v>
      </c>
      <c r="N295" s="340">
        <f>Saldo_relativo_per_capita!N295*Saldo_relativo_per_capita!N$543/1000000</f>
        <v>-0.69548993096802614</v>
      </c>
      <c r="O295" s="340">
        <f>Saldo_relativo_per_capita!O295*Saldo_relativo_per_capita!O$543/1000000</f>
        <v>0.41561020561506118</v>
      </c>
      <c r="P295" s="340">
        <f>Saldo_relativo_per_capita!P295*Saldo_relativo_per_capita!P$543/1000000</f>
        <v>-0.46359246397801568</v>
      </c>
      <c r="Q295" s="340">
        <f>Saldo_relativo_per_capita!Q295*Saldo_relativo_per_capita!Q$543/1000000</f>
        <v>1.9972491316172993E-2</v>
      </c>
      <c r="R295" s="340">
        <f>Saldo_relativo_per_capita!R295*Saldo_relativo_per_capita!R$543/1000000</f>
        <v>-0.25763424142414471</v>
      </c>
      <c r="S295" s="340">
        <f>Saldo_relativo_per_capita!S295*Saldo_relativo_per_capita!S$543/1000000</f>
        <v>-6.9958426562040155E-2</v>
      </c>
      <c r="T295" s="340">
        <f>Saldo_relativo_per_capita!T295*Saldo_relativo_per_capita!T$543/1000000</f>
        <v>0.48654577178521752</v>
      </c>
      <c r="U295" s="340">
        <f>Saldo_relativo_per_capita!U295*Saldo_relativo_per_capita!U$543/1000000</f>
        <v>0.10973140697205365</v>
      </c>
      <c r="V295" s="340">
        <f>Saldo_relativo_per_capita!V295*Saldo_relativo_per_capita!V$543/1000000</f>
        <v>1.0922583138371849</v>
      </c>
      <c r="W295" s="148"/>
      <c r="X295" s="232"/>
    </row>
    <row r="296" spans="1:24" s="115" customFormat="1">
      <c r="A296" s="355" t="str">
        <f>IF(B296="","",(IF(ISERROR(MATCH(B296,Tot_res!C:C,0)),"Eliminar!!!","")))</f>
        <v/>
      </c>
      <c r="B296" s="119" t="s">
        <v>311</v>
      </c>
      <c r="C296" s="333" t="str">
        <f>VLOOKUP(B296,Tot_res!C:D,2,FALSE)</f>
        <v>Salud pública, sanidad exterior y calidad + AF11/2</v>
      </c>
      <c r="D296" s="340">
        <f>Saldo_relativo_per_capita!D296*Saldo_relativo_per_capita!D$543/1000000</f>
        <v>0</v>
      </c>
      <c r="E296" s="340">
        <f>Saldo_relativo_per_capita!E296*Saldo_relativo_per_capita!E$543/1000000</f>
        <v>-0.10259352549155426</v>
      </c>
      <c r="F296" s="340">
        <f>Saldo_relativo_per_capita!F296*Saldo_relativo_per_capita!F$543/1000000</f>
        <v>4.1966659102851328E-2</v>
      </c>
      <c r="G296" s="340">
        <f>Saldo_relativo_per_capita!G296*Saldo_relativo_per_capita!G$543/1000000</f>
        <v>1.8617549503413187E-2</v>
      </c>
      <c r="H296" s="340">
        <f>Saldo_relativo_per_capita!H296*Saldo_relativo_per_capita!H$543/1000000</f>
        <v>1.7768976908205805E-2</v>
      </c>
      <c r="I296" s="340">
        <f>Saldo_relativo_per_capita!I296*Saldo_relativo_per_capita!I$543/1000000</f>
        <v>-2.0708613195942246E-3</v>
      </c>
      <c r="J296" s="340">
        <f>Saldo_relativo_per_capita!J296*Saldo_relativo_per_capita!J$543/1000000</f>
        <v>5.9290800655713176E-2</v>
      </c>
      <c r="K296" s="340">
        <f>Saldo_relativo_per_capita!K296*Saldo_relativo_per_capita!K$543/1000000</f>
        <v>-9.1671335911223204E-3</v>
      </c>
      <c r="L296" s="340">
        <f>Saldo_relativo_per_capita!L296*Saldo_relativo_per_capita!L$543/1000000</f>
        <v>1.6926237067525544E-2</v>
      </c>
      <c r="M296" s="340">
        <f>Saldo_relativo_per_capita!M296*Saldo_relativo_per_capita!M$543/1000000</f>
        <v>-6.5845025843193905E-2</v>
      </c>
      <c r="N296" s="340">
        <f>Saldo_relativo_per_capita!N296*Saldo_relativo_per_capita!N$543/1000000</f>
        <v>1.9491096783278528E-2</v>
      </c>
      <c r="O296" s="340">
        <f>Saldo_relativo_per_capita!O296*Saldo_relativo_per_capita!O$543/1000000</f>
        <v>1.7764504218998407E-2</v>
      </c>
      <c r="P296" s="340">
        <f>Saldo_relativo_per_capita!P296*Saldo_relativo_per_capita!P$543/1000000</f>
        <v>-1.4385006907934686E-2</v>
      </c>
      <c r="Q296" s="340">
        <f>Saldo_relativo_per_capita!Q296*Saldo_relativo_per_capita!Q$543/1000000</f>
        <v>-5.1045819057352781E-2</v>
      </c>
      <c r="R296" s="340">
        <f>Saldo_relativo_per_capita!R296*Saldo_relativo_per_capita!R$543/1000000</f>
        <v>3.2515242850409576E-2</v>
      </c>
      <c r="S296" s="340">
        <f>Saldo_relativo_per_capita!S296*Saldo_relativo_per_capita!S$543/1000000</f>
        <v>-1.2294392090833818E-3</v>
      </c>
      <c r="T296" s="340">
        <f>Saldo_relativo_per_capita!T296*Saldo_relativo_per_capita!T$543/1000000</f>
        <v>-4.1903851664576433E-3</v>
      </c>
      <c r="U296" s="340">
        <f>Saldo_relativo_per_capita!U296*Saldo_relativo_per_capita!U$543/1000000</f>
        <v>3.3047268986053188E-2</v>
      </c>
      <c r="V296" s="340">
        <f>Saldo_relativo_per_capita!V296*Saldo_relativo_per_capita!V$543/1000000</f>
        <v>-6.8611394901567412E-3</v>
      </c>
      <c r="W296" s="148"/>
      <c r="X296" s="232"/>
    </row>
    <row r="297" spans="1:24" s="115" customFormat="1">
      <c r="A297" s="355" t="str">
        <f>IF(B297="","",(IF(ISERROR(MATCH(B297,Tot_res!C:C,0)),"Eliminar!!!","")))</f>
        <v/>
      </c>
      <c r="B297" s="119" t="s">
        <v>312</v>
      </c>
      <c r="C297" s="333" t="str">
        <f>VLOOKUP(B297,Tot_res!C:D,2,FALSE)</f>
        <v>Seguridad alimentaria y nutrición</v>
      </c>
      <c r="D297" s="340">
        <f>Saldo_relativo_per_capita!D297*Saldo_relativo_per_capita!D$543/1000000</f>
        <v>0</v>
      </c>
      <c r="E297" s="340">
        <f>Saldo_relativo_per_capita!E297*Saldo_relativo_per_capita!E$543/1000000</f>
        <v>0</v>
      </c>
      <c r="F297" s="340">
        <f>Saldo_relativo_per_capita!F297*Saldo_relativo_per_capita!F$543/1000000</f>
        <v>0</v>
      </c>
      <c r="G297" s="340">
        <f>Saldo_relativo_per_capita!G297*Saldo_relativo_per_capita!G$543/1000000</f>
        <v>0</v>
      </c>
      <c r="H297" s="340">
        <f>Saldo_relativo_per_capita!H297*Saldo_relativo_per_capita!H$543/1000000</f>
        <v>0</v>
      </c>
      <c r="I297" s="340">
        <f>Saldo_relativo_per_capita!I297*Saldo_relativo_per_capita!I$543/1000000</f>
        <v>0</v>
      </c>
      <c r="J297" s="340">
        <f>Saldo_relativo_per_capita!J297*Saldo_relativo_per_capita!J$543/1000000</f>
        <v>0</v>
      </c>
      <c r="K297" s="340">
        <f>Saldo_relativo_per_capita!K297*Saldo_relativo_per_capita!K$543/1000000</f>
        <v>0</v>
      </c>
      <c r="L297" s="340">
        <f>Saldo_relativo_per_capita!L297*Saldo_relativo_per_capita!L$543/1000000</f>
        <v>0</v>
      </c>
      <c r="M297" s="340">
        <f>Saldo_relativo_per_capita!M297*Saldo_relativo_per_capita!M$543/1000000</f>
        <v>0</v>
      </c>
      <c r="N297" s="340">
        <f>Saldo_relativo_per_capita!N297*Saldo_relativo_per_capita!N$543/1000000</f>
        <v>0</v>
      </c>
      <c r="O297" s="340">
        <f>Saldo_relativo_per_capita!O297*Saldo_relativo_per_capita!O$543/1000000</f>
        <v>0</v>
      </c>
      <c r="P297" s="340">
        <f>Saldo_relativo_per_capita!P297*Saldo_relativo_per_capita!P$543/1000000</f>
        <v>0</v>
      </c>
      <c r="Q297" s="340">
        <f>Saldo_relativo_per_capita!Q297*Saldo_relativo_per_capita!Q$543/1000000</f>
        <v>0</v>
      </c>
      <c r="R297" s="340">
        <f>Saldo_relativo_per_capita!R297*Saldo_relativo_per_capita!R$543/1000000</f>
        <v>0</v>
      </c>
      <c r="S297" s="340">
        <f>Saldo_relativo_per_capita!S297*Saldo_relativo_per_capita!S$543/1000000</f>
        <v>0</v>
      </c>
      <c r="T297" s="340">
        <f>Saldo_relativo_per_capita!T297*Saldo_relativo_per_capita!T$543/1000000</f>
        <v>0</v>
      </c>
      <c r="U297" s="340">
        <f>Saldo_relativo_per_capita!U297*Saldo_relativo_per_capita!U$543/1000000</f>
        <v>0</v>
      </c>
      <c r="V297" s="340">
        <f>Saldo_relativo_per_capita!V297*Saldo_relativo_per_capita!V$543/1000000</f>
        <v>0</v>
      </c>
      <c r="W297" s="148"/>
      <c r="X297" s="232"/>
    </row>
    <row r="298" spans="1:24" s="115" customFormat="1">
      <c r="A298" s="355" t="str">
        <f>IF(B298="","",(IF(ISERROR(MATCH(B298,Tot_res!C:C,0)),"Eliminar!!!","")))</f>
        <v/>
      </c>
      <c r="B298" s="119" t="s">
        <v>313</v>
      </c>
      <c r="C298" s="333" t="str">
        <f>VLOOKUP(B298,Tot_res!C:D,2,FALSE)</f>
        <v>Donación y trasplante de órganos, tejidos y células</v>
      </c>
      <c r="D298" s="340">
        <f>Saldo_relativo_per_capita!D298*Saldo_relativo_per_capita!D$543/1000000</f>
        <v>0</v>
      </c>
      <c r="E298" s="340">
        <f>Saldo_relativo_per_capita!E298*Saldo_relativo_per_capita!E$543/1000000</f>
        <v>-2.8229330137611076E-2</v>
      </c>
      <c r="F298" s="340">
        <f>Saldo_relativo_per_capita!F298*Saldo_relativo_per_capita!F$543/1000000</f>
        <v>5.4982226798891377E-3</v>
      </c>
      <c r="G298" s="340">
        <f>Saldo_relativo_per_capita!G298*Saldo_relativo_per_capita!G$543/1000000</f>
        <v>9.8546540061829023E-3</v>
      </c>
      <c r="H298" s="340">
        <f>Saldo_relativo_per_capita!H298*Saldo_relativo_per_capita!H$543/1000000</f>
        <v>-5.2826025201886733E-3</v>
      </c>
      <c r="I298" s="340">
        <f>Saldo_relativo_per_capita!I298*Saldo_relativo_per_capita!I$543/1000000</f>
        <v>-1.0785996904967813E-2</v>
      </c>
      <c r="J298" s="340">
        <f>Saldo_relativo_per_capita!J298*Saldo_relativo_per_capita!J$543/1000000</f>
        <v>2.0694024826841077E-3</v>
      </c>
      <c r="K298" s="340">
        <f>Saldo_relativo_per_capita!K298*Saldo_relativo_per_capita!K$543/1000000</f>
        <v>2.2334072668844247E-2</v>
      </c>
      <c r="L298" s="340">
        <f>Saldo_relativo_per_capita!L298*Saldo_relativo_per_capita!L$543/1000000</f>
        <v>-5.0421567927339136E-4</v>
      </c>
      <c r="M298" s="340">
        <f>Saldo_relativo_per_capita!M298*Saldo_relativo_per_capita!M$543/1000000</f>
        <v>-3.6750330488425735E-3</v>
      </c>
      <c r="N298" s="340">
        <f>Saldo_relativo_per_capita!N298*Saldo_relativo_per_capita!N$543/1000000</f>
        <v>-5.6786323501078735E-4</v>
      </c>
      <c r="O298" s="340">
        <f>Saldo_relativo_per_capita!O298*Saldo_relativo_per_capita!O$543/1000000</f>
        <v>2.6306095673683536E-3</v>
      </c>
      <c r="P298" s="340">
        <f>Saldo_relativo_per_capita!P298*Saldo_relativo_per_capita!P$543/1000000</f>
        <v>2.2588365718869567E-2</v>
      </c>
      <c r="Q298" s="340">
        <f>Saldo_relativo_per_capita!Q298*Saldo_relativo_per_capita!Q$543/1000000</f>
        <v>-1.7601922881572165E-2</v>
      </c>
      <c r="R298" s="340">
        <f>Saldo_relativo_per_capita!R298*Saldo_relativo_per_capita!R$543/1000000</f>
        <v>-7.8122841440012589E-3</v>
      </c>
      <c r="S298" s="340">
        <f>Saldo_relativo_per_capita!S298*Saldo_relativo_per_capita!S$543/1000000</f>
        <v>5.7794580119365391E-4</v>
      </c>
      <c r="T298" s="340">
        <f>Saldo_relativo_per_capita!T298*Saldo_relativo_per_capita!T$543/1000000</f>
        <v>1.0066387061921549E-2</v>
      </c>
      <c r="U298" s="340">
        <f>Saldo_relativo_per_capita!U298*Saldo_relativo_per_capita!U$543/1000000</f>
        <v>7.1486737607420064E-4</v>
      </c>
      <c r="V298" s="340">
        <f>Saldo_relativo_per_capita!V298*Saldo_relativo_per_capita!V$543/1000000</f>
        <v>-1.8752788115603911E-3</v>
      </c>
      <c r="W298" s="148"/>
      <c r="X298" s="232"/>
    </row>
    <row r="299" spans="1:24" s="115" customFormat="1">
      <c r="A299" s="355" t="str">
        <f>IF(B299="","",(IF(ISERROR(MATCH(B299,Tot_res!C:C,0)),"Eliminar!!!","")))</f>
        <v/>
      </c>
      <c r="B299" s="115" t="s">
        <v>314</v>
      </c>
      <c r="C299" s="333" t="str">
        <f>VLOOKUP(B299,Tot_res!C:D,2,FALSE)</f>
        <v>Protec. y promoc. de derechos de consum. y usuar.</v>
      </c>
      <c r="D299" s="340">
        <f>Saldo_relativo_per_capita!D299*Saldo_relativo_per_capita!D$543/1000000</f>
        <v>0</v>
      </c>
      <c r="E299" s="340">
        <f>Saldo_relativo_per_capita!E299*Saldo_relativo_per_capita!E$543/1000000</f>
        <v>0</v>
      </c>
      <c r="F299" s="340">
        <f>Saldo_relativo_per_capita!F299*Saldo_relativo_per_capita!F$543/1000000</f>
        <v>0</v>
      </c>
      <c r="G299" s="340">
        <f>Saldo_relativo_per_capita!G299*Saldo_relativo_per_capita!G$543/1000000</f>
        <v>0</v>
      </c>
      <c r="H299" s="340">
        <f>Saldo_relativo_per_capita!H299*Saldo_relativo_per_capita!H$543/1000000</f>
        <v>0</v>
      </c>
      <c r="I299" s="340">
        <f>Saldo_relativo_per_capita!I299*Saldo_relativo_per_capita!I$543/1000000</f>
        <v>0</v>
      </c>
      <c r="J299" s="340">
        <f>Saldo_relativo_per_capita!J299*Saldo_relativo_per_capita!J$543/1000000</f>
        <v>0</v>
      </c>
      <c r="K299" s="340">
        <f>Saldo_relativo_per_capita!K299*Saldo_relativo_per_capita!K$543/1000000</f>
        <v>0</v>
      </c>
      <c r="L299" s="340">
        <f>Saldo_relativo_per_capita!L299*Saldo_relativo_per_capita!L$543/1000000</f>
        <v>0</v>
      </c>
      <c r="M299" s="340">
        <f>Saldo_relativo_per_capita!M299*Saldo_relativo_per_capita!M$543/1000000</f>
        <v>0</v>
      </c>
      <c r="N299" s="340">
        <f>Saldo_relativo_per_capita!N299*Saldo_relativo_per_capita!N$543/1000000</f>
        <v>0</v>
      </c>
      <c r="O299" s="340">
        <f>Saldo_relativo_per_capita!O299*Saldo_relativo_per_capita!O$543/1000000</f>
        <v>0</v>
      </c>
      <c r="P299" s="340">
        <f>Saldo_relativo_per_capita!P299*Saldo_relativo_per_capita!P$543/1000000</f>
        <v>0</v>
      </c>
      <c r="Q299" s="340">
        <f>Saldo_relativo_per_capita!Q299*Saldo_relativo_per_capita!Q$543/1000000</f>
        <v>0</v>
      </c>
      <c r="R299" s="340">
        <f>Saldo_relativo_per_capita!R299*Saldo_relativo_per_capita!R$543/1000000</f>
        <v>0</v>
      </c>
      <c r="S299" s="340">
        <f>Saldo_relativo_per_capita!S299*Saldo_relativo_per_capita!S$543/1000000</f>
        <v>0</v>
      </c>
      <c r="T299" s="340">
        <f>Saldo_relativo_per_capita!T299*Saldo_relativo_per_capita!T$543/1000000</f>
        <v>0</v>
      </c>
      <c r="U299" s="340">
        <f>Saldo_relativo_per_capita!U299*Saldo_relativo_per_capita!U$543/1000000</f>
        <v>0</v>
      </c>
      <c r="V299" s="340">
        <f>Saldo_relativo_per_capita!V299*Saldo_relativo_per_capita!V$543/1000000</f>
        <v>0</v>
      </c>
      <c r="W299" s="148"/>
      <c r="X299" s="232"/>
    </row>
    <row r="300" spans="1:24" s="115" customFormat="1">
      <c r="A300" s="355" t="str">
        <f>IF(B300="","",(IF(ISERROR(MATCH(B300,Tot_res!C:C,0)),"Eliminar!!!","")))</f>
        <v/>
      </c>
      <c r="B300" s="115" t="s">
        <v>801</v>
      </c>
      <c r="C300" s="333" t="str">
        <f>VLOOKUP(B300,Tot_res!C:D,2,FALSE)</f>
        <v>Atención Primaria de Salud, ISM</v>
      </c>
      <c r="D300" s="340">
        <f>Saldo_relativo_per_capita!D300*Saldo_relativo_per_capita!D$543/1000000</f>
        <v>0</v>
      </c>
      <c r="E300" s="340">
        <f>Saldo_relativo_per_capita!E300*Saldo_relativo_per_capita!E$543/1000000</f>
        <v>-0.19200147050738445</v>
      </c>
      <c r="F300" s="340">
        <f>Saldo_relativo_per_capita!F300*Saldo_relativo_per_capita!F$543/1000000</f>
        <v>-3.0466228352588727E-2</v>
      </c>
      <c r="G300" s="340">
        <f>Saldo_relativo_per_capita!G300*Saldo_relativo_per_capita!G$543/1000000</f>
        <v>-2.4280564916446049E-2</v>
      </c>
      <c r="H300" s="340">
        <f>Saldo_relativo_per_capita!H300*Saldo_relativo_per_capita!H$543/1000000</f>
        <v>-2.5251766537565622E-2</v>
      </c>
      <c r="I300" s="340">
        <f>Saldo_relativo_per_capita!I300*Saldo_relativo_per_capita!I$543/1000000</f>
        <v>-4.8146771754079325E-2</v>
      </c>
      <c r="J300" s="340">
        <f>Saldo_relativo_per_capita!J300*Saldo_relativo_per_capita!J$543/1000000</f>
        <v>-1.3457905353635597E-2</v>
      </c>
      <c r="K300" s="340">
        <f>Saldo_relativo_per_capita!K300*Saldo_relativo_per_capita!K$543/1000000</f>
        <v>-5.7165922617190931E-2</v>
      </c>
      <c r="L300" s="340">
        <f>Saldo_relativo_per_capita!L300*Saldo_relativo_per_capita!L$543/1000000</f>
        <v>-4.7646493766605499E-2</v>
      </c>
      <c r="M300" s="340">
        <f>Saldo_relativo_per_capita!M300*Saldo_relativo_per_capita!M$543/1000000</f>
        <v>-0.17182332188521246</v>
      </c>
      <c r="N300" s="340">
        <f>Saldo_relativo_per_capita!N300*Saldo_relativo_per_capita!N$543/1000000</f>
        <v>-0.1153501734181132</v>
      </c>
      <c r="O300" s="340">
        <f>Saldo_relativo_per_capita!O300*Saldo_relativo_per_capita!O$543/1000000</f>
        <v>-2.5120897418363174E-2</v>
      </c>
      <c r="P300" s="340">
        <f>Saldo_relativo_per_capita!P300*Saldo_relativo_per_capita!P$543/1000000</f>
        <v>-6.2865455154442557E-2</v>
      </c>
      <c r="Q300" s="340">
        <f>Saldo_relativo_per_capita!Q300*Saldo_relativo_per_capita!Q$543/1000000</f>
        <v>0.92282260227790514</v>
      </c>
      <c r="R300" s="340">
        <f>Saldo_relativo_per_capita!R300*Saldo_relativo_per_capita!R$543/1000000</f>
        <v>-3.3502346319089327E-2</v>
      </c>
      <c r="S300" s="340">
        <f>Saldo_relativo_per_capita!S300*Saldo_relativo_per_capita!S$543/1000000</f>
        <v>-1.4651721274388047E-2</v>
      </c>
      <c r="T300" s="340">
        <f>Saldo_relativo_per_capita!T300*Saldo_relativo_per_capita!T$543/1000000</f>
        <v>-4.9938504512999762E-2</v>
      </c>
      <c r="U300" s="340">
        <f>Saldo_relativo_per_capita!U300*Saldo_relativo_per_capita!U$543/1000000</f>
        <v>-7.3075697398281405E-3</v>
      </c>
      <c r="V300" s="340">
        <f>Saldo_relativo_per_capita!V300*Saldo_relativo_per_capita!V$543/1000000</f>
        <v>-3.8454887499722581E-3</v>
      </c>
      <c r="W300" s="148"/>
      <c r="X300" s="232"/>
    </row>
    <row r="301" spans="1:24" s="115" customFormat="1">
      <c r="A301" s="355" t="str">
        <f>IF(B301="","",(IF(ISERROR(MATCH(B301,Tot_res!C:C,0)),"Eliminar!!!","")))</f>
        <v/>
      </c>
      <c r="B301" s="115" t="s">
        <v>802</v>
      </c>
      <c r="C301" s="333" t="str">
        <f>VLOOKUP(B301,Tot_res!C:D,2,FALSE)</f>
        <v xml:space="preserve">Medicina Ambulatoria de Mutuas de Accidentes de Trabajo, mutuas de enfermedades profesionales y accidentes de trabajo de la Seguridad Social </v>
      </c>
      <c r="D301" s="340">
        <f>Saldo_relativo_per_capita!D301*Saldo_relativo_per_capita!D$543/1000000</f>
        <v>0</v>
      </c>
      <c r="E301" s="340">
        <f>Saldo_relativo_per_capita!E301*Saldo_relativo_per_capita!E$543/1000000</f>
        <v>-37.034187195027073</v>
      </c>
      <c r="F301" s="340">
        <f>Saldo_relativo_per_capita!F301*Saldo_relativo_per_capita!F$543/1000000</f>
        <v>-1.9101447060550982</v>
      </c>
      <c r="G301" s="340">
        <f>Saldo_relativo_per_capita!G301*Saldo_relativo_per_capita!G$543/1000000</f>
        <v>5.6239657713145697</v>
      </c>
      <c r="H301" s="340">
        <f>Saldo_relativo_per_capita!H301*Saldo_relativo_per_capita!H$543/1000000</f>
        <v>2.1308138760225592</v>
      </c>
      <c r="I301" s="340">
        <f>Saldo_relativo_per_capita!I301*Saldo_relativo_per_capita!I$543/1000000</f>
        <v>-0.76285265773647926</v>
      </c>
      <c r="J301" s="340">
        <f>Saldo_relativo_per_capita!J301*Saldo_relativo_per_capita!J$543/1000000</f>
        <v>0.6184626313824817</v>
      </c>
      <c r="K301" s="340">
        <f>Saldo_relativo_per_capita!K301*Saldo_relativo_per_capita!K$543/1000000</f>
        <v>-3.0946393817523576</v>
      </c>
      <c r="L301" s="340">
        <f>Saldo_relativo_per_capita!L301*Saldo_relativo_per_capita!L$543/1000000</f>
        <v>8.4942782013767121E-2</v>
      </c>
      <c r="M301" s="340">
        <f>Saldo_relativo_per_capita!M301*Saldo_relativo_per_capita!M$543/1000000</f>
        <v>38.73795732884976</v>
      </c>
      <c r="N301" s="340">
        <f>Saldo_relativo_per_capita!N301*Saldo_relativo_per_capita!N$543/1000000</f>
        <v>9.5866387047427732</v>
      </c>
      <c r="O301" s="340">
        <f>Saldo_relativo_per_capita!O301*Saldo_relativo_per_capita!O$543/1000000</f>
        <v>-5.7283910285307842</v>
      </c>
      <c r="P301" s="340">
        <f>Saldo_relativo_per_capita!P301*Saldo_relativo_per_capita!P$543/1000000</f>
        <v>-0.62498934370555925</v>
      </c>
      <c r="Q301" s="340">
        <f>Saldo_relativo_per_capita!Q301*Saldo_relativo_per_capita!Q$543/1000000</f>
        <v>-10.844630538728557</v>
      </c>
      <c r="R301" s="340">
        <f>Saldo_relativo_per_capita!R301*Saldo_relativo_per_capita!R$543/1000000</f>
        <v>-3.084429371572758</v>
      </c>
      <c r="S301" s="340">
        <f>Saldo_relativo_per_capita!S301*Saldo_relativo_per_capita!S$543/1000000</f>
        <v>3.9747270573117621</v>
      </c>
      <c r="T301" s="340">
        <f>Saldo_relativo_per_capita!T301*Saldo_relativo_per_capita!T$543/1000000</f>
        <v>0.97285053422943801</v>
      </c>
      <c r="U301" s="340">
        <f>Saldo_relativo_per_capita!U301*Saldo_relativo_per_capita!U$543/1000000</f>
        <v>2.0396414381908992</v>
      </c>
      <c r="V301" s="340">
        <f>Saldo_relativo_per_capita!V301*Saldo_relativo_per_capita!V$543/1000000</f>
        <v>-0.68573590094975512</v>
      </c>
      <c r="W301" s="148"/>
      <c r="X301" s="232"/>
    </row>
    <row r="302" spans="1:24" s="115" customFormat="1">
      <c r="A302" s="355" t="str">
        <f>IF(B302="","",(IF(ISERROR(MATCH(B302,Tot_res!C:C,0)),"Eliminar!!!","")))</f>
        <v/>
      </c>
      <c r="B302" s="115" t="s">
        <v>804</v>
      </c>
      <c r="C302" s="333" t="str">
        <f>VLOOKUP(B302,Tot_res!C:D,2,FALSE)</f>
        <v>Atenció Primaria de Salud INGESA neto de Ceuta y Melilla</v>
      </c>
      <c r="D302" s="340">
        <f>Saldo_relativo_per_capita!D302*Saldo_relativo_per_capita!D$543/1000000</f>
        <v>0</v>
      </c>
      <c r="E302" s="340">
        <f>Saldo_relativo_per_capita!E302*Saldo_relativo_per_capita!E$543/1000000</f>
        <v>-1.2904681765766723</v>
      </c>
      <c r="F302" s="340">
        <f>Saldo_relativo_per_capita!F302*Saldo_relativo_per_capita!F$543/1000000</f>
        <v>0.35745704892136537</v>
      </c>
      <c r="G302" s="340">
        <f>Saldo_relativo_per_capita!G302*Saldo_relativo_per_capita!G$543/1000000</f>
        <v>0.32193559107927294</v>
      </c>
      <c r="H302" s="340">
        <f>Saldo_relativo_per_capita!H302*Saldo_relativo_per_capita!H$543/1000000</f>
        <v>0.23047018712990447</v>
      </c>
      <c r="I302" s="340">
        <f>Saldo_relativo_per_capita!I302*Saldo_relativo_per_capita!I$543/1000000</f>
        <v>-0.32360104633235276</v>
      </c>
      <c r="J302" s="340">
        <f>Saldo_relativo_per_capita!J302*Saldo_relativo_per_capita!J$543/1000000</f>
        <v>0.1536846966964322</v>
      </c>
      <c r="K302" s="340">
        <f>Saldo_relativo_per_capita!K302*Saldo_relativo_per_capita!K$543/1000000</f>
        <v>0.71484252691458705</v>
      </c>
      <c r="L302" s="340">
        <f>Saldo_relativo_per_capita!L302*Saldo_relativo_per_capita!L$543/1000000</f>
        <v>0.50033743847377576</v>
      </c>
      <c r="M302" s="340">
        <f>Saldo_relativo_per_capita!M302*Saldo_relativo_per_capita!M$543/1000000</f>
        <v>-1.1548480764267317</v>
      </c>
      <c r="N302" s="340">
        <f>Saldo_relativo_per_capita!N302*Saldo_relativo_per_capita!N$543/1000000</f>
        <v>-0.77528431196546699</v>
      </c>
      <c r="O302" s="340">
        <f>Saldo_relativo_per_capita!O302*Saldo_relativo_per_capita!O$543/1000000</f>
        <v>0.28473290796838818</v>
      </c>
      <c r="P302" s="340">
        <f>Saldo_relativo_per_capita!P302*Saldo_relativo_per_capita!P$543/1000000</f>
        <v>-0.42252733308985735</v>
      </c>
      <c r="Q302" s="340">
        <f>Saldo_relativo_per_capita!Q302*Saldo_relativo_per_capita!Q$543/1000000</f>
        <v>1.4346493961751727</v>
      </c>
      <c r="R302" s="340">
        <f>Saldo_relativo_per_capita!R302*Saldo_relativo_per_capita!R$543/1000000</f>
        <v>0.29735408338316349</v>
      </c>
      <c r="S302" s="340">
        <f>Saldo_relativo_per_capita!S302*Saldo_relativo_per_capita!S$543/1000000</f>
        <v>-9.8476225138817292E-2</v>
      </c>
      <c r="T302" s="340">
        <f>Saldo_relativo_per_capita!T302*Saldo_relativo_per_capita!T$543/1000000</f>
        <v>-0.33564352757068172</v>
      </c>
      <c r="U302" s="340">
        <f>Saldo_relativo_per_capita!U302*Saldo_relativo_per_capita!U$543/1000000</f>
        <v>8.2295265923809202E-2</v>
      </c>
      <c r="V302" s="340">
        <f>Saldo_relativo_per_capita!V302*Saldo_relativo_per_capita!V$543/1000000</f>
        <v>2.3089554434709763E-2</v>
      </c>
      <c r="W302" s="148"/>
      <c r="X302" s="232"/>
    </row>
    <row r="303" spans="1:24" s="115" customFormat="1">
      <c r="A303" s="355" t="str">
        <f>IF(B303="","",(IF(ISERROR(MATCH(B303,Tot_res!C:C,0)),"Eliminar!!!","")))</f>
        <v/>
      </c>
      <c r="B303" s="115" t="s">
        <v>806</v>
      </c>
      <c r="C303" s="333" t="str">
        <f>VLOOKUP(B303,Tot_res!C:D,2,FALSE)</f>
        <v>Atención Especializada, INGESA neto de Ceuta y Melilla</v>
      </c>
      <c r="D303" s="340">
        <f>Saldo_relativo_per_capita!D303*Saldo_relativo_per_capita!D$543/1000000</f>
        <v>0</v>
      </c>
      <c r="E303" s="340">
        <f>Saldo_relativo_per_capita!E303*Saldo_relativo_per_capita!E$543/1000000</f>
        <v>-0.81273150121801718</v>
      </c>
      <c r="F303" s="340">
        <f>Saldo_relativo_per_capita!F303*Saldo_relativo_per_capita!F$543/1000000</f>
        <v>0.22294681116395682</v>
      </c>
      <c r="G303" s="340">
        <f>Saldo_relativo_per_capita!G303*Saldo_relativo_per_capita!G$543/1000000</f>
        <v>0.20546319267933397</v>
      </c>
      <c r="H303" s="340">
        <f>Saldo_relativo_per_capita!H303*Saldo_relativo_per_capita!H$543/1000000</f>
        <v>0.13523565145372929</v>
      </c>
      <c r="I303" s="340">
        <f>Saldo_relativo_per_capita!I303*Saldo_relativo_per_capita!I$543/1000000</f>
        <v>-0.2072835290227881</v>
      </c>
      <c r="J303" s="340">
        <f>Saldo_relativo_per_capita!J303*Saldo_relativo_per_capita!J$543/1000000</f>
        <v>9.5329349528251367E-2</v>
      </c>
      <c r="K303" s="340">
        <f>Saldo_relativo_per_capita!K303*Saldo_relativo_per_capita!K$543/1000000</f>
        <v>0.45721343796310937</v>
      </c>
      <c r="L303" s="340">
        <f>Saldo_relativo_per_capita!L303*Saldo_relativo_per_capita!L$543/1000000</f>
        <v>0.30419587152728217</v>
      </c>
      <c r="M303" s="340">
        <f>Saldo_relativo_per_capita!M303*Saldo_relativo_per_capita!M$543/1000000</f>
        <v>-0.70632360380905324</v>
      </c>
      <c r="N303" s="340">
        <f>Saldo_relativo_per_capita!N303*Saldo_relativo_per_capita!N$543/1000000</f>
        <v>-0.46860956911129098</v>
      </c>
      <c r="O303" s="340">
        <f>Saldo_relativo_per_capita!O303*Saldo_relativo_per_capita!O$543/1000000</f>
        <v>0.17559204775757525</v>
      </c>
      <c r="P303" s="340">
        <f>Saldo_relativo_per_capita!P303*Saldo_relativo_per_capita!P$543/1000000</f>
        <v>-0.23406930642676446</v>
      </c>
      <c r="Q303" s="340">
        <f>Saldo_relativo_per_capita!Q303*Saldo_relativo_per_capita!Q$543/1000000</f>
        <v>0.85181677807489808</v>
      </c>
      <c r="R303" s="340">
        <f>Saldo_relativo_per_capita!R303*Saldo_relativo_per_capita!R$543/1000000</f>
        <v>0.17270165406517402</v>
      </c>
      <c r="S303" s="340">
        <f>Saldo_relativo_per_capita!S303*Saldo_relativo_per_capita!S$543/1000000</f>
        <v>-5.9368646558697814E-2</v>
      </c>
      <c r="T303" s="340">
        <f>Saldo_relativo_per_capita!T303*Saldo_relativo_per_capita!T$543/1000000</f>
        <v>-0.1948503992792662</v>
      </c>
      <c r="U303" s="340">
        <f>Saldo_relativo_per_capita!U303*Saldo_relativo_per_capita!U$543/1000000</f>
        <v>5.0710199907885993E-2</v>
      </c>
      <c r="V303" s="340">
        <f>Saldo_relativo_per_capita!V303*Saldo_relativo_per_capita!V$543/1000000</f>
        <v>1.2031561304680272E-2</v>
      </c>
      <c r="W303" s="148"/>
      <c r="X303" s="232"/>
    </row>
    <row r="304" spans="1:24" s="115" customFormat="1">
      <c r="A304" s="355" t="str">
        <f>IF(B304="","",(IF(ISERROR(MATCH(B304,Tot_res!C:C,0)),"Eliminar!!!","")))</f>
        <v/>
      </c>
      <c r="B304" s="115" t="s">
        <v>808</v>
      </c>
      <c r="C304" s="333" t="str">
        <f>VLOOKUP(B304,Tot_res!C:D,2,FALSE)</f>
        <v>Atención Especializada, ISM</v>
      </c>
      <c r="D304" s="340">
        <f>Saldo_relativo_per_capita!D304*Saldo_relativo_per_capita!D$543/1000000</f>
        <v>0</v>
      </c>
      <c r="E304" s="340">
        <f>Saldo_relativo_per_capita!E304*Saldo_relativo_per_capita!E$543/1000000</f>
        <v>-3.4750991905773687E-2</v>
      </c>
      <c r="F304" s="340">
        <f>Saldo_relativo_per_capita!F304*Saldo_relativo_per_capita!F$543/1000000</f>
        <v>-5.5141851366161511E-3</v>
      </c>
      <c r="G304" s="340">
        <f>Saldo_relativo_per_capita!G304*Saldo_relativo_per_capita!G$543/1000000</f>
        <v>-4.2652211070637464E-3</v>
      </c>
      <c r="H304" s="340">
        <f>Saldo_relativo_per_capita!H304*Saldo_relativo_per_capita!H$543/1000000</f>
        <v>-4.5704021549130775E-3</v>
      </c>
      <c r="I304" s="340">
        <f>Saldo_relativo_per_capita!I304*Saldo_relativo_per_capita!I$543/1000000</f>
        <v>-8.4978861518324334E-3</v>
      </c>
      <c r="J304" s="340">
        <f>Saldo_relativo_per_capita!J304*Saldo_relativo_per_capita!J$543/1000000</f>
        <v>-2.4357915529343403E-3</v>
      </c>
      <c r="K304" s="340">
        <f>Saldo_relativo_per_capita!K304*Saldo_relativo_per_capita!K$543/1000000</f>
        <v>-1.0346652600661631E-2</v>
      </c>
      <c r="L304" s="340">
        <f>Saldo_relativo_per_capita!L304*Saldo_relativo_per_capita!L$543/1000000</f>
        <v>-8.6236991562943406E-3</v>
      </c>
      <c r="M304" s="340">
        <f>Saldo_relativo_per_capita!M304*Saldo_relativo_per_capita!M$543/1000000</f>
        <v>-3.1098880921469382E-2</v>
      </c>
      <c r="N304" s="340">
        <f>Saldo_relativo_per_capita!N304*Saldo_relativo_per_capita!N$543/1000000</f>
        <v>-2.0877615844240485E-2</v>
      </c>
      <c r="O304" s="340">
        <f>Saldo_relativo_per_capita!O304*Saldo_relativo_per_capita!O$543/1000000</f>
        <v>-4.5467157128764521E-3</v>
      </c>
      <c r="P304" s="340">
        <f>Saldo_relativo_per_capita!P304*Saldo_relativo_per_capita!P$543/1000000</f>
        <v>-1.1378230163819447E-2</v>
      </c>
      <c r="Q304" s="340">
        <f>Saldo_relativo_per_capita!Q304*Saldo_relativo_per_capita!Q$543/1000000</f>
        <v>0.16667900651599965</v>
      </c>
      <c r="R304" s="340">
        <f>Saldo_relativo_per_capita!R304*Saldo_relativo_per_capita!R$543/1000000</f>
        <v>-6.0637023387501753E-3</v>
      </c>
      <c r="S304" s="340">
        <f>Saldo_relativo_per_capita!S304*Saldo_relativo_per_capita!S$543/1000000</f>
        <v>-2.6518643115930121E-3</v>
      </c>
      <c r="T304" s="340">
        <f>Saldo_relativo_per_capita!T304*Saldo_relativo_per_capita!T$543/1000000</f>
        <v>-9.0385378900051331E-3</v>
      </c>
      <c r="U304" s="340">
        <f>Saldo_relativo_per_capita!U304*Saldo_relativo_per_capita!U$543/1000000</f>
        <v>-1.3226216247644706E-3</v>
      </c>
      <c r="V304" s="340">
        <f>Saldo_relativo_per_capita!V304*Saldo_relativo_per_capita!V$543/1000000</f>
        <v>-6.9600794239172282E-4</v>
      </c>
      <c r="W304" s="148"/>
    </row>
    <row r="305" spans="1:24" s="115" customFormat="1">
      <c r="A305" s="355" t="str">
        <f>IF(B305="","",(IF(ISERROR(MATCH(B305,Tot_res!C:C,0)),"Eliminar!!!","")))</f>
        <v/>
      </c>
      <c r="B305" s="115" t="s">
        <v>810</v>
      </c>
      <c r="C305" s="333" t="str">
        <f>VLOOKUP(B305,Tot_res!C:D,2,FALSE)</f>
        <v>Atención Especializada, mutuas de la Seg. Social</v>
      </c>
      <c r="D305" s="340">
        <f>Saldo_relativo_per_capita!D305*Saldo_relativo_per_capita!D$543/1000000</f>
        <v>0</v>
      </c>
      <c r="E305" s="340">
        <f>Saldo_relativo_per_capita!E305*Saldo_relativo_per_capita!E$543/1000000</f>
        <v>-35.263037391037386</v>
      </c>
      <c r="F305" s="340">
        <f>Saldo_relativo_per_capita!F305*Saldo_relativo_per_capita!F$543/1000000</f>
        <v>18.600794830393191</v>
      </c>
      <c r="G305" s="340">
        <f>Saldo_relativo_per_capita!G305*Saldo_relativo_per_capita!G$543/1000000</f>
        <v>-4.1034477475237594</v>
      </c>
      <c r="H305" s="340">
        <f>Saldo_relativo_per_capita!H305*Saldo_relativo_per_capita!H$543/1000000</f>
        <v>-0.92110497004273639</v>
      </c>
      <c r="I305" s="340">
        <f>Saldo_relativo_per_capita!I305*Saldo_relativo_per_capita!I$543/1000000</f>
        <v>-9.2445343776057918</v>
      </c>
      <c r="J305" s="340">
        <f>Saldo_relativo_per_capita!J305*Saldo_relativo_per_capita!J$543/1000000</f>
        <v>0.8301468458845781</v>
      </c>
      <c r="K305" s="340">
        <f>Saldo_relativo_per_capita!K305*Saldo_relativo_per_capita!K$543/1000000</f>
        <v>-12.978151322335032</v>
      </c>
      <c r="L305" s="340">
        <f>Saldo_relativo_per_capita!L305*Saldo_relativo_per_capita!L$543/1000000</f>
        <v>-11.582337765586967</v>
      </c>
      <c r="M305" s="340">
        <f>Saldo_relativo_per_capita!M305*Saldo_relativo_per_capita!M$543/1000000</f>
        <v>22.724373681804511</v>
      </c>
      <c r="N305" s="340">
        <f>Saldo_relativo_per_capita!N305*Saldo_relativo_per_capita!N$543/1000000</f>
        <v>-1.8319352348955342</v>
      </c>
      <c r="O305" s="340">
        <f>Saldo_relativo_per_capita!O305*Saldo_relativo_per_capita!O$543/1000000</f>
        <v>-6.9324251038933937</v>
      </c>
      <c r="P305" s="340">
        <f>Saldo_relativo_per_capita!P305*Saldo_relativo_per_capita!P$543/1000000</f>
        <v>1.2511652414236714</v>
      </c>
      <c r="Q305" s="340">
        <f>Saldo_relativo_per_capita!Q305*Saldo_relativo_per_capita!Q$543/1000000</f>
        <v>27.099448171637981</v>
      </c>
      <c r="R305" s="340">
        <f>Saldo_relativo_per_capita!R305*Saldo_relativo_per_capita!R$543/1000000</f>
        <v>-2.822199138112687</v>
      </c>
      <c r="S305" s="340">
        <f>Saldo_relativo_per_capita!S305*Saldo_relativo_per_capita!S$543/1000000</f>
        <v>-1.1834156651408636</v>
      </c>
      <c r="T305" s="340">
        <f>Saldo_relativo_per_capita!T305*Saldo_relativo_per_capita!T$543/1000000</f>
        <v>18.947563443706319</v>
      </c>
      <c r="U305" s="340">
        <f>Saldo_relativo_per_capita!U305*Saldo_relativo_per_capita!U$543/1000000</f>
        <v>-1.427822006507357</v>
      </c>
      <c r="V305" s="340">
        <f>Saldo_relativo_per_capita!V305*Saldo_relativo_per_capita!V$543/1000000</f>
        <v>-1.1630814921687822</v>
      </c>
      <c r="W305" s="148"/>
    </row>
    <row r="306" spans="1:24" s="115" customFormat="1">
      <c r="A306" s="355" t="str">
        <f>IF(B306="","",(IF(ISERROR(MATCH(B306,Tot_res!C:C,0)),"Eliminar!!!","")))</f>
        <v/>
      </c>
      <c r="B306" s="115" t="s">
        <v>633</v>
      </c>
      <c r="C306" s="333" t="str">
        <f>VLOOKUP(B306,Tot_res!C:D,2,FALSE)</f>
        <v xml:space="preserve">Medicina Marítima </v>
      </c>
      <c r="D306" s="340">
        <f>Saldo_relativo_per_capita!D306*Saldo_relativo_per_capita!D$543/1000000</f>
        <v>0</v>
      </c>
      <c r="E306" s="340">
        <f>Saldo_relativo_per_capita!E306*Saldo_relativo_per_capita!E$543/1000000</f>
        <v>-1.9922635410011404</v>
      </c>
      <c r="F306" s="340">
        <f>Saldo_relativo_per_capita!F306*Saldo_relativo_per_capita!F$543/1000000</f>
        <v>-0.66444766052061388</v>
      </c>
      <c r="G306" s="340">
        <f>Saldo_relativo_per_capita!G306*Saldo_relativo_per_capita!G$543/1000000</f>
        <v>2.1521399904427425E-3</v>
      </c>
      <c r="H306" s="340">
        <f>Saldo_relativo_per_capita!H306*Saldo_relativo_per_capita!H$543/1000000</f>
        <v>-0.24590240306866973</v>
      </c>
      <c r="I306" s="340">
        <f>Saldo_relativo_per_capita!I306*Saldo_relativo_per_capita!I$543/1000000</f>
        <v>5.6085041861938372</v>
      </c>
      <c r="J306" s="340">
        <f>Saldo_relativo_per_capita!J306*Saldo_relativo_per_capita!J$543/1000000</f>
        <v>6.3317436724291341</v>
      </c>
      <c r="K306" s="340">
        <f>Saldo_relativo_per_capita!K306*Saldo_relativo_per_capita!K$543/1000000</f>
        <v>-1.2467497815911124</v>
      </c>
      <c r="L306" s="340">
        <f>Saldo_relativo_per_capita!L306*Saldo_relativo_per_capita!L$543/1000000</f>
        <v>-1.0391375311982451</v>
      </c>
      <c r="M306" s="340">
        <f>Saldo_relativo_per_capita!M306*Saldo_relativo_per_capita!M$543/1000000</f>
        <v>-2.7132400377572448</v>
      </c>
      <c r="N306" s="340">
        <f>Saldo_relativo_per_capita!N306*Saldo_relativo_per_capita!N$543/1000000</f>
        <v>-1.8091364065396742</v>
      </c>
      <c r="O306" s="340">
        <f>Saldo_relativo_per_capita!O306*Saldo_relativo_per_capita!O$543/1000000</f>
        <v>-0.54786963869098193</v>
      </c>
      <c r="P306" s="340">
        <f>Saldo_relativo_per_capita!P306*Saldo_relativo_per_capita!P$543/1000000</f>
        <v>2.3115772077800743</v>
      </c>
      <c r="Q306" s="340">
        <f>Saldo_relativo_per_capita!Q306*Saldo_relativo_per_capita!Q$543/1000000</f>
        <v>-3.1313847417199914</v>
      </c>
      <c r="R306" s="340">
        <f>Saldo_relativo_per_capita!R306*Saldo_relativo_per_capita!R$543/1000000</f>
        <v>-0.44485006256397475</v>
      </c>
      <c r="S306" s="340">
        <f>Saldo_relativo_per_capita!S306*Saldo_relativo_per_capita!S$543/1000000</f>
        <v>-0.31954404761559635</v>
      </c>
      <c r="T306" s="340">
        <f>Saldo_relativo_per_capita!T306*Saldo_relativo_per_capita!T$543/1000000</f>
        <v>-0.22021554795575393</v>
      </c>
      <c r="U306" s="340">
        <f>Saldo_relativo_per_capita!U306*Saldo_relativo_per_capita!U$543/1000000</f>
        <v>-0.15937311181176991</v>
      </c>
      <c r="V306" s="340">
        <f>Saldo_relativo_per_capita!V306*Saldo_relativo_per_capita!V$543/1000000</f>
        <v>0.28013730564127681</v>
      </c>
      <c r="W306" s="148"/>
    </row>
    <row r="307" spans="1:24" s="115" customFormat="1">
      <c r="A307" s="355" t="str">
        <f>IF(B307="","",(IF(ISERROR(MATCH(B307,Tot_res!C:C,0)),"Eliminar!!!","")))</f>
        <v/>
      </c>
      <c r="B307" s="115" t="s">
        <v>812</v>
      </c>
      <c r="C307" s="333" t="str">
        <f>VLOOKUP(B307,Tot_res!C:D,2,FALSE)</f>
        <v>Admón.,Ser.Grales.y Cont.Int.Asist.San., neto CyMel</v>
      </c>
      <c r="D307" s="340">
        <f>Saldo_relativo_per_capita!D307*Saldo_relativo_per_capita!D$543/1000000</f>
        <v>0</v>
      </c>
      <c r="E307" s="340">
        <f>Saldo_relativo_per_capita!E307*Saldo_relativo_per_capita!E$543/1000000</f>
        <v>-0.2876329409791164</v>
      </c>
      <c r="F307" s="340">
        <f>Saldo_relativo_per_capita!F307*Saldo_relativo_per_capita!F$543/1000000</f>
        <v>7.9374184975182185E-2</v>
      </c>
      <c r="G307" s="340">
        <f>Saldo_relativo_per_capita!G307*Saldo_relativo_per_capita!G$543/1000000</f>
        <v>7.2128045226212426E-2</v>
      </c>
      <c r="H307" s="340">
        <f>Saldo_relativo_per_capita!H307*Saldo_relativo_per_capita!H$543/1000000</f>
        <v>5.0008033943400781E-2</v>
      </c>
      <c r="I307" s="340">
        <f>Saldo_relativo_per_capita!I307*Saldo_relativo_per_capita!I$543/1000000</f>
        <v>-7.2605778059625675E-2</v>
      </c>
      <c r="J307" s="340">
        <f>Saldo_relativo_per_capita!J307*Saldo_relativo_per_capita!J$543/1000000</f>
        <v>3.4054065233160354E-2</v>
      </c>
      <c r="K307" s="340">
        <f>Saldo_relativo_per_capita!K307*Saldo_relativo_per_capita!K$543/1000000</f>
        <v>0.16028977696899138</v>
      </c>
      <c r="L307" s="340">
        <f>Saldo_relativo_per_capita!L307*Saldo_relativo_per_capita!L$543/1000000</f>
        <v>0.11002119600834742</v>
      </c>
      <c r="M307" s="340">
        <f>Saldo_relativo_per_capita!M307*Saldo_relativo_per_capita!M$543/1000000</f>
        <v>-0.25451488280373624</v>
      </c>
      <c r="N307" s="340">
        <f>Saldo_relativo_per_capita!N307*Saldo_relativo_per_capita!N$543/1000000</f>
        <v>-0.17010960984288828</v>
      </c>
      <c r="O307" s="340">
        <f>Saldo_relativo_per_capita!O307*Saldo_relativo_per_capita!O$543/1000000</f>
        <v>6.2951861352664909E-2</v>
      </c>
      <c r="P307" s="340">
        <f>Saldo_relativo_per_capita!P307*Saldo_relativo_per_capita!P$543/1000000</f>
        <v>-8.9776930316093059E-2</v>
      </c>
      <c r="Q307" s="340">
        <f>Saldo_relativo_per_capita!Q307*Saldo_relativo_per_capita!Q$543/1000000</f>
        <v>0.31266847836712153</v>
      </c>
      <c r="R307" s="340">
        <f>Saldo_relativo_per_capita!R307*Saldo_relativo_per_capita!R$543/1000000</f>
        <v>6.4276444958345252E-2</v>
      </c>
      <c r="S307" s="340">
        <f>Saldo_relativo_per_capita!S307*Saldo_relativo_per_capita!S$543/1000000</f>
        <v>-2.1585634649306677E-2</v>
      </c>
      <c r="T307" s="340">
        <f>Saldo_relativo_per_capita!T307*Saldo_relativo_per_capita!T$543/1000000</f>
        <v>-7.2536932468763513E-2</v>
      </c>
      <c r="U307" s="340">
        <f>Saldo_relativo_per_capita!U307*Saldo_relativo_per_capita!U$543/1000000</f>
        <v>1.818915782035679E-2</v>
      </c>
      <c r="V307" s="340">
        <f>Saldo_relativo_per_capita!V307*Saldo_relativo_per_capita!V$543/1000000</f>
        <v>4.8014642657464822E-3</v>
      </c>
      <c r="W307" s="148"/>
    </row>
    <row r="308" spans="1:24" s="115" customFormat="1">
      <c r="A308" s="355" t="str">
        <f>IF(B308="","",(IF(ISERROR(MATCH(B308,Tot_res!C:C,0)),"Eliminar!!!","")))</f>
        <v/>
      </c>
      <c r="B308" s="115" t="s">
        <v>814</v>
      </c>
      <c r="C308" s="333" t="str">
        <f>VLOOKUP(B308,Tot_res!C:D,2,FALSE)</f>
        <v>Formación del Personal Sanitario, neto de CyMel</v>
      </c>
      <c r="D308" s="340">
        <f>Saldo_relativo_per_capita!D308*Saldo_relativo_per_capita!D$543/1000000</f>
        <v>0</v>
      </c>
      <c r="E308" s="340">
        <f>Saldo_relativo_per_capita!E308*Saldo_relativo_per_capita!E$543/1000000</f>
        <v>-1.5379399294345331E-4</v>
      </c>
      <c r="F308" s="340">
        <f>Saldo_relativo_per_capita!F308*Saldo_relativo_per_capita!F$543/1000000</f>
        <v>3.0240993471851783E-5</v>
      </c>
      <c r="G308" s="340">
        <f>Saldo_relativo_per_capita!G308*Saldo_relativo_per_capita!G$543/1000000</f>
        <v>4.6973404597322245E-5</v>
      </c>
      <c r="H308" s="340">
        <f>Saldo_relativo_per_capita!H308*Saldo_relativo_per_capita!H$543/1000000</f>
        <v>-1.5554800168319062E-5</v>
      </c>
      <c r="I308" s="340">
        <f>Saldo_relativo_per_capita!I308*Saldo_relativo_per_capita!I$543/1000000</f>
        <v>-5.4665587515762134E-5</v>
      </c>
      <c r="J308" s="340">
        <f>Saldo_relativo_per_capita!J308*Saldo_relativo_per_capita!J$543/1000000</f>
        <v>1.0756333834522209E-5</v>
      </c>
      <c r="K308" s="340">
        <f>Saldo_relativo_per_capita!K308*Saldo_relativo_per_capita!K$543/1000000</f>
        <v>8.3977550775070041E-5</v>
      </c>
      <c r="L308" s="340">
        <f>Saldo_relativo_per_capita!L308*Saldo_relativo_per_capita!L$543/1000000</f>
        <v>1.1064529350954303E-5</v>
      </c>
      <c r="M308" s="340">
        <f>Saldo_relativo_per_capita!M308*Saldo_relativo_per_capita!M$543/1000000</f>
        <v>-1.6629305289752329E-6</v>
      </c>
      <c r="N308" s="340">
        <f>Saldo_relativo_per_capita!N308*Saldo_relativo_per_capita!N$543/1000000</f>
        <v>-5.4872600439209569E-5</v>
      </c>
      <c r="O308" s="340">
        <f>Saldo_relativo_per_capita!O308*Saldo_relativo_per_capita!O$543/1000000</f>
        <v>1.8757622345716021E-5</v>
      </c>
      <c r="P308" s="340">
        <f>Saldo_relativo_per_capita!P308*Saldo_relativo_per_capita!P$543/1000000</f>
        <v>9.1103592970843771E-5</v>
      </c>
      <c r="Q308" s="340">
        <f>Saldo_relativo_per_capita!Q308*Saldo_relativo_per_capita!Q$543/1000000</f>
        <v>-3.7063407058436844E-5</v>
      </c>
      <c r="R308" s="340">
        <f>Saldo_relativo_per_capita!R308*Saldo_relativo_per_capita!R$543/1000000</f>
        <v>-2.5833373066447978E-5</v>
      </c>
      <c r="S308" s="340">
        <f>Saldo_relativo_per_capita!S308*Saldo_relativo_per_capita!S$543/1000000</f>
        <v>-2.9027117972319677E-6</v>
      </c>
      <c r="T308" s="340">
        <f>Saldo_relativo_per_capita!T308*Saldo_relativo_per_capita!T$543/1000000</f>
        <v>5.8128287932044333E-5</v>
      </c>
      <c r="U308" s="340">
        <f>Saldo_relativo_per_capita!U308*Saldo_relativo_per_capita!U$543/1000000</f>
        <v>5.1278788436369206E-6</v>
      </c>
      <c r="V308" s="340">
        <f>Saldo_relativo_per_capita!V308*Saldo_relativo_per_capita!V$543/1000000</f>
        <v>-9.7807906041251828E-6</v>
      </c>
      <c r="W308" s="148"/>
    </row>
    <row r="309" spans="1:24" s="115" customFormat="1">
      <c r="A309" s="355" t="str">
        <f>IF(B309="","",(IF(ISERROR(MATCH(B309,Tot_res!C:C,0)),"Eliminar!!!","")))</f>
        <v/>
      </c>
      <c r="B309" s="115" t="s">
        <v>317</v>
      </c>
      <c r="C309" s="333" t="str">
        <f>VLOOKUP(B309,Tot_res!C:D,2,FALSE)</f>
        <v>ISM sanidad transferida</v>
      </c>
      <c r="D309" s="340">
        <f>Saldo_relativo_per_capita!D309*Saldo_relativo_per_capita!D$543/1000000</f>
        <v>0</v>
      </c>
      <c r="E309" s="340">
        <f>Saldo_relativo_per_capita!E309*Saldo_relativo_per_capita!E$543/1000000</f>
        <v>19.745566317561785</v>
      </c>
      <c r="F309" s="340">
        <f>Saldo_relativo_per_capita!F309*Saldo_relativo_per_capita!F$543/1000000</f>
        <v>-0.99327813012097566</v>
      </c>
      <c r="G309" s="340">
        <f>Saldo_relativo_per_capita!G309*Saldo_relativo_per_capita!G$543/1000000</f>
        <v>3.6221289165684389</v>
      </c>
      <c r="H309" s="340">
        <f>Saldo_relativo_per_capita!H309*Saldo_relativo_per_capita!H$543/1000000</f>
        <v>0.27879376222499769</v>
      </c>
      <c r="I309" s="340">
        <f>Saldo_relativo_per_capita!I309*Saldo_relativo_per_capita!I$543/1000000</f>
        <v>-1.5697097410874543</v>
      </c>
      <c r="J309" s="340">
        <f>Saldo_relativo_per_capita!J309*Saldo_relativo_per_capita!J$543/1000000</f>
        <v>1.2099214694931106</v>
      </c>
      <c r="K309" s="340">
        <f>Saldo_relativo_per_capita!K309*Saldo_relativo_per_capita!K$543/1000000</f>
        <v>-1.8637574716077068</v>
      </c>
      <c r="L309" s="340">
        <f>Saldo_relativo_per_capita!L309*Saldo_relativo_per_capita!L$543/1000000</f>
        <v>-1.5533993800480819</v>
      </c>
      <c r="M309" s="340">
        <f>Saldo_relativo_per_capita!M309*Saldo_relativo_per_capita!M$543/1000000</f>
        <v>-5.6018863214099355</v>
      </c>
      <c r="N309" s="340">
        <f>Saldo_relativo_per_capita!N309*Saldo_relativo_per_capita!N$543/1000000</f>
        <v>-3.7607150854345335</v>
      </c>
      <c r="O309" s="340">
        <f>Saldo_relativo_per_capita!O309*Saldo_relativo_per_capita!O$543/1000000</f>
        <v>-0.81900646597603644</v>
      </c>
      <c r="P309" s="340">
        <f>Saldo_relativo_per_capita!P309*Saldo_relativo_per_capita!P$543/1000000</f>
        <v>-2.0495770274663143</v>
      </c>
      <c r="Q309" s="340">
        <f>Saldo_relativo_per_capita!Q309*Saldo_relativo_per_capita!Q$543/1000000</f>
        <v>-4.8130119327018965</v>
      </c>
      <c r="R309" s="340">
        <f>Saldo_relativo_per_capita!R309*Saldo_relativo_per_capita!R$543/1000000</f>
        <v>0.63735877581377276</v>
      </c>
      <c r="S309" s="340">
        <f>Saldo_relativo_per_capita!S309*Saldo_relativo_per_capita!S$543/1000000</f>
        <v>-0.47768414724828523</v>
      </c>
      <c r="T309" s="340">
        <f>Saldo_relativo_per_capita!T309*Saldo_relativo_per_capita!T$543/1000000</f>
        <v>-1.6281248801017252</v>
      </c>
      <c r="U309" s="340">
        <f>Saldo_relativo_per_capita!U309*Saldo_relativo_per_capita!U$543/1000000</f>
        <v>-0.23824574288954828</v>
      </c>
      <c r="V309" s="340">
        <f>Saldo_relativo_per_capita!V309*Saldo_relativo_per_capita!V$543/1000000</f>
        <v>-0.12537291556961419</v>
      </c>
      <c r="W309" s="148"/>
      <c r="X309" s="232"/>
    </row>
    <row r="310" spans="1:24" s="115" customFormat="1">
      <c r="A310" s="355" t="str">
        <f>IF(B310="","",(IF(ISERROR(MATCH(B310,Tot_res!C:C,0)),"Eliminar!!!","")))</f>
        <v/>
      </c>
      <c r="B310" s="115" t="s">
        <v>816</v>
      </c>
      <c r="C310" s="333" t="str">
        <f>VLOOKUP(B310,Tot_res!C:D,2,FALSE)</f>
        <v>ISM transf. antes de 2002, sanidad</v>
      </c>
      <c r="D310" s="340">
        <f>Saldo_relativo_per_capita!D310*Saldo_relativo_per_capita!D$543/1000000</f>
        <v>0</v>
      </c>
      <c r="E310" s="340">
        <f>Saldo_relativo_per_capita!E310*Saldo_relativo_per_capita!E$543/1000000</f>
        <v>-13.754704313063154</v>
      </c>
      <c r="F310" s="340">
        <f>Saldo_relativo_per_capita!F310*Saldo_relativo_per_capita!F$543/1000000</f>
        <v>-2.1825560055176876</v>
      </c>
      <c r="G310" s="340">
        <f>Saldo_relativo_per_capita!G310*Saldo_relativo_per_capita!G$543/1000000</f>
        <v>-1.7394241309574014</v>
      </c>
      <c r="H310" s="340">
        <f>Saldo_relativo_per_capita!H310*Saldo_relativo_per_capita!H$543/1000000</f>
        <v>-1.8089995935388379</v>
      </c>
      <c r="I310" s="340">
        <f>Saldo_relativo_per_capita!I310*Saldo_relativo_per_capita!I$543/1000000</f>
        <v>4.920904266768237</v>
      </c>
      <c r="J310" s="340">
        <f>Saldo_relativo_per_capita!J310*Saldo_relativo_per_capita!J$543/1000000</f>
        <v>-0.96410464109090177</v>
      </c>
      <c r="K310" s="340">
        <f>Saldo_relativo_per_capita!K310*Saldo_relativo_per_capita!K$543/1000000</f>
        <v>-4.0952830220780481</v>
      </c>
      <c r="L310" s="340">
        <f>Saldo_relativo_per_capita!L310*Saldo_relativo_per_capita!L$543/1000000</f>
        <v>-3.4133250728861459</v>
      </c>
      <c r="M310" s="340">
        <f>Saldo_relativo_per_capita!M310*Saldo_relativo_per_capita!M$543/1000000</f>
        <v>-9.9147859835039007</v>
      </c>
      <c r="N310" s="340">
        <f>Saldo_relativo_per_capita!N310*Saldo_relativo_per_capita!N$543/1000000</f>
        <v>-0.11266453122204444</v>
      </c>
      <c r="O310" s="340">
        <f>Saldo_relativo_per_capita!O310*Saldo_relativo_per_capita!O$543/1000000</f>
        <v>-1.7996243213933494</v>
      </c>
      <c r="P310" s="340">
        <f>Saldo_relativo_per_capita!P310*Saldo_relativo_per_capita!P$543/1000000</f>
        <v>53.266521381206068</v>
      </c>
      <c r="Q310" s="340">
        <f>Saldo_relativo_per_capita!Q310*Saldo_relativo_per_capita!Q$543/1000000</f>
        <v>-10.575756960507537</v>
      </c>
      <c r="R310" s="340">
        <f>Saldo_relativo_per_capita!R310*Saldo_relativo_per_capita!R$543/1000000</f>
        <v>-2.4000590526476735</v>
      </c>
      <c r="S310" s="340">
        <f>Saldo_relativo_per_capita!S310*Saldo_relativo_per_capita!S$543/1000000</f>
        <v>-1.0496278662557093</v>
      </c>
      <c r="T310" s="340">
        <f>Saldo_relativo_per_capita!T310*Saldo_relativo_per_capita!T$543/1000000</f>
        <v>-3.5775213679233957</v>
      </c>
      <c r="U310" s="340">
        <f>Saldo_relativo_per_capita!U310*Saldo_relativo_per_capita!U$543/1000000</f>
        <v>-0.52350360001309537</v>
      </c>
      <c r="V310" s="340">
        <f>Saldo_relativo_per_capita!V310*Saldo_relativo_per_capita!V$543/1000000</f>
        <v>-0.27548518537541589</v>
      </c>
      <c r="X310" s="232"/>
    </row>
    <row r="311" spans="1:24" s="115" customFormat="1">
      <c r="A311" s="355" t="str">
        <f>IF(B311="","",(IF(ISERROR(MATCH(B311,Tot_res!C:C,0)),"Eliminar!!!","")))</f>
        <v/>
      </c>
      <c r="B311" s="115" t="s">
        <v>634</v>
      </c>
      <c r="C311" s="333" t="str">
        <f>VLOOKUP(B311,Tot_res!C:D,2,FALSE)</f>
        <v>Compensación Fondo Cohesión Sanitaria, extrapresupuestario</v>
      </c>
      <c r="D311" s="340">
        <f>Saldo_relativo_per_capita!D311*Saldo_relativo_per_capita!D$543/1000000</f>
        <v>0</v>
      </c>
      <c r="E311" s="340">
        <f>Saldo_relativo_per_capita!E311*Saldo_relativo_per_capita!E$543/1000000</f>
        <v>-5.784509294225324</v>
      </c>
      <c r="F311" s="340">
        <f>Saldo_relativo_per_capita!F311*Saldo_relativo_per_capita!F$543/1000000</f>
        <v>2.0361696050921694</v>
      </c>
      <c r="G311" s="340">
        <f>Saldo_relativo_per_capita!G311*Saldo_relativo_per_capita!G$543/1000000</f>
        <v>-0.1669200121773039</v>
      </c>
      <c r="H311" s="340">
        <f>Saldo_relativo_per_capita!H311*Saldo_relativo_per_capita!H$543/1000000</f>
        <v>-0.20932417283779631</v>
      </c>
      <c r="I311" s="340">
        <f>Saldo_relativo_per_capita!I311*Saldo_relativo_per_capita!I$543/1000000</f>
        <v>-0.82345456474919942</v>
      </c>
      <c r="J311" s="340">
        <f>Saldo_relativo_per_capita!J311*Saldo_relativo_per_capita!J$543/1000000</f>
        <v>1.7094009205423767E-3</v>
      </c>
      <c r="K311" s="340">
        <f>Saldo_relativo_per_capita!K311*Saldo_relativo_per_capita!K$543/1000000</f>
        <v>3.9506644227992647</v>
      </c>
      <c r="L311" s="340">
        <f>Saldo_relativo_per_capita!L311*Saldo_relativo_per_capita!L$543/1000000</f>
        <v>3.8281534854753869</v>
      </c>
      <c r="M311" s="340">
        <f>Saldo_relativo_per_capita!M311*Saldo_relativo_per_capita!M$543/1000000</f>
        <v>-4.2339907511603396</v>
      </c>
      <c r="N311" s="340">
        <f>Saldo_relativo_per_capita!N311*Saldo_relativo_per_capita!N$543/1000000</f>
        <v>-1.8043582072877435</v>
      </c>
      <c r="O311" s="340">
        <f>Saldo_relativo_per_capita!O311*Saldo_relativo_per_capita!O$543/1000000</f>
        <v>1.0077621437140005</v>
      </c>
      <c r="P311" s="340">
        <f>Saldo_relativo_per_capita!P311*Saldo_relativo_per_capita!P$543/1000000</f>
        <v>-1.9092433960357078</v>
      </c>
      <c r="Q311" s="340">
        <f>Saldo_relativo_per_capita!Q311*Saldo_relativo_per_capita!Q$543/1000000</f>
        <v>0.59379238073842011</v>
      </c>
      <c r="R311" s="340">
        <f>Saldo_relativo_per_capita!R311*Saldo_relativo_per_capita!R$543/1000000</f>
        <v>-0.43454617899586045</v>
      </c>
      <c r="S311" s="340">
        <f>Saldo_relativo_per_capita!S311*Saldo_relativo_per_capita!S$543/1000000</f>
        <v>-0.20103411271257998</v>
      </c>
      <c r="T311" s="340">
        <f>Saldo_relativo_per_capita!T311*Saldo_relativo_per_capita!T$543/1000000</f>
        <v>0.9648357272923459</v>
      </c>
      <c r="U311" s="340">
        <f>Saldo_relativo_per_capita!U311*Saldo_relativo_per_capita!U$543/1000000</f>
        <v>0.26544908688371277</v>
      </c>
      <c r="V311" s="340">
        <f>Saldo_relativo_per_capita!V311*Saldo_relativo_per_capita!V$543/1000000</f>
        <v>2.9188444372660114</v>
      </c>
      <c r="X311" s="232"/>
    </row>
    <row r="312" spans="1:24" s="115" customFormat="1">
      <c r="A312" s="356"/>
      <c r="C312" s="148"/>
      <c r="D312" s="218"/>
      <c r="E312" s="218"/>
      <c r="F312" s="218"/>
      <c r="G312" s="218"/>
      <c r="H312" s="218"/>
      <c r="I312" s="218"/>
      <c r="J312" s="218"/>
      <c r="K312" s="218"/>
      <c r="L312" s="218"/>
      <c r="M312" s="218"/>
      <c r="N312" s="218"/>
      <c r="O312" s="218"/>
      <c r="P312" s="218"/>
      <c r="Q312" s="218"/>
      <c r="R312" s="218"/>
      <c r="S312" s="218"/>
      <c r="T312" s="218"/>
      <c r="U312" s="218"/>
      <c r="V312" s="218"/>
      <c r="W312" s="220"/>
      <c r="X312" s="232"/>
    </row>
    <row r="313" spans="1:24" s="115" customFormat="1">
      <c r="A313" s="356"/>
      <c r="C313" s="148"/>
      <c r="D313" s="218"/>
      <c r="E313" s="218"/>
      <c r="F313" s="218"/>
      <c r="G313" s="218"/>
      <c r="H313" s="218"/>
      <c r="I313" s="218"/>
      <c r="J313" s="218"/>
      <c r="K313" s="218"/>
      <c r="L313" s="218"/>
      <c r="M313" s="218"/>
      <c r="N313" s="218"/>
      <c r="O313" s="218"/>
      <c r="P313" s="218"/>
      <c r="Q313" s="218"/>
      <c r="R313" s="218"/>
      <c r="S313" s="218"/>
      <c r="T313" s="218"/>
      <c r="U313" s="218"/>
      <c r="V313" s="218"/>
      <c r="W313" s="148"/>
      <c r="X313" s="232"/>
    </row>
    <row r="314" spans="1:24" s="115" customFormat="1">
      <c r="A314" s="364"/>
      <c r="C314" s="117" t="s">
        <v>58</v>
      </c>
      <c r="D314" s="216">
        <f>Saldo_relativo_per_capita!D314*Saldo_relativo_per_capita!D$543/1000000</f>
        <v>0</v>
      </c>
      <c r="E314" s="216">
        <f>Saldo_relativo_per_capita!E314*Saldo_relativo_per_capita!E$543/1000000</f>
        <v>14.496578055313883</v>
      </c>
      <c r="F314" s="216">
        <f>Saldo_relativo_per_capita!F314*Saldo_relativo_per_capita!F$543/1000000</f>
        <v>2.1653765072349316</v>
      </c>
      <c r="G314" s="216">
        <f>Saldo_relativo_per_capita!G314*Saldo_relativo_per_capita!G$543/1000000</f>
        <v>1.2253538496106973</v>
      </c>
      <c r="H314" s="216">
        <f>Saldo_relativo_per_capita!H314*Saldo_relativo_per_capita!H$543/1000000</f>
        <v>-3.2046215725963023</v>
      </c>
      <c r="I314" s="216">
        <f>Saldo_relativo_per_capita!I314*Saldo_relativo_per_capita!I$543/1000000</f>
        <v>6.1764219937277218</v>
      </c>
      <c r="J314" s="216">
        <f>Saldo_relativo_per_capita!J314*Saldo_relativo_per_capita!J$543/1000000</f>
        <v>0.88009968258491089</v>
      </c>
      <c r="K314" s="216">
        <f>Saldo_relativo_per_capita!K314*Saldo_relativo_per_capita!K$543/1000000</f>
        <v>-0.94276241877553835</v>
      </c>
      <c r="L314" s="216">
        <f>Saldo_relativo_per_capita!L314*Saldo_relativo_per_capita!L$543/1000000</f>
        <v>3.8058697135777333</v>
      </c>
      <c r="M314" s="216">
        <f>Saldo_relativo_per_capita!M314*Saldo_relativo_per_capita!M$543/1000000</f>
        <v>-43.407368469745613</v>
      </c>
      <c r="N314" s="216">
        <f>Saldo_relativo_per_capita!N314*Saldo_relativo_per_capita!N$543/1000000</f>
        <v>-4.5501748823135451</v>
      </c>
      <c r="O314" s="216">
        <f>Saldo_relativo_per_capita!O314*Saldo_relativo_per_capita!O$543/1000000</f>
        <v>1.5414693537217856</v>
      </c>
      <c r="P314" s="216">
        <f>Saldo_relativo_per_capita!P314*Saldo_relativo_per_capita!P$543/1000000</f>
        <v>0.57884343741739164</v>
      </c>
      <c r="Q314" s="216">
        <f>Saldo_relativo_per_capita!Q314*Saldo_relativo_per_capita!Q$543/1000000</f>
        <v>16.842961846200932</v>
      </c>
      <c r="R314" s="216">
        <f>Saldo_relativo_per_capita!R314*Saldo_relativo_per_capita!R$543/1000000</f>
        <v>6.8465809325545086</v>
      </c>
      <c r="S314" s="216">
        <f>Saldo_relativo_per_capita!S314*Saldo_relativo_per_capita!S$543/1000000</f>
        <v>1.2512988784775236</v>
      </c>
      <c r="T314" s="216">
        <f>Saldo_relativo_per_capita!T314*Saldo_relativo_per_capita!T$543/1000000</f>
        <v>-3.2592904898184041</v>
      </c>
      <c r="U314" s="216">
        <f>Saldo_relativo_per_capita!U314*Saldo_relativo_per_capita!U$543/1000000</f>
        <v>-0.21892224198544988</v>
      </c>
      <c r="V314" s="216">
        <f>Saldo_relativo_per_capita!V314*Saldo_relativo_per_capita!V$543/1000000</f>
        <v>-0.22771417518735138</v>
      </c>
      <c r="W314" s="148"/>
      <c r="X314" s="232"/>
    </row>
    <row r="315" spans="1:24" s="115" customFormat="1">
      <c r="A315" s="355" t="str">
        <f>IF(B315="","",(IF(ISERROR(MATCH(B315,Tot_res!C:C,0)),"Eliminar!!!","")))</f>
        <v/>
      </c>
      <c r="B315" s="119" t="s">
        <v>649</v>
      </c>
      <c r="C315" s="333" t="str">
        <f>VLOOKUP(B315,Tot_res!C:D,2,FALSE)</f>
        <v xml:space="preserve">Dirección y servicios generales de la educación,cultura y deporte, neto del gasto directo del Estado en Ceuta y Melilla </v>
      </c>
      <c r="D315" s="340">
        <f>Saldo_relativo_per_capita!D315*Saldo_relativo_per_capita!D$543/1000000</f>
        <v>0</v>
      </c>
      <c r="E315" s="340">
        <f>Saldo_relativo_per_capita!E315*Saldo_relativo_per_capita!E$543/1000000</f>
        <v>0.97165631767834115</v>
      </c>
      <c r="F315" s="340">
        <f>Saldo_relativo_per_capita!F315*Saldo_relativo_per_capita!F$543/1000000</f>
        <v>-0.12486841892147538</v>
      </c>
      <c r="G315" s="340">
        <f>Saldo_relativo_per_capita!G315*Saldo_relativo_per_capita!G$543/1000000</f>
        <v>-0.33356798146061034</v>
      </c>
      <c r="H315" s="340">
        <f>Saldo_relativo_per_capita!H315*Saldo_relativo_per_capita!H$543/1000000</f>
        <v>-0.18233964348193579</v>
      </c>
      <c r="I315" s="340">
        <f>Saldo_relativo_per_capita!I315*Saldo_relativo_per_capita!I$543/1000000</f>
        <v>-0.15111013308758861</v>
      </c>
      <c r="J315" s="340">
        <f>Saldo_relativo_per_capita!J315*Saldo_relativo_per_capita!J$543/1000000</f>
        <v>-9.2280218825700491E-2</v>
      </c>
      <c r="K315" s="340">
        <f>Saldo_relativo_per_capita!K315*Saldo_relativo_per_capita!K$543/1000000</f>
        <v>-0.60354418406729937</v>
      </c>
      <c r="L315" s="340">
        <f>Saldo_relativo_per_capita!L315*Saldo_relativo_per_capita!L$543/1000000</f>
        <v>0.23232738996177085</v>
      </c>
      <c r="M315" s="340">
        <f>Saldo_relativo_per_capita!M315*Saldo_relativo_per_capita!M$543/1000000</f>
        <v>3.0101557115796977E-2</v>
      </c>
      <c r="N315" s="340">
        <f>Saldo_relativo_per_capita!N315*Saldo_relativo_per_capita!N$543/1000000</f>
        <v>-9.1083438861950181E-2</v>
      </c>
      <c r="O315" s="340">
        <f>Saldo_relativo_per_capita!O315*Saldo_relativo_per_capita!O$543/1000000</f>
        <v>-4.7246271563977198E-2</v>
      </c>
      <c r="P315" s="340">
        <f>Saldo_relativo_per_capita!P315*Saldo_relativo_per_capita!P$543/1000000</f>
        <v>-0.5123030649240119</v>
      </c>
      <c r="Q315" s="340">
        <f>Saldo_relativo_per_capita!Q315*Saldo_relativo_per_capita!Q$543/1000000</f>
        <v>0.77787174013447891</v>
      </c>
      <c r="R315" s="340">
        <f>Saldo_relativo_per_capita!R315*Saldo_relativo_per_capita!R$543/1000000</f>
        <v>0.23438709446834546</v>
      </c>
      <c r="S315" s="340">
        <f>Saldo_relativo_per_capita!S315*Saldo_relativo_per_capita!S$543/1000000</f>
        <v>-2.6239398541759312E-2</v>
      </c>
      <c r="T315" s="340">
        <f>Saldo_relativo_per_capita!T315*Saldo_relativo_per_capita!T$543/1000000</f>
        <v>-0.14750147986437678</v>
      </c>
      <c r="U315" s="340">
        <f>Saldo_relativo_per_capita!U315*Saldo_relativo_per_capita!U$543/1000000</f>
        <v>1.7198085675370817E-2</v>
      </c>
      <c r="V315" s="340">
        <f>Saldo_relativo_per_capita!V315*Saldo_relativo_per_capita!V$543/1000000</f>
        <v>4.8542048566570691E-2</v>
      </c>
      <c r="W315" s="148"/>
      <c r="X315" s="232"/>
    </row>
    <row r="316" spans="1:24" s="115" customFormat="1">
      <c r="A316" s="355" t="str">
        <f>IF(B316="","",(IF(ISERROR(MATCH(B316,Tot_res!C:C,0)),"Eliminar!!!","")))</f>
        <v/>
      </c>
      <c r="B316" s="115" t="s">
        <v>650</v>
      </c>
      <c r="C316" s="333" t="str">
        <f>VLOOKUP(B316,Tot_res!C:D,2,FALSE)</f>
        <v xml:space="preserve">Formac. permanente del profesorado de educación, neto del gasto directo del Estado en Ceuta y Melilla </v>
      </c>
      <c r="D316" s="340">
        <f>Saldo_relativo_per_capita!D316*Saldo_relativo_per_capita!D$543/1000000</f>
        <v>0</v>
      </c>
      <c r="E316" s="340">
        <f>Saldo_relativo_per_capita!E316*Saldo_relativo_per_capita!E$543/1000000</f>
        <v>6.2985670715108091E-2</v>
      </c>
      <c r="F316" s="340">
        <f>Saldo_relativo_per_capita!F316*Saldo_relativo_per_capita!F$543/1000000</f>
        <v>2.8757033483736027E-4</v>
      </c>
      <c r="G316" s="340">
        <f>Saldo_relativo_per_capita!G316*Saldo_relativo_per_capita!G$543/1000000</f>
        <v>-2.5681836218224554E-3</v>
      </c>
      <c r="H316" s="340">
        <f>Saldo_relativo_per_capita!H316*Saldo_relativo_per_capita!H$543/1000000</f>
        <v>-3.5232328857737849E-3</v>
      </c>
      <c r="I316" s="340">
        <f>Saldo_relativo_per_capita!I316*Saldo_relativo_per_capita!I$543/1000000</f>
        <v>-9.8408458780056872E-4</v>
      </c>
      <c r="J316" s="340">
        <f>Saldo_relativo_per_capita!J316*Saldo_relativo_per_capita!J$543/1000000</f>
        <v>5.3833620927277353E-4</v>
      </c>
      <c r="K316" s="340">
        <f>Saldo_relativo_per_capita!K316*Saldo_relativo_per_capita!K$543/1000000</f>
        <v>8.0701511698262254E-3</v>
      </c>
      <c r="L316" s="340">
        <f>Saldo_relativo_per_capita!L316*Saldo_relativo_per_capita!L$543/1000000</f>
        <v>1.9728646715391481E-2</v>
      </c>
      <c r="M316" s="340">
        <f>Saldo_relativo_per_capita!M316*Saldo_relativo_per_capita!M$543/1000000</f>
        <v>-2.5039158811408717E-2</v>
      </c>
      <c r="N316" s="340">
        <f>Saldo_relativo_per_capita!N316*Saldo_relativo_per_capita!N$543/1000000</f>
        <v>-1.7383553069461016E-2</v>
      </c>
      <c r="O316" s="340">
        <f>Saldo_relativo_per_capita!O316*Saldo_relativo_per_capita!O$543/1000000</f>
        <v>1.1373721977237022E-2</v>
      </c>
      <c r="P316" s="340">
        <f>Saldo_relativo_per_capita!P316*Saldo_relativo_per_capita!P$543/1000000</f>
        <v>7.4939079403432782E-3</v>
      </c>
      <c r="Q316" s="340">
        <f>Saldo_relativo_per_capita!Q316*Saldo_relativo_per_capita!Q$543/1000000</f>
        <v>-7.0278417893875386E-2</v>
      </c>
      <c r="R316" s="340">
        <f>Saldo_relativo_per_capita!R316*Saldo_relativo_per_capita!R$543/1000000</f>
        <v>1.0154845801400707E-2</v>
      </c>
      <c r="S316" s="340">
        <f>Saldo_relativo_per_capita!S316*Saldo_relativo_per_capita!S$543/1000000</f>
        <v>3.5391087758805577E-3</v>
      </c>
      <c r="T316" s="340">
        <f>Saldo_relativo_per_capita!T316*Saldo_relativo_per_capita!T$543/1000000</f>
        <v>-6.9251346390823837E-3</v>
      </c>
      <c r="U316" s="340">
        <f>Saldo_relativo_per_capita!U316*Saldo_relativo_per_capita!U$543/1000000</f>
        <v>3.5374629995107924E-5</v>
      </c>
      <c r="V316" s="340">
        <f>Saldo_relativo_per_capita!V316*Saldo_relativo_per_capita!V$543/1000000</f>
        <v>2.4944312399320205E-3</v>
      </c>
      <c r="W316" s="148"/>
      <c r="X316" s="232"/>
    </row>
    <row r="317" spans="1:24" s="115" customFormat="1">
      <c r="A317" s="355" t="str">
        <f>IF(B317="","",(IF(ISERROR(MATCH(B317,Tot_res!C:C,0)),"Eliminar!!!","")))</f>
        <v/>
      </c>
      <c r="B317" s="115" t="s">
        <v>651</v>
      </c>
      <c r="C317" s="333" t="str">
        <f>VLOOKUP(B317,Tot_res!C:D,2,FALSE)</f>
        <v>Educación infantil y primaria +AF12/1</v>
      </c>
      <c r="D317" s="340">
        <f>Saldo_relativo_per_capita!D317*Saldo_relativo_per_capita!D$543/1000000</f>
        <v>0</v>
      </c>
      <c r="E317" s="340">
        <f>Saldo_relativo_per_capita!E317*Saldo_relativo_per_capita!E$543/1000000</f>
        <v>45.687987632362145</v>
      </c>
      <c r="F317" s="340">
        <f>Saldo_relativo_per_capita!F317*Saldo_relativo_per_capita!F$543/1000000</f>
        <v>4.3394847188551529</v>
      </c>
      <c r="G317" s="340">
        <f>Saldo_relativo_per_capita!G317*Saldo_relativo_per_capita!G$543/1000000</f>
        <v>-2.4803509112363704</v>
      </c>
      <c r="H317" s="340">
        <f>Saldo_relativo_per_capita!H317*Saldo_relativo_per_capita!H$543/1000000</f>
        <v>-2.5350263883832658</v>
      </c>
      <c r="I317" s="340">
        <f>Saldo_relativo_per_capita!I317*Saldo_relativo_per_capita!I$543/1000000</f>
        <v>13.123176013464388</v>
      </c>
      <c r="J317" s="340">
        <f>Saldo_relativo_per_capita!J317*Saldo_relativo_per_capita!J$543/1000000</f>
        <v>1.9852031127941823</v>
      </c>
      <c r="K317" s="340">
        <f>Saldo_relativo_per_capita!K317*Saldo_relativo_per_capita!K$543/1000000</f>
        <v>-5.8074494847548346</v>
      </c>
      <c r="L317" s="340">
        <f>Saldo_relativo_per_capita!L317*Saldo_relativo_per_capita!L$543/1000000</f>
        <v>-4.7621140890704954</v>
      </c>
      <c r="M317" s="340">
        <f>Saldo_relativo_per_capita!M317*Saldo_relativo_per_capita!M$543/1000000</f>
        <v>-17.163789702357239</v>
      </c>
      <c r="N317" s="340">
        <f>Saldo_relativo_per_capita!N317*Saldo_relativo_per_capita!N$543/1000000</f>
        <v>-11.573032287839919</v>
      </c>
      <c r="O317" s="340">
        <f>Saldo_relativo_per_capita!O317*Saldo_relativo_per_capita!O$543/1000000</f>
        <v>-2.5298160709447512</v>
      </c>
      <c r="P317" s="340">
        <f>Saldo_relativo_per_capita!P317*Saldo_relativo_per_capita!P$543/1000000</f>
        <v>-6.3754223239199588</v>
      </c>
      <c r="Q317" s="340">
        <f>Saldo_relativo_per_capita!Q317*Saldo_relativo_per_capita!Q$543/1000000</f>
        <v>-14.723560326170308</v>
      </c>
      <c r="R317" s="340">
        <f>Saldo_relativo_per_capita!R317*Saldo_relativo_per_capita!R$543/1000000</f>
        <v>-3.3285486911219824</v>
      </c>
      <c r="S317" s="340">
        <f>Saldo_relativo_per_capita!S317*Saldo_relativo_per_capita!S$543/1000000</f>
        <v>1.644322373797797</v>
      </c>
      <c r="T317" s="340">
        <f>Saldo_relativo_per_capita!T317*Saldo_relativo_per_capita!T$543/1000000</f>
        <v>5.6098098764116049</v>
      </c>
      <c r="U317" s="340">
        <f>Saldo_relativo_per_capita!U317*Saldo_relativo_per_capita!U$543/1000000</f>
        <v>-0.73310994604214719</v>
      </c>
      <c r="V317" s="340">
        <f>Saldo_relativo_per_capita!V317*Saldo_relativo_per_capita!V$543/1000000</f>
        <v>-0.37776350584399931</v>
      </c>
      <c r="W317" s="148"/>
      <c r="X317" s="232"/>
    </row>
    <row r="318" spans="1:24" s="115" customFormat="1">
      <c r="A318" s="355" t="str">
        <f>IF(B318="","",(IF(ISERROR(MATCH(B318,Tot_res!C:C,0)),"Eliminar!!!","")))</f>
        <v/>
      </c>
      <c r="B318" s="115" t="s">
        <v>652</v>
      </c>
      <c r="C318" s="333" t="str">
        <f>VLOOKUP(B318,Tot_res!C:D,2,FALSE)</f>
        <v xml:space="preserve">Educ. secund., formac. profesional y EEOO Idiomas, neto del gasto directo del Estado en Ceuta y Melilla </v>
      </c>
      <c r="D318" s="340">
        <f>Saldo_relativo_per_capita!D318*Saldo_relativo_per_capita!D$543/1000000</f>
        <v>0</v>
      </c>
      <c r="E318" s="340">
        <f>Saldo_relativo_per_capita!E318*Saldo_relativo_per_capita!E$543/1000000</f>
        <v>0.52366993377241489</v>
      </c>
      <c r="F318" s="340">
        <f>Saldo_relativo_per_capita!F318*Saldo_relativo_per_capita!F$543/1000000</f>
        <v>0.12827258841714398</v>
      </c>
      <c r="G318" s="340">
        <f>Saldo_relativo_per_capita!G318*Saldo_relativo_per_capita!G$543/1000000</f>
        <v>-9.4276848260282001E-2</v>
      </c>
      <c r="H318" s="340">
        <f>Saldo_relativo_per_capita!H318*Saldo_relativo_per_capita!H$543/1000000</f>
        <v>-0.21107765815882398</v>
      </c>
      <c r="I318" s="340">
        <f>Saldo_relativo_per_capita!I318*Saldo_relativo_per_capita!I$543/1000000</f>
        <v>8.3320841100446505E-2</v>
      </c>
      <c r="J318" s="340">
        <f>Saldo_relativo_per_capita!J318*Saldo_relativo_per_capita!J$543/1000000</f>
        <v>2.4922326038093291E-2</v>
      </c>
      <c r="K318" s="340">
        <f>Saldo_relativo_per_capita!K318*Saldo_relativo_per_capita!K$543/1000000</f>
        <v>0.67778847385280605</v>
      </c>
      <c r="L318" s="340">
        <f>Saldo_relativo_per_capita!L318*Saldo_relativo_per_capita!L$543/1000000</f>
        <v>0.41517226192395529</v>
      </c>
      <c r="M318" s="340">
        <f>Saldo_relativo_per_capita!M318*Saldo_relativo_per_capita!M$543/1000000</f>
        <v>-0.51092952131355851</v>
      </c>
      <c r="N318" s="340">
        <f>Saldo_relativo_per_capita!N318*Saldo_relativo_per_capita!N$543/1000000</f>
        <v>0.19247258299801995</v>
      </c>
      <c r="O318" s="340">
        <f>Saldo_relativo_per_capita!O318*Saldo_relativo_per_capita!O$543/1000000</f>
        <v>0.23474681628081634</v>
      </c>
      <c r="P318" s="340">
        <f>Saldo_relativo_per_capita!P318*Saldo_relativo_per_capita!P$543/1000000</f>
        <v>-1.510878101063649E-2</v>
      </c>
      <c r="Q318" s="340">
        <f>Saldo_relativo_per_capita!Q318*Saldo_relativo_per_capita!Q$543/1000000</f>
        <v>-1.2637592074084893</v>
      </c>
      <c r="R318" s="340">
        <f>Saldo_relativo_per_capita!R318*Saldo_relativo_per_capita!R$543/1000000</f>
        <v>-5.2631548560845398E-2</v>
      </c>
      <c r="S318" s="340">
        <f>Saldo_relativo_per_capita!S318*Saldo_relativo_per_capita!S$543/1000000</f>
        <v>-6.9223272199113424E-3</v>
      </c>
      <c r="T318" s="340">
        <f>Saldo_relativo_per_capita!T318*Saldo_relativo_per_capita!T$543/1000000</f>
        <v>-0.12678842839392365</v>
      </c>
      <c r="U318" s="340">
        <f>Saldo_relativo_per_capita!U318*Saldo_relativo_per_capita!U$543/1000000</f>
        <v>4.8343856817914602E-2</v>
      </c>
      <c r="V318" s="340">
        <f>Saldo_relativo_per_capita!V318*Saldo_relativo_per_capita!V$543/1000000</f>
        <v>-4.7215360875143116E-2</v>
      </c>
      <c r="W318" s="148"/>
      <c r="X318" s="232"/>
    </row>
    <row r="319" spans="1:24" s="115" customFormat="1">
      <c r="A319" s="355" t="str">
        <f>IF(B319="","",(IF(ISERROR(MATCH(B319,Tot_res!C:C,0)),"Eliminar!!!","")))</f>
        <v/>
      </c>
      <c r="B319" s="115" t="s">
        <v>653</v>
      </c>
      <c r="C319" s="333" t="str">
        <f>VLOOKUP(B319,Tot_res!C:D,2,FALSE)</f>
        <v>Enseñanzas universitarias, neto del gasto directo del Estado en Ceuta y Melilla</v>
      </c>
      <c r="D319" s="340">
        <f>Saldo_relativo_per_capita!D319*Saldo_relativo_per_capita!D$543/1000000</f>
        <v>0</v>
      </c>
      <c r="E319" s="340">
        <f>Saldo_relativo_per_capita!E319*Saldo_relativo_per_capita!E$543/1000000</f>
        <v>-6.2166162066789452</v>
      </c>
      <c r="F319" s="340">
        <f>Saldo_relativo_per_capita!F319*Saldo_relativo_per_capita!F$543/1000000</f>
        <v>2.0141242687035814</v>
      </c>
      <c r="G319" s="340">
        <f>Saldo_relativo_per_capita!G319*Saldo_relativo_per_capita!G$543/1000000</f>
        <v>0.17909517852867277</v>
      </c>
      <c r="H319" s="340">
        <f>Saldo_relativo_per_capita!H319*Saldo_relativo_per_capita!H$543/1000000</f>
        <v>-0.17635419835798841</v>
      </c>
      <c r="I319" s="340">
        <f>Saldo_relativo_per_capita!I319*Saldo_relativo_per_capita!I$543/1000000</f>
        <v>0.24143290996796271</v>
      </c>
      <c r="J319" s="340">
        <f>Saldo_relativo_per_capita!J319*Saldo_relativo_per_capita!J$543/1000000</f>
        <v>0.70106996343153838</v>
      </c>
      <c r="K319" s="340">
        <f>Saldo_relativo_per_capita!K319*Saldo_relativo_per_capita!K$543/1000000</f>
        <v>0.38859964508285388</v>
      </c>
      <c r="L319" s="340">
        <f>Saldo_relativo_per_capita!L319*Saldo_relativo_per_capita!L$543/1000000</f>
        <v>2.9370219756848539</v>
      </c>
      <c r="M319" s="340">
        <f>Saldo_relativo_per_capita!M319*Saldo_relativo_per_capita!M$543/1000000</f>
        <v>-17.475590907366769</v>
      </c>
      <c r="N319" s="340">
        <f>Saldo_relativo_per_capita!N319*Saldo_relativo_per_capita!N$543/1000000</f>
        <v>-4.1902725271765355</v>
      </c>
      <c r="O319" s="340">
        <f>Saldo_relativo_per_capita!O319*Saldo_relativo_per_capita!O$543/1000000</f>
        <v>-0.11984632522885522</v>
      </c>
      <c r="P319" s="340">
        <f>Saldo_relativo_per_capita!P319*Saldo_relativo_per_capita!P$543/1000000</f>
        <v>1.8228055138478461</v>
      </c>
      <c r="Q319" s="340">
        <f>Saldo_relativo_per_capita!Q319*Saldo_relativo_per_capita!Q$543/1000000</f>
        <v>20.149725281828129</v>
      </c>
      <c r="R319" s="340">
        <f>Saldo_relativo_per_capita!R319*Saldo_relativo_per_capita!R$543/1000000</f>
        <v>-0.15553089116683066</v>
      </c>
      <c r="S319" s="340">
        <f>Saldo_relativo_per_capita!S319*Saldo_relativo_per_capita!S$543/1000000</f>
        <v>1.6502783996763506</v>
      </c>
      <c r="T319" s="340">
        <f>Saldo_relativo_per_capita!T319*Saldo_relativo_per_capita!T$543/1000000</f>
        <v>-2.379653610035414</v>
      </c>
      <c r="U319" s="340">
        <f>Saldo_relativo_per_capita!U319*Saldo_relativo_per_capita!U$543/1000000</f>
        <v>0.10749359919666797</v>
      </c>
      <c r="V319" s="340">
        <f>Saldo_relativo_per_capita!V319*Saldo_relativo_per_capita!V$543/1000000</f>
        <v>0.52221793006287553</v>
      </c>
      <c r="W319" s="148"/>
      <c r="X319" s="232"/>
    </row>
    <row r="320" spans="1:24" s="115" customFormat="1">
      <c r="A320" s="355" t="str">
        <f>IF(B320="","",(IF(ISERROR(MATCH(B320,Tot_res!C:C,0)),"Eliminar!!!","")))</f>
        <v/>
      </c>
      <c r="B320" s="115" t="s">
        <v>654</v>
      </c>
      <c r="C320" s="333" t="str">
        <f>VLOOKUP(B320,Tot_res!C:D,2,FALSE)</f>
        <v xml:space="preserve">Enseñanzas artísticas, neto del gasto directo del Estado en Ceuta y Melilla </v>
      </c>
      <c r="D320" s="340">
        <f>Saldo_relativo_per_capita!D320*Saldo_relativo_per_capita!D$543/1000000</f>
        <v>0</v>
      </c>
      <c r="E320" s="340">
        <f>Saldo_relativo_per_capita!E320*Saldo_relativo_per_capita!E$543/1000000</f>
        <v>-3.5110776002011294E-6</v>
      </c>
      <c r="F320" s="340">
        <f>Saldo_relativo_per_capita!F320*Saldo_relativo_per_capita!F$543/1000000</f>
        <v>5.1123290695407463E-7</v>
      </c>
      <c r="G320" s="340">
        <f>Saldo_relativo_per_capita!G320*Saldo_relativo_per_capita!G$543/1000000</f>
        <v>-1.5823972022690258E-6</v>
      </c>
      <c r="H320" s="340">
        <f>Saldo_relativo_per_capita!H320*Saldo_relativo_per_capita!H$543/1000000</f>
        <v>-1.9012248254681101E-6</v>
      </c>
      <c r="I320" s="340">
        <f>Saldo_relativo_per_capita!I320*Saldo_relativo_per_capita!I$543/1000000</f>
        <v>1.9265228336199335E-6</v>
      </c>
      <c r="J320" s="340">
        <f>Saldo_relativo_per_capita!J320*Saldo_relativo_per_capita!J$543/1000000</f>
        <v>-7.9245123283474912E-7</v>
      </c>
      <c r="K320" s="340">
        <f>Saldo_relativo_per_capita!K320*Saldo_relativo_per_capita!K$543/1000000</f>
        <v>3.7374102457965913E-7</v>
      </c>
      <c r="L320" s="340">
        <f>Saldo_relativo_per_capita!L320*Saldo_relativo_per_capita!L$543/1000000</f>
        <v>1.6006015426524246E-7</v>
      </c>
      <c r="M320" s="340">
        <f>Saldo_relativo_per_capita!M320*Saldo_relativo_per_capita!M$543/1000000</f>
        <v>4.1504821519445583E-6</v>
      </c>
      <c r="N320" s="340">
        <f>Saldo_relativo_per_capita!N320*Saldo_relativo_per_capita!N$543/1000000</f>
        <v>-4.9123404517558184E-6</v>
      </c>
      <c r="O320" s="340">
        <f>Saldo_relativo_per_capita!O320*Saldo_relativo_per_capita!O$543/1000000</f>
        <v>-1.8210222973965157E-6</v>
      </c>
      <c r="P320" s="340">
        <f>Saldo_relativo_per_capita!P320*Saldo_relativo_per_capita!P$543/1000000</f>
        <v>4.7401894022982156E-7</v>
      </c>
      <c r="Q320" s="340">
        <f>Saldo_relativo_per_capita!Q320*Saldo_relativo_per_capita!Q$543/1000000</f>
        <v>4.0102857601927938E-7</v>
      </c>
      <c r="R320" s="340">
        <f>Saldo_relativo_per_capita!R320*Saldo_relativo_per_capita!R$543/1000000</f>
        <v>-1.9529957841154867E-6</v>
      </c>
      <c r="S320" s="340">
        <f>Saldo_relativo_per_capita!S320*Saldo_relativo_per_capita!S$543/1000000</f>
        <v>2.6479524899379139E-6</v>
      </c>
      <c r="T320" s="340">
        <f>Saldo_relativo_per_capita!T320*Saldo_relativo_per_capita!T$543/1000000</f>
        <v>5.7813242008183648E-6</v>
      </c>
      <c r="U320" s="340">
        <f>Saldo_relativo_per_capita!U320*Saldo_relativo_per_capita!U$543/1000000</f>
        <v>2.2388181939860764E-7</v>
      </c>
      <c r="V320" s="340">
        <f>Saldo_relativo_per_capita!V320*Saldo_relativo_per_capita!V$543/1000000</f>
        <v>-1.7673570372663826E-7</v>
      </c>
      <c r="W320" s="148"/>
      <c r="X320" s="232"/>
    </row>
    <row r="321" spans="1:24" s="115" customFormat="1">
      <c r="A321" s="355" t="str">
        <f>IF(B321="","",(IF(ISERROR(MATCH(B321,Tot_res!C:C,0)),"Eliminar!!!","")))</f>
        <v/>
      </c>
      <c r="B321" s="115" t="s">
        <v>655</v>
      </c>
      <c r="C321" s="333" t="str">
        <f>VLOOKUP(B321,Tot_res!C:D,2,FALSE)</f>
        <v>Educación compensatoria,neto del gasto directo del Estado en Ceuta y Melilla  +AF12/2</v>
      </c>
      <c r="D321" s="340">
        <f>Saldo_relativo_per_capita!D321*Saldo_relativo_per_capita!D$543/1000000</f>
        <v>0</v>
      </c>
      <c r="E321" s="340">
        <f>Saldo_relativo_per_capita!E321*Saldo_relativo_per_capita!E$543/1000000</f>
        <v>1.3023853681796775E-2</v>
      </c>
      <c r="F321" s="340">
        <f>Saldo_relativo_per_capita!F321*Saldo_relativo_per_capita!F$543/1000000</f>
        <v>-1.841255596411147E-3</v>
      </c>
      <c r="G321" s="340">
        <f>Saldo_relativo_per_capita!G321*Saldo_relativo_per_capita!G$543/1000000</f>
        <v>-4.827449102985595E-3</v>
      </c>
      <c r="H321" s="340">
        <f>Saldo_relativo_per_capita!H321*Saldo_relativo_per_capita!H$543/1000000</f>
        <v>-4.9013045306544462E-3</v>
      </c>
      <c r="I321" s="340">
        <f>Saldo_relativo_per_capita!I321*Saldo_relativo_per_capita!I$543/1000000</f>
        <v>2.2575311646533857E-3</v>
      </c>
      <c r="J321" s="340">
        <f>Saldo_relativo_per_capita!J321*Saldo_relativo_per_capita!J$543/1000000</f>
        <v>-2.671746308679846E-3</v>
      </c>
      <c r="K321" s="340">
        <f>Saldo_relativo_per_capita!K321*Saldo_relativo_per_capita!K$543/1000000</f>
        <v>-1.5579125008000939E-2</v>
      </c>
      <c r="L321" s="340">
        <f>Saldo_relativo_per_capita!L321*Saldo_relativo_per_capita!L$543/1000000</f>
        <v>-5.2597538972127189E-3</v>
      </c>
      <c r="M321" s="340">
        <f>Saldo_relativo_per_capita!M321*Saldo_relativo_per_capita!M$543/1000000</f>
        <v>4.4727794498617364E-2</v>
      </c>
      <c r="N321" s="340">
        <f>Saldo_relativo_per_capita!N321*Saldo_relativo_per_capita!N$543/1000000</f>
        <v>-1.5997643406802022E-2</v>
      </c>
      <c r="O321" s="340">
        <f>Saldo_relativo_per_capita!O321*Saldo_relativo_per_capita!O$543/1000000</f>
        <v>-3.2501086284764209E-3</v>
      </c>
      <c r="P321" s="340">
        <f>Saldo_relativo_per_capita!P321*Saldo_relativo_per_capita!P$543/1000000</f>
        <v>-1.6866602720150975E-2</v>
      </c>
      <c r="Q321" s="340">
        <f>Saldo_relativo_per_capita!Q321*Saldo_relativo_per_capita!Q$543/1000000</f>
        <v>4.1132387885298985E-3</v>
      </c>
      <c r="R321" s="340">
        <f>Saldo_relativo_per_capita!R321*Saldo_relativo_per_capita!R$543/1000000</f>
        <v>1.1135014236048173E-2</v>
      </c>
      <c r="S321" s="340">
        <f>Saldo_relativo_per_capita!S321*Saldo_relativo_per_capita!S$543/1000000</f>
        <v>1.9676132583181533E-3</v>
      </c>
      <c r="T321" s="340">
        <f>Saldo_relativo_per_capita!T321*Saldo_relativo_per_capita!T$543/1000000</f>
        <v>-9.5692852425907794E-3</v>
      </c>
      <c r="U321" s="340">
        <f>Saldo_relativo_per_capita!U321*Saldo_relativo_per_capita!U$543/1000000</f>
        <v>1.7748424054421336E-3</v>
      </c>
      <c r="V321" s="340">
        <f>Saldo_relativo_per_capita!V321*Saldo_relativo_per_capita!V$543/1000000</f>
        <v>1.7643864085591333E-3</v>
      </c>
      <c r="W321" s="148"/>
      <c r="X321" s="232"/>
    </row>
    <row r="322" spans="1:24" s="115" customFormat="1">
      <c r="A322" s="355" t="str">
        <f>IF(B322="","",(IF(ISERROR(MATCH(B322,Tot_res!C:C,0)),"Eliminar!!!","")))</f>
        <v/>
      </c>
      <c r="B322" s="119" t="s">
        <v>656</v>
      </c>
      <c r="C322" s="333" t="str">
        <f>VLOOKUP(B322,Tot_res!C:D,2,FALSE)</f>
        <v xml:space="preserve">Deporte en edad escolar y en la universidad, neto del gasto directo del Estado en Ceuta y Melilla  </v>
      </c>
      <c r="D322" s="340">
        <f>Saldo_relativo_per_capita!D322*Saldo_relativo_per_capita!D$543/1000000</f>
        <v>0</v>
      </c>
      <c r="E322" s="340">
        <f>Saldo_relativo_per_capita!E322*Saldo_relativo_per_capita!E$543/1000000</f>
        <v>1.7858002448278378E-2</v>
      </c>
      <c r="F322" s="340">
        <f>Saldo_relativo_per_capita!F322*Saldo_relativo_per_capita!F$543/1000000</f>
        <v>-2.1469240093654847E-3</v>
      </c>
      <c r="G322" s="340">
        <f>Saldo_relativo_per_capita!G322*Saldo_relativo_per_capita!G$543/1000000</f>
        <v>-5.8884969888440362E-3</v>
      </c>
      <c r="H322" s="340">
        <f>Saldo_relativo_per_capita!H322*Saldo_relativo_per_capita!H$543/1000000</f>
        <v>-3.1866955153706357E-3</v>
      </c>
      <c r="I322" s="340">
        <f>Saldo_relativo_per_capita!I322*Saldo_relativo_per_capita!I$543/1000000</f>
        <v>-2.5678353009131825E-3</v>
      </c>
      <c r="J322" s="340">
        <f>Saldo_relativo_per_capita!J322*Saldo_relativo_per_capita!J$543/1000000</f>
        <v>-1.6109330959229453E-3</v>
      </c>
      <c r="K322" s="340">
        <f>Saldo_relativo_per_capita!K322*Saldo_relativo_per_capita!K$543/1000000</f>
        <v>-1.0618878660224115E-2</v>
      </c>
      <c r="L322" s="340">
        <f>Saldo_relativo_per_capita!L322*Saldo_relativo_per_capita!L$543/1000000</f>
        <v>4.2745944451398083E-3</v>
      </c>
      <c r="M322" s="340">
        <f>Saldo_relativo_per_capita!M322*Saldo_relativo_per_capita!M$543/1000000</f>
        <v>9.9852360581798093E-4</v>
      </c>
      <c r="N322" s="340">
        <f>Saldo_relativo_per_capita!N322*Saldo_relativo_per_capita!N$543/1000000</f>
        <v>-1.3160442786412151E-3</v>
      </c>
      <c r="O322" s="340">
        <f>Saldo_relativo_per_capita!O322*Saldo_relativo_per_capita!O$543/1000000</f>
        <v>-7.7583697392877922E-4</v>
      </c>
      <c r="P322" s="340">
        <f>Saldo_relativo_per_capita!P322*Saldo_relativo_per_capita!P$543/1000000</f>
        <v>-8.9750640740360148E-3</v>
      </c>
      <c r="Q322" s="340">
        <f>Saldo_relativo_per_capita!Q322*Saldo_relativo_per_capita!Q$543/1000000</f>
        <v>1.1406517437014907E-2</v>
      </c>
      <c r="R322" s="340">
        <f>Saldo_relativo_per_capita!R322*Saldo_relativo_per_capita!R$543/1000000</f>
        <v>4.2733872846204791E-3</v>
      </c>
      <c r="S322" s="340">
        <f>Saldo_relativo_per_capita!S322*Saldo_relativo_per_capita!S$543/1000000</f>
        <v>-4.2900078466378731E-4</v>
      </c>
      <c r="T322" s="340">
        <f>Saldo_relativo_per_capita!T322*Saldo_relativo_per_capita!T$543/1000000</f>
        <v>-2.4986164885273795E-3</v>
      </c>
      <c r="U322" s="340">
        <f>Saldo_relativo_per_capita!U322*Saldo_relativo_per_capita!U$543/1000000</f>
        <v>3.2657655006751446E-4</v>
      </c>
      <c r="V322" s="340">
        <f>Saldo_relativo_per_capita!V322*Saldo_relativo_per_capita!V$543/1000000</f>
        <v>8.7672439949849565E-4</v>
      </c>
      <c r="W322" s="148"/>
      <c r="X322" s="232"/>
    </row>
    <row r="323" spans="1:24" s="115" customFormat="1">
      <c r="A323" s="355" t="str">
        <f>IF(B323="","",(IF(ISERROR(MATCH(B323,Tot_res!C:C,0)),"Eliminar!!!","")))</f>
        <v/>
      </c>
      <c r="B323" s="119" t="s">
        <v>657</v>
      </c>
      <c r="C323" s="333" t="str">
        <f>VLOOKUP(B323,Tot_res!C:D,2,FALSE)</f>
        <v xml:space="preserve">Otras enseñanzas y actividades educativas, neto del gasto directo del Estado en Ceuta y Melilla  </v>
      </c>
      <c r="D323" s="340">
        <f>Saldo_relativo_per_capita!D323*Saldo_relativo_per_capita!D$543/1000000</f>
        <v>0</v>
      </c>
      <c r="E323" s="340">
        <f>Saldo_relativo_per_capita!E323*Saldo_relativo_per_capita!E$543/1000000</f>
        <v>0.24485279890034309</v>
      </c>
      <c r="F323" s="340">
        <f>Saldo_relativo_per_capita!F323*Saldo_relativo_per_capita!F$543/1000000</f>
        <v>0.17060287228621107</v>
      </c>
      <c r="G323" s="340">
        <f>Saldo_relativo_per_capita!G323*Saldo_relativo_per_capita!G$543/1000000</f>
        <v>0.19336584335641077</v>
      </c>
      <c r="H323" s="340">
        <f>Saldo_relativo_per_capita!H323*Saldo_relativo_per_capita!H$543/1000000</f>
        <v>-6.6379826176788254E-2</v>
      </c>
      <c r="I323" s="340">
        <f>Saldo_relativo_per_capita!I323*Saldo_relativo_per_capita!I$543/1000000</f>
        <v>-0.25083214781557606</v>
      </c>
      <c r="J323" s="340">
        <f>Saldo_relativo_per_capita!J323*Saldo_relativo_per_capita!J$543/1000000</f>
        <v>0.22063632805686406</v>
      </c>
      <c r="K323" s="340">
        <f>Saldo_relativo_per_capita!K323*Saldo_relativo_per_capita!K$543/1000000</f>
        <v>0.16914564985060265</v>
      </c>
      <c r="L323" s="340">
        <f>Saldo_relativo_per_capita!L323*Saldo_relativo_per_capita!L$543/1000000</f>
        <v>0.25739653976988319</v>
      </c>
      <c r="M323" s="340">
        <f>Saldo_relativo_per_capita!M323*Saldo_relativo_per_capita!M$543/1000000</f>
        <v>-0.97057168029209329</v>
      </c>
      <c r="N323" s="340">
        <f>Saldo_relativo_per_capita!N323*Saldo_relativo_per_capita!N$543/1000000</f>
        <v>-0.55482445545261072</v>
      </c>
      <c r="O323" s="340">
        <f>Saldo_relativo_per_capita!O323*Saldo_relativo_per_capita!O$543/1000000</f>
        <v>-9.1302252702213198E-3</v>
      </c>
      <c r="P323" s="340">
        <f>Saldo_relativo_per_capita!P323*Saldo_relativo_per_capita!P$543/1000000</f>
        <v>-0.35162360234580914</v>
      </c>
      <c r="Q323" s="340">
        <f>Saldo_relativo_per_capita!Q323*Saldo_relativo_per_capita!Q$543/1000000</f>
        <v>-0.1220440902065006</v>
      </c>
      <c r="R323" s="340">
        <f>Saldo_relativo_per_capita!R323*Saldo_relativo_per_capita!R$543/1000000</f>
        <v>-0.12115455525993352</v>
      </c>
      <c r="S323" s="340">
        <f>Saldo_relativo_per_capita!S323*Saldo_relativo_per_capita!S$543/1000000</f>
        <v>3.0004928165836088E-2</v>
      </c>
      <c r="T323" s="340">
        <f>Saldo_relativo_per_capita!T323*Saldo_relativo_per_capita!T$543/1000000</f>
        <v>0.93655365146719793</v>
      </c>
      <c r="U323" s="340">
        <f>Saldo_relativo_per_capita!U323*Saldo_relativo_per_capita!U$543/1000000</f>
        <v>-1.5333280330807039E-2</v>
      </c>
      <c r="V323" s="340">
        <f>Saldo_relativo_per_capita!V323*Saldo_relativo_per_capita!V$543/1000000</f>
        <v>0.23933525129699371</v>
      </c>
      <c r="W323" s="148"/>
      <c r="X323" s="232"/>
    </row>
    <row r="324" spans="1:24" s="115" customFormat="1">
      <c r="A324" s="355" t="str">
        <f>IF(B324="","",(IF(ISERROR(MATCH(B324,Tot_res!C:C,0)),"Eliminar!!!","")))</f>
        <v/>
      </c>
      <c r="B324" s="115" t="s">
        <v>658</v>
      </c>
      <c r="C324" s="333" t="str">
        <f>VLOOKUP(B324,Tot_res!C:D,2,FALSE)</f>
        <v xml:space="preserve">Servicios complementarios de la enseñanza, neto del gasto directo del Estado en Ceuta y Melilla  </v>
      </c>
      <c r="D324" s="340">
        <f>Saldo_relativo_per_capita!D324*Saldo_relativo_per_capita!D$543/1000000</f>
        <v>0</v>
      </c>
      <c r="E324" s="340">
        <f>Saldo_relativo_per_capita!E324*Saldo_relativo_per_capita!E$543/1000000</f>
        <v>3.7042876594272869E-2</v>
      </c>
      <c r="F324" s="340">
        <f>Saldo_relativo_per_capita!F324*Saldo_relativo_per_capita!F$543/1000000</f>
        <v>-6.2033451697268392E-3</v>
      </c>
      <c r="G324" s="340">
        <f>Saldo_relativo_per_capita!G324*Saldo_relativo_per_capita!G$543/1000000</f>
        <v>-1.1763913212868578E-2</v>
      </c>
      <c r="H324" s="340">
        <f>Saldo_relativo_per_capita!H324*Saldo_relativo_per_capita!H$543/1000000</f>
        <v>-1.4811502757892669E-2</v>
      </c>
      <c r="I324" s="340">
        <f>Saldo_relativo_per_capita!I324*Saldo_relativo_per_capita!I$543/1000000</f>
        <v>6.129330685780513E-4</v>
      </c>
      <c r="J324" s="340">
        <f>Saldo_relativo_per_capita!J324*Saldo_relativo_per_capita!J$543/1000000</f>
        <v>-3.9548247042930631E-3</v>
      </c>
      <c r="K324" s="340">
        <f>Saldo_relativo_per_capita!K324*Saldo_relativo_per_capita!K$543/1000000</f>
        <v>-2.3641139826379016E-2</v>
      </c>
      <c r="L324" s="340">
        <f>Saldo_relativo_per_capita!L324*Saldo_relativo_per_capita!L$543/1000000</f>
        <v>1.7991641241543618E-2</v>
      </c>
      <c r="M324" s="340">
        <f>Saldo_relativo_per_capita!M324*Saldo_relativo_per_capita!M$543/1000000</f>
        <v>-1.5389952626582531E-2</v>
      </c>
      <c r="N324" s="340">
        <f>Saldo_relativo_per_capita!N324*Saldo_relativo_per_capita!N$543/1000000</f>
        <v>-2.9696682640614015E-4</v>
      </c>
      <c r="O324" s="340">
        <f>Saldo_relativo_per_capita!O324*Saldo_relativo_per_capita!O$543/1000000</f>
        <v>1.1917750756582455E-3</v>
      </c>
      <c r="P324" s="340">
        <f>Saldo_relativo_per_capita!P324*Saldo_relativo_per_capita!P$543/1000000</f>
        <v>-1.6167773621410496E-2</v>
      </c>
      <c r="Q324" s="340">
        <f>Saldo_relativo_per_capita!Q324*Saldo_relativo_per_capita!Q$543/1000000</f>
        <v>3.3264291152953838E-2</v>
      </c>
      <c r="R324" s="340">
        <f>Saldo_relativo_per_capita!R324*Saldo_relativo_per_capita!R$543/1000000</f>
        <v>1.1260646786987282E-2</v>
      </c>
      <c r="S324" s="340">
        <f>Saldo_relativo_per_capita!S324*Saldo_relativo_per_capita!S$543/1000000</f>
        <v>-1.1752559236510604E-3</v>
      </c>
      <c r="T324" s="340">
        <f>Saldo_relativo_per_capita!T324*Saldo_relativo_per_capita!T$543/1000000</f>
        <v>-1.1681139916904211E-2</v>
      </c>
      <c r="U324" s="340">
        <f>Saldo_relativo_per_capita!U324*Saldo_relativo_per_capita!U$543/1000000</f>
        <v>2.1323051275669771E-3</v>
      </c>
      <c r="V324" s="340">
        <f>Saldo_relativo_per_capita!V324*Saldo_relativo_per_capita!V$543/1000000</f>
        <v>1.5893455385532342E-3</v>
      </c>
      <c r="W324" s="148"/>
      <c r="X324" s="232"/>
    </row>
    <row r="325" spans="1:24" s="115" customFormat="1">
      <c r="A325" s="355" t="str">
        <f>IF(B325="","",(IF(ISERROR(MATCH(B325,Tot_res!C:C,0)),"Eliminar!!!","")))</f>
        <v/>
      </c>
      <c r="B325" s="115" t="s">
        <v>319</v>
      </c>
      <c r="C325" s="333" t="str">
        <f>VLOOKUP(B325,Tot_res!C:D,2,FALSE)</f>
        <v>Investigación y evaluación educativa</v>
      </c>
      <c r="D325" s="340">
        <f>Saldo_relativo_per_capita!D325*Saldo_relativo_per_capita!D$543/1000000</f>
        <v>0</v>
      </c>
      <c r="E325" s="340">
        <f>Saldo_relativo_per_capita!E325*Saldo_relativo_per_capita!E$543/1000000</f>
        <v>4.5725742475833378E-3</v>
      </c>
      <c r="F325" s="340">
        <f>Saldo_relativo_per_capita!F325*Saldo_relativo_per_capita!F$543/1000000</f>
        <v>-4.4420333814411633E-4</v>
      </c>
      <c r="G325" s="340">
        <f>Saldo_relativo_per_capita!G325*Saldo_relativo_per_capita!G$543/1000000</f>
        <v>-1.2919821595379479E-3</v>
      </c>
      <c r="H325" s="340">
        <f>Saldo_relativo_per_capita!H325*Saldo_relativo_per_capita!H$543/1000000</f>
        <v>-3.6108317203621616E-4</v>
      </c>
      <c r="I325" s="340">
        <f>Saldo_relativo_per_capita!I325*Saldo_relativo_per_capita!I$543/1000000</f>
        <v>-2.2007107366360496E-4</v>
      </c>
      <c r="J325" s="340">
        <f>Saldo_relativo_per_capita!J325*Saldo_relativo_per_capita!J$543/1000000</f>
        <v>-2.779381968693009E-4</v>
      </c>
      <c r="K325" s="340">
        <f>Saldo_relativo_per_capita!K325*Saldo_relativo_per_capita!K$543/1000000</f>
        <v>-1.7985037582164349E-3</v>
      </c>
      <c r="L325" s="340">
        <f>Saldo_relativo_per_capita!L325*Saldo_relativo_per_capita!L$543/1000000</f>
        <v>5.4482075509375391E-4</v>
      </c>
      <c r="M325" s="340">
        <f>Saldo_relativo_per_capita!M325*Saldo_relativo_per_capita!M$543/1000000</f>
        <v>4.1818907105041703E-4</v>
      </c>
      <c r="N325" s="340">
        <f>Saldo_relativo_per_capita!N325*Saldo_relativo_per_capita!N$543/1000000</f>
        <v>-3.4436216452891856E-4</v>
      </c>
      <c r="O325" s="340">
        <f>Saldo_relativo_per_capita!O325*Saldo_relativo_per_capita!O$543/1000000</f>
        <v>-7.5561929472052849E-5</v>
      </c>
      <c r="P325" s="340">
        <f>Saldo_relativo_per_capita!P325*Saldo_relativo_per_capita!P$543/1000000</f>
        <v>-1.9180275657756656E-3</v>
      </c>
      <c r="Q325" s="340">
        <f>Saldo_relativo_per_capita!Q325*Saldo_relativo_per_capita!Q$543/1000000</f>
        <v>5.7577734598548427E-4</v>
      </c>
      <c r="R325" s="340">
        <f>Saldo_relativo_per_capita!R325*Saldo_relativo_per_capita!R$543/1000000</f>
        <v>9.0118782587853615E-4</v>
      </c>
      <c r="S325" s="340">
        <f>Saldo_relativo_per_capita!S325*Saldo_relativo_per_capita!S$543/1000000</f>
        <v>-1.1107411048360654E-4</v>
      </c>
      <c r="T325" s="340">
        <f>Saldo_relativo_per_capita!T325*Saldo_relativo_per_capita!T$543/1000000</f>
        <v>-4.0045571723289138E-4</v>
      </c>
      <c r="U325" s="340">
        <f>Saldo_relativo_per_capita!U325*Saldo_relativo_per_capita!U$543/1000000</f>
        <v>-3.4396000092654048E-5</v>
      </c>
      <c r="V325" s="340">
        <f>Saldo_relativo_per_capita!V325*Saldo_relativo_per_capita!V$543/1000000</f>
        <v>2.6510994046183306E-4</v>
      </c>
      <c r="W325" s="148"/>
      <c r="X325" s="232"/>
    </row>
    <row r="326" spans="1:24" s="115" customFormat="1">
      <c r="A326" s="355" t="str">
        <f>IF(B326="","",(IF(ISERROR(MATCH(B326,Tot_res!C:C,0)),"Eliminar!!!","")))</f>
        <v/>
      </c>
      <c r="B326" s="115" t="s">
        <v>659</v>
      </c>
      <c r="C326" s="333" t="str">
        <f>VLOOKUP(B326,Tot_res!C:D,2,FALSE)</f>
        <v>Formación del personal de las administraciones públicas + AF12/3</v>
      </c>
      <c r="D326" s="340">
        <f>Saldo_relativo_per_capita!D326*Saldo_relativo_per_capita!D$543/1000000</f>
        <v>0</v>
      </c>
      <c r="E326" s="340">
        <f>Saldo_relativo_per_capita!E326*Saldo_relativo_per_capita!E$543/1000000</f>
        <v>0.52669287989313374</v>
      </c>
      <c r="F326" s="340">
        <f>Saldo_relativo_per_capita!F326*Saldo_relativo_per_capita!F$543/1000000</f>
        <v>-7.7671044527940812E-3</v>
      </c>
      <c r="G326" s="340">
        <f>Saldo_relativo_per_capita!G326*Saldo_relativo_per_capita!G$543/1000000</f>
        <v>-9.6709298236766789E-3</v>
      </c>
      <c r="H326" s="340">
        <f>Saldo_relativo_per_capita!H326*Saldo_relativo_per_capita!H$543/1000000</f>
        <v>-0.10390784612644019</v>
      </c>
      <c r="I326" s="340">
        <f>Saldo_relativo_per_capita!I326*Saldo_relativo_per_capita!I$543/1000000</f>
        <v>-3.5041963887954249E-3</v>
      </c>
      <c r="J326" s="340">
        <f>Saldo_relativo_per_capita!J326*Saldo_relativo_per_capita!J$543/1000000</f>
        <v>-3.2535381837543627E-2</v>
      </c>
      <c r="K326" s="340">
        <f>Saldo_relativo_per_capita!K326*Saldo_relativo_per_capita!K$543/1000000</f>
        <v>0.19866372236226224</v>
      </c>
      <c r="L326" s="340">
        <f>Saldo_relativo_per_capita!L326*Saldo_relativo_per_capita!L$543/1000000</f>
        <v>0.13330224475794755</v>
      </c>
      <c r="M326" s="340">
        <f>Saldo_relativo_per_capita!M326*Saldo_relativo_per_capita!M$543/1000000</f>
        <v>-0.59904589088333215</v>
      </c>
      <c r="N326" s="340">
        <f>Saldo_relativo_per_capita!N326*Saldo_relativo_per_capita!N$543/1000000</f>
        <v>-0.10736838289305321</v>
      </c>
      <c r="O326" s="340">
        <f>Saldo_relativo_per_capita!O326*Saldo_relativo_per_capita!O$543/1000000</f>
        <v>0.53108139219336414</v>
      </c>
      <c r="P326" s="340">
        <f>Saldo_relativo_per_capita!P326*Saldo_relativo_per_capita!P$543/1000000</f>
        <v>0.11991354827232023</v>
      </c>
      <c r="Q326" s="340">
        <f>Saldo_relativo_per_capita!Q326*Saldo_relativo_per_capita!Q$543/1000000</f>
        <v>-0.60240494900789965</v>
      </c>
      <c r="R326" s="340">
        <f>Saldo_relativo_per_capita!R326*Saldo_relativo_per_capita!R$543/1000000</f>
        <v>4.8793035933637589E-3</v>
      </c>
      <c r="S326" s="340">
        <f>Saldo_relativo_per_capita!S326*Saldo_relativo_per_capita!S$543/1000000</f>
        <v>4.522347951917579E-2</v>
      </c>
      <c r="T326" s="340">
        <f>Saldo_relativo_per_capita!T326*Saldo_relativo_per_capita!T$543/1000000</f>
        <v>0</v>
      </c>
      <c r="U326" s="340">
        <f>Saldo_relativo_per_capita!U326*Saldo_relativo_per_capita!U$543/1000000</f>
        <v>-2.2052862794930718E-2</v>
      </c>
      <c r="V326" s="340">
        <f>Saldo_relativo_per_capita!V326*Saldo_relativo_per_capita!V$543/1000000</f>
        <v>-7.1499026383091538E-2</v>
      </c>
      <c r="W326" s="148"/>
      <c r="X326" s="232"/>
    </row>
    <row r="327" spans="1:24" s="115" customFormat="1">
      <c r="A327" s="355" t="str">
        <f>IF(B327="","",(IF(ISERROR(MATCH(B327,Tot_res!C:C,0)),"Eliminar!!!","")))</f>
        <v/>
      </c>
      <c r="B327" s="115" t="s">
        <v>320</v>
      </c>
      <c r="C327" s="333" t="str">
        <f>VLOOKUP(B327,Tot_res!C:D,2,FALSE)</f>
        <v>Profesores de religión</v>
      </c>
      <c r="D327" s="340">
        <f>Saldo_relativo_per_capita!D327*Saldo_relativo_per_capita!D$543/1000000</f>
        <v>0</v>
      </c>
      <c r="E327" s="340">
        <f>Saldo_relativo_per_capita!E327*Saldo_relativo_per_capita!E$543/1000000</f>
        <v>-27.377144767222948</v>
      </c>
      <c r="F327" s="340">
        <f>Saldo_relativo_per_capita!F327*Saldo_relativo_per_capita!F$543/1000000</f>
        <v>-4.3441247711069746</v>
      </c>
      <c r="G327" s="340">
        <f>Saldo_relativo_per_capita!G327*Saldo_relativo_per_capita!G$543/1000000</f>
        <v>3.7971011059898179</v>
      </c>
      <c r="H327" s="340">
        <f>Saldo_relativo_per_capita!H327*Saldo_relativo_per_capita!H$543/1000000</f>
        <v>9.7249708175493138E-2</v>
      </c>
      <c r="I327" s="340">
        <f>Saldo_relativo_per_capita!I327*Saldo_relativo_per_capita!I$543/1000000</f>
        <v>-6.8651616933067974</v>
      </c>
      <c r="J327" s="340">
        <f>Saldo_relativo_per_capita!J327*Saldo_relativo_per_capita!J$543/1000000</f>
        <v>-1.9189385485247947</v>
      </c>
      <c r="K327" s="340">
        <f>Saldo_relativo_per_capita!K327*Saldo_relativo_per_capita!K$543/1000000</f>
        <v>4.0776008812400439</v>
      </c>
      <c r="L327" s="340">
        <f>Saldo_relativo_per_capita!L327*Saldo_relativo_per_capita!L$543/1000000</f>
        <v>4.5554832812297104</v>
      </c>
      <c r="M327" s="340">
        <f>Saldo_relativo_per_capita!M327*Saldo_relativo_per_capita!M$543/1000000</f>
        <v>-6.7232618708680354</v>
      </c>
      <c r="N327" s="340">
        <f>Saldo_relativo_per_capita!N327*Saldo_relativo_per_capita!N$543/1000000</f>
        <v>11.809277108998819</v>
      </c>
      <c r="O327" s="340">
        <f>Saldo_relativo_per_capita!O327*Saldo_relativo_per_capita!O$543/1000000</f>
        <v>3.4732178697566924</v>
      </c>
      <c r="P327" s="340">
        <f>Saldo_relativo_per_capita!P327*Saldo_relativo_per_capita!P$543/1000000</f>
        <v>5.9270152335197412</v>
      </c>
      <c r="Q327" s="340">
        <f>Saldo_relativo_per_capita!Q327*Saldo_relativo_per_capita!Q$543/1000000</f>
        <v>12.648051589172393</v>
      </c>
      <c r="R327" s="340">
        <f>Saldo_relativo_per_capita!R327*Saldo_relativo_per_capita!R$543/1000000</f>
        <v>10.227457091663236</v>
      </c>
      <c r="S327" s="340">
        <f>Saldo_relativo_per_capita!S327*Saldo_relativo_per_capita!S$543/1000000</f>
        <v>-2.0891626160878523</v>
      </c>
      <c r="T327" s="340">
        <f>Saldo_relativo_per_capita!T327*Saldo_relativo_per_capita!T$543/1000000</f>
        <v>-7.1206416487233568</v>
      </c>
      <c r="U327" s="340">
        <f>Saldo_relativo_per_capita!U327*Saldo_relativo_per_capita!U$543/1000000</f>
        <v>0.37430337889768317</v>
      </c>
      <c r="V327" s="340">
        <f>Saldo_relativo_per_capita!V327*Saldo_relativo_per_capita!V$543/1000000</f>
        <v>-0.54832133280285822</v>
      </c>
      <c r="W327" s="148"/>
      <c r="X327" s="232"/>
    </row>
    <row r="328" spans="1:24" s="115" customFormat="1">
      <c r="A328" s="356"/>
      <c r="D328" s="218"/>
      <c r="E328" s="218"/>
      <c r="F328" s="218"/>
      <c r="G328" s="218"/>
      <c r="H328" s="218"/>
      <c r="I328" s="218"/>
      <c r="J328" s="218"/>
      <c r="K328" s="218"/>
      <c r="L328" s="218"/>
      <c r="M328" s="218"/>
      <c r="N328" s="218"/>
      <c r="O328" s="218"/>
      <c r="P328" s="218"/>
      <c r="Q328" s="218"/>
      <c r="R328" s="218"/>
      <c r="S328" s="218"/>
      <c r="T328" s="218"/>
      <c r="U328" s="218"/>
      <c r="V328" s="218"/>
      <c r="W328" s="148"/>
    </row>
    <row r="329" spans="1:24" s="115" customFormat="1">
      <c r="A329" s="356"/>
      <c r="C329" s="117" t="s">
        <v>76</v>
      </c>
      <c r="D329" s="219">
        <f>Saldo_relativo_per_capita!D329*Saldo_relativo_per_capita!D$543/1000000</f>
        <v>0</v>
      </c>
      <c r="E329" s="219">
        <f>Saldo_relativo_per_capita!E329*Saldo_relativo_per_capita!E$543/1000000</f>
        <v>-216.0808170057004</v>
      </c>
      <c r="F329" s="219">
        <f>Saldo_relativo_per_capita!F329*Saldo_relativo_per_capita!F$543/1000000</f>
        <v>6.6545675757216811</v>
      </c>
      <c r="G329" s="219">
        <f>Saldo_relativo_per_capita!G329*Saldo_relativo_per_capita!G$543/1000000</f>
        <v>-11.549370685952821</v>
      </c>
      <c r="H329" s="219">
        <f>Saldo_relativo_per_capita!H329*Saldo_relativo_per_capita!H$543/1000000</f>
        <v>-1.057604944584589</v>
      </c>
      <c r="I329" s="219">
        <f>Saldo_relativo_per_capita!I329*Saldo_relativo_per_capita!I$543/1000000</f>
        <v>-37.154224910658655</v>
      </c>
      <c r="J329" s="219">
        <f>Saldo_relativo_per_capita!J329*Saldo_relativo_per_capita!J$543/1000000</f>
        <v>-15.976558038895032</v>
      </c>
      <c r="K329" s="219">
        <f>Saldo_relativo_per_capita!K329*Saldo_relativo_per_capita!K$543/1000000</f>
        <v>84.56393976380744</v>
      </c>
      <c r="L329" s="219">
        <f>Saldo_relativo_per_capita!L329*Saldo_relativo_per_capita!L$543/1000000</f>
        <v>-37.035405190428627</v>
      </c>
      <c r="M329" s="219">
        <f>Saldo_relativo_per_capita!M329*Saldo_relativo_per_capita!M$543/1000000</f>
        <v>356.72958037795598</v>
      </c>
      <c r="N329" s="219">
        <f>Saldo_relativo_per_capita!N329*Saldo_relativo_per_capita!N$543/1000000</f>
        <v>-267.35668000322238</v>
      </c>
      <c r="O329" s="219">
        <f>Saldo_relativo_per_capita!O329*Saldo_relativo_per_capita!O$543/1000000</f>
        <v>-18.38901412467284</v>
      </c>
      <c r="P329" s="219">
        <f>Saldo_relativo_per_capita!P329*Saldo_relativo_per_capita!P$543/1000000</f>
        <v>-97.779905632748694</v>
      </c>
      <c r="Q329" s="219">
        <f>Saldo_relativo_per_capita!Q329*Saldo_relativo_per_capita!Q$543/1000000</f>
        <v>-78.60367494745185</v>
      </c>
      <c r="R329" s="219">
        <f>Saldo_relativo_per_capita!R329*Saldo_relativo_per_capita!R$543/1000000</f>
        <v>-77.860129406851456</v>
      </c>
      <c r="S329" s="219">
        <f>Saldo_relativo_per_capita!S329*Saldo_relativo_per_capita!S$543/1000000</f>
        <v>45.687165552099266</v>
      </c>
      <c r="T329" s="219">
        <f>Saldo_relativo_per_capita!T329*Saldo_relativo_per_capita!T$543/1000000</f>
        <v>271.01529082486542</v>
      </c>
      <c r="U329" s="219">
        <f>Saldo_relativo_per_capita!U329*Saldo_relativo_per_capita!U$543/1000000</f>
        <v>31.268844663866279</v>
      </c>
      <c r="V329" s="219">
        <f>Saldo_relativo_per_capita!V329*Saldo_relativo_per_capita!V$543/1000000</f>
        <v>62.923996132853013</v>
      </c>
      <c r="W329" s="148"/>
    </row>
    <row r="330" spans="1:24" s="115" customFormat="1">
      <c r="A330" s="355" t="str">
        <f>IF(B330="","",(IF(ISERROR(MATCH(B330,Tot_res!C:C,0)),"Eliminar!!!","")))</f>
        <v/>
      </c>
      <c r="B330" s="115" t="s">
        <v>322</v>
      </c>
      <c r="C330" s="333" t="str">
        <f>VLOOKUP(B330,Tot_res!C:D,2,FALSE)</f>
        <v>Dirección y servicios generales de justicia</v>
      </c>
      <c r="D330" s="340">
        <f>Saldo_relativo_per_capita!D330*Saldo_relativo_per_capita!D$543/1000000</f>
        <v>0</v>
      </c>
      <c r="E330" s="340">
        <f>Saldo_relativo_per_capita!E330*Saldo_relativo_per_capita!E$543/1000000</f>
        <v>-1.4327797878348416</v>
      </c>
      <c r="F330" s="340">
        <f>Saldo_relativo_per_capita!F330*Saldo_relativo_per_capita!F$543/1000000</f>
        <v>-0.19577387237304203</v>
      </c>
      <c r="G330" s="340">
        <f>Saldo_relativo_per_capita!G330*Saldo_relativo_per_capita!G$543/1000000</f>
        <v>-0.11026246980727104</v>
      </c>
      <c r="H330" s="340">
        <f>Saldo_relativo_per_capita!H330*Saldo_relativo_per_capita!H$543/1000000</f>
        <v>0.72801070690644354</v>
      </c>
      <c r="I330" s="340">
        <f>Saldo_relativo_per_capita!I330*Saldo_relativo_per_capita!I$543/1000000</f>
        <v>-0.24663016952294098</v>
      </c>
      <c r="J330" s="340">
        <f>Saldo_relativo_per_capita!J330*Saldo_relativo_per_capita!J$543/1000000</f>
        <v>-7.3073268504513039E-2</v>
      </c>
      <c r="K330" s="340">
        <f>Saldo_relativo_per_capita!K330*Saldo_relativo_per_capita!K$543/1000000</f>
        <v>1.6844999791902608</v>
      </c>
      <c r="L330" s="340">
        <f>Saldo_relativo_per_capita!L330*Saldo_relativo_per_capita!L$543/1000000</f>
        <v>1.5004680493655296</v>
      </c>
      <c r="M330" s="340">
        <f>Saldo_relativo_per_capita!M330*Saldo_relativo_per_capita!M$543/1000000</f>
        <v>-1.0441756258544077</v>
      </c>
      <c r="N330" s="340">
        <f>Saldo_relativo_per_capita!N330*Saldo_relativo_per_capita!N$543/1000000</f>
        <v>-0.87132793081014814</v>
      </c>
      <c r="O330" s="340">
        <f>Saldo_relativo_per_capita!O330*Saldo_relativo_per_capita!O$543/1000000</f>
        <v>0.5761718693582899</v>
      </c>
      <c r="P330" s="340">
        <f>Saldo_relativo_per_capita!P330*Saldo_relativo_per_capita!P$543/1000000</f>
        <v>-0.36058375773825463</v>
      </c>
      <c r="Q330" s="340">
        <f>Saldo_relativo_per_capita!Q330*Saldo_relativo_per_capita!Q$543/1000000</f>
        <v>-0.66373150417115478</v>
      </c>
      <c r="R330" s="340">
        <f>Saldo_relativo_per_capita!R330*Saldo_relativo_per_capita!R$543/1000000</f>
        <v>0.68762942742296695</v>
      </c>
      <c r="S330" s="340">
        <f>Saldo_relativo_per_capita!S330*Saldo_relativo_per_capita!S$543/1000000</f>
        <v>-0.10943254799288737</v>
      </c>
      <c r="T330" s="340">
        <f>Saldo_relativo_per_capita!T330*Saldo_relativo_per_capita!T$543/1000000</f>
        <v>-0.27950036536066669</v>
      </c>
      <c r="U330" s="340">
        <f>Saldo_relativo_per_capita!U330*Saldo_relativo_per_capita!U$543/1000000</f>
        <v>0.2064006804943409</v>
      </c>
      <c r="V330" s="340">
        <f>Saldo_relativo_per_capita!V330*Saldo_relativo_per_capita!V$543/1000000</f>
        <v>4.0905872322979904E-3</v>
      </c>
      <c r="W330" s="148"/>
    </row>
    <row r="331" spans="1:24" s="115" customFormat="1">
      <c r="A331" s="355" t="str">
        <f>IF(B331="","",(IF(ISERROR(MATCH(B331,Tot_res!C:C,0)),"Eliminar!!!","")))</f>
        <v/>
      </c>
      <c r="B331" s="115" t="s">
        <v>323</v>
      </c>
      <c r="C331" s="333" t="str">
        <f>VLOOKUP(B331,Tot_res!C:D,2,FALSE)</f>
        <v>Formación del personal de la administración de justicia</v>
      </c>
      <c r="D331" s="340">
        <f>Saldo_relativo_per_capita!D331*Saldo_relativo_per_capita!D$543/1000000</f>
        <v>0</v>
      </c>
      <c r="E331" s="340">
        <f>Saldo_relativo_per_capita!E331*Saldo_relativo_per_capita!E$543/1000000</f>
        <v>-0.13219498293683829</v>
      </c>
      <c r="F331" s="340">
        <f>Saldo_relativo_per_capita!F331*Saldo_relativo_per_capita!F$543/1000000</f>
        <v>-5.3422773356566668E-3</v>
      </c>
      <c r="G331" s="340">
        <f>Saldo_relativo_per_capita!G331*Saldo_relativo_per_capita!G$543/1000000</f>
        <v>1.6428965363508522E-2</v>
      </c>
      <c r="H331" s="340">
        <f>Saldo_relativo_per_capita!H331*Saldo_relativo_per_capita!H$543/1000000</f>
        <v>5.2351099572252755E-3</v>
      </c>
      <c r="I331" s="340">
        <f>Saldo_relativo_per_capita!I331*Saldo_relativo_per_capita!I$543/1000000</f>
        <v>3.1817424586882718E-3</v>
      </c>
      <c r="J331" s="340">
        <f>Saldo_relativo_per_capita!J331*Saldo_relativo_per_capita!J$543/1000000</f>
        <v>4.9638778621444064E-3</v>
      </c>
      <c r="K331" s="340">
        <f>Saldo_relativo_per_capita!K331*Saldo_relativo_per_capita!K$543/1000000</f>
        <v>1.2701327298863847E-2</v>
      </c>
      <c r="L331" s="340">
        <f>Saldo_relativo_per_capita!L331*Saldo_relativo_per_capita!L$543/1000000</f>
        <v>0.23554290864070287</v>
      </c>
      <c r="M331" s="340">
        <f>Saldo_relativo_per_capita!M331*Saldo_relativo_per_capita!M$543/1000000</f>
        <v>-3.1768226335086046E-2</v>
      </c>
      <c r="N331" s="340">
        <f>Saldo_relativo_per_capita!N331*Saldo_relativo_per_capita!N$543/1000000</f>
        <v>-7.151594183154826E-2</v>
      </c>
      <c r="O331" s="340">
        <f>Saldo_relativo_per_capita!O331*Saldo_relativo_per_capita!O$543/1000000</f>
        <v>-1.6260821421188985E-2</v>
      </c>
      <c r="P331" s="340">
        <f>Saldo_relativo_per_capita!P331*Saldo_relativo_per_capita!P$543/1000000</f>
        <v>3.1223552192301365E-3</v>
      </c>
      <c r="Q331" s="340">
        <f>Saldo_relativo_per_capita!Q331*Saldo_relativo_per_capita!Q$543/1000000</f>
        <v>-9.0590555408726261E-3</v>
      </c>
      <c r="R331" s="340">
        <f>Saldo_relativo_per_capita!R331*Saldo_relativo_per_capita!R$543/1000000</f>
        <v>-2.0549105312806383E-2</v>
      </c>
      <c r="S331" s="340">
        <f>Saldo_relativo_per_capita!S331*Saldo_relativo_per_capita!S$543/1000000</f>
        <v>-6.9112591295702385E-3</v>
      </c>
      <c r="T331" s="340">
        <f>Saldo_relativo_per_capita!T331*Saldo_relativo_per_capita!T$543/1000000</f>
        <v>2.8754972438890091E-3</v>
      </c>
      <c r="U331" s="340">
        <f>Saldo_relativo_per_capita!U331*Saldo_relativo_per_capita!U$543/1000000</f>
        <v>9.8627222466302024E-4</v>
      </c>
      <c r="V331" s="340">
        <f>Saldo_relativo_per_capita!V331*Saldo_relativo_per_capita!V$543/1000000</f>
        <v>8.563613574650554E-3</v>
      </c>
    </row>
    <row r="332" spans="1:24" s="115" customFormat="1">
      <c r="A332" s="355" t="str">
        <f>IF(B332="","",(IF(ISERROR(MATCH(B332,Tot_res!C:C,0)),"Eliminar!!!","")))</f>
        <v/>
      </c>
      <c r="B332" s="115" t="s">
        <v>324</v>
      </c>
      <c r="C332" s="333" t="str">
        <f>VLOOKUP(B332,Tot_res!C:D,2,FALSE)</f>
        <v>Formación de la carrera fiscal</v>
      </c>
      <c r="D332" s="340">
        <f>Saldo_relativo_per_capita!D332*Saldo_relativo_per_capita!D$543/1000000</f>
        <v>0</v>
      </c>
      <c r="E332" s="340">
        <f>Saldo_relativo_per_capita!E332*Saldo_relativo_per_capita!E$543/1000000</f>
        <v>-9.1251401003112275E-4</v>
      </c>
      <c r="F332" s="340">
        <f>Saldo_relativo_per_capita!F332*Saldo_relativo_per_capita!F$543/1000000</f>
        <v>-2.3753868749269245E-3</v>
      </c>
      <c r="G332" s="340">
        <f>Saldo_relativo_per_capita!G332*Saldo_relativo_per_capita!G$543/1000000</f>
        <v>-2.1795990057765021E-3</v>
      </c>
      <c r="H332" s="340">
        <f>Saldo_relativo_per_capita!H332*Saldo_relativo_per_capita!H$543/1000000</f>
        <v>4.7491180209991123E-3</v>
      </c>
      <c r="I332" s="340">
        <f>Saldo_relativo_per_capita!I332*Saldo_relativo_per_capita!I$543/1000000</f>
        <v>1.2573616726527119E-2</v>
      </c>
      <c r="J332" s="340">
        <f>Saldo_relativo_per_capita!J332*Saldo_relativo_per_capita!J$543/1000000</f>
        <v>-8.4474813430191864E-4</v>
      </c>
      <c r="K332" s="340">
        <f>Saldo_relativo_per_capita!K332*Saldo_relativo_per_capita!K$543/1000000</f>
        <v>4.3536381177967168E-3</v>
      </c>
      <c r="L332" s="340">
        <f>Saldo_relativo_per_capita!L332*Saldo_relativo_per_capita!L$543/1000000</f>
        <v>-1.9939916672675102E-2</v>
      </c>
      <c r="M332" s="340">
        <f>Saldo_relativo_per_capita!M332*Saldo_relativo_per_capita!M$543/1000000</f>
        <v>2.2763620721360719E-2</v>
      </c>
      <c r="N332" s="340">
        <f>Saldo_relativo_per_capita!N332*Saldo_relativo_per_capita!N$543/1000000</f>
        <v>-4.0104422182126662E-3</v>
      </c>
      <c r="O332" s="340">
        <f>Saldo_relativo_per_capita!O332*Saldo_relativo_per_capita!O$543/1000000</f>
        <v>-4.226199921783435E-4</v>
      </c>
      <c r="P332" s="340">
        <f>Saldo_relativo_per_capita!P332*Saldo_relativo_per_capita!P$543/1000000</f>
        <v>7.1712686352022447E-3</v>
      </c>
      <c r="Q332" s="340">
        <f>Saldo_relativo_per_capita!Q332*Saldo_relativo_per_capita!Q$543/1000000</f>
        <v>3.4241577635083548E-3</v>
      </c>
      <c r="R332" s="340">
        <f>Saldo_relativo_per_capita!R332*Saldo_relativo_per_capita!R$543/1000000</f>
        <v>-1.2536961783380242E-2</v>
      </c>
      <c r="S332" s="340">
        <f>Saldo_relativo_per_capita!S332*Saldo_relativo_per_capita!S$543/1000000</f>
        <v>-7.2847095769735179E-3</v>
      </c>
      <c r="T332" s="340">
        <f>Saldo_relativo_per_capita!T332*Saldo_relativo_per_capita!T$543/1000000</f>
        <v>-3.9813550795668416E-3</v>
      </c>
      <c r="U332" s="340">
        <f>Saldo_relativo_per_capita!U332*Saldo_relativo_per_capita!U$543/1000000</f>
        <v>-1.8918162632506925E-3</v>
      </c>
      <c r="V332" s="340">
        <f>Saldo_relativo_per_capita!V332*Saldo_relativo_per_capita!V$543/1000000</f>
        <v>1.3446496258792066E-3</v>
      </c>
      <c r="W332" s="220"/>
    </row>
    <row r="333" spans="1:24" s="115" customFormat="1">
      <c r="A333" s="355" t="str">
        <f>IF(B333="","",(IF(ISERROR(MATCH(B333,Tot_res!C:C,0)),"Eliminar!!!","")))</f>
        <v/>
      </c>
      <c r="B333" s="115" t="s">
        <v>326</v>
      </c>
      <c r="C333" s="333" t="str">
        <f>VLOOKUP(B333,Tot_res!C:D,2,FALSE)</f>
        <v>Tribunales de justicia y ministerio fiscal</v>
      </c>
      <c r="D333" s="340">
        <f>Saldo_relativo_per_capita!D333*Saldo_relativo_per_capita!D$543/1000000</f>
        <v>0</v>
      </c>
      <c r="E333" s="340">
        <f>Saldo_relativo_per_capita!E333*Saldo_relativo_per_capita!E$543/1000000</f>
        <v>-72.693945202375161</v>
      </c>
      <c r="F333" s="340">
        <f>Saldo_relativo_per_capita!F333*Saldo_relativo_per_capita!F$543/1000000</f>
        <v>-9.9433119647091868</v>
      </c>
      <c r="G333" s="340">
        <f>Saldo_relativo_per_capita!G333*Saldo_relativo_per_capita!G$543/1000000</f>
        <v>-5.6188026742643666</v>
      </c>
      <c r="H333" s="340">
        <f>Saldo_relativo_per_capita!H333*Saldo_relativo_per_capita!H$543/1000000</f>
        <v>36.994218767979881</v>
      </c>
      <c r="I333" s="340">
        <f>Saldo_relativo_per_capita!I333*Saldo_relativo_per_capita!I$543/1000000</f>
        <v>-12.551769969101255</v>
      </c>
      <c r="J333" s="340">
        <f>Saldo_relativo_per_capita!J333*Saldo_relativo_per_capita!J$543/1000000</f>
        <v>-3.718375026882724</v>
      </c>
      <c r="K333" s="340">
        <f>Saldo_relativo_per_capita!K333*Saldo_relativo_per_capita!K$543/1000000</f>
        <v>85.604734089746344</v>
      </c>
      <c r="L333" s="340">
        <f>Saldo_relativo_per_capita!L333*Saldo_relativo_per_capita!L$543/1000000</f>
        <v>76.051989999362306</v>
      </c>
      <c r="M333" s="340">
        <f>Saldo_relativo_per_capita!M333*Saldo_relativo_per_capita!M$543/1000000</f>
        <v>-53.065608797721325</v>
      </c>
      <c r="N333" s="340">
        <f>Saldo_relativo_per_capita!N333*Saldo_relativo_per_capita!N$543/1000000</f>
        <v>-44.213376679968512</v>
      </c>
      <c r="O333" s="340">
        <f>Saldo_relativo_per_capita!O333*Saldo_relativo_per_capita!O$543/1000000</f>
        <v>29.303039551330762</v>
      </c>
      <c r="P333" s="340">
        <f>Saldo_relativo_per_capita!P333*Saldo_relativo_per_capita!P$543/1000000</f>
        <v>-18.338478143407755</v>
      </c>
      <c r="Q333" s="340">
        <f>Saldo_relativo_per_capita!Q333*Saldo_relativo_per_capita!Q$543/1000000</f>
        <v>-33.731307542985839</v>
      </c>
      <c r="R333" s="340">
        <f>Saldo_relativo_per_capita!R333*Saldo_relativo_per_capita!R$543/1000000</f>
        <v>34.984740866898285</v>
      </c>
      <c r="S333" s="340">
        <f>Saldo_relativo_per_capita!S333*Saldo_relativo_per_capita!S$543/1000000</f>
        <v>-5.5481730759758277</v>
      </c>
      <c r="T333" s="340">
        <f>Saldo_relativo_per_capita!T333*Saldo_relativo_per_capita!T$543/1000000</f>
        <v>-14.205674563293089</v>
      </c>
      <c r="U333" s="340">
        <f>Saldo_relativo_per_capita!U333*Saldo_relativo_per_capita!U$543/1000000</f>
        <v>10.49208734543206</v>
      </c>
      <c r="V333" s="340">
        <f>Saldo_relativo_per_capita!V333*Saldo_relativo_per_capita!V$543/1000000</f>
        <v>0.19801301993532663</v>
      </c>
      <c r="W333" s="148"/>
    </row>
    <row r="334" spans="1:24" s="115" customFormat="1">
      <c r="A334" s="355" t="str">
        <f>IF(B334="","",(IF(ISERROR(MATCH(B334,Tot_res!C:C,0)),"Eliminar!!!","")))</f>
        <v/>
      </c>
      <c r="B334" s="115" t="s">
        <v>327</v>
      </c>
      <c r="C334" s="333" t="str">
        <f>VLOOKUP(B334,Tot_res!C:D,2,FALSE)</f>
        <v>Dirección y serv. grales. seguridad y protecc. civil</v>
      </c>
      <c r="D334" s="340">
        <f>Saldo_relativo_per_capita!D334*Saldo_relativo_per_capita!D$543/1000000</f>
        <v>0</v>
      </c>
      <c r="E334" s="340">
        <f>Saldo_relativo_per_capita!E334*Saldo_relativo_per_capita!E$543/1000000</f>
        <v>0.51839740681684332</v>
      </c>
      <c r="F334" s="340">
        <f>Saldo_relativo_per_capita!F334*Saldo_relativo_per_capita!F$543/1000000</f>
        <v>9.2589171853311655E-2</v>
      </c>
      <c r="G334" s="340">
        <f>Saldo_relativo_per_capita!G334*Saldo_relativo_per_capita!G$543/1000000</f>
        <v>0.1206314481914534</v>
      </c>
      <c r="H334" s="340">
        <f>Saldo_relativo_per_capita!H334*Saldo_relativo_per_capita!H$543/1000000</f>
        <v>4.6216045275204724E-2</v>
      </c>
      <c r="I334" s="340">
        <f>Saldo_relativo_per_capita!I334*Saldo_relativo_per_capita!I$543/1000000</f>
        <v>8.7125928370945599E-2</v>
      </c>
      <c r="J334" s="340">
        <f>Saldo_relativo_per_capita!J334*Saldo_relativo_per_capita!J$543/1000000</f>
        <v>-1.7238632492916989E-2</v>
      </c>
      <c r="K334" s="340">
        <f>Saldo_relativo_per_capita!K334*Saldo_relativo_per_capita!K$543/1000000</f>
        <v>0.30353213972226961</v>
      </c>
      <c r="L334" s="340">
        <f>Saldo_relativo_per_capita!L334*Saldo_relativo_per_capita!L$543/1000000</f>
        <v>-5.0038672748432433E-2</v>
      </c>
      <c r="M334" s="340">
        <f>Saldo_relativo_per_capita!M334*Saldo_relativo_per_capita!M$543/1000000</f>
        <v>-1.8298025303588155</v>
      </c>
      <c r="N334" s="340">
        <f>Saldo_relativo_per_capita!N334*Saldo_relativo_per_capita!N$543/1000000</f>
        <v>-0.24818635248632115</v>
      </c>
      <c r="O334" s="340">
        <f>Saldo_relativo_per_capita!O334*Saldo_relativo_per_capita!O$543/1000000</f>
        <v>3.8042351257742621E-2</v>
      </c>
      <c r="P334" s="340">
        <f>Saldo_relativo_per_capita!P334*Saldo_relativo_per_capita!P$543/1000000</f>
        <v>-9.8270341105640979E-3</v>
      </c>
      <c r="Q334" s="340">
        <f>Saldo_relativo_per_capita!Q334*Saldo_relativo_per_capita!Q$543/1000000</f>
        <v>0.85733497788039248</v>
      </c>
      <c r="R334" s="340">
        <f>Saldo_relativo_per_capita!R334*Saldo_relativo_per_capita!R$543/1000000</f>
        <v>-0.105008507330122</v>
      </c>
      <c r="S334" s="340">
        <f>Saldo_relativo_per_capita!S334*Saldo_relativo_per_capita!S$543/1000000</f>
        <v>0.11646068177059171</v>
      </c>
      <c r="T334" s="340">
        <f>Saldo_relativo_per_capita!T334*Saldo_relativo_per_capita!T$543/1000000</f>
        <v>-0.16624702989405765</v>
      </c>
      <c r="U334" s="340">
        <f>Saldo_relativo_per_capita!U334*Saldo_relativo_per_capita!U$543/1000000</f>
        <v>5.7334473376413078E-2</v>
      </c>
      <c r="V334" s="340">
        <f>Saldo_relativo_per_capita!V334*Saldo_relativo_per_capita!V$543/1000000</f>
        <v>0.188684134906073</v>
      </c>
      <c r="W334" s="148"/>
    </row>
    <row r="335" spans="1:24" s="115" customFormat="1">
      <c r="A335" s="355" t="str">
        <f>IF(B335="","",(IF(ISERROR(MATCH(B335,Tot_res!C:C,0)),"Eliminar!!!","")))</f>
        <v/>
      </c>
      <c r="B335" s="115" t="s">
        <v>328</v>
      </c>
      <c r="C335" s="333" t="str">
        <f>VLOOKUP(B335,Tot_res!C:D,2,FALSE)</f>
        <v>Formac. fuerzas y cuerpos de segur. del estado</v>
      </c>
      <c r="D335" s="340">
        <f>Saldo_relativo_per_capita!D335*Saldo_relativo_per_capita!D$543/1000000</f>
        <v>0</v>
      </c>
      <c r="E335" s="340">
        <f>Saldo_relativo_per_capita!E335*Saldo_relativo_per_capita!E$543/1000000</f>
        <v>0.59963022238108932</v>
      </c>
      <c r="F335" s="340">
        <f>Saldo_relativo_per_capita!F335*Saldo_relativo_per_capita!F$543/1000000</f>
        <v>0.50421280401302937</v>
      </c>
      <c r="G335" s="340">
        <f>Saldo_relativo_per_capita!G335*Saldo_relativo_per_capita!G$543/1000000</f>
        <v>0.15067610742688836</v>
      </c>
      <c r="H335" s="340">
        <f>Saldo_relativo_per_capita!H335*Saldo_relativo_per_capita!H$543/1000000</f>
        <v>0.23198585937581961</v>
      </c>
      <c r="I335" s="340">
        <f>Saldo_relativo_per_capita!I335*Saldo_relativo_per_capita!I$543/1000000</f>
        <v>0.44573694017688481</v>
      </c>
      <c r="J335" s="340">
        <f>Saldo_relativo_per_capita!J335*Saldo_relativo_per_capita!J$543/1000000</f>
        <v>4.7149402089802029E-3</v>
      </c>
      <c r="K335" s="340">
        <f>Saldo_relativo_per_capita!K335*Saldo_relativo_per_capita!K$543/1000000</f>
        <v>0.96448921608310634</v>
      </c>
      <c r="L335" s="340">
        <f>Saldo_relativo_per_capita!L335*Saldo_relativo_per_capita!L$543/1000000</f>
        <v>0.1688746056625727</v>
      </c>
      <c r="M335" s="340">
        <f>Saldo_relativo_per_capita!M335*Saldo_relativo_per_capita!M$543/1000000</f>
        <v>-4.8173464127497478</v>
      </c>
      <c r="N335" s="340">
        <f>Saldo_relativo_per_capita!N335*Saldo_relativo_per_capita!N$543/1000000</f>
        <v>-0.34954667684133939</v>
      </c>
      <c r="O335" s="340">
        <f>Saldo_relativo_per_capita!O335*Saldo_relativo_per_capita!O$543/1000000</f>
        <v>0.22502345834960899</v>
      </c>
      <c r="P335" s="340">
        <f>Saldo_relativo_per_capita!P335*Saldo_relativo_per_capita!P$543/1000000</f>
        <v>0.14699180734240563</v>
      </c>
      <c r="Q335" s="340">
        <f>Saldo_relativo_per_capita!Q335*Saldo_relativo_per_capita!Q$543/1000000</f>
        <v>1.3888594759075386</v>
      </c>
      <c r="R335" s="340">
        <f>Saldo_relativo_per_capita!R335*Saldo_relativo_per_capita!R$543/1000000</f>
        <v>-0.28058831917926946</v>
      </c>
      <c r="S335" s="340">
        <f>Saldo_relativo_per_capita!S335*Saldo_relativo_per_capita!S$543/1000000</f>
        <v>0.23767382894897443</v>
      </c>
      <c r="T335" s="340">
        <f>Saldo_relativo_per_capita!T335*Saldo_relativo_per_capita!T$543/1000000</f>
        <v>-0.5008415999661312</v>
      </c>
      <c r="U335" s="340">
        <f>Saldo_relativo_per_capita!U335*Saldo_relativo_per_capita!U$543/1000000</f>
        <v>0.26865260385587159</v>
      </c>
      <c r="V335" s="340">
        <f>Saldo_relativo_per_capita!V335*Saldo_relativo_per_capita!V$543/1000000</f>
        <v>0.61080113900372257</v>
      </c>
      <c r="W335" s="148"/>
    </row>
    <row r="336" spans="1:24" s="115" customFormat="1">
      <c r="A336" s="355" t="str">
        <f>IF(B336="","",(IF(ISERROR(MATCH(B336,Tot_res!C:C,0)),"Eliminar!!!","")))</f>
        <v/>
      </c>
      <c r="B336" s="115" t="s">
        <v>329</v>
      </c>
      <c r="C336" s="333" t="str">
        <f>VLOOKUP(B336,Tot_res!C:D,2,FALSE)</f>
        <v>Fuerzas y cuerpos en reserva</v>
      </c>
      <c r="D336" s="340">
        <f>Saldo_relativo_per_capita!D336*Saldo_relativo_per_capita!D$543/1000000</f>
        <v>0</v>
      </c>
      <c r="E336" s="340">
        <f>Saldo_relativo_per_capita!E336*Saldo_relativo_per_capita!E$543/1000000</f>
        <v>46.456206163451284</v>
      </c>
      <c r="F336" s="340">
        <f>Saldo_relativo_per_capita!F336*Saldo_relativo_per_capita!F$543/1000000</f>
        <v>0.45961627137305167</v>
      </c>
      <c r="G336" s="340">
        <f>Saldo_relativo_per_capita!G336*Saldo_relativo_per_capita!G$543/1000000</f>
        <v>2.6577369257757457</v>
      </c>
      <c r="H336" s="340">
        <f>Saldo_relativo_per_capita!H336*Saldo_relativo_per_capita!H$543/1000000</f>
        <v>-2.2795278093913574</v>
      </c>
      <c r="I336" s="340">
        <f>Saldo_relativo_per_capita!I336*Saldo_relativo_per_capita!I$543/1000000</f>
        <v>0.39820192037223401</v>
      </c>
      <c r="J336" s="340">
        <f>Saldo_relativo_per_capita!J336*Saldo_relativo_per_capita!J$543/1000000</f>
        <v>0.3280902719357191</v>
      </c>
      <c r="K336" s="340">
        <f>Saldo_relativo_per_capita!K336*Saldo_relativo_per_capita!K$543/1000000</f>
        <v>3.7896985210730625</v>
      </c>
      <c r="L336" s="340">
        <f>Saldo_relativo_per_capita!L336*Saldo_relativo_per_capita!L$543/1000000</f>
        <v>-5.8975043205282729</v>
      </c>
      <c r="M336" s="340">
        <f>Saldo_relativo_per_capita!M336*Saldo_relativo_per_capita!M$543/1000000</f>
        <v>-44.398045073447392</v>
      </c>
      <c r="N336" s="340">
        <f>Saldo_relativo_per_capita!N336*Saldo_relativo_per_capita!N$543/1000000</f>
        <v>-5.0355390227284911</v>
      </c>
      <c r="O336" s="340">
        <f>Saldo_relativo_per_capita!O336*Saldo_relativo_per_capita!O$543/1000000</f>
        <v>-0.74086138901663079</v>
      </c>
      <c r="P336" s="340">
        <f>Saldo_relativo_per_capita!P336*Saldo_relativo_per_capita!P$543/1000000</f>
        <v>4.6719893407823232</v>
      </c>
      <c r="Q336" s="340">
        <f>Saldo_relativo_per_capita!Q336*Saldo_relativo_per_capita!Q$543/1000000</f>
        <v>-3.526661419758816</v>
      </c>
      <c r="R336" s="340">
        <f>Saldo_relativo_per_capita!R336*Saldo_relativo_per_capita!R$543/1000000</f>
        <v>-2.3005931791718113</v>
      </c>
      <c r="S336" s="340">
        <f>Saldo_relativo_per_capita!S336*Saldo_relativo_per_capita!S$543/1000000</f>
        <v>-0.4491783624150073</v>
      </c>
      <c r="T336" s="340">
        <f>Saldo_relativo_per_capita!T336*Saldo_relativo_per_capita!T$543/1000000</f>
        <v>-6.9582199644242815</v>
      </c>
      <c r="U336" s="340">
        <f>Saldo_relativo_per_capita!U336*Saldo_relativo_per_capita!U$543/1000000</f>
        <v>2.4911885172938222</v>
      </c>
      <c r="V336" s="340">
        <f>Saldo_relativo_per_capita!V336*Saldo_relativo_per_capita!V$543/1000000</f>
        <v>10.333402608824651</v>
      </c>
      <c r="W336" s="148"/>
    </row>
    <row r="337" spans="1:23" s="115" customFormat="1">
      <c r="A337" s="355" t="str">
        <f>IF(B337="","",(IF(ISERROR(MATCH(B337,Tot_res!C:C,0)),"Eliminar!!!","")))</f>
        <v/>
      </c>
      <c r="B337" s="115" t="s">
        <v>330</v>
      </c>
      <c r="C337" s="333" t="str">
        <f>VLOOKUP(B337,Tot_res!C:D,2,FALSE)</f>
        <v>Seguridad ciudadana</v>
      </c>
      <c r="D337" s="340">
        <f>Saldo_relativo_per_capita!D337*Saldo_relativo_per_capita!D$543/1000000</f>
        <v>0</v>
      </c>
      <c r="E337" s="340">
        <f>Saldo_relativo_per_capita!E337*Saldo_relativo_per_capita!E$543/1000000</f>
        <v>43.927017658059434</v>
      </c>
      <c r="F337" s="340">
        <f>Saldo_relativo_per_capita!F337*Saldo_relativo_per_capita!F$543/1000000</f>
        <v>29.151433932389136</v>
      </c>
      <c r="G337" s="340">
        <f>Saldo_relativo_per_capita!G337*Saldo_relativo_per_capita!G$543/1000000</f>
        <v>8.2457361068305683</v>
      </c>
      <c r="H337" s="340">
        <f>Saldo_relativo_per_capita!H337*Saldo_relativo_per_capita!H$543/1000000</f>
        <v>18.236527970954835</v>
      </c>
      <c r="I337" s="340">
        <f>Saldo_relativo_per_capita!I337*Saldo_relativo_per_capita!I$543/1000000</f>
        <v>33.265389278966452</v>
      </c>
      <c r="J337" s="340">
        <f>Saldo_relativo_per_capita!J337*Saldo_relativo_per_capita!J$543/1000000</f>
        <v>-1.368712801672191</v>
      </c>
      <c r="K337" s="340">
        <f>Saldo_relativo_per_capita!K337*Saldo_relativo_per_capita!K$543/1000000</f>
        <v>49.554159551970955</v>
      </c>
      <c r="L337" s="340">
        <f>Saldo_relativo_per_capita!L337*Saldo_relativo_per_capita!L$543/1000000</f>
        <v>1.9852840108301877</v>
      </c>
      <c r="M337" s="340">
        <f>Saldo_relativo_per_capita!M337*Saldo_relativo_per_capita!M$543/1000000</f>
        <v>-330.3675614171184</v>
      </c>
      <c r="N337" s="340">
        <f>Saldo_relativo_per_capita!N337*Saldo_relativo_per_capita!N$543/1000000</f>
        <v>-24.357655245482125</v>
      </c>
      <c r="O337" s="340">
        <f>Saldo_relativo_per_capita!O337*Saldo_relativo_per_capita!O$543/1000000</f>
        <v>11.368372605019429</v>
      </c>
      <c r="P337" s="340">
        <f>Saldo_relativo_per_capita!P337*Saldo_relativo_per_capita!P$543/1000000</f>
        <v>-2.0842835891666498E-2</v>
      </c>
      <c r="Q337" s="340">
        <f>Saldo_relativo_per_capita!Q337*Saldo_relativo_per_capita!Q$543/1000000</f>
        <v>120.04511213623569</v>
      </c>
      <c r="R337" s="340">
        <f>Saldo_relativo_per_capita!R337*Saldo_relativo_per_capita!R$543/1000000</f>
        <v>-21.263670586762188</v>
      </c>
      <c r="S337" s="340">
        <f>Saldo_relativo_per_capita!S337*Saldo_relativo_per_capita!S$543/1000000</f>
        <v>16.476338119578031</v>
      </c>
      <c r="T337" s="340">
        <f>Saldo_relativo_per_capita!T337*Saldo_relativo_per_capita!T$543/1000000</f>
        <v>-25.649241136106223</v>
      </c>
      <c r="U337" s="340">
        <f>Saldo_relativo_per_capita!U337*Saldo_relativo_per_capita!U$543/1000000</f>
        <v>19.258252393208632</v>
      </c>
      <c r="V337" s="340">
        <f>Saldo_relativo_per_capita!V337*Saldo_relativo_per_capita!V$543/1000000</f>
        <v>51.514060258989062</v>
      </c>
      <c r="W337" s="148"/>
    </row>
    <row r="338" spans="1:23" s="115" customFormat="1">
      <c r="A338" s="355" t="str">
        <f>IF(B338="","",(IF(ISERROR(MATCH(B338,Tot_res!C:C,0)),"Eliminar!!!","")))</f>
        <v/>
      </c>
      <c r="B338" s="115" t="s">
        <v>332</v>
      </c>
      <c r="C338" s="333" t="str">
        <f>VLOOKUP(B338,Tot_res!C:D,2,FALSE)</f>
        <v>Seguridad vial</v>
      </c>
      <c r="D338" s="340">
        <f>Saldo_relativo_per_capita!D338*Saldo_relativo_per_capita!D$543/1000000</f>
        <v>0</v>
      </c>
      <c r="E338" s="340">
        <f>Saldo_relativo_per_capita!E338*Saldo_relativo_per_capita!E$543/1000000</f>
        <v>-0.72564920761717622</v>
      </c>
      <c r="F338" s="340">
        <f>Saldo_relativo_per_capita!F338*Saldo_relativo_per_capita!F$543/1000000</f>
        <v>15.300607803133527</v>
      </c>
      <c r="G338" s="340">
        <f>Saldo_relativo_per_capita!G338*Saldo_relativo_per_capita!G$543/1000000</f>
        <v>4.0010319833499652</v>
      </c>
      <c r="H338" s="340">
        <f>Saldo_relativo_per_capita!H338*Saldo_relativo_per_capita!H$543/1000000</f>
        <v>0.91572985605629265</v>
      </c>
      <c r="I338" s="340">
        <f>Saldo_relativo_per_capita!I338*Saldo_relativo_per_capita!I$543/1000000</f>
        <v>-1.0180071270327473</v>
      </c>
      <c r="J338" s="340">
        <f>Saldo_relativo_per_capita!J338*Saldo_relativo_per_capita!J$543/1000000</f>
        <v>2.5721096811890258</v>
      </c>
      <c r="K338" s="340">
        <f>Saldo_relativo_per_capita!K338*Saldo_relativo_per_capita!K$543/1000000</f>
        <v>39.37304645321359</v>
      </c>
      <c r="L338" s="340">
        <f>Saldo_relativo_per_capita!L338*Saldo_relativo_per_capita!L$543/1000000</f>
        <v>14.984779386372566</v>
      </c>
      <c r="M338" s="340">
        <f>Saldo_relativo_per_capita!M338*Saldo_relativo_per_capita!M$543/1000000</f>
        <v>-63.520960005103291</v>
      </c>
      <c r="N338" s="340">
        <f>Saldo_relativo_per_capita!N338*Saldo_relativo_per_capita!N$543/1000000</f>
        <v>-6.7647213621861626</v>
      </c>
      <c r="O338" s="340">
        <f>Saldo_relativo_per_capita!O338*Saldo_relativo_per_capita!O$543/1000000</f>
        <v>7.0756355783957874</v>
      </c>
      <c r="P338" s="340">
        <f>Saldo_relativo_per_capita!P338*Saldo_relativo_per_capita!P$543/1000000</f>
        <v>17.393684574301986</v>
      </c>
      <c r="Q338" s="340">
        <f>Saldo_relativo_per_capita!Q338*Saldo_relativo_per_capita!Q$543/1000000</f>
        <v>-13.329086385727512</v>
      </c>
      <c r="R338" s="340">
        <f>Saldo_relativo_per_capita!R338*Saldo_relativo_per_capita!R$543/1000000</f>
        <v>-2.9416452992198172</v>
      </c>
      <c r="S338" s="340">
        <f>Saldo_relativo_per_capita!S338*Saldo_relativo_per_capita!S$543/1000000</f>
        <v>2.0813280018483287</v>
      </c>
      <c r="T338" s="340">
        <f>Saldo_relativo_per_capita!T338*Saldo_relativo_per_capita!T$543/1000000</f>
        <v>-17.722803250356307</v>
      </c>
      <c r="U338" s="340">
        <f>Saldo_relativo_per_capita!U338*Saldo_relativo_per_capita!U$543/1000000</f>
        <v>3.113688454072145</v>
      </c>
      <c r="V338" s="340">
        <f>Saldo_relativo_per_capita!V338*Saldo_relativo_per_capita!V$543/1000000</f>
        <v>-0.78876913469034748</v>
      </c>
      <c r="W338" s="220"/>
    </row>
    <row r="339" spans="1:23" s="115" customFormat="1">
      <c r="A339" s="355" t="str">
        <f>IF(B339="","",(IF(ISERROR(MATCH(B339,Tot_res!C:C,0)),"Eliminar!!!","")))</f>
        <v/>
      </c>
      <c r="B339" s="115" t="s">
        <v>333</v>
      </c>
      <c r="C339" s="333" t="str">
        <f>VLOOKUP(B339,Tot_res!C:D,2,FALSE)</f>
        <v>Actuaciones policiales en materia de droga</v>
      </c>
      <c r="D339" s="340">
        <f>Saldo_relativo_per_capita!D339*Saldo_relativo_per_capita!D$543/1000000</f>
        <v>0</v>
      </c>
      <c r="E339" s="340">
        <f>Saldo_relativo_per_capita!E339*Saldo_relativo_per_capita!E$543/1000000</f>
        <v>1.0566941565809733</v>
      </c>
      <c r="F339" s="340">
        <f>Saldo_relativo_per_capita!F339*Saldo_relativo_per_capita!F$543/1000000</f>
        <v>0.3239825891076592</v>
      </c>
      <c r="G339" s="340">
        <f>Saldo_relativo_per_capita!G339*Saldo_relativo_per_capita!G$543/1000000</f>
        <v>0.1268286273821127</v>
      </c>
      <c r="H339" s="340">
        <f>Saldo_relativo_per_capita!H339*Saldo_relativo_per_capita!H$543/1000000</f>
        <v>0.19470323730132677</v>
      </c>
      <c r="I339" s="340">
        <f>Saldo_relativo_per_capita!I339*Saldo_relativo_per_capita!I$543/1000000</f>
        <v>0.48346236086880173</v>
      </c>
      <c r="J339" s="340">
        <f>Saldo_relativo_per_capita!J339*Saldo_relativo_per_capita!J$543/1000000</f>
        <v>-1.1702333482761869E-2</v>
      </c>
      <c r="K339" s="340">
        <f>Saldo_relativo_per_capita!K339*Saldo_relativo_per_capita!K$543/1000000</f>
        <v>0.62500923290236732</v>
      </c>
      <c r="L339" s="340">
        <f>Saldo_relativo_per_capita!L339*Saldo_relativo_per_capita!L$543/1000000</f>
        <v>0.11780660488490637</v>
      </c>
      <c r="M339" s="340">
        <f>Saldo_relativo_per_capita!M339*Saldo_relativo_per_capita!M$543/1000000</f>
        <v>-4.3370784608779633</v>
      </c>
      <c r="N339" s="340">
        <f>Saldo_relativo_per_capita!N339*Saldo_relativo_per_capita!N$543/1000000</f>
        <v>-0.12261040735024668</v>
      </c>
      <c r="O339" s="340">
        <f>Saldo_relativo_per_capita!O339*Saldo_relativo_per_capita!O$543/1000000</f>
        <v>0.22550117421436755</v>
      </c>
      <c r="P339" s="340">
        <f>Saldo_relativo_per_capita!P339*Saldo_relativo_per_capita!P$543/1000000</f>
        <v>7.802601782069328E-2</v>
      </c>
      <c r="Q339" s="340">
        <f>Saldo_relativo_per_capita!Q339*Saldo_relativo_per_capita!Q$543/1000000</f>
        <v>0.92410384015607228</v>
      </c>
      <c r="R339" s="340">
        <f>Saldo_relativo_per_capita!R339*Saldo_relativo_per_capita!R$543/1000000</f>
        <v>-0.18601616005482191</v>
      </c>
      <c r="S339" s="340">
        <f>Saldo_relativo_per_capita!S339*Saldo_relativo_per_capita!S$543/1000000</f>
        <v>0.16459480004552779</v>
      </c>
      <c r="T339" s="340">
        <f>Saldo_relativo_per_capita!T339*Saldo_relativo_per_capita!T$543/1000000</f>
        <v>-0.48126590848037831</v>
      </c>
      <c r="U339" s="340">
        <f>Saldo_relativo_per_capita!U339*Saldo_relativo_per_capita!U$543/1000000</f>
        <v>0.2239114392970683</v>
      </c>
      <c r="V339" s="340">
        <f>Saldo_relativo_per_capita!V339*Saldo_relativo_per_capita!V$543/1000000</f>
        <v>0.5940491896842941</v>
      </c>
      <c r="W339" s="148"/>
    </row>
    <row r="340" spans="1:23" s="115" customFormat="1">
      <c r="A340" s="355" t="str">
        <f>IF(B340="","",(IF(ISERROR(MATCH(B340,Tot_res!C:C,0)),"Eliminar!!!","")))</f>
        <v/>
      </c>
      <c r="B340" s="115" t="s">
        <v>335</v>
      </c>
      <c r="C340" s="333" t="str">
        <f>VLOOKUP(B340,Tot_res!C:D,2,FALSE)</f>
        <v>Centros e instituciones penitenciarias</v>
      </c>
      <c r="D340" s="340">
        <f>Saldo_relativo_per_capita!D340*Saldo_relativo_per_capita!D$543/1000000</f>
        <v>0</v>
      </c>
      <c r="E340" s="340">
        <f>Saldo_relativo_per_capita!E340*Saldo_relativo_per_capita!E$543/1000000</f>
        <v>45.086615615505337</v>
      </c>
      <c r="F340" s="340">
        <f>Saldo_relativo_per_capita!F340*Saldo_relativo_per_capita!F$543/1000000</f>
        <v>7.3359591442110119</v>
      </c>
      <c r="G340" s="340">
        <f>Saldo_relativo_per_capita!G340*Saldo_relativo_per_capita!G$543/1000000</f>
        <v>-2.0692761664405737</v>
      </c>
      <c r="H340" s="340">
        <f>Saldo_relativo_per_capita!H340*Saldo_relativo_per_capita!H$543/1000000</f>
        <v>5.7123581569709563</v>
      </c>
      <c r="I340" s="340">
        <f>Saldo_relativo_per_capita!I340*Saldo_relativo_per_capita!I$543/1000000</f>
        <v>12.255990463874646</v>
      </c>
      <c r="J340" s="340">
        <f>Saldo_relativo_per_capita!J340*Saldo_relativo_per_capita!J$543/1000000</f>
        <v>0.53284796994487571</v>
      </c>
      <c r="K340" s="340">
        <f>Saldo_relativo_per_capita!K340*Saldo_relativo_per_capita!K$543/1000000</f>
        <v>43.711473489624261</v>
      </c>
      <c r="L340" s="340">
        <f>Saldo_relativo_per_capita!L340*Saldo_relativo_per_capita!L$543/1000000</f>
        <v>-5.7354130454060197</v>
      </c>
      <c r="M340" s="340">
        <f>Saldo_relativo_per_capita!M340*Saldo_relativo_per_capita!M$543/1000000</f>
        <v>-126.52702097816828</v>
      </c>
      <c r="N340" s="340">
        <f>Saldo_relativo_per_capita!N340*Saldo_relativo_per_capita!N$543/1000000</f>
        <v>5.4713719865294141</v>
      </c>
      <c r="O340" s="340">
        <f>Saldo_relativo_per_capita!O340*Saldo_relativo_per_capita!O$543/1000000</f>
        <v>-2.0958974442483602</v>
      </c>
      <c r="P340" s="340">
        <f>Saldo_relativo_per_capita!P340*Saldo_relativo_per_capita!P$543/1000000</f>
        <v>7.1353361076123196</v>
      </c>
      <c r="Q340" s="340">
        <f>Saldo_relativo_per_capita!Q340*Saldo_relativo_per_capita!Q$543/1000000</f>
        <v>20.279118997823208</v>
      </c>
      <c r="R340" s="340">
        <f>Saldo_relativo_per_capita!R340*Saldo_relativo_per_capita!R$543/1000000</f>
        <v>-3.1761207754395944</v>
      </c>
      <c r="S340" s="340">
        <f>Saldo_relativo_per_capita!S340*Saldo_relativo_per_capita!S$543/1000000</f>
        <v>-3.5544760214162312</v>
      </c>
      <c r="T340" s="340">
        <f>Saldo_relativo_per_capita!T340*Saldo_relativo_per_capita!T$543/1000000</f>
        <v>-14.677835282726681</v>
      </c>
      <c r="U340" s="340">
        <f>Saldo_relativo_per_capita!U340*Saldo_relativo_per_capita!U$543/1000000</f>
        <v>0.41726847900238329</v>
      </c>
      <c r="V340" s="340">
        <f>Saldo_relativo_per_capita!V340*Saldo_relativo_per_capita!V$543/1000000</f>
        <v>9.8976993027469469</v>
      </c>
      <c r="W340" s="148"/>
    </row>
    <row r="341" spans="1:23" s="115" customFormat="1">
      <c r="A341" s="355" t="str">
        <f>IF(B341="","",(IF(ISERROR(MATCH(B341,Tot_res!C:C,0)),"Eliminar!!!","")))</f>
        <v/>
      </c>
      <c r="B341" s="115" t="s">
        <v>336</v>
      </c>
      <c r="C341" s="333" t="str">
        <f>VLOOKUP(B341,Tot_res!C:D,2,FALSE)</f>
        <v>Trabajo, formación y asistencia a reclusos</v>
      </c>
      <c r="D341" s="340">
        <f>Saldo_relativo_per_capita!D341*Saldo_relativo_per_capita!D$543/1000000</f>
        <v>0</v>
      </c>
      <c r="E341" s="340">
        <f>Saldo_relativo_per_capita!E341*Saldo_relativo_per_capita!E$543/1000000</f>
        <v>0.28993073520674062</v>
      </c>
      <c r="F341" s="340">
        <f>Saldo_relativo_per_capita!F341*Saldo_relativo_per_capita!F$543/1000000</f>
        <v>0.24883282482569208</v>
      </c>
      <c r="G341" s="340">
        <f>Saldo_relativo_per_capita!G341*Saldo_relativo_per_capita!G$543/1000000</f>
        <v>-0.13032854807919153</v>
      </c>
      <c r="H341" s="340">
        <f>Saldo_relativo_per_capita!H341*Saldo_relativo_per_capita!H$543/1000000</f>
        <v>-5.4973377300269063E-2</v>
      </c>
      <c r="I341" s="340">
        <f>Saldo_relativo_per_capita!I341*Saldo_relativo_per_capita!I$543/1000000</f>
        <v>-0.14759720343909796</v>
      </c>
      <c r="J341" s="340">
        <f>Saldo_relativo_per_capita!J341*Saldo_relativo_per_capita!J$543/1000000</f>
        <v>8.8594855275113932E-2</v>
      </c>
      <c r="K341" s="340">
        <f>Saldo_relativo_per_capita!K341*Saldo_relativo_per_capita!K$543/1000000</f>
        <v>1.3785824268582034</v>
      </c>
      <c r="L341" s="340">
        <f>Saldo_relativo_per_capita!L341*Saldo_relativo_per_capita!L$543/1000000</f>
        <v>0.41954295523387503</v>
      </c>
      <c r="M341" s="340">
        <f>Saldo_relativo_per_capita!M341*Saldo_relativo_per_capita!M$543/1000000</f>
        <v>-2.6946937311015882</v>
      </c>
      <c r="N341" s="340">
        <f>Saldo_relativo_per_capita!N341*Saldo_relativo_per_capita!N$543/1000000</f>
        <v>-8.8802182272695068E-2</v>
      </c>
      <c r="O341" s="340">
        <f>Saldo_relativo_per_capita!O341*Saldo_relativo_per_capita!O$543/1000000</f>
        <v>0.13611089009738297</v>
      </c>
      <c r="P341" s="340">
        <f>Saldo_relativo_per_capita!P341*Saldo_relativo_per_capita!P$543/1000000</f>
        <v>0.49340814182490461</v>
      </c>
      <c r="Q341" s="340">
        <f>Saldo_relativo_per_capita!Q341*Saldo_relativo_per_capita!Q$543/1000000</f>
        <v>0.18506343121605842</v>
      </c>
      <c r="R341" s="340">
        <f>Saldo_relativo_per_capita!R341*Saldo_relativo_per_capita!R$543/1000000</f>
        <v>-4.534907667789647E-2</v>
      </c>
      <c r="S341" s="340">
        <f>Saldo_relativo_per_capita!S341*Saldo_relativo_per_capita!S$543/1000000</f>
        <v>-8.4237057523582445E-2</v>
      </c>
      <c r="T341" s="340">
        <f>Saldo_relativo_per_capita!T341*Saldo_relativo_per_capita!T$543/1000000</f>
        <v>-0.20783274827990383</v>
      </c>
      <c r="U341" s="340">
        <f>Saldo_relativo_per_capita!U341*Saldo_relativo_per_capita!U$543/1000000</f>
        <v>2.9664860625189769E-2</v>
      </c>
      <c r="V341" s="340">
        <f>Saldo_relativo_per_capita!V341*Saldo_relativo_per_capita!V$543/1000000</f>
        <v>0.18408280351106274</v>
      </c>
      <c r="W341" s="148"/>
    </row>
    <row r="342" spans="1:23" s="115" customFormat="1">
      <c r="A342" s="355" t="str">
        <f>IF(B342="","",(IF(ISERROR(MATCH(B342,Tot_res!C:C,0)),"Eliminar!!!","")))</f>
        <v/>
      </c>
      <c r="B342" s="115" t="s">
        <v>337</v>
      </c>
      <c r="C342" s="333" t="str">
        <f>VLOOKUP(B342,Tot_res!C:D,2,FALSE)</f>
        <v>Protección civil</v>
      </c>
      <c r="D342" s="340">
        <f>Saldo_relativo_per_capita!D342*Saldo_relativo_per_capita!D$543/1000000</f>
        <v>0</v>
      </c>
      <c r="E342" s="340">
        <f>Saldo_relativo_per_capita!E342*Saldo_relativo_per_capita!E$543/1000000</f>
        <v>1.8327385726942611</v>
      </c>
      <c r="F342" s="340">
        <f>Saldo_relativo_per_capita!F342*Saldo_relativo_per_capita!F$543/1000000</f>
        <v>-1.8952996227878008E-2</v>
      </c>
      <c r="G342" s="340">
        <f>Saldo_relativo_per_capita!G342*Saldo_relativo_per_capita!G$543/1000000</f>
        <v>-0.2042441219253586</v>
      </c>
      <c r="H342" s="340">
        <f>Saldo_relativo_per_capita!H342*Saldo_relativo_per_capita!H$543/1000000</f>
        <v>-0.21241371035959206</v>
      </c>
      <c r="I342" s="340">
        <f>Saldo_relativo_per_capita!I342*Saldo_relativo_per_capita!I$543/1000000</f>
        <v>-0.17786475178536695</v>
      </c>
      <c r="J342" s="340">
        <f>Saldo_relativo_per_capita!J342*Saldo_relativo_per_capita!J$543/1000000</f>
        <v>-0.11284268822705189</v>
      </c>
      <c r="K342" s="340">
        <f>Saldo_relativo_per_capita!K342*Saldo_relativo_per_capita!K$543/1000000</f>
        <v>-0.31012301668179165</v>
      </c>
      <c r="L342" s="340">
        <f>Saldo_relativo_per_capita!L342*Saldo_relativo_per_capita!L$543/1000000</f>
        <v>0.48144035443197364</v>
      </c>
      <c r="M342" s="340">
        <f>Saldo_relativo_per_capita!M342*Saldo_relativo_per_capita!M$543/1000000</f>
        <v>-1.1578335570763609</v>
      </c>
      <c r="N342" s="340">
        <f>Saldo_relativo_per_capita!N342*Saldo_relativo_per_capita!N$543/1000000</f>
        <v>-0.67202027269795295</v>
      </c>
      <c r="O342" s="340">
        <f>Saldo_relativo_per_capita!O342*Saldo_relativo_per_capita!O$543/1000000</f>
        <v>0.5599475591647346</v>
      </c>
      <c r="P342" s="340">
        <f>Saldo_relativo_per_capita!P342*Saldo_relativo_per_capita!P$543/1000000</f>
        <v>-0.51628822775126393</v>
      </c>
      <c r="Q342" s="340">
        <f>Saldo_relativo_per_capita!Q342*Saldo_relativo_per_capita!Q$543/1000000</f>
        <v>-0.74890006188634584</v>
      </c>
      <c r="R342" s="340">
        <f>Saldo_relativo_per_capita!R342*Saldo_relativo_per_capita!R$543/1000000</f>
        <v>1.7547086883790088</v>
      </c>
      <c r="S342" s="340">
        <f>Saldo_relativo_per_capita!S342*Saldo_relativo_per_capita!S$543/1000000</f>
        <v>-0.11416161156642891</v>
      </c>
      <c r="T342" s="340">
        <f>Saldo_relativo_per_capita!T342*Saldo_relativo_per_capita!T$543/1000000</f>
        <v>-0.28937246330862265</v>
      </c>
      <c r="U342" s="340">
        <f>Saldo_relativo_per_capita!U342*Saldo_relativo_per_capita!U$543/1000000</f>
        <v>-6.1470075760411164E-2</v>
      </c>
      <c r="V342" s="340">
        <f>Saldo_relativo_per_capita!V342*Saldo_relativo_per_capita!V$543/1000000</f>
        <v>-3.2347619415557263E-2</v>
      </c>
      <c r="W342" s="148"/>
    </row>
    <row r="343" spans="1:23" s="115" customFormat="1">
      <c r="A343" s="355" t="str">
        <f>IF(B343="","",(IF(ISERROR(MATCH(B343,Tot_res!C:C,0)),"Eliminar!!!","")))</f>
        <v/>
      </c>
      <c r="B343" s="115" t="s">
        <v>839</v>
      </c>
      <c r="C343" s="333" t="str">
        <f>VLOOKUP(B343,Tot_res!C:D,2,FALSE)</f>
        <v>Otras transferencias a Comunidades Autónomas: Transferencias a PV para prejubilaciones policía autónoma</v>
      </c>
      <c r="D343" s="340">
        <f>Saldo_relativo_per_capita!D343*Saldo_relativo_per_capita!D$543/1000000</f>
        <v>0</v>
      </c>
      <c r="E343" s="340">
        <f>Saldo_relativo_per_capita!E343*Saldo_relativo_per_capita!E$543/1000000</f>
        <v>-2.0178720100983458</v>
      </c>
      <c r="F343" s="340">
        <f>Saldo_relativo_per_capita!F343*Saldo_relativo_per_capita!F$543/1000000</f>
        <v>-0.30155379417935885</v>
      </c>
      <c r="G343" s="340">
        <f>Saldo_relativo_per_capita!G343*Saldo_relativo_per_capita!G$543/1000000</f>
        <v>-0.24960159106718266</v>
      </c>
      <c r="H343" s="340">
        <f>Saldo_relativo_per_capita!H343*Saldo_relativo_per_capita!H$543/1000000</f>
        <v>-0.25209128465916297</v>
      </c>
      <c r="I343" s="340">
        <f>Saldo_relativo_per_capita!I343*Saldo_relativo_per_capita!I$543/1000000</f>
        <v>-0.49686291215322687</v>
      </c>
      <c r="J343" s="340">
        <f>Saldo_relativo_per_capita!J343*Saldo_relativo_per_capita!J$543/1000000</f>
        <v>-0.13786885537177929</v>
      </c>
      <c r="K343" s="340">
        <f>Saldo_relativo_per_capita!K343*Saldo_relativo_per_capita!K$543/1000000</f>
        <v>-0.58184550234697141</v>
      </c>
      <c r="L343" s="340">
        <f>Saldo_relativo_per_capita!L343*Saldo_relativo_per_capita!L$543/1000000</f>
        <v>-0.49647573734205153</v>
      </c>
      <c r="M343" s="340">
        <f>Saldo_relativo_per_capita!M343*Saldo_relativo_per_capita!M$543/1000000</f>
        <v>-1.6830913661956231</v>
      </c>
      <c r="N343" s="340">
        <f>Saldo_relativo_per_capita!N343*Saldo_relativo_per_capita!N$543/1000000</f>
        <v>-1.1902367106608021</v>
      </c>
      <c r="O343" s="340">
        <f>Saldo_relativo_per_capita!O343*Saldo_relativo_per_capita!O$543/1000000</f>
        <v>-0.26626770689939272</v>
      </c>
      <c r="P343" s="340">
        <f>Saldo_relativo_per_capita!P343*Saldo_relativo_per_capita!P$543/1000000</f>
        <v>-0.64580633928693421</v>
      </c>
      <c r="Q343" s="340">
        <f>Saldo_relativo_per_capita!Q343*Saldo_relativo_per_capita!Q$543/1000000</f>
        <v>-1.3990415715096771</v>
      </c>
      <c r="R343" s="340">
        <f>Saldo_relativo_per_capita!R343*Saldo_relativo_per_capita!R$543/1000000</f>
        <v>-0.34778012669814795</v>
      </c>
      <c r="S343" s="340">
        <f>Saldo_relativo_per_capita!S343*Saldo_relativo_per_capita!S$543/1000000</f>
        <v>-0.1419694257028655</v>
      </c>
      <c r="T343" s="340">
        <f>Saldo_relativo_per_capita!T343*Saldo_relativo_per_capita!T$543/1000000</f>
        <v>10.321219373666606</v>
      </c>
      <c r="U343" s="340">
        <f>Saldo_relativo_per_capita!U343*Saldo_relativo_per_capita!U$543/1000000</f>
        <v>-7.2778512534125428E-2</v>
      </c>
      <c r="V343" s="340">
        <f>Saldo_relativo_per_capita!V343*Saldo_relativo_per_capita!V$543/1000000</f>
        <v>-4.0075926960961718E-2</v>
      </c>
      <c r="W343" s="148"/>
    </row>
    <row r="344" spans="1:23" s="115" customFormat="1">
      <c r="A344" s="355" t="str">
        <f>IF(B344="","",(IF(ISERROR(MATCH(B344,Tot_res!C:C,0)),"Eliminar!!!","")))</f>
        <v/>
      </c>
      <c r="B344" s="115" t="s">
        <v>339</v>
      </c>
      <c r="C344" s="333" t="str">
        <f>VLOOKUP(B344,Tot_res!C:D,2,FALSE)</f>
        <v>Administración de Justicia + AF13</v>
      </c>
      <c r="D344" s="340">
        <f>Saldo_relativo_per_capita!D344*Saldo_relativo_per_capita!D$543/1000000</f>
        <v>0</v>
      </c>
      <c r="E344" s="340">
        <f>Saldo_relativo_per_capita!E344*Saldo_relativo_per_capita!E$543/1000000</f>
        <v>29.601212691892471</v>
      </c>
      <c r="F344" s="340">
        <f>Saldo_relativo_per_capita!F344*Saldo_relativo_per_capita!F$543/1000000</f>
        <v>9.7992583198096437</v>
      </c>
      <c r="G344" s="340">
        <f>Saldo_relativo_per_capita!G344*Saldo_relativo_per_capita!G$543/1000000</f>
        <v>19.669610252267915</v>
      </c>
      <c r="H344" s="340">
        <f>Saldo_relativo_per_capita!H344*Saldo_relativo_per_capita!H$543/1000000</f>
        <v>-22.794410511210536</v>
      </c>
      <c r="I344" s="340">
        <f>Saldo_relativo_per_capita!I344*Saldo_relativo_per_capita!I$543/1000000</f>
        <v>6.4818301341429168</v>
      </c>
      <c r="J344" s="340">
        <f>Saldo_relativo_per_capita!J344*Saldo_relativo_per_capita!J$543/1000000</f>
        <v>7.0070013974465919</v>
      </c>
      <c r="K344" s="340">
        <f>Saldo_relativo_per_capita!K344*Saldo_relativo_per_capita!K$543/1000000</f>
        <v>-52.611200948617594</v>
      </c>
      <c r="L344" s="340">
        <f>Saldo_relativo_per_capita!L344*Saldo_relativo_per_capita!L$543/1000000</f>
        <v>-44.8919595976176</v>
      </c>
      <c r="M344" s="340">
        <f>Saldo_relativo_per_capita!M344*Saldo_relativo_per_capita!M$543/1000000</f>
        <v>56.457201662662939</v>
      </c>
      <c r="N344" s="340">
        <f>Saldo_relativo_per_capita!N344*Saldo_relativo_per_capita!N$543/1000000</f>
        <v>-6.9024635288229659</v>
      </c>
      <c r="O344" s="340">
        <f>Saldo_relativo_per_capita!O344*Saldo_relativo_per_capita!O$543/1000000</f>
        <v>-24.076260411578783</v>
      </c>
      <c r="P344" s="340">
        <f>Saldo_relativo_per_capita!P344*Saldo_relativo_per_capita!P$543/1000000</f>
        <v>-9.1017750055251785</v>
      </c>
      <c r="Q344" s="340">
        <f>Saldo_relativo_per_capita!Q344*Saldo_relativo_per_capita!Q$543/1000000</f>
        <v>44.974424048269356</v>
      </c>
      <c r="R344" s="340">
        <f>Saldo_relativo_per_capita!R344*Saldo_relativo_per_capita!R$543/1000000</f>
        <v>-31.446715765349055</v>
      </c>
      <c r="S344" s="340">
        <f>Saldo_relativo_per_capita!S344*Saldo_relativo_per_capita!S$543/1000000</f>
        <v>3.4298126496934573</v>
      </c>
      <c r="T344" s="340">
        <f>Saldo_relativo_per_capita!T344*Saldo_relativo_per_capita!T$543/1000000</f>
        <v>12.057894000604271</v>
      </c>
      <c r="U344" s="340">
        <f>Saldo_relativo_per_capita!U344*Saldo_relativo_per_capita!U$543/1000000</f>
        <v>5.9702562512911372</v>
      </c>
      <c r="V344" s="340">
        <f>Saldo_relativo_per_capita!V344*Saldo_relativo_per_capita!V$543/1000000</f>
        <v>-3.6237156393587662</v>
      </c>
      <c r="W344" s="148"/>
    </row>
    <row r="345" spans="1:23" s="115" customFormat="1">
      <c r="A345" s="355" t="str">
        <f>IF(B345="","",(IF(ISERROR(MATCH(B345,Tot_res!C:C,0)),"Eliminar!!!","")))</f>
        <v/>
      </c>
      <c r="B345" s="115" t="s">
        <v>341</v>
      </c>
      <c r="C345" s="333" t="str">
        <f>VLOOKUP(B345,Tot_res!C:D,2,FALSE)</f>
        <v>Instituciones Penitenciarias transferidas, Cataluña</v>
      </c>
      <c r="D345" s="340">
        <f>Saldo_relativo_per_capita!D345*Saldo_relativo_per_capita!D$543/1000000</f>
        <v>0</v>
      </c>
      <c r="E345" s="340">
        <f>Saldo_relativo_per_capita!E345*Saldo_relativo_per_capita!E$543/1000000</f>
        <v>-58.210135956544072</v>
      </c>
      <c r="F345" s="340">
        <f>Saldo_relativo_per_capita!F345*Saldo_relativo_per_capita!F$543/1000000</f>
        <v>-8.6990092877777112</v>
      </c>
      <c r="G345" s="340">
        <f>Saldo_relativo_per_capita!G345*Saldo_relativo_per_capita!G$543/1000000</f>
        <v>-7.2003290983169403</v>
      </c>
      <c r="H345" s="340">
        <f>Saldo_relativo_per_capita!H345*Saldo_relativo_per_capita!H$543/1000000</f>
        <v>-7.2721500075490626</v>
      </c>
      <c r="I345" s="340">
        <f>Saldo_relativo_per_capita!I345*Saldo_relativo_per_capita!I$543/1000000</f>
        <v>-14.333147753406887</v>
      </c>
      <c r="J345" s="340">
        <f>Saldo_relativo_per_capita!J345*Saldo_relativo_per_capita!J$543/1000000</f>
        <v>-3.9771426409612807</v>
      </c>
      <c r="K345" s="340">
        <f>Saldo_relativo_per_capita!K345*Saldo_relativo_per_capita!K$543/1000000</f>
        <v>-16.78466504705132</v>
      </c>
      <c r="L345" s="340">
        <f>Saldo_relativo_per_capita!L345*Saldo_relativo_per_capita!L$543/1000000</f>
        <v>-14.321978809943337</v>
      </c>
      <c r="M345" s="340">
        <f>Saldo_relativo_per_capita!M345*Saldo_relativo_per_capita!M$543/1000000</f>
        <v>262.99270428741477</v>
      </c>
      <c r="N345" s="340">
        <f>Saldo_relativo_per_capita!N345*Saldo_relativo_per_capita!N$543/1000000</f>
        <v>-34.335101731580281</v>
      </c>
      <c r="O345" s="340">
        <f>Saldo_relativo_per_capita!O345*Saldo_relativo_per_capita!O$543/1000000</f>
        <v>-7.6811013492850169</v>
      </c>
      <c r="P345" s="340">
        <f>Saldo_relativo_per_capita!P345*Saldo_relativo_per_capita!P$543/1000000</f>
        <v>-18.629761760587733</v>
      </c>
      <c r="Q345" s="340">
        <f>Saldo_relativo_per_capita!Q345*Saldo_relativo_per_capita!Q$543/1000000</f>
        <v>-40.358555784946077</v>
      </c>
      <c r="R345" s="340">
        <f>Saldo_relativo_per_capita!R345*Saldo_relativo_per_capita!R$543/1000000</f>
        <v>-10.032513636529732</v>
      </c>
      <c r="S345" s="340">
        <f>Saldo_relativo_per_capita!S345*Saldo_relativo_per_capita!S$543/1000000</f>
        <v>-4.0954329761645853</v>
      </c>
      <c r="T345" s="340">
        <f>Saldo_relativo_per_capita!T345*Saldo_relativo_per_capita!T$543/1000000</f>
        <v>-13.806133876335547</v>
      </c>
      <c r="U345" s="340">
        <f>Saldo_relativo_per_capita!U345*Saldo_relativo_per_capita!U$543/1000000</f>
        <v>-2.099462744973609</v>
      </c>
      <c r="V345" s="340">
        <f>Saldo_relativo_per_capita!V345*Saldo_relativo_per_capita!V$543/1000000</f>
        <v>-1.1560818254614749</v>
      </c>
      <c r="W345" s="148"/>
    </row>
    <row r="346" spans="1:23" s="115" customFormat="1">
      <c r="A346" s="355" t="str">
        <f>IF(B346="","",(IF(ISERROR(MATCH(B346,Tot_res!C:C,0)),"Eliminar!!!","")))</f>
        <v/>
      </c>
      <c r="B346" s="115" t="s">
        <v>342</v>
      </c>
      <c r="C346" s="333" t="str">
        <f>VLOOKUP(B346,Tot_res!C:D,2,FALSE)</f>
        <v>Policía áutonómica catalana y tráfico</v>
      </c>
      <c r="D346" s="340">
        <f>Saldo_relativo_per_capita!D346*Saldo_relativo_per_capita!D$543/1000000</f>
        <v>0</v>
      </c>
      <c r="E346" s="340">
        <f>Saldo_relativo_per_capita!E346*Saldo_relativo_per_capita!E$543/1000000</f>
        <v>-164.69326819804124</v>
      </c>
      <c r="F346" s="340">
        <f>Saldo_relativo_per_capita!F346*Saldo_relativo_per_capita!F$543/1000000</f>
        <v>-24.612006932242242</v>
      </c>
      <c r="G346" s="340">
        <f>Saldo_relativo_per_capita!G346*Saldo_relativo_per_capita!G$543/1000000</f>
        <v>-20.371808308239444</v>
      </c>
      <c r="H346" s="340">
        <f>Saldo_relativo_per_capita!H346*Saldo_relativo_per_capita!H$543/1000000</f>
        <v>-20.57501038073114</v>
      </c>
      <c r="I346" s="340">
        <f>Saldo_relativo_per_capita!I346*Saldo_relativo_per_capita!I$543/1000000</f>
        <v>-40.552610095881647</v>
      </c>
      <c r="J346" s="340">
        <f>Saldo_relativo_per_capita!J346*Saldo_relativo_per_capita!J$543/1000000</f>
        <v>-11.252483933703388</v>
      </c>
      <c r="K346" s="340">
        <f>Saldo_relativo_per_capita!K346*Saldo_relativo_per_capita!K$543/1000000</f>
        <v>-47.488659780351213</v>
      </c>
      <c r="L346" s="340">
        <f>Saldo_relativo_per_capita!L346*Saldo_relativo_per_capita!L$543/1000000</f>
        <v>-40.521009932592136</v>
      </c>
      <c r="M346" s="340">
        <f>Saldo_relativo_per_capita!M346*Saldo_relativo_per_capita!M$543/1000000</f>
        <v>744.08223361082889</v>
      </c>
      <c r="N346" s="340">
        <f>Saldo_relativo_per_capita!N346*Saldo_relativo_per_capita!N$543/1000000</f>
        <v>-97.143908447622564</v>
      </c>
      <c r="O346" s="340">
        <f>Saldo_relativo_per_capita!O346*Saldo_relativo_per_capita!O$543/1000000</f>
        <v>-21.732051708632326</v>
      </c>
      <c r="P346" s="340">
        <f>Saldo_relativo_per_capita!P346*Saldo_relativo_per_capita!P$543/1000000</f>
        <v>-52.708970691850041</v>
      </c>
      <c r="Q346" s="340">
        <f>Saldo_relativo_per_capita!Q346*Saldo_relativo_per_capita!Q$543/1000000</f>
        <v>-114.18599772619996</v>
      </c>
      <c r="R346" s="340">
        <f>Saldo_relativo_per_capita!R346*Saldo_relativo_per_capita!R$543/1000000</f>
        <v>-28.384875449784001</v>
      </c>
      <c r="S346" s="340">
        <f>Saldo_relativo_per_capita!S346*Saldo_relativo_per_capita!S$543/1000000</f>
        <v>-11.587161418659234</v>
      </c>
      <c r="T346" s="340">
        <f>Saldo_relativo_per_capita!T346*Saldo_relativo_per_capita!T$543/1000000</f>
        <v>-39.061535794571029</v>
      </c>
      <c r="U346" s="340">
        <f>Saldo_relativo_per_capita!U346*Saldo_relativo_per_capita!U$543/1000000</f>
        <v>-5.9399857988282658</v>
      </c>
      <c r="V346" s="340">
        <f>Saldo_relativo_per_capita!V346*Saldo_relativo_per_capita!V$543/1000000</f>
        <v>-3.270889012898841</v>
      </c>
      <c r="W346" s="148"/>
    </row>
    <row r="347" spans="1:23" s="115" customFormat="1">
      <c r="A347" s="355" t="str">
        <f>IF(B347="","",(IF(ISERROR(MATCH(B347,Tot_res!C:C,0)),"Eliminar!!!","")))</f>
        <v/>
      </c>
      <c r="B347" s="115" t="s">
        <v>232</v>
      </c>
      <c r="C347" s="333" t="str">
        <f>VLOOKUP(B347,Tot_res!C:D,2,FALSE)</f>
        <v>Ajuste forales, seguridad ciudadana y vial</v>
      </c>
      <c r="D347" s="340">
        <f>Saldo_relativo_per_capita!D347*Saldo_relativo_per_capita!D$543/1000000</f>
        <v>0</v>
      </c>
      <c r="E347" s="340">
        <f>Saldo_relativo_per_capita!E347*Saldo_relativo_per_capita!E$543/1000000</f>
        <v>-85.542502368831819</v>
      </c>
      <c r="F347" s="340">
        <f>Saldo_relativo_per_capita!F347*Saldo_relativo_per_capita!F$543/1000000</f>
        <v>-12.783598773274433</v>
      </c>
      <c r="G347" s="340">
        <f>Saldo_relativo_per_capita!G347*Saldo_relativo_per_capita!G$543/1000000</f>
        <v>-10.581218525394997</v>
      </c>
      <c r="H347" s="340">
        <f>Saldo_relativo_per_capita!H347*Saldo_relativo_per_capita!H$543/1000000</f>
        <v>-10.686762692182494</v>
      </c>
      <c r="I347" s="340">
        <f>Saldo_relativo_per_capita!I347*Saldo_relativo_per_capita!I$543/1000000</f>
        <v>-21.063227314293638</v>
      </c>
      <c r="J347" s="340">
        <f>Saldo_relativo_per_capita!J347*Saldo_relativo_per_capita!J$543/1000000</f>
        <v>-5.8445961033245943</v>
      </c>
      <c r="K347" s="340">
        <f>Saldo_relativo_per_capita!K347*Saldo_relativo_per_capita!K$543/1000000</f>
        <v>-24.665846006944786</v>
      </c>
      <c r="L347" s="340">
        <f>Saldo_relativo_per_capita!L347*Saldo_relativo_per_capita!L$543/1000000</f>
        <v>-21.046814032362779</v>
      </c>
      <c r="M347" s="340">
        <f>Saldo_relativo_per_capita!M347*Saldo_relativo_per_capita!M$543/1000000</f>
        <v>-71.350336621564239</v>
      </c>
      <c r="N347" s="340">
        <f>Saldo_relativo_per_capita!N347*Saldo_relativo_per_capita!N$543/1000000</f>
        <v>-50.457029054191594</v>
      </c>
      <c r="O347" s="340">
        <f>Saldo_relativo_per_capita!O347*Saldo_relativo_per_capita!O$543/1000000</f>
        <v>-11.287735710787034</v>
      </c>
      <c r="P347" s="340">
        <f>Saldo_relativo_per_capita!P347*Saldo_relativo_per_capita!P$543/1000000</f>
        <v>-27.377301450138415</v>
      </c>
      <c r="Q347" s="340">
        <f>Saldo_relativo_per_capita!Q347*Saldo_relativo_per_capita!Q$543/1000000</f>
        <v>-59.308774959977747</v>
      </c>
      <c r="R347" s="340">
        <f>Saldo_relativo_per_capita!R347*Saldo_relativo_per_capita!R$543/1000000</f>
        <v>-14.743245440259122</v>
      </c>
      <c r="S347" s="340">
        <f>Saldo_relativo_per_capita!S347*Saldo_relativo_per_capita!S$543/1000000</f>
        <v>48.87937593633751</v>
      </c>
      <c r="T347" s="340">
        <f>Saldo_relativo_per_capita!T347*Saldo_relativo_per_capita!T$543/1000000</f>
        <v>382.6437872915331</v>
      </c>
      <c r="U347" s="340">
        <f>Saldo_relativo_per_capita!U347*Saldo_relativo_per_capita!U$543/1000000</f>
        <v>-3.0852581579478158</v>
      </c>
      <c r="V347" s="340">
        <f>Saldo_relativo_per_capita!V347*Saldo_relativo_per_capita!V$543/1000000</f>
        <v>-1.6989160163949726</v>
      </c>
      <c r="W347" s="148"/>
    </row>
    <row r="348" spans="1:23" s="115" customFormat="1">
      <c r="A348" s="356"/>
      <c r="D348" s="218"/>
      <c r="E348" s="218"/>
      <c r="F348" s="218"/>
      <c r="G348" s="218"/>
      <c r="H348" s="218"/>
      <c r="I348" s="218"/>
      <c r="J348" s="218"/>
      <c r="K348" s="218"/>
      <c r="L348" s="218"/>
      <c r="M348" s="218"/>
      <c r="N348" s="218"/>
      <c r="O348" s="218"/>
      <c r="P348" s="218"/>
      <c r="Q348" s="218"/>
      <c r="R348" s="218"/>
      <c r="S348" s="218"/>
      <c r="T348" s="218"/>
      <c r="U348" s="218"/>
      <c r="V348" s="218"/>
      <c r="W348" s="148"/>
    </row>
    <row r="349" spans="1:23" s="115" customFormat="1">
      <c r="A349" s="356"/>
      <c r="C349" s="117" t="s">
        <v>6</v>
      </c>
      <c r="D349" s="219">
        <f>Saldo_relativo_per_capita!D349*Saldo_relativo_per_capita!D$543/1000000</f>
        <v>0</v>
      </c>
      <c r="E349" s="219">
        <f>Saldo_relativo_per_capita!E349*Saldo_relativo_per_capita!E$543/1000000</f>
        <v>-5.5918857691464403</v>
      </c>
      <c r="F349" s="219">
        <f>Saldo_relativo_per_capita!F349*Saldo_relativo_per_capita!F$543/1000000</f>
        <v>25.993265818747137</v>
      </c>
      <c r="G349" s="219">
        <f>Saldo_relativo_per_capita!G349*Saldo_relativo_per_capita!G$543/1000000</f>
        <v>4.7169156246385482</v>
      </c>
      <c r="H349" s="219">
        <f>Saldo_relativo_per_capita!H349*Saldo_relativo_per_capita!H$543/1000000</f>
        <v>-4.1711761726908039</v>
      </c>
      <c r="I349" s="219">
        <f>Saldo_relativo_per_capita!I349*Saldo_relativo_per_capita!I$543/1000000</f>
        <v>-2.489761608259303</v>
      </c>
      <c r="J349" s="219">
        <f>Saldo_relativo_per_capita!J349*Saldo_relativo_per_capita!J$543/1000000</f>
        <v>0.31823648851543584</v>
      </c>
      <c r="K349" s="219">
        <f>Saldo_relativo_per_capita!K349*Saldo_relativo_per_capita!K$543/1000000</f>
        <v>0.29795295075092426</v>
      </c>
      <c r="L349" s="219">
        <f>Saldo_relativo_per_capita!L349*Saldo_relativo_per_capita!L$543/1000000</f>
        <v>8.4765162175636313</v>
      </c>
      <c r="M349" s="219">
        <f>Saldo_relativo_per_capita!M349*Saldo_relativo_per_capita!M$543/1000000</f>
        <v>-19.614792518631578</v>
      </c>
      <c r="N349" s="219">
        <f>Saldo_relativo_per_capita!N349*Saldo_relativo_per_capita!N$543/1000000</f>
        <v>7.5350363059926553E-2</v>
      </c>
      <c r="O349" s="219">
        <f>Saldo_relativo_per_capita!O349*Saldo_relativo_per_capita!O$543/1000000</f>
        <v>1.0107781611225819</v>
      </c>
      <c r="P349" s="219">
        <f>Saldo_relativo_per_capita!P349*Saldo_relativo_per_capita!P$543/1000000</f>
        <v>-21.004016188065709</v>
      </c>
      <c r="Q349" s="219">
        <f>Saldo_relativo_per_capita!Q349*Saldo_relativo_per_capita!Q$543/1000000</f>
        <v>10.403217833457685</v>
      </c>
      <c r="R349" s="219">
        <f>Saldo_relativo_per_capita!R349*Saldo_relativo_per_capita!R$543/1000000</f>
        <v>-3.367859633864946</v>
      </c>
      <c r="S349" s="219">
        <f>Saldo_relativo_per_capita!S349*Saldo_relativo_per_capita!S$543/1000000</f>
        <v>-0.18097677832311168</v>
      </c>
      <c r="T349" s="219">
        <f>Saldo_relativo_per_capita!T349*Saldo_relativo_per_capita!T$543/1000000</f>
        <v>-0.50285424997037487</v>
      </c>
      <c r="U349" s="219">
        <f>Saldo_relativo_per_capita!U349*Saldo_relativo_per_capita!U$543/1000000</f>
        <v>7.5142038962476185</v>
      </c>
      <c r="V349" s="219">
        <f>Saldo_relativo_per_capita!V349*Saldo_relativo_per_capita!V$543/1000000</f>
        <v>-1.8831144351511242</v>
      </c>
      <c r="W349" s="148"/>
    </row>
    <row r="350" spans="1:23" s="115" customFormat="1">
      <c r="A350" s="355" t="str">
        <f>IF(B350="","",(IF(ISERROR(MATCH(B350,Tot_res!C:C,0)),"Eliminar!!!","")))</f>
        <v/>
      </c>
      <c r="B350" s="119" t="s">
        <v>343</v>
      </c>
      <c r="C350" s="333" t="str">
        <f>VLOOKUP(B350,Tot_res!C:D,2,FALSE)</f>
        <v>Promoción, administración y ayudas para rehabilitación y acceso a vivienda+AF15</v>
      </c>
      <c r="D350" s="340">
        <f>Saldo_relativo_per_capita!D350*Saldo_relativo_per_capita!D$543/1000000</f>
        <v>0</v>
      </c>
      <c r="E350" s="340">
        <f>Saldo_relativo_per_capita!E350*Saldo_relativo_per_capita!E$543/1000000</f>
        <v>-4.1036666582079384</v>
      </c>
      <c r="F350" s="340">
        <f>Saldo_relativo_per_capita!F350*Saldo_relativo_per_capita!F$543/1000000</f>
        <v>26.517447545626819</v>
      </c>
      <c r="G350" s="340">
        <f>Saldo_relativo_per_capita!G350*Saldo_relativo_per_capita!G$543/1000000</f>
        <v>5.1355662607570283</v>
      </c>
      <c r="H350" s="340">
        <f>Saldo_relativo_per_capita!H350*Saldo_relativo_per_capita!H$543/1000000</f>
        <v>-7.3877750744978474</v>
      </c>
      <c r="I350" s="340">
        <f>Saldo_relativo_per_capita!I350*Saldo_relativo_per_capita!I$543/1000000</f>
        <v>-2.9373058459463248</v>
      </c>
      <c r="J350" s="340">
        <f>Saldo_relativo_per_capita!J350*Saldo_relativo_per_capita!J$543/1000000</f>
        <v>0.52088543820757771</v>
      </c>
      <c r="K350" s="340">
        <f>Saldo_relativo_per_capita!K350*Saldo_relativo_per_capita!K$543/1000000</f>
        <v>-3.97962172462368</v>
      </c>
      <c r="L350" s="340">
        <f>Saldo_relativo_per_capita!L350*Saldo_relativo_per_capita!L$543/1000000</f>
        <v>9.2016480094852842</v>
      </c>
      <c r="M350" s="340">
        <f>Saldo_relativo_per_capita!M350*Saldo_relativo_per_capita!M$543/1000000</f>
        <v>-18.21353207870969</v>
      </c>
      <c r="N350" s="340">
        <f>Saldo_relativo_per_capita!N350*Saldo_relativo_per_capita!N$543/1000000</f>
        <v>2.0008700595267701</v>
      </c>
      <c r="O350" s="340">
        <f>Saldo_relativo_per_capita!O350*Saldo_relativo_per_capita!O$543/1000000</f>
        <v>0.54794589833701546</v>
      </c>
      <c r="P350" s="340">
        <f>Saldo_relativo_per_capita!P350*Saldo_relativo_per_capita!P$543/1000000</f>
        <v>-21.240683617801757</v>
      </c>
      <c r="Q350" s="340">
        <f>Saldo_relativo_per_capita!Q350*Saldo_relativo_per_capita!Q$543/1000000</f>
        <v>11.704419568648797</v>
      </c>
      <c r="R350" s="340">
        <f>Saldo_relativo_per_capita!R350*Saldo_relativo_per_capita!R$543/1000000</f>
        <v>-3.3277018089146031</v>
      </c>
      <c r="S350" s="340">
        <f>Saldo_relativo_per_capita!S350*Saldo_relativo_per_capita!S$543/1000000</f>
        <v>0</v>
      </c>
      <c r="T350" s="340">
        <f>Saldo_relativo_per_capita!T350*Saldo_relativo_per_capita!T$543/1000000</f>
        <v>0</v>
      </c>
      <c r="U350" s="340">
        <f>Saldo_relativo_per_capita!U350*Saldo_relativo_per_capita!U$543/1000000</f>
        <v>7.3772677145481103</v>
      </c>
      <c r="V350" s="340">
        <f>Saldo_relativo_per_capita!V350*Saldo_relativo_per_capita!V$543/1000000</f>
        <v>-1.8157636864355227</v>
      </c>
      <c r="W350" s="148"/>
    </row>
    <row r="351" spans="1:23" s="115" customFormat="1">
      <c r="A351" s="355" t="str">
        <f>IF(B351="","",(IF(ISERROR(MATCH(B351,Tot_res!C:C,0)),"Eliminar!!!","")))</f>
        <v/>
      </c>
      <c r="B351" s="119" t="s">
        <v>844</v>
      </c>
      <c r="C351" s="333" t="str">
        <f>VLOOKUP(B351,Tot_res!C:D,2,FALSE)</f>
        <v>Ordenación y fomento de la edificación, neto de actuaciones relacionadas con el 1% cultural</v>
      </c>
      <c r="D351" s="340">
        <f>Saldo_relativo_per_capita!D351*Saldo_relativo_per_capita!D$543/1000000</f>
        <v>0</v>
      </c>
      <c r="E351" s="340">
        <f>Saldo_relativo_per_capita!E351*Saldo_relativo_per_capita!E$543/1000000</f>
        <v>-1.4882191109385396</v>
      </c>
      <c r="F351" s="340">
        <f>Saldo_relativo_per_capita!F351*Saldo_relativo_per_capita!F$543/1000000</f>
        <v>-0.5241817268796799</v>
      </c>
      <c r="G351" s="340">
        <f>Saldo_relativo_per_capita!G351*Saldo_relativo_per_capita!G$543/1000000</f>
        <v>-0.41865063611847725</v>
      </c>
      <c r="H351" s="340">
        <f>Saldo_relativo_per_capita!H351*Saldo_relativo_per_capita!H$543/1000000</f>
        <v>3.216598901807044</v>
      </c>
      <c r="I351" s="340">
        <f>Saldo_relativo_per_capita!I351*Saldo_relativo_per_capita!I$543/1000000</f>
        <v>0.44754423768702128</v>
      </c>
      <c r="J351" s="340">
        <f>Saldo_relativo_per_capita!J351*Saldo_relativo_per_capita!J$543/1000000</f>
        <v>-0.20264894969214425</v>
      </c>
      <c r="K351" s="340">
        <f>Saldo_relativo_per_capita!K351*Saldo_relativo_per_capita!K$543/1000000</f>
        <v>4.2775746753746011</v>
      </c>
      <c r="L351" s="340">
        <f>Saldo_relativo_per_capita!L351*Saldo_relativo_per_capita!L$543/1000000</f>
        <v>-0.72513179192165922</v>
      </c>
      <c r="M351" s="340">
        <f>Saldo_relativo_per_capita!M351*Saldo_relativo_per_capita!M$543/1000000</f>
        <v>-1.40126043992189</v>
      </c>
      <c r="N351" s="340">
        <f>Saldo_relativo_per_capita!N351*Saldo_relativo_per_capita!N$543/1000000</f>
        <v>-1.9255196964668431</v>
      </c>
      <c r="O351" s="340">
        <f>Saldo_relativo_per_capita!O351*Saldo_relativo_per_capita!O$543/1000000</f>
        <v>0.46283226278556505</v>
      </c>
      <c r="P351" s="340">
        <f>Saldo_relativo_per_capita!P351*Saldo_relativo_per_capita!P$543/1000000</f>
        <v>0.23666742973604707</v>
      </c>
      <c r="Q351" s="340">
        <f>Saldo_relativo_per_capita!Q351*Saldo_relativo_per_capita!Q$543/1000000</f>
        <v>-1.301201735191124</v>
      </c>
      <c r="R351" s="340">
        <f>Saldo_relativo_per_capita!R351*Saldo_relativo_per_capita!R$543/1000000</f>
        <v>-4.0157824950339024E-2</v>
      </c>
      <c r="S351" s="340">
        <f>Saldo_relativo_per_capita!S351*Saldo_relativo_per_capita!S$543/1000000</f>
        <v>-0.18097677832311476</v>
      </c>
      <c r="T351" s="340">
        <f>Saldo_relativo_per_capita!T351*Saldo_relativo_per_capita!T$543/1000000</f>
        <v>-0.5028542499703752</v>
      </c>
      <c r="U351" s="340">
        <f>Saldo_relativo_per_capita!U351*Saldo_relativo_per_capita!U$543/1000000</f>
        <v>0.13693618169950841</v>
      </c>
      <c r="V351" s="340">
        <f>Saldo_relativo_per_capita!V351*Saldo_relativo_per_capita!V$543/1000000</f>
        <v>-6.7350748715601205E-2</v>
      </c>
      <c r="W351" s="148"/>
    </row>
    <row r="352" spans="1:23" s="115" customFormat="1">
      <c r="A352" s="355" t="str">
        <f>IF(B352="","",(IF(ISERROR(MATCH(B352,Tot_res!C:C,0)),"Eliminar!!!","")))</f>
        <v/>
      </c>
      <c r="B352" s="119" t="s">
        <v>344</v>
      </c>
      <c r="C352" s="333" t="str">
        <f>VLOOKUP(B352,Tot_res!C:D,2,FALSE)</f>
        <v>Suelo y políticas urbanas</v>
      </c>
      <c r="D352" s="340">
        <f>Saldo_relativo_per_capita!D352*Saldo_relativo_per_capita!D$543/1000000</f>
        <v>0</v>
      </c>
      <c r="E352" s="340">
        <f>Saldo_relativo_per_capita!E352*Saldo_relativo_per_capita!E$543/1000000</f>
        <v>0</v>
      </c>
      <c r="F352" s="340">
        <f>Saldo_relativo_per_capita!F352*Saldo_relativo_per_capita!F$543/1000000</f>
        <v>0</v>
      </c>
      <c r="G352" s="340">
        <f>Saldo_relativo_per_capita!G352*Saldo_relativo_per_capita!G$543/1000000</f>
        <v>0</v>
      </c>
      <c r="H352" s="340">
        <f>Saldo_relativo_per_capita!H352*Saldo_relativo_per_capita!H$543/1000000</f>
        <v>0</v>
      </c>
      <c r="I352" s="340">
        <f>Saldo_relativo_per_capita!I352*Saldo_relativo_per_capita!I$543/1000000</f>
        <v>0</v>
      </c>
      <c r="J352" s="340">
        <f>Saldo_relativo_per_capita!J352*Saldo_relativo_per_capita!J$543/1000000</f>
        <v>0</v>
      </c>
      <c r="K352" s="340">
        <f>Saldo_relativo_per_capita!K352*Saldo_relativo_per_capita!K$543/1000000</f>
        <v>0</v>
      </c>
      <c r="L352" s="340">
        <f>Saldo_relativo_per_capita!L352*Saldo_relativo_per_capita!L$543/1000000</f>
        <v>0</v>
      </c>
      <c r="M352" s="340">
        <f>Saldo_relativo_per_capita!M352*Saldo_relativo_per_capita!M$543/1000000</f>
        <v>0</v>
      </c>
      <c r="N352" s="340">
        <f>Saldo_relativo_per_capita!N352*Saldo_relativo_per_capita!N$543/1000000</f>
        <v>0</v>
      </c>
      <c r="O352" s="340">
        <f>Saldo_relativo_per_capita!O352*Saldo_relativo_per_capita!O$543/1000000</f>
        <v>0</v>
      </c>
      <c r="P352" s="340">
        <f>Saldo_relativo_per_capita!P352*Saldo_relativo_per_capita!P$543/1000000</f>
        <v>0</v>
      </c>
      <c r="Q352" s="340">
        <f>Saldo_relativo_per_capita!Q352*Saldo_relativo_per_capita!Q$543/1000000</f>
        <v>0</v>
      </c>
      <c r="R352" s="340">
        <f>Saldo_relativo_per_capita!R352*Saldo_relativo_per_capita!R$543/1000000</f>
        <v>0</v>
      </c>
      <c r="S352" s="340">
        <f>Saldo_relativo_per_capita!S352*Saldo_relativo_per_capita!S$543/1000000</f>
        <v>0</v>
      </c>
      <c r="T352" s="340">
        <f>Saldo_relativo_per_capita!T352*Saldo_relativo_per_capita!T$543/1000000</f>
        <v>0</v>
      </c>
      <c r="U352" s="340">
        <f>Saldo_relativo_per_capita!U352*Saldo_relativo_per_capita!U$543/1000000</f>
        <v>0</v>
      </c>
      <c r="V352" s="340">
        <f>Saldo_relativo_per_capita!V352*Saldo_relativo_per_capita!V$543/1000000</f>
        <v>0</v>
      </c>
      <c r="W352" s="148"/>
    </row>
    <row r="353" spans="1:23" s="115" customFormat="1">
      <c r="A353" s="356"/>
      <c r="D353" s="218"/>
      <c r="E353" s="218"/>
      <c r="F353" s="218"/>
      <c r="G353" s="218"/>
      <c r="H353" s="218"/>
      <c r="I353" s="218"/>
      <c r="J353" s="218"/>
      <c r="K353" s="218"/>
      <c r="L353" s="218"/>
      <c r="M353" s="218"/>
      <c r="N353" s="218"/>
      <c r="O353" s="218"/>
      <c r="P353" s="218"/>
      <c r="Q353" s="218"/>
      <c r="R353" s="218"/>
      <c r="S353" s="218"/>
      <c r="T353" s="218"/>
      <c r="U353" s="218"/>
      <c r="V353" s="218"/>
      <c r="W353" s="148"/>
    </row>
    <row r="354" spans="1:23" s="115" customFormat="1">
      <c r="A354" s="356"/>
      <c r="C354" s="117" t="s">
        <v>45</v>
      </c>
      <c r="D354" s="219">
        <f>Saldo_relativo_per_capita!D354*Saldo_relativo_per_capita!D$543/1000000</f>
        <v>0</v>
      </c>
      <c r="E354" s="219">
        <f>Saldo_relativo_per_capita!E354*Saldo_relativo_per_capita!E$543/1000000</f>
        <v>-92.325655259084272</v>
      </c>
      <c r="F354" s="219">
        <f>Saldo_relativo_per_capita!F354*Saldo_relativo_per_capita!F$543/1000000</f>
        <v>-11.103052229088243</v>
      </c>
      <c r="G354" s="219">
        <f>Saldo_relativo_per_capita!G354*Saldo_relativo_per_capita!G$543/1000000</f>
        <v>-10.847400439687904</v>
      </c>
      <c r="H354" s="219">
        <f>Saldo_relativo_per_capita!H354*Saldo_relativo_per_capita!H$543/1000000</f>
        <v>14.420732696801931</v>
      </c>
      <c r="I354" s="219">
        <f>Saldo_relativo_per_capita!I354*Saldo_relativo_per_capita!I$543/1000000</f>
        <v>-21.46701338748775</v>
      </c>
      <c r="J354" s="219">
        <f>Saldo_relativo_per_capita!J354*Saldo_relativo_per_capita!J$543/1000000</f>
        <v>-0.36540982300063618</v>
      </c>
      <c r="K354" s="219">
        <f>Saldo_relativo_per_capita!K354*Saldo_relativo_per_capita!K$543/1000000</f>
        <v>-4.1259543409503276</v>
      </c>
      <c r="L354" s="219">
        <f>Saldo_relativo_per_capita!L354*Saldo_relativo_per_capita!L$543/1000000</f>
        <v>-13.339231506932327</v>
      </c>
      <c r="M354" s="219">
        <f>Saldo_relativo_per_capita!M354*Saldo_relativo_per_capita!M$543/1000000</f>
        <v>-0.95733792794058636</v>
      </c>
      <c r="N354" s="219">
        <f>Saldo_relativo_per_capita!N354*Saldo_relativo_per_capita!N$543/1000000</f>
        <v>-13.309260272139616</v>
      </c>
      <c r="O354" s="219">
        <f>Saldo_relativo_per_capita!O354*Saldo_relativo_per_capita!O$543/1000000</f>
        <v>-6.8996354716180104</v>
      </c>
      <c r="P354" s="219">
        <f>Saldo_relativo_per_capita!P354*Saldo_relativo_per_capita!P$543/1000000</f>
        <v>7.9395226691342335</v>
      </c>
      <c r="Q354" s="219">
        <f>Saldo_relativo_per_capita!Q354*Saldo_relativo_per_capita!Q$543/1000000</f>
        <v>164.23105337193996</v>
      </c>
      <c r="R354" s="219">
        <f>Saldo_relativo_per_capita!R354*Saldo_relativo_per_capita!R$543/1000000</f>
        <v>-11.966617722362521</v>
      </c>
      <c r="S354" s="219">
        <f>Saldo_relativo_per_capita!S354*Saldo_relativo_per_capita!S$543/1000000</f>
        <v>0.49636847107491527</v>
      </c>
      <c r="T354" s="219">
        <f>Saldo_relativo_per_capita!T354*Saldo_relativo_per_capita!T$543/1000000</f>
        <v>1.4949416215550824</v>
      </c>
      <c r="U354" s="219">
        <f>Saldo_relativo_per_capita!U354*Saldo_relativo_per_capita!U$543/1000000</f>
        <v>-1.3845881377227198</v>
      </c>
      <c r="V354" s="219">
        <f>Saldo_relativo_per_capita!V354*Saldo_relativo_per_capita!V$543/1000000</f>
        <v>-0.49146231249133721</v>
      </c>
      <c r="W354" s="148"/>
    </row>
    <row r="355" spans="1:23" s="115" customFormat="1">
      <c r="A355" s="355" t="str">
        <f>IF(B355="","",(IF(ISERROR(MATCH(B355,Tot_res!C:C,0)),"Eliminar!!!","")))</f>
        <v/>
      </c>
      <c r="B355" s="102" t="s">
        <v>660</v>
      </c>
      <c r="C355" s="333" t="str">
        <f>VLOOKUP(B355,Tot_res!C:D,2,FALSE)</f>
        <v>Dirección y servicios generales de Cultura</v>
      </c>
      <c r="D355" s="340">
        <f>Saldo_relativo_per_capita!D355*Saldo_relativo_per_capita!D$543/1000000</f>
        <v>0</v>
      </c>
      <c r="E355" s="340">
        <f>Saldo_relativo_per_capita!E355*Saldo_relativo_per_capita!E$543/1000000</f>
        <v>-1.1044940613907313</v>
      </c>
      <c r="F355" s="340">
        <f>Saldo_relativo_per_capita!F355*Saldo_relativo_per_capita!F$543/1000000</f>
        <v>-0.12201893273802539</v>
      </c>
      <c r="G355" s="340">
        <f>Saldo_relativo_per_capita!G355*Saldo_relativo_per_capita!G$543/1000000</f>
        <v>-0.13122536400898899</v>
      </c>
      <c r="H355" s="340">
        <f>Saldo_relativo_per_capita!H355*Saldo_relativo_per_capita!H$543/1000000</f>
        <v>-3.1479092724871226E-2</v>
      </c>
      <c r="I355" s="340">
        <f>Saldo_relativo_per_capita!I355*Saldo_relativo_per_capita!I$543/1000000</f>
        <v>-0.24578823204106284</v>
      </c>
      <c r="J355" s="340">
        <f>Saldo_relativo_per_capita!J355*Saldo_relativo_per_capita!J$543/1000000</f>
        <v>3.1914327490779729E-2</v>
      </c>
      <c r="K355" s="340">
        <f>Saldo_relativo_per_capita!K355*Saldo_relativo_per_capita!K$543/1000000</f>
        <v>3.2589841338247313E-2</v>
      </c>
      <c r="L355" s="340">
        <f>Saldo_relativo_per_capita!L355*Saldo_relativo_per_capita!L$543/1000000</f>
        <v>-0.1324855941213274</v>
      </c>
      <c r="M355" s="340">
        <f>Saldo_relativo_per_capita!M355*Saldo_relativo_per_capita!M$543/1000000</f>
        <v>-0.51211032833471359</v>
      </c>
      <c r="N355" s="340">
        <f>Saldo_relativo_per_capita!N355*Saldo_relativo_per_capita!N$543/1000000</f>
        <v>-0.60479071480314839</v>
      </c>
      <c r="O355" s="340">
        <f>Saldo_relativo_per_capita!O355*Saldo_relativo_per_capita!O$543/1000000</f>
        <v>-6.7034582787396726E-2</v>
      </c>
      <c r="P355" s="340">
        <f>Saldo_relativo_per_capita!P355*Saldo_relativo_per_capita!P$543/1000000</f>
        <v>-0.29834127763181661</v>
      </c>
      <c r="Q355" s="340">
        <f>Saldo_relativo_per_capita!Q355*Saldo_relativo_per_capita!Q$543/1000000</f>
        <v>3.5851022323713879</v>
      </c>
      <c r="R355" s="340">
        <f>Saldo_relativo_per_capita!R355*Saldo_relativo_per_capita!R$543/1000000</f>
        <v>-0.14225964292101489</v>
      </c>
      <c r="S355" s="340">
        <f>Saldo_relativo_per_capita!S355*Saldo_relativo_per_capita!S$543/1000000</f>
        <v>-6.3853859931255502E-2</v>
      </c>
      <c r="T355" s="340">
        <f>Saldo_relativo_per_capita!T355*Saldo_relativo_per_capita!T$543/1000000</f>
        <v>-0.17989809998959591</v>
      </c>
      <c r="U355" s="340">
        <f>Saldo_relativo_per_capita!U355*Saldo_relativo_per_capita!U$543/1000000</f>
        <v>-5.420351772142144E-3</v>
      </c>
      <c r="V355" s="340">
        <f>Saldo_relativo_per_capita!V355*Saldo_relativo_per_capita!V$543/1000000</f>
        <v>-8.4062660043265972E-3</v>
      </c>
      <c r="W355" s="148"/>
    </row>
    <row r="356" spans="1:23" s="115" customFormat="1">
      <c r="A356" s="355" t="str">
        <f>IF(B356="","",(IF(ISERROR(MATCH(B356,Tot_res!C:C,0)),"Eliminar!!!","")))</f>
        <v/>
      </c>
      <c r="B356" s="115" t="s">
        <v>345</v>
      </c>
      <c r="C356" s="333" t="str">
        <f>VLOOKUP(B356,Tot_res!C:D,2,FALSE)</f>
        <v>Archivos</v>
      </c>
      <c r="D356" s="340">
        <f>Saldo_relativo_per_capita!D356*Saldo_relativo_per_capita!D$543/1000000</f>
        <v>0</v>
      </c>
      <c r="E356" s="340">
        <f>Saldo_relativo_per_capita!E356*Saldo_relativo_per_capita!E$543/1000000</f>
        <v>-1.5378240633030236</v>
      </c>
      <c r="F356" s="340">
        <f>Saldo_relativo_per_capita!F356*Saldo_relativo_per_capita!F$543/1000000</f>
        <v>-0.39771414884987527</v>
      </c>
      <c r="G356" s="340">
        <f>Saldo_relativo_per_capita!G356*Saldo_relativo_per_capita!G$543/1000000</f>
        <v>-0.36372795941327468</v>
      </c>
      <c r="H356" s="340">
        <f>Saldo_relativo_per_capita!H356*Saldo_relativo_per_capita!H$543/1000000</f>
        <v>1.5300952989496994</v>
      </c>
      <c r="I356" s="340">
        <f>Saldo_relativo_per_capita!I356*Saldo_relativo_per_capita!I$543/1000000</f>
        <v>-0.69836877797347019</v>
      </c>
      <c r="J356" s="340">
        <f>Saldo_relativo_per_capita!J356*Saldo_relativo_per_capita!J$543/1000000</f>
        <v>-0.18556088113223154</v>
      </c>
      <c r="K356" s="340">
        <f>Saldo_relativo_per_capita!K356*Saldo_relativo_per_capita!K$543/1000000</f>
        <v>4.7940620273934016</v>
      </c>
      <c r="L356" s="340">
        <f>Saldo_relativo_per_capita!L356*Saldo_relativo_per_capita!L$543/1000000</f>
        <v>-0.35647019066848473</v>
      </c>
      <c r="M356" s="340">
        <f>Saldo_relativo_per_capita!M356*Saldo_relativo_per_capita!M$543/1000000</f>
        <v>-1.2132461141140591</v>
      </c>
      <c r="N356" s="340">
        <f>Saldo_relativo_per_capita!N356*Saldo_relativo_per_capita!N$543/1000000</f>
        <v>-1.7511795513618937</v>
      </c>
      <c r="O356" s="340">
        <f>Saldo_relativo_per_capita!O356*Saldo_relativo_per_capita!O$543/1000000</f>
        <v>-0.37298933872768941</v>
      </c>
      <c r="P356" s="340">
        <f>Saldo_relativo_per_capita!P356*Saldo_relativo_per_capita!P$543/1000000</f>
        <v>-0.87004474624546435</v>
      </c>
      <c r="Q356" s="340">
        <f>Saldo_relativo_per_capita!Q356*Saldo_relativo_per_capita!Q$543/1000000</f>
        <v>2.8641299083247231</v>
      </c>
      <c r="R356" s="340">
        <f>Saldo_relativo_per_capita!R356*Saldo_relativo_per_capita!R$543/1000000</f>
        <v>-0.51856886694039117</v>
      </c>
      <c r="S356" s="340">
        <f>Saldo_relativo_per_capita!S356*Saldo_relativo_per_capita!S$543/1000000</f>
        <v>-0.1796863574478674</v>
      </c>
      <c r="T356" s="340">
        <f>Saldo_relativo_per_capita!T356*Saldo_relativo_per_capita!T$543/1000000</f>
        <v>-0.59216742933045297</v>
      </c>
      <c r="U356" s="340">
        <f>Saldo_relativo_per_capita!U356*Saldo_relativo_per_capita!U$543/1000000</f>
        <v>-0.10003342680711186</v>
      </c>
      <c r="V356" s="340">
        <f>Saldo_relativo_per_capita!V356*Saldo_relativo_per_capita!V$543/1000000</f>
        <v>-5.0705382352531379E-2</v>
      </c>
      <c r="W356" s="148"/>
    </row>
    <row r="357" spans="1:23" s="115" customFormat="1">
      <c r="A357" s="355" t="str">
        <f>IF(B357="","",(IF(ISERROR(MATCH(B357,Tot_res!C:C,0)),"Eliminar!!!","")))</f>
        <v/>
      </c>
      <c r="B357" s="115" t="s">
        <v>347</v>
      </c>
      <c r="C357" s="333" t="str">
        <f>VLOOKUP(B357,Tot_res!C:D,2,FALSE)</f>
        <v>Bibliotecas</v>
      </c>
      <c r="D357" s="340">
        <f>Saldo_relativo_per_capita!D357*Saldo_relativo_per_capita!D$543/1000000</f>
        <v>0</v>
      </c>
      <c r="E357" s="340">
        <f>Saldo_relativo_per_capita!E357*Saldo_relativo_per_capita!E$543/1000000</f>
        <v>-6.3703972373662694</v>
      </c>
      <c r="F357" s="340">
        <f>Saldo_relativo_per_capita!F357*Saldo_relativo_per_capita!F$543/1000000</f>
        <v>-0.98433515288157036</v>
      </c>
      <c r="G357" s="340">
        <f>Saldo_relativo_per_capita!G357*Saldo_relativo_per_capita!G$543/1000000</f>
        <v>-0.72381971949678803</v>
      </c>
      <c r="H357" s="340">
        <f>Saldo_relativo_per_capita!H357*Saldo_relativo_per_capita!H$543/1000000</f>
        <v>-0.83641143351073899</v>
      </c>
      <c r="I357" s="340">
        <f>Saldo_relativo_per_capita!I357*Saldo_relativo_per_capita!I$543/1000000</f>
        <v>-1.3009961909104522</v>
      </c>
      <c r="J357" s="340">
        <f>Saldo_relativo_per_capita!J357*Saldo_relativo_per_capita!J$543/1000000</f>
        <v>-0.42585884438824595</v>
      </c>
      <c r="K357" s="340">
        <f>Saldo_relativo_per_capita!K357*Saldo_relativo_per_capita!K$543/1000000</f>
        <v>3.9738775161171671</v>
      </c>
      <c r="L357" s="340">
        <f>Saldo_relativo_per_capita!L357*Saldo_relativo_per_capita!L$543/1000000</f>
        <v>-1.20653316774249</v>
      </c>
      <c r="M357" s="340">
        <f>Saldo_relativo_per_capita!M357*Saldo_relativo_per_capita!M$543/1000000</f>
        <v>-0.97610606516700005</v>
      </c>
      <c r="N357" s="340">
        <f>Saldo_relativo_per_capita!N357*Saldo_relativo_per_capita!N$543/1000000</f>
        <v>-3.8309139496497391</v>
      </c>
      <c r="O357" s="340">
        <f>Saldo_relativo_per_capita!O357*Saldo_relativo_per_capita!O$543/1000000</f>
        <v>-0.7625791527816842</v>
      </c>
      <c r="P357" s="340">
        <f>Saldo_relativo_per_capita!P357*Saldo_relativo_per_capita!P$543/1000000</f>
        <v>-1.9207261729862783</v>
      </c>
      <c r="Q357" s="340">
        <f>Saldo_relativo_per_capita!Q357*Saldo_relativo_per_capita!Q$543/1000000</f>
        <v>17.949032786137924</v>
      </c>
      <c r="R357" s="340">
        <f>Saldo_relativo_per_capita!R357*Saldo_relativo_per_capita!R$543/1000000</f>
        <v>-1.0752200198184896</v>
      </c>
      <c r="S357" s="340">
        <f>Saldo_relativo_per_capita!S357*Saldo_relativo_per_capita!S$543/1000000</f>
        <v>-0.47710194667877176</v>
      </c>
      <c r="T357" s="340">
        <f>Saldo_relativo_per_capita!T357*Saldo_relativo_per_capita!T$543/1000000</f>
        <v>-1.5177186888712633</v>
      </c>
      <c r="U357" s="340">
        <f>Saldo_relativo_per_capita!U357*Saldo_relativo_per_capita!U$543/1000000</f>
        <v>-0.17305012327734762</v>
      </c>
      <c r="V357" s="340">
        <f>Saldo_relativo_per_capita!V357*Saldo_relativo_per_capita!V$543/1000000</f>
        <v>0.6588575632720316</v>
      </c>
      <c r="W357" s="217"/>
    </row>
    <row r="358" spans="1:23" s="115" customFormat="1">
      <c r="A358" s="355" t="str">
        <f>IF(B358="","",(IF(ISERROR(MATCH(B358,Tot_res!C:C,0)),"Eliminar!!!","")))</f>
        <v/>
      </c>
      <c r="B358" s="115" t="s">
        <v>348</v>
      </c>
      <c r="C358" s="333" t="str">
        <f>VLOOKUP(B358,Tot_res!C:D,2,FALSE)</f>
        <v>Museos</v>
      </c>
      <c r="D358" s="340">
        <f>Saldo_relativo_per_capita!D358*Saldo_relativo_per_capita!D$543/1000000</f>
        <v>0</v>
      </c>
      <c r="E358" s="340">
        <f>Saldo_relativo_per_capita!E358*Saldo_relativo_per_capita!E$543/1000000</f>
        <v>-16.9301854047422</v>
      </c>
      <c r="F358" s="340">
        <f>Saldo_relativo_per_capita!F358*Saldo_relativo_per_capita!F$543/1000000</f>
        <v>-2.6847206397582832</v>
      </c>
      <c r="G358" s="340">
        <f>Saldo_relativo_per_capita!G358*Saldo_relativo_per_capita!G$543/1000000</f>
        <v>-2.2707515983988258</v>
      </c>
      <c r="H358" s="340">
        <f>Saldo_relativo_per_capita!H358*Saldo_relativo_per_capita!H$543/1000000</f>
        <v>-1.0582898396618503</v>
      </c>
      <c r="I358" s="340">
        <f>Saldo_relativo_per_capita!I358*Saldo_relativo_per_capita!I$543/1000000</f>
        <v>-4.5041629476087373</v>
      </c>
      <c r="J358" s="340">
        <f>Saldo_relativo_per_capita!J358*Saldo_relativo_per_capita!J$543/1000000</f>
        <v>3.6144658974612778</v>
      </c>
      <c r="K358" s="340">
        <f>Saldo_relativo_per_capita!K358*Saldo_relativo_per_capita!K$543/1000000</f>
        <v>-1.3245796850027469</v>
      </c>
      <c r="L358" s="340">
        <f>Saldo_relativo_per_capita!L358*Saldo_relativo_per_capita!L$543/1000000</f>
        <v>0.47725074985992483</v>
      </c>
      <c r="M358" s="340">
        <f>Saldo_relativo_per_capita!M358*Saldo_relativo_per_capita!M$543/1000000</f>
        <v>-11.945310917854451</v>
      </c>
      <c r="N358" s="340">
        <f>Saldo_relativo_per_capita!N358*Saldo_relativo_per_capita!N$543/1000000</f>
        <v>-8.2438757304136434</v>
      </c>
      <c r="O358" s="340">
        <f>Saldo_relativo_per_capita!O358*Saldo_relativo_per_capita!O$543/1000000</f>
        <v>1.0438503655797389</v>
      </c>
      <c r="P358" s="340">
        <f>Saldo_relativo_per_capita!P358*Saldo_relativo_per_capita!P$543/1000000</f>
        <v>-5.8046101854406764</v>
      </c>
      <c r="Q358" s="340">
        <f>Saldo_relativo_per_capita!Q358*Saldo_relativo_per_capita!Q$543/1000000</f>
        <v>54.533055787756354</v>
      </c>
      <c r="R358" s="340">
        <f>Saldo_relativo_per_capita!R358*Saldo_relativo_per_capita!R$543/1000000</f>
        <v>-8.4051660870012399E-3</v>
      </c>
      <c r="S358" s="340">
        <f>Saldo_relativo_per_capita!S358*Saldo_relativo_per_capita!S$543/1000000</f>
        <v>-1.291567489454722</v>
      </c>
      <c r="T358" s="340">
        <f>Saldo_relativo_per_capita!T358*Saldo_relativo_per_capita!T$543/1000000</f>
        <v>-3.9267867317747318</v>
      </c>
      <c r="U358" s="340">
        <f>Saldo_relativo_per_capita!U358*Saldo_relativo_per_capita!U$543/1000000</f>
        <v>0.68921446148310872</v>
      </c>
      <c r="V358" s="340">
        <f>Saldo_relativo_per_capita!V358*Saldo_relativo_per_capita!V$543/1000000</f>
        <v>-0.36459092594255238</v>
      </c>
      <c r="W358" s="148"/>
    </row>
    <row r="359" spans="1:23" s="115" customFormat="1">
      <c r="A359" s="355" t="str">
        <f>IF(B359="","",(IF(ISERROR(MATCH(B359,Tot_res!C:C,0)),"Eliminar!!!","")))</f>
        <v/>
      </c>
      <c r="B359" s="119" t="s">
        <v>350</v>
      </c>
      <c r="C359" s="333" t="str">
        <f>VLOOKUP(B359,Tot_res!C:D,2,FALSE)</f>
        <v>Exposiciones</v>
      </c>
      <c r="D359" s="340">
        <f>Saldo_relativo_per_capita!D359*Saldo_relativo_per_capita!D$543/1000000</f>
        <v>0</v>
      </c>
      <c r="E359" s="340">
        <f>Saldo_relativo_per_capita!E359*Saldo_relativo_per_capita!E$543/1000000</f>
        <v>-0.20216108238557767</v>
      </c>
      <c r="F359" s="340">
        <f>Saldo_relativo_per_capita!F359*Saldo_relativo_per_capita!F$543/1000000</f>
        <v>-4.8864734996236198E-2</v>
      </c>
      <c r="G359" s="340">
        <f>Saldo_relativo_per_capita!G359*Saldo_relativo_per_capita!G$543/1000000</f>
        <v>-4.5906366832944578E-2</v>
      </c>
      <c r="H359" s="340">
        <f>Saldo_relativo_per_capita!H359*Saldo_relativo_per_capita!H$543/1000000</f>
        <v>-4.7742581848587283E-2</v>
      </c>
      <c r="I359" s="340">
        <f>Saldo_relativo_per_capita!I359*Saldo_relativo_per_capita!I$543/1000000</f>
        <v>-9.1029322158305601E-2</v>
      </c>
      <c r="J359" s="340">
        <f>Saldo_relativo_per_capita!J359*Saldo_relativo_per_capita!J$543/1000000</f>
        <v>-2.5444364333903336E-2</v>
      </c>
      <c r="K359" s="340">
        <f>Saldo_relativo_per_capita!K359*Saldo_relativo_per_capita!K$543/1000000</f>
        <v>0.3278033067727596</v>
      </c>
      <c r="L359" s="340">
        <f>Saldo_relativo_per_capita!L359*Saldo_relativo_per_capita!L$543/1000000</f>
        <v>-9.0083465054467599E-2</v>
      </c>
      <c r="M359" s="340">
        <f>Saldo_relativo_per_capita!M359*Saldo_relativo_per_capita!M$543/1000000</f>
        <v>6.4108184022249326E-2</v>
      </c>
      <c r="N359" s="340">
        <f>Saldo_relativo_per_capita!N359*Saldo_relativo_per_capita!N$543/1000000</f>
        <v>0.30707199497174392</v>
      </c>
      <c r="O359" s="340">
        <f>Saldo_relativo_per_capita!O359*Saldo_relativo_per_capita!O$543/1000000</f>
        <v>4.9246702358952373E-3</v>
      </c>
      <c r="P359" s="340">
        <f>Saldo_relativo_per_capita!P359*Saldo_relativo_per_capita!P$543/1000000</f>
        <v>-9.2647481616407318E-2</v>
      </c>
      <c r="Q359" s="340">
        <f>Saldo_relativo_per_capita!Q359*Saldo_relativo_per_capita!Q$543/1000000</f>
        <v>9.4098097294603361E-2</v>
      </c>
      <c r="R359" s="340">
        <f>Saldo_relativo_per_capita!R359*Saldo_relativo_per_capita!R$543/1000000</f>
        <v>-6.3341648152788449E-2</v>
      </c>
      <c r="S359" s="340">
        <f>Saldo_relativo_per_capita!S359*Saldo_relativo_per_capita!S$543/1000000</f>
        <v>-2.7701467979459417E-2</v>
      </c>
      <c r="T359" s="340">
        <f>Saldo_relativo_per_capita!T359*Saldo_relativo_per_capita!T$543/1000000</f>
        <v>-4.1997062397705794E-2</v>
      </c>
      <c r="U359" s="340">
        <f>Saldo_relativo_per_capita!U359*Saldo_relativo_per_capita!U$543/1000000</f>
        <v>-1.3816152065994763E-2</v>
      </c>
      <c r="V359" s="340">
        <f>Saldo_relativo_per_capita!V359*Saldo_relativo_per_capita!V$543/1000000</f>
        <v>-7.2705234748725554E-3</v>
      </c>
      <c r="W359" s="217"/>
    </row>
    <row r="360" spans="1:23" s="115" customFormat="1">
      <c r="A360" s="355" t="str">
        <f>IF(B360="","",(IF(ISERROR(MATCH(B360,Tot_res!C:C,0)),"Eliminar!!!","")))</f>
        <v/>
      </c>
      <c r="B360" s="115" t="s">
        <v>351</v>
      </c>
      <c r="C360" s="333" t="str">
        <f>VLOOKUP(B360,Tot_res!C:D,2,FALSE)</f>
        <v>Promoción y cooperación cultural</v>
      </c>
      <c r="D360" s="340">
        <f>Saldo_relativo_per_capita!D360*Saldo_relativo_per_capita!D$543/1000000</f>
        <v>0</v>
      </c>
      <c r="E360" s="340">
        <f>Saldo_relativo_per_capita!E360*Saldo_relativo_per_capita!E$543/1000000</f>
        <v>-0.3981609242316092</v>
      </c>
      <c r="F360" s="340">
        <f>Saldo_relativo_per_capita!F360*Saldo_relativo_per_capita!F$543/1000000</f>
        <v>4.6900454501089109E-2</v>
      </c>
      <c r="G360" s="340">
        <f>Saldo_relativo_per_capita!G360*Saldo_relativo_per_capita!G$543/1000000</f>
        <v>0.12992200295174927</v>
      </c>
      <c r="H360" s="340">
        <f>Saldo_relativo_per_capita!H360*Saldo_relativo_per_capita!H$543/1000000</f>
        <v>-0.12079947714211693</v>
      </c>
      <c r="I360" s="340">
        <f>Saldo_relativo_per_capita!I360*Saldo_relativo_per_capita!I$543/1000000</f>
        <v>1.4060687530457978E-2</v>
      </c>
      <c r="J360" s="340">
        <f>Saldo_relativo_per_capita!J360*Saldo_relativo_per_capita!J$543/1000000</f>
        <v>6.4630322637246078E-3</v>
      </c>
      <c r="K360" s="340">
        <f>Saldo_relativo_per_capita!K360*Saldo_relativo_per_capita!K$543/1000000</f>
        <v>0.11303124820508302</v>
      </c>
      <c r="L360" s="340">
        <f>Saldo_relativo_per_capita!L360*Saldo_relativo_per_capita!L$543/1000000</f>
        <v>-0.13557622226603297</v>
      </c>
      <c r="M360" s="340">
        <f>Saldo_relativo_per_capita!M360*Saldo_relativo_per_capita!M$543/1000000</f>
        <v>-0.37679075794621819</v>
      </c>
      <c r="N360" s="340">
        <f>Saldo_relativo_per_capita!N360*Saldo_relativo_per_capita!N$543/1000000</f>
        <v>-0.39472535389770025</v>
      </c>
      <c r="O360" s="340">
        <f>Saldo_relativo_per_capita!O360*Saldo_relativo_per_capita!O$543/1000000</f>
        <v>-9.3202402663697129E-2</v>
      </c>
      <c r="P360" s="340">
        <f>Saldo_relativo_per_capita!P360*Saldo_relativo_per_capita!P$543/1000000</f>
        <v>-7.9724066636923774E-2</v>
      </c>
      <c r="Q360" s="340">
        <f>Saldo_relativo_per_capita!Q360*Saldo_relativo_per_capita!Q$543/1000000</f>
        <v>1.6196421204046469</v>
      </c>
      <c r="R360" s="340">
        <f>Saldo_relativo_per_capita!R360*Saldo_relativo_per_capita!R$543/1000000</f>
        <v>-0.16262403172145648</v>
      </c>
      <c r="S360" s="340">
        <f>Saldo_relativo_per_capita!S360*Saldo_relativo_per_capita!S$543/1000000</f>
        <v>-6.23451995633994E-2</v>
      </c>
      <c r="T360" s="340">
        <f>Saldo_relativo_per_capita!T360*Saldo_relativo_per_capita!T$543/1000000</f>
        <v>-0.10103022573411855</v>
      </c>
      <c r="U360" s="340">
        <f>Saldo_relativo_per_capita!U360*Saldo_relativo_per_capita!U$543/1000000</f>
        <v>1.1099735424604842E-2</v>
      </c>
      <c r="V360" s="340">
        <f>Saldo_relativo_per_capita!V360*Saldo_relativo_per_capita!V$543/1000000</f>
        <v>-1.6140619478085108E-2</v>
      </c>
      <c r="W360" s="148"/>
    </row>
    <row r="361" spans="1:23" s="115" customFormat="1">
      <c r="A361" s="355" t="str">
        <f>IF(B361="","",(IF(ISERROR(MATCH(B361,Tot_res!C:C,0)),"Eliminar!!!","")))</f>
        <v/>
      </c>
      <c r="B361" s="115" t="s">
        <v>353</v>
      </c>
      <c r="C361" s="333" t="str">
        <f>VLOOKUP(B361,Tot_res!C:D,2,FALSE)</f>
        <v>Promoción del libro y publicaciones culturales</v>
      </c>
      <c r="D361" s="340">
        <f>Saldo_relativo_per_capita!D361*Saldo_relativo_per_capita!D$543/1000000</f>
        <v>0</v>
      </c>
      <c r="E361" s="340">
        <f>Saldo_relativo_per_capita!E361*Saldo_relativo_per_capita!E$543/1000000</f>
        <v>0</v>
      </c>
      <c r="F361" s="340">
        <f>Saldo_relativo_per_capita!F361*Saldo_relativo_per_capita!F$543/1000000</f>
        <v>0</v>
      </c>
      <c r="G361" s="340">
        <f>Saldo_relativo_per_capita!G361*Saldo_relativo_per_capita!G$543/1000000</f>
        <v>0</v>
      </c>
      <c r="H361" s="340">
        <f>Saldo_relativo_per_capita!H361*Saldo_relativo_per_capita!H$543/1000000</f>
        <v>0</v>
      </c>
      <c r="I361" s="340">
        <f>Saldo_relativo_per_capita!I361*Saldo_relativo_per_capita!I$543/1000000</f>
        <v>0</v>
      </c>
      <c r="J361" s="340">
        <f>Saldo_relativo_per_capita!J361*Saldo_relativo_per_capita!J$543/1000000</f>
        <v>0</v>
      </c>
      <c r="K361" s="340">
        <f>Saldo_relativo_per_capita!K361*Saldo_relativo_per_capita!K$543/1000000</f>
        <v>0</v>
      </c>
      <c r="L361" s="340">
        <f>Saldo_relativo_per_capita!L361*Saldo_relativo_per_capita!L$543/1000000</f>
        <v>0</v>
      </c>
      <c r="M361" s="340">
        <f>Saldo_relativo_per_capita!M361*Saldo_relativo_per_capita!M$543/1000000</f>
        <v>0</v>
      </c>
      <c r="N361" s="340">
        <f>Saldo_relativo_per_capita!N361*Saldo_relativo_per_capita!N$543/1000000</f>
        <v>0</v>
      </c>
      <c r="O361" s="340">
        <f>Saldo_relativo_per_capita!O361*Saldo_relativo_per_capita!O$543/1000000</f>
        <v>0</v>
      </c>
      <c r="P361" s="340">
        <f>Saldo_relativo_per_capita!P361*Saldo_relativo_per_capita!P$543/1000000</f>
        <v>0</v>
      </c>
      <c r="Q361" s="340">
        <f>Saldo_relativo_per_capita!Q361*Saldo_relativo_per_capita!Q$543/1000000</f>
        <v>0</v>
      </c>
      <c r="R361" s="340">
        <f>Saldo_relativo_per_capita!R361*Saldo_relativo_per_capita!R$543/1000000</f>
        <v>0</v>
      </c>
      <c r="S361" s="340">
        <f>Saldo_relativo_per_capita!S361*Saldo_relativo_per_capita!S$543/1000000</f>
        <v>0</v>
      </c>
      <c r="T361" s="340">
        <f>Saldo_relativo_per_capita!T361*Saldo_relativo_per_capita!T$543/1000000</f>
        <v>0</v>
      </c>
      <c r="U361" s="340">
        <f>Saldo_relativo_per_capita!U361*Saldo_relativo_per_capita!U$543/1000000</f>
        <v>0</v>
      </c>
      <c r="V361" s="340">
        <f>Saldo_relativo_per_capita!V361*Saldo_relativo_per_capita!V$543/1000000</f>
        <v>0</v>
      </c>
      <c r="W361" s="148"/>
    </row>
    <row r="362" spans="1:23" s="115" customFormat="1">
      <c r="A362" s="355" t="str">
        <f>IF(B362="","",(IF(ISERROR(MATCH(B362,Tot_res!C:C,0)),"Eliminar!!!","")))</f>
        <v/>
      </c>
      <c r="B362" s="119" t="s">
        <v>355</v>
      </c>
      <c r="C362" s="333" t="str">
        <f>VLOOKUP(B362,Tot_res!C:D,2,FALSE)</f>
        <v>Fomento de las industrias culturales</v>
      </c>
      <c r="D362" s="340">
        <f>Saldo_relativo_per_capita!D362*Saldo_relativo_per_capita!D$543/1000000</f>
        <v>0</v>
      </c>
      <c r="E362" s="340">
        <f>Saldo_relativo_per_capita!E362*Saldo_relativo_per_capita!E$543/1000000</f>
        <v>-0.23755991700827697</v>
      </c>
      <c r="F362" s="340">
        <f>Saldo_relativo_per_capita!F362*Saldo_relativo_per_capita!F$543/1000000</f>
        <v>3.8657917222147723E-3</v>
      </c>
      <c r="G362" s="340">
        <f>Saldo_relativo_per_capita!G362*Saldo_relativo_per_capita!G$543/1000000</f>
        <v>-5.5979540921568822E-2</v>
      </c>
      <c r="H362" s="340">
        <f>Saldo_relativo_per_capita!H362*Saldo_relativo_per_capita!H$543/1000000</f>
        <v>-4.0980559676187064E-2</v>
      </c>
      <c r="I362" s="340">
        <f>Saldo_relativo_per_capita!I362*Saldo_relativo_per_capita!I$543/1000000</f>
        <v>-8.1744341043775606E-2</v>
      </c>
      <c r="J362" s="340">
        <f>Saldo_relativo_per_capita!J362*Saldo_relativo_per_capita!J$543/1000000</f>
        <v>2.1292350510016437E-2</v>
      </c>
      <c r="K362" s="340">
        <f>Saldo_relativo_per_capita!K362*Saldo_relativo_per_capita!K$543/1000000</f>
        <v>-0.11176606473256717</v>
      </c>
      <c r="L362" s="340">
        <f>Saldo_relativo_per_capita!L362*Saldo_relativo_per_capita!L$543/1000000</f>
        <v>-0.12997644436412634</v>
      </c>
      <c r="M362" s="340">
        <f>Saldo_relativo_per_capita!M362*Saldo_relativo_per_capita!M$543/1000000</f>
        <v>0.44060315072517592</v>
      </c>
      <c r="N362" s="340">
        <f>Saldo_relativo_per_capita!N362*Saldo_relativo_per_capita!N$543/1000000</f>
        <v>-0.25726805470352715</v>
      </c>
      <c r="O362" s="340">
        <f>Saldo_relativo_per_capita!O362*Saldo_relativo_per_capita!O$543/1000000</f>
        <v>-6.7572851870445996E-2</v>
      </c>
      <c r="P362" s="340">
        <f>Saldo_relativo_per_capita!P362*Saldo_relativo_per_capita!P$543/1000000</f>
        <v>-0.15019336382335841</v>
      </c>
      <c r="Q362" s="340">
        <f>Saldo_relativo_per_capita!Q362*Saldo_relativo_per_capita!Q$543/1000000</f>
        <v>0.6911870398098966</v>
      </c>
      <c r="R362" s="340">
        <f>Saldo_relativo_per_capita!R362*Saldo_relativo_per_capita!R$543/1000000</f>
        <v>-8.7810189193547175E-2</v>
      </c>
      <c r="S362" s="340">
        <f>Saldo_relativo_per_capita!S362*Saldo_relativo_per_capita!S$543/1000000</f>
        <v>-3.0580060008014859E-2</v>
      </c>
      <c r="T362" s="340">
        <f>Saldo_relativo_per_capita!T362*Saldo_relativo_per_capita!T$543/1000000</f>
        <v>0.12408399352990888</v>
      </c>
      <c r="U362" s="340">
        <f>Saldo_relativo_per_capita!U362*Saldo_relativo_per_capita!U$543/1000000</f>
        <v>-1.8304400676436745E-2</v>
      </c>
      <c r="V362" s="340">
        <f>Saldo_relativo_per_capita!V362*Saldo_relativo_per_capita!V$543/1000000</f>
        <v>-1.1296538275380751E-2</v>
      </c>
      <c r="W362" s="148"/>
    </row>
    <row r="363" spans="1:23" s="115" customFormat="1">
      <c r="A363" s="355" t="str">
        <f>IF(B363="","",(IF(ISERROR(MATCH(B363,Tot_res!C:C,0)),"Eliminar!!!","")))</f>
        <v/>
      </c>
      <c r="B363" s="119" t="s">
        <v>357</v>
      </c>
      <c r="C363" s="333" t="str">
        <f>VLOOKUP(B363,Tot_res!C:D,2,FALSE)</f>
        <v>Música y danza</v>
      </c>
      <c r="D363" s="340">
        <f>Saldo_relativo_per_capita!D363*Saldo_relativo_per_capita!D$543/1000000</f>
        <v>0</v>
      </c>
      <c r="E363" s="340">
        <f>Saldo_relativo_per_capita!E363*Saldo_relativo_per_capita!E$543/1000000</f>
        <v>-7.6279232464738511</v>
      </c>
      <c r="F363" s="340">
        <f>Saldo_relativo_per_capita!F363*Saldo_relativo_per_capita!F$543/1000000</f>
        <v>-1.2466167264039869</v>
      </c>
      <c r="G363" s="340">
        <f>Saldo_relativo_per_capita!G363*Saldo_relativo_per_capita!G$543/1000000</f>
        <v>-0.91271864644046063</v>
      </c>
      <c r="H363" s="340">
        <f>Saldo_relativo_per_capita!H363*Saldo_relativo_per_capita!H$543/1000000</f>
        <v>-1.1086193819193917</v>
      </c>
      <c r="I363" s="340">
        <f>Saldo_relativo_per_capita!I363*Saldo_relativo_per_capita!I$543/1000000</f>
        <v>-2.0961387938345388</v>
      </c>
      <c r="J363" s="340">
        <f>Saldo_relativo_per_capita!J363*Saldo_relativo_per_capita!J$543/1000000</f>
        <v>-0.54507521846851581</v>
      </c>
      <c r="K363" s="340">
        <f>Saldo_relativo_per_capita!K363*Saldo_relativo_per_capita!K$543/1000000</f>
        <v>-2.5181207013710041</v>
      </c>
      <c r="L363" s="340">
        <f>Saldo_relativo_per_capita!L363*Saldo_relativo_per_capita!L$543/1000000</f>
        <v>-2.1795983587343857</v>
      </c>
      <c r="M363" s="340">
        <f>Saldo_relativo_per_capita!M363*Saldo_relativo_per_capita!M$543/1000000</f>
        <v>-1.5668850562453711</v>
      </c>
      <c r="N363" s="340">
        <f>Saldo_relativo_per_capita!N363*Saldo_relativo_per_capita!N$543/1000000</f>
        <v>-4.9378762593599008</v>
      </c>
      <c r="O363" s="340">
        <f>Saldo_relativo_per_capita!O363*Saldo_relativo_per_capita!O$543/1000000</f>
        <v>-1.1615356593758224</v>
      </c>
      <c r="P363" s="340">
        <f>Saldo_relativo_per_capita!P363*Saldo_relativo_per_capita!P$543/1000000</f>
        <v>-2.8830083825348281</v>
      </c>
      <c r="Q363" s="340">
        <f>Saldo_relativo_per_capita!Q363*Saldo_relativo_per_capita!Q$543/1000000</f>
        <v>32.924388061223695</v>
      </c>
      <c r="R363" s="340">
        <f>Saldo_relativo_per_capita!R363*Saldo_relativo_per_capita!R$543/1000000</f>
        <v>-1.505575059394604</v>
      </c>
      <c r="S363" s="340">
        <f>Saldo_relativo_per_capita!S363*Saldo_relativo_per_capita!S$543/1000000</f>
        <v>-0.58785243579680591</v>
      </c>
      <c r="T363" s="340">
        <f>Saldo_relativo_per_capita!T363*Saldo_relativo_per_capita!T$543/1000000</f>
        <v>-1.5345642321340267</v>
      </c>
      <c r="U363" s="340">
        <f>Saldo_relativo_per_capita!U363*Saldo_relativo_per_capita!U$543/1000000</f>
        <v>-0.32876533539079</v>
      </c>
      <c r="V363" s="340">
        <f>Saldo_relativo_per_capita!V363*Saldo_relativo_per_capita!V$543/1000000</f>
        <v>-0.18351456734539881</v>
      </c>
      <c r="W363" s="148"/>
    </row>
    <row r="364" spans="1:23" s="115" customFormat="1">
      <c r="A364" s="355" t="str">
        <f>IF(B364="","",(IF(ISERROR(MATCH(B364,Tot_res!C:C,0)),"Eliminar!!!","")))</f>
        <v/>
      </c>
      <c r="B364" s="115" t="s">
        <v>358</v>
      </c>
      <c r="C364" s="333" t="str">
        <f>VLOOKUP(B364,Tot_res!C:D,2,FALSE)</f>
        <v>Teatro</v>
      </c>
      <c r="D364" s="340">
        <f>Saldo_relativo_per_capita!D364*Saldo_relativo_per_capita!D$543/1000000</f>
        <v>0</v>
      </c>
      <c r="E364" s="340">
        <f>Saldo_relativo_per_capita!E364*Saldo_relativo_per_capita!E$543/1000000</f>
        <v>-3.5666431245885271</v>
      </c>
      <c r="F364" s="340">
        <f>Saldo_relativo_per_capita!F364*Saldo_relativo_per_capita!F$543/1000000</f>
        <v>-0.34430357137980205</v>
      </c>
      <c r="G364" s="340">
        <f>Saldo_relativo_per_capita!G364*Saldo_relativo_per_capita!G$543/1000000</f>
        <v>-0.44014564454007765</v>
      </c>
      <c r="H364" s="340">
        <f>Saldo_relativo_per_capita!H364*Saldo_relativo_per_capita!H$543/1000000</f>
        <v>-0.295063850826979</v>
      </c>
      <c r="I364" s="340">
        <f>Saldo_relativo_per_capita!I364*Saldo_relativo_per_capita!I$543/1000000</f>
        <v>-0.97288253424062199</v>
      </c>
      <c r="J364" s="340">
        <f>Saldo_relativo_per_capita!J364*Saldo_relativo_per_capita!J$543/1000000</f>
        <v>-0.22893506966271218</v>
      </c>
      <c r="K364" s="340">
        <f>Saldo_relativo_per_capita!K364*Saldo_relativo_per_capita!K$543/1000000</f>
        <v>-0.7675008164760535</v>
      </c>
      <c r="L364" s="340">
        <f>Saldo_relativo_per_capita!L364*Saldo_relativo_per_capita!L$543/1000000</f>
        <v>-0.45518486889156412</v>
      </c>
      <c r="M364" s="340">
        <f>Saldo_relativo_per_capita!M364*Saldo_relativo_per_capita!M$543/1000000</f>
        <v>-1.2515638102879285</v>
      </c>
      <c r="N364" s="340">
        <f>Saldo_relativo_per_capita!N364*Saldo_relativo_per_capita!N$543/1000000</f>
        <v>-1.7170416012401977</v>
      </c>
      <c r="O364" s="340">
        <f>Saldo_relativo_per_capita!O364*Saldo_relativo_per_capita!O$543/1000000</f>
        <v>-0.28177862242214385</v>
      </c>
      <c r="P364" s="340">
        <f>Saldo_relativo_per_capita!P364*Saldo_relativo_per_capita!P$543/1000000</f>
        <v>-1.1387000875162399</v>
      </c>
      <c r="Q364" s="340">
        <f>Saldo_relativo_per_capita!Q364*Saldo_relativo_per_capita!Q$543/1000000</f>
        <v>12.882410622731342</v>
      </c>
      <c r="R364" s="340">
        <f>Saldo_relativo_per_capita!R364*Saldo_relativo_per_capita!R$543/1000000</f>
        <v>-0.54615323735425614</v>
      </c>
      <c r="S364" s="340">
        <f>Saldo_relativo_per_capita!S364*Saldo_relativo_per_capita!S$543/1000000</f>
        <v>-0.26353183320168305</v>
      </c>
      <c r="T364" s="340">
        <f>Saldo_relativo_per_capita!T364*Saldo_relativo_per_capita!T$543/1000000</f>
        <v>-0.4127023622262817</v>
      </c>
      <c r="U364" s="340">
        <f>Saldo_relativo_per_capita!U364*Saldo_relativo_per_capita!U$543/1000000</f>
        <v>-0.11779944554050449</v>
      </c>
      <c r="V364" s="340">
        <f>Saldo_relativo_per_capita!V364*Saldo_relativo_per_capita!V$543/1000000</f>
        <v>-8.2480142335770487E-2</v>
      </c>
      <c r="W364" s="148"/>
    </row>
    <row r="365" spans="1:23" s="115" customFormat="1">
      <c r="A365" s="355" t="str">
        <f>IF(B365="","",(IF(ISERROR(MATCH(B365,Tot_res!C:C,0)),"Eliminar!!!","")))</f>
        <v/>
      </c>
      <c r="B365" s="115" t="s">
        <v>360</v>
      </c>
      <c r="C365" s="333" t="str">
        <f>VLOOKUP(B365,Tot_res!C:D,2,FALSE)</f>
        <v>Cinematografía</v>
      </c>
      <c r="D365" s="340">
        <f>Saldo_relativo_per_capita!D365*Saldo_relativo_per_capita!D$543/1000000</f>
        <v>0</v>
      </c>
      <c r="E365" s="340">
        <f>Saldo_relativo_per_capita!E365*Saldo_relativo_per_capita!E$543/1000000</f>
        <v>-2.0870946844497387</v>
      </c>
      <c r="F365" s="340">
        <f>Saldo_relativo_per_capita!F365*Saldo_relativo_per_capita!F$543/1000000</f>
        <v>-4.6901429827163804E-2</v>
      </c>
      <c r="G365" s="340">
        <f>Saldo_relativo_per_capita!G365*Saldo_relativo_per_capita!G$543/1000000</f>
        <v>-0.21665307591690897</v>
      </c>
      <c r="H365" s="340">
        <f>Saldo_relativo_per_capita!H365*Saldo_relativo_per_capita!H$543/1000000</f>
        <v>0.19661172641901301</v>
      </c>
      <c r="I365" s="340">
        <f>Saldo_relativo_per_capita!I365*Saldo_relativo_per_capita!I$543/1000000</f>
        <v>4.466370112227689E-2</v>
      </c>
      <c r="J365" s="340">
        <f>Saldo_relativo_per_capita!J365*Saldo_relativo_per_capita!J$543/1000000</f>
        <v>-0.16985896860733429</v>
      </c>
      <c r="K365" s="340">
        <f>Saldo_relativo_per_capita!K365*Saldo_relativo_per_capita!K$543/1000000</f>
        <v>-0.37652682078530431</v>
      </c>
      <c r="L365" s="340">
        <f>Saldo_relativo_per_capita!L365*Saldo_relativo_per_capita!L$543/1000000</f>
        <v>-0.84921254160116222</v>
      </c>
      <c r="M365" s="340">
        <f>Saldo_relativo_per_capita!M365*Saldo_relativo_per_capita!M$543/1000000</f>
        <v>1.6069333402636814</v>
      </c>
      <c r="N365" s="340">
        <f>Saldo_relativo_per_capita!N365*Saldo_relativo_per_capita!N$543/1000000</f>
        <v>0.11662987659951991</v>
      </c>
      <c r="O365" s="340">
        <f>Saldo_relativo_per_capita!O365*Saldo_relativo_per_capita!O$543/1000000</f>
        <v>-0.71451575385283883</v>
      </c>
      <c r="P365" s="340">
        <f>Saldo_relativo_per_capita!P365*Saldo_relativo_per_capita!P$543/1000000</f>
        <v>-1.1013120804585774</v>
      </c>
      <c r="Q365" s="340">
        <f>Saldo_relativo_per_capita!Q365*Saldo_relativo_per_capita!Q$543/1000000</f>
        <v>2.7369077662236805</v>
      </c>
      <c r="R365" s="340">
        <f>Saldo_relativo_per_capita!R365*Saldo_relativo_per_capita!R$543/1000000</f>
        <v>-0.18868685179117645</v>
      </c>
      <c r="S365" s="340">
        <f>Saldo_relativo_per_capita!S365*Saldo_relativo_per_capita!S$543/1000000</f>
        <v>0.23300984030641841</v>
      </c>
      <c r="T365" s="340">
        <f>Saldo_relativo_per_capita!T365*Saldo_relativo_per_capita!T$543/1000000</f>
        <v>0.8782295534928517</v>
      </c>
      <c r="U365" s="340">
        <f>Saldo_relativo_per_capita!U365*Saldo_relativo_per_capita!U$543/1000000</f>
        <v>0.11735909730631609</v>
      </c>
      <c r="V365" s="340">
        <f>Saldo_relativo_per_capita!V365*Saldo_relativo_per_capita!V$543/1000000</f>
        <v>-0.17958269444356062</v>
      </c>
      <c r="W365" s="148"/>
    </row>
    <row r="366" spans="1:23" s="115" customFormat="1">
      <c r="A366" s="355" t="str">
        <f>IF(B366="","",(IF(ISERROR(MATCH(B366,Tot_res!C:C,0)),"Eliminar!!!","")))</f>
        <v/>
      </c>
      <c r="B366" s="115" t="s">
        <v>851</v>
      </c>
      <c r="C366" s="333" t="str">
        <f>VLOOKUP(B366,Tot_res!C:D,2,FALSE)</f>
        <v>Fomento y apoyo de las actividades deportivas</v>
      </c>
      <c r="D366" s="340">
        <f>Saldo_relativo_per_capita!D366*Saldo_relativo_per_capita!D$543/1000000</f>
        <v>0</v>
      </c>
      <c r="E366" s="340">
        <f>Saldo_relativo_per_capita!E366*Saldo_relativo_per_capita!E$543/1000000</f>
        <v>-1.8229645189757289</v>
      </c>
      <c r="F366" s="340">
        <f>Saldo_relativo_per_capita!F366*Saldo_relativo_per_capita!F$543/1000000</f>
        <v>1.2174195040188194</v>
      </c>
      <c r="G366" s="340">
        <f>Saldo_relativo_per_capita!G366*Saldo_relativo_per_capita!G$543/1000000</f>
        <v>0.25288494013469587</v>
      </c>
      <c r="H366" s="340">
        <f>Saldo_relativo_per_capita!H366*Saldo_relativo_per_capita!H$543/1000000</f>
        <v>0.20516502772702208</v>
      </c>
      <c r="I366" s="340">
        <f>Saldo_relativo_per_capita!I366*Saldo_relativo_per_capita!I$543/1000000</f>
        <v>0.39585152079965452</v>
      </c>
      <c r="J366" s="340">
        <f>Saldo_relativo_per_capita!J366*Saldo_relativo_per_capita!J$543/1000000</f>
        <v>0.56462871671392034</v>
      </c>
      <c r="K366" s="340">
        <f>Saldo_relativo_per_capita!K366*Saldo_relativo_per_capita!K$543/1000000</f>
        <v>-0.52896651166391484</v>
      </c>
      <c r="L366" s="340">
        <f>Saldo_relativo_per_capita!L366*Saldo_relativo_per_capita!L$543/1000000</f>
        <v>-0.80507991599237105</v>
      </c>
      <c r="M366" s="340">
        <f>Saldo_relativo_per_capita!M366*Saldo_relativo_per_capita!M$543/1000000</f>
        <v>1.7496416874173688</v>
      </c>
      <c r="N366" s="340">
        <f>Saldo_relativo_per_capita!N366*Saldo_relativo_per_capita!N$543/1000000</f>
        <v>-1.0131694753725267</v>
      </c>
      <c r="O366" s="340">
        <f>Saldo_relativo_per_capita!O366*Saldo_relativo_per_capita!O$543/1000000</f>
        <v>-0.16182422799869237</v>
      </c>
      <c r="P366" s="340">
        <f>Saldo_relativo_per_capita!P366*Saldo_relativo_per_capita!P$543/1000000</f>
        <v>-0.26217010778309008</v>
      </c>
      <c r="Q366" s="340">
        <f>Saldo_relativo_per_capita!Q366*Saldo_relativo_per_capita!Q$543/1000000</f>
        <v>-1.6214149147402732</v>
      </c>
      <c r="R366" s="340">
        <f>Saldo_relativo_per_capita!R366*Saldo_relativo_per_capita!R$543/1000000</f>
        <v>-0.54671546341883959</v>
      </c>
      <c r="S366" s="340">
        <f>Saldo_relativo_per_capita!S366*Saldo_relativo_per_capita!S$543/1000000</f>
        <v>0.76064859210141988</v>
      </c>
      <c r="T366" s="340">
        <f>Saldo_relativo_per_capita!T366*Saldo_relativo_per_capita!T$543/1000000</f>
        <v>1.2133095788721666</v>
      </c>
      <c r="U366" s="340">
        <f>Saldo_relativo_per_capita!U366*Saldo_relativo_per_capita!U$543/1000000</f>
        <v>0.29388506576619544</v>
      </c>
      <c r="V366" s="340">
        <f>Saldo_relativo_per_capita!V366*Saldo_relativo_per_capita!V$543/1000000</f>
        <v>0.10887050239419803</v>
      </c>
      <c r="W366" s="148"/>
    </row>
    <row r="367" spans="1:23" s="115" customFormat="1">
      <c r="A367" s="355" t="str">
        <f>IF(B367="","",(IF(ISERROR(MATCH(B367,Tot_res!C:C,0)),"Eliminar!!!","")))</f>
        <v/>
      </c>
      <c r="B367" s="119" t="s">
        <v>363</v>
      </c>
      <c r="C367" s="333" t="str">
        <f>VLOOKUP(B367,Tot_res!C:D,2,FALSE)</f>
        <v>Administración del patrimonio histórico-nacional</v>
      </c>
      <c r="D367" s="340">
        <f>Saldo_relativo_per_capita!D367*Saldo_relativo_per_capita!D$543/1000000</f>
        <v>0</v>
      </c>
      <c r="E367" s="340">
        <f>Saldo_relativo_per_capita!E367*Saldo_relativo_per_capita!E$543/1000000</f>
        <v>-14.856580580933604</v>
      </c>
      <c r="F367" s="340">
        <f>Saldo_relativo_per_capita!F367*Saldo_relativo_per_capita!F$543/1000000</f>
        <v>-2.2591886202158782</v>
      </c>
      <c r="G367" s="340">
        <f>Saldo_relativo_per_capita!G367*Saldo_relativo_per_capita!G$543/1000000</f>
        <v>-1.8699717430561003</v>
      </c>
      <c r="H367" s="340">
        <f>Saldo_relativo_per_capita!H367*Saldo_relativo_per_capita!H$543/1000000</f>
        <v>-0.56688351971087392</v>
      </c>
      <c r="I367" s="340">
        <f>Saldo_relativo_per_capita!I367*Saldo_relativo_per_capita!I$543/1000000</f>
        <v>-3.7013640024070114</v>
      </c>
      <c r="J367" s="340">
        <f>Saldo_relativo_per_capita!J367*Saldo_relativo_per_capita!J$543/1000000</f>
        <v>-1.032889504792152</v>
      </c>
      <c r="K367" s="340">
        <f>Saldo_relativo_per_capita!K367*Saldo_relativo_per_capita!K$543/1000000</f>
        <v>-2.1965956303778964</v>
      </c>
      <c r="L367" s="340">
        <f>Saldo_relativo_per_capita!L367*Saldo_relativo_per_capita!L$543/1000000</f>
        <v>-3.7195099437194377</v>
      </c>
      <c r="M367" s="340">
        <f>Saldo_relativo_per_capita!M367*Saldo_relativo_per_capita!M$543/1000000</f>
        <v>-12.594483369215915</v>
      </c>
      <c r="N367" s="340">
        <f>Saldo_relativo_per_capita!N367*Saldo_relativo_per_capita!N$543/1000000</f>
        <v>-8.9170465899981739</v>
      </c>
      <c r="O367" s="340">
        <f>Saldo_relativo_per_capita!O367*Saldo_relativo_per_capita!O$543/1000000</f>
        <v>-1.0665096049305813</v>
      </c>
      <c r="P367" s="340">
        <f>Saldo_relativo_per_capita!P367*Saldo_relativo_per_capita!P$543/1000000</f>
        <v>-4.8382688619481602</v>
      </c>
      <c r="Q367" s="340">
        <f>Saldo_relativo_per_capita!Q367*Saldo_relativo_per_capita!Q$543/1000000</f>
        <v>65.719438053704565</v>
      </c>
      <c r="R367" s="340">
        <f>Saldo_relativo_per_capita!R367*Saldo_relativo_per_capita!R$543/1000000</f>
        <v>-2.6055082699651635</v>
      </c>
      <c r="S367" s="340">
        <f>Saldo_relativo_per_capita!S367*Saldo_relativo_per_capita!S$543/1000000</f>
        <v>-1.0636102650916388</v>
      </c>
      <c r="T367" s="340">
        <f>Saldo_relativo_per_capita!T367*Saldo_relativo_per_capita!T$543/1000000</f>
        <v>-3.5855416991470195</v>
      </c>
      <c r="U367" s="340">
        <f>Saldo_relativo_per_capita!U367*Saldo_relativo_per_capita!U$543/1000000</f>
        <v>-0.54524396803158925</v>
      </c>
      <c r="V367" s="340">
        <f>Saldo_relativo_per_capita!V367*Saldo_relativo_per_capita!V$543/1000000</f>
        <v>-0.30024188016336611</v>
      </c>
      <c r="W367" s="148"/>
    </row>
    <row r="368" spans="1:23" s="115" customFormat="1">
      <c r="A368" s="355" t="str">
        <f>IF(B368="","",(IF(ISERROR(MATCH(B368,Tot_res!C:C,0)),"Eliminar!!!","")))</f>
        <v/>
      </c>
      <c r="B368" s="119" t="s">
        <v>364</v>
      </c>
      <c r="C368" s="333" t="str">
        <f>VLOOKUP(B368,Tot_res!C:D,2,FALSE)</f>
        <v>Conservación y restauración de bienes culturales + AF17/1</v>
      </c>
      <c r="D368" s="340">
        <f>Saldo_relativo_per_capita!D368*Saldo_relativo_per_capita!D$543/1000000</f>
        <v>0</v>
      </c>
      <c r="E368" s="340">
        <f>Saldo_relativo_per_capita!E368*Saldo_relativo_per_capita!E$543/1000000</f>
        <v>-3.3336471450721126</v>
      </c>
      <c r="F368" s="340">
        <f>Saldo_relativo_per_capita!F368*Saldo_relativo_per_capita!F$543/1000000</f>
        <v>2.7361444838474806E-3</v>
      </c>
      <c r="G368" s="340">
        <f>Saldo_relativo_per_capita!G368*Saldo_relativo_per_capita!G$543/1000000</f>
        <v>-0.41182573287623153</v>
      </c>
      <c r="H368" s="340">
        <f>Saldo_relativo_per_capita!H368*Saldo_relativo_per_capita!H$543/1000000</f>
        <v>0.5348525738928992</v>
      </c>
      <c r="I368" s="340">
        <f>Saldo_relativo_per_capita!I368*Saldo_relativo_per_capita!I$543/1000000</f>
        <v>1.2567048477648552E-2</v>
      </c>
      <c r="J368" s="340">
        <f>Saldo_relativo_per_capita!J368*Saldo_relativo_per_capita!J$543/1000000</f>
        <v>-3.3157478957820681E-2</v>
      </c>
      <c r="K368" s="340">
        <f>Saldo_relativo_per_capita!K368*Saldo_relativo_per_capita!K$543/1000000</f>
        <v>-0.11920374333811504</v>
      </c>
      <c r="L368" s="340">
        <f>Saldo_relativo_per_capita!L368*Saldo_relativo_per_capita!L$543/1000000</f>
        <v>2.4685613725228954</v>
      </c>
      <c r="M368" s="340">
        <f>Saldo_relativo_per_capita!M368*Saldo_relativo_per_capita!M$543/1000000</f>
        <v>-0.88707557480382127</v>
      </c>
      <c r="N368" s="340">
        <f>Saldo_relativo_per_capita!N368*Saldo_relativo_per_capita!N$543/1000000</f>
        <v>-1.2502225323451863</v>
      </c>
      <c r="O368" s="340">
        <f>Saldo_relativo_per_capita!O368*Saldo_relativo_per_capita!O$543/1000000</f>
        <v>-6.1238405058591079E-2</v>
      </c>
      <c r="P368" s="340">
        <f>Saldo_relativo_per_capita!P368*Saldo_relativo_per_capita!P$543/1000000</f>
        <v>3.4270582742204452</v>
      </c>
      <c r="Q368" s="340">
        <f>Saldo_relativo_per_capita!Q368*Saldo_relativo_per_capita!Q$543/1000000</f>
        <v>-9.4983323890061762E-3</v>
      </c>
      <c r="R368" s="340">
        <f>Saldo_relativo_per_capita!R368*Saldo_relativo_per_capita!R$543/1000000</f>
        <v>-0.42143073271012071</v>
      </c>
      <c r="S368" s="340">
        <f>Saldo_relativo_per_capita!S368*Saldo_relativo_per_capita!S$543/1000000</f>
        <v>1.0315607428807915E-2</v>
      </c>
      <c r="T368" s="340">
        <f>Saldo_relativo_per_capita!T368*Saldo_relativo_per_capita!T$543/1000000</f>
        <v>0.14786647925103261</v>
      </c>
      <c r="U368" s="340">
        <f>Saldo_relativo_per_capita!U368*Saldo_relativo_per_capita!U$543/1000000</f>
        <v>-7.345229031070985E-2</v>
      </c>
      <c r="V368" s="340">
        <f>Saldo_relativo_per_capita!V368*Saldo_relativo_per_capita!V$543/1000000</f>
        <v>-3.2055324158650369E-3</v>
      </c>
      <c r="W368" s="148"/>
    </row>
    <row r="369" spans="1:23" s="115" customFormat="1">
      <c r="A369" s="355" t="str">
        <f>IF(B369="","",(IF(ISERROR(MATCH(B369,Tot_res!C:C,0)),"Eliminar!!!","")))</f>
        <v/>
      </c>
      <c r="B369" s="115" t="s">
        <v>366</v>
      </c>
      <c r="C369" s="333" t="str">
        <f>VLOOKUP(B369,Tot_res!C:D,2,FALSE)</f>
        <v>Protección del patrimonio histórico + AF17/2</v>
      </c>
      <c r="D369" s="340">
        <f>Saldo_relativo_per_capita!D369*Saldo_relativo_per_capita!D$543/1000000</f>
        <v>0</v>
      </c>
      <c r="E369" s="340">
        <f>Saldo_relativo_per_capita!E369*Saldo_relativo_per_capita!E$543/1000000</f>
        <v>-6.7032111617488593E-2</v>
      </c>
      <c r="F369" s="340">
        <f>Saldo_relativo_per_capita!F369*Saldo_relativo_per_capita!F$543/1000000</f>
        <v>0.21312369916557605</v>
      </c>
      <c r="G369" s="340">
        <f>Saldo_relativo_per_capita!G369*Saldo_relativo_per_capita!G$543/1000000</f>
        <v>-8.6664393863503816E-2</v>
      </c>
      <c r="H369" s="340">
        <f>Saldo_relativo_per_capita!H369*Saldo_relativo_per_capita!H$543/1000000</f>
        <v>-8.816812775770981E-2</v>
      </c>
      <c r="I369" s="340">
        <f>Saldo_relativo_per_capita!I369*Saldo_relativo_per_capita!I$543/1000000</f>
        <v>-0.16222155411860772</v>
      </c>
      <c r="J369" s="340">
        <f>Saldo_relativo_per_capita!J369*Saldo_relativo_per_capita!J$543/1000000</f>
        <v>0.13277647713197355</v>
      </c>
      <c r="K369" s="340">
        <f>Saldo_relativo_per_capita!K369*Saldo_relativo_per_capita!K$543/1000000</f>
        <v>0.43332411855951192</v>
      </c>
      <c r="L369" s="340">
        <f>Saldo_relativo_per_capita!L369*Saldo_relativo_per_capita!L$543/1000000</f>
        <v>-0.11721320063285727</v>
      </c>
      <c r="M369" s="340">
        <f>Saldo_relativo_per_capita!M369*Saldo_relativo_per_capita!M$543/1000000</f>
        <v>-0.48039547655155584</v>
      </c>
      <c r="N369" s="340">
        <f>Saldo_relativo_per_capita!N369*Saldo_relativo_per_capita!N$543/1000000</f>
        <v>-0.44509065719066315</v>
      </c>
      <c r="O369" s="340">
        <f>Saldo_relativo_per_capita!O369*Saldo_relativo_per_capita!O$543/1000000</f>
        <v>0.10253767748142742</v>
      </c>
      <c r="P369" s="340">
        <f>Saldo_relativo_per_capita!P369*Saldo_relativo_per_capita!P$543/1000000</f>
        <v>-0.2403562272967549</v>
      </c>
      <c r="Q369" s="340">
        <f>Saldo_relativo_per_capita!Q369*Saldo_relativo_per_capita!Q$543/1000000</f>
        <v>0.72025521821589111</v>
      </c>
      <c r="R369" s="340">
        <f>Saldo_relativo_per_capita!R369*Saldo_relativo_per_capita!R$543/1000000</f>
        <v>0.11985131912690979</v>
      </c>
      <c r="S369" s="340">
        <f>Saldo_relativo_per_capita!S369*Saldo_relativo_per_capita!S$543/1000000</f>
        <v>3.7926590793770625E-3</v>
      </c>
      <c r="T369" s="340">
        <f>Saldo_relativo_per_capita!T369*Saldo_relativo_per_capita!T$543/1000000</f>
        <v>1.6355377506999502E-2</v>
      </c>
      <c r="U369" s="340">
        <f>Saldo_relativo_per_capita!U369*Saldo_relativo_per_capita!U$543/1000000</f>
        <v>-3.5199688974502541E-2</v>
      </c>
      <c r="V369" s="340">
        <f>Saldo_relativo_per_capita!V369*Saldo_relativo_per_capita!V$543/1000000</f>
        <v>-1.9675108264022998E-2</v>
      </c>
      <c r="W369" s="148"/>
    </row>
    <row r="370" spans="1:23" s="115" customFormat="1">
      <c r="A370" s="355" t="str">
        <f>IF(B370="","",(IF(ISERROR(MATCH(B370,Tot_res!C:C,0)),"Eliminar!!!","")))</f>
        <v/>
      </c>
      <c r="B370" s="115" t="s">
        <v>854</v>
      </c>
      <c r="C370" s="333" t="str">
        <f>VLOOKUP(B370,Tot_res!C:D,2,FALSE)</f>
        <v>Dirección y Servicios Generales de Economía y Hacienda, transferencias a RTVE</v>
      </c>
      <c r="D370" s="340">
        <f>Saldo_relativo_per_capita!D370*Saldo_relativo_per_capita!D$543/1000000</f>
        <v>0</v>
      </c>
      <c r="E370" s="340">
        <f>Saldo_relativo_per_capita!E370*Saldo_relativo_per_capita!E$543/1000000</f>
        <v>0</v>
      </c>
      <c r="F370" s="340">
        <f>Saldo_relativo_per_capita!F370*Saldo_relativo_per_capita!F$543/1000000</f>
        <v>0</v>
      </c>
      <c r="G370" s="340">
        <f>Saldo_relativo_per_capita!G370*Saldo_relativo_per_capita!G$543/1000000</f>
        <v>0</v>
      </c>
      <c r="H370" s="340">
        <f>Saldo_relativo_per_capita!H370*Saldo_relativo_per_capita!H$543/1000000</f>
        <v>0</v>
      </c>
      <c r="I370" s="340">
        <f>Saldo_relativo_per_capita!I370*Saldo_relativo_per_capita!I$543/1000000</f>
        <v>0</v>
      </c>
      <c r="J370" s="340">
        <f>Saldo_relativo_per_capita!J370*Saldo_relativo_per_capita!J$543/1000000</f>
        <v>0</v>
      </c>
      <c r="K370" s="340">
        <f>Saldo_relativo_per_capita!K370*Saldo_relativo_per_capita!K$543/1000000</f>
        <v>0</v>
      </c>
      <c r="L370" s="340">
        <f>Saldo_relativo_per_capita!L370*Saldo_relativo_per_capita!L$543/1000000</f>
        <v>0</v>
      </c>
      <c r="M370" s="340">
        <f>Saldo_relativo_per_capita!M370*Saldo_relativo_per_capita!M$543/1000000</f>
        <v>0</v>
      </c>
      <c r="N370" s="340">
        <f>Saldo_relativo_per_capita!N370*Saldo_relativo_per_capita!N$543/1000000</f>
        <v>0</v>
      </c>
      <c r="O370" s="340">
        <f>Saldo_relativo_per_capita!O370*Saldo_relativo_per_capita!O$543/1000000</f>
        <v>0</v>
      </c>
      <c r="P370" s="340">
        <f>Saldo_relativo_per_capita!P370*Saldo_relativo_per_capita!P$543/1000000</f>
        <v>0</v>
      </c>
      <c r="Q370" s="340">
        <f>Saldo_relativo_per_capita!Q370*Saldo_relativo_per_capita!Q$543/1000000</f>
        <v>0</v>
      </c>
      <c r="R370" s="340">
        <f>Saldo_relativo_per_capita!R370*Saldo_relativo_per_capita!R$543/1000000</f>
        <v>0</v>
      </c>
      <c r="S370" s="340">
        <f>Saldo_relativo_per_capita!S370*Saldo_relativo_per_capita!S$543/1000000</f>
        <v>0</v>
      </c>
      <c r="T370" s="340">
        <f>Saldo_relativo_per_capita!T370*Saldo_relativo_per_capita!T$543/1000000</f>
        <v>0</v>
      </c>
      <c r="U370" s="340">
        <f>Saldo_relativo_per_capita!U370*Saldo_relativo_per_capita!U$543/1000000</f>
        <v>0</v>
      </c>
      <c r="V370" s="340">
        <f>Saldo_relativo_per_capita!V370*Saldo_relativo_per_capita!V$543/1000000</f>
        <v>0</v>
      </c>
      <c r="W370" s="148"/>
    </row>
    <row r="371" spans="1:23" s="115" customFormat="1">
      <c r="A371" s="355" t="str">
        <f>IF(B371="","",(IF(ISERROR(MATCH(B371,Tot_res!C:C,0)),"Eliminar!!!","")))</f>
        <v/>
      </c>
      <c r="B371" s="115" t="s">
        <v>368</v>
      </c>
      <c r="C371" s="333" t="str">
        <f>VLOOKUP(B371,Tot_res!C:D,2,FALSE)</f>
        <v>Normalización lingüística + AF08</v>
      </c>
      <c r="D371" s="340">
        <f>Saldo_relativo_per_capita!D371*Saldo_relativo_per_capita!D$543/1000000</f>
        <v>0</v>
      </c>
      <c r="E371" s="340">
        <f>Saldo_relativo_per_capita!E371*Saldo_relativo_per_capita!E$543/1000000</f>
        <v>-33.334367087460123</v>
      </c>
      <c r="F371" s="340">
        <f>Saldo_relativo_per_capita!F371*Saldo_relativo_per_capita!F$543/1000000</f>
        <v>-5.2893992790358277</v>
      </c>
      <c r="G371" s="340">
        <f>Saldo_relativo_per_capita!G371*Saldo_relativo_per_capita!G$543/1000000</f>
        <v>-4.2154742975501804</v>
      </c>
      <c r="H371" s="340">
        <f>Saldo_relativo_per_capita!H371*Saldo_relativo_per_capita!H$543/1000000</f>
        <v>15.704943238136533</v>
      </c>
      <c r="I371" s="340">
        <f>Saldo_relativo_per_capita!I371*Saldo_relativo_per_capita!I$543/1000000</f>
        <v>-8.3590097486514292</v>
      </c>
      <c r="J371" s="340">
        <f>Saldo_relativo_per_capita!J371*Saldo_relativo_per_capita!J$543/1000000</f>
        <v>-2.3364964658910261</v>
      </c>
      <c r="K371" s="340">
        <f>Saldo_relativo_per_capita!K371*Saldo_relativo_per_capita!K$543/1000000</f>
        <v>-9.9248711188464149</v>
      </c>
      <c r="L371" s="340">
        <f>Saldo_relativo_per_capita!L371*Saldo_relativo_per_capita!L$543/1000000</f>
        <v>-8.2721539030365037</v>
      </c>
      <c r="M371" s="340">
        <f>Saldo_relativo_per_capita!M371*Saldo_relativo_per_capita!M$543/1000000</f>
        <v>36.325263584350097</v>
      </c>
      <c r="N371" s="340">
        <f>Saldo_relativo_per_capita!N371*Saldo_relativo_per_capita!N$543/1000000</f>
        <v>21.30484293161518</v>
      </c>
      <c r="O371" s="340">
        <f>Saldo_relativo_per_capita!O371*Saldo_relativo_per_capita!O$543/1000000</f>
        <v>-4.3613687639852792</v>
      </c>
      <c r="P371" s="340">
        <f>Saldo_relativo_per_capita!P371*Saldo_relativo_per_capita!P$543/1000000</f>
        <v>20.066153831875923</v>
      </c>
      <c r="Q371" s="340">
        <f>Saldo_relativo_per_capita!Q371*Saldo_relativo_per_capita!Q$543/1000000</f>
        <v>-25.630224883461011</v>
      </c>
      <c r="R371" s="340">
        <f>Saldo_relativo_per_capita!R371*Saldo_relativo_per_capita!R$543/1000000</f>
        <v>-5.8165154024108903</v>
      </c>
      <c r="S371" s="340">
        <f>Saldo_relativo_per_capita!S371*Saldo_relativo_per_capita!S$543/1000000</f>
        <v>3.6464754912952833</v>
      </c>
      <c r="T371" s="340">
        <f>Saldo_relativo_per_capita!T371*Saldo_relativo_per_capita!T$543/1000000</f>
        <v>12.42854196912084</v>
      </c>
      <c r="U371" s="340">
        <f>Saldo_relativo_per_capita!U371*Saldo_relativo_per_capita!U$543/1000000</f>
        <v>-1.2687049301285327</v>
      </c>
      <c r="V371" s="340">
        <f>Saldo_relativo_per_capita!V371*Saldo_relativo_per_capita!V$543/1000000</f>
        <v>-0.66763516593662386</v>
      </c>
      <c r="W371" s="148"/>
    </row>
    <row r="372" spans="1:23" s="115" customFormat="1">
      <c r="A372" s="355" t="str">
        <f>IF(B372="","",(IF(ISERROR(MATCH(B372,Tot_res!C:C,0)),"Eliminar!!!","")))</f>
        <v/>
      </c>
      <c r="B372" s="115" t="s">
        <v>369</v>
      </c>
      <c r="C372" s="333" t="str">
        <f>VLOOKUP(B372,Tot_res!C:D,2,FALSE)</f>
        <v>Aportación a la Iglesia Católica ligadas a la casilla del IRPF</v>
      </c>
      <c r="D372" s="340">
        <f>Saldo_relativo_per_capita!D372*Saldo_relativo_per_capita!D$543/1000000</f>
        <v>0</v>
      </c>
      <c r="E372" s="340">
        <f>Saldo_relativo_per_capita!E372*Saldo_relativo_per_capita!E$543/1000000</f>
        <v>0.93536494119653568</v>
      </c>
      <c r="F372" s="340">
        <f>Saldo_relativo_per_capita!F372*Saldo_relativo_per_capita!F$543/1000000</f>
        <v>0.82334186401981779</v>
      </c>
      <c r="G372" s="340">
        <f>Saldo_relativo_per_capita!G372*Saldo_relativo_per_capita!G$543/1000000</f>
        <v>0.46779066299598693</v>
      </c>
      <c r="H372" s="340">
        <f>Saldo_relativo_per_capita!H372*Saldo_relativo_per_capita!H$543/1000000</f>
        <v>-3.1965472192941949E-2</v>
      </c>
      <c r="I372" s="340">
        <f>Saldo_relativo_per_capita!I372*Saldo_relativo_per_capita!I$543/1000000</f>
        <v>0.85890713407635089</v>
      </c>
      <c r="J372" s="340">
        <f>Saldo_relativo_per_capita!J372*Saldo_relativo_per_capita!J$543/1000000</f>
        <v>3.1344703840955432E-2</v>
      </c>
      <c r="K372" s="340">
        <f>Saldo_relativo_per_capita!K372*Saldo_relativo_per_capita!K$543/1000000</f>
        <v>3.7352723682678755</v>
      </c>
      <c r="L372" s="340">
        <f>Saldo_relativo_per_capita!L372*Saldo_relativo_per_capita!L$543/1000000</f>
        <v>2.0932463049855645</v>
      </c>
      <c r="M372" s="340">
        <f>Saldo_relativo_per_capita!M372*Saldo_relativo_per_capita!M$543/1000000</f>
        <v>-11.130184540621736</v>
      </c>
      <c r="N372" s="340">
        <f>Saldo_relativo_per_capita!N372*Saldo_relativo_per_capita!N$543/1000000</f>
        <v>-1.1714689053614686</v>
      </c>
      <c r="O372" s="340">
        <f>Saldo_relativo_per_capita!O372*Saldo_relativo_per_capita!O$543/1000000</f>
        <v>1.0936790559428105</v>
      </c>
      <c r="P372" s="340">
        <f>Saldo_relativo_per_capita!P372*Saldo_relativo_per_capita!P$543/1000000</f>
        <v>3.981024775347842</v>
      </c>
      <c r="Q372" s="340">
        <f>Saldo_relativo_per_capita!Q372*Saldo_relativo_per_capita!Q$543/1000000</f>
        <v>-3.0636699910369538</v>
      </c>
      <c r="R372" s="340">
        <f>Saldo_relativo_per_capita!R372*Saldo_relativo_per_capita!R$543/1000000</f>
        <v>2.0054840957967781</v>
      </c>
      <c r="S372" s="340">
        <f>Saldo_relativo_per_capita!S372*Saldo_relativo_per_capita!S$543/1000000</f>
        <v>6.6263467002471765E-2</v>
      </c>
      <c r="T372" s="340">
        <f>Saldo_relativo_per_capita!T372*Saldo_relativo_per_capita!T$543/1000000</f>
        <v>-0.82012158592686701</v>
      </c>
      <c r="U372" s="340">
        <f>Saldo_relativo_per_capita!U372*Saldo_relativo_per_capita!U$543/1000000</f>
        <v>0.27157665376464224</v>
      </c>
      <c r="V372" s="340">
        <f>Saldo_relativo_per_capita!V372*Saldo_relativo_per_capita!V$543/1000000</f>
        <v>-0.14588553209767485</v>
      </c>
      <c r="W372" s="148"/>
    </row>
    <row r="373" spans="1:23" s="115" customFormat="1">
      <c r="A373" s="355" t="str">
        <f>IF(B373="","",(IF(ISERROR(MATCH(B373,Tot_res!C:C,0)),"Eliminar!!!","")))</f>
        <v/>
      </c>
      <c r="B373" s="115" t="s">
        <v>857</v>
      </c>
      <c r="C373" s="333" t="str">
        <f>VLOOKUP(B373,Tot_res!C:D,2,FALSE)</f>
        <v>Ordenación y fomento de la edificación, actuaciones relacionadas con el 1% cultural</v>
      </c>
      <c r="D373" s="340">
        <f>Saldo_relativo_per_capita!D373*Saldo_relativo_per_capita!D$543/1000000</f>
        <v>0</v>
      </c>
      <c r="E373" s="340">
        <f>Saldo_relativo_per_capita!E373*Saldo_relativo_per_capita!E$543/1000000</f>
        <v>0.2160149897180593</v>
      </c>
      <c r="F373" s="340">
        <f>Saldo_relativo_per_capita!F373*Saldo_relativo_per_capita!F$543/1000000</f>
        <v>1.3623549087047687E-2</v>
      </c>
      <c r="G373" s="340">
        <f>Saldo_relativo_per_capita!G373*Saldo_relativo_per_capita!G$543/1000000</f>
        <v>4.6866037545522737E-2</v>
      </c>
      <c r="H373" s="340">
        <f>Saldo_relativo_per_capita!H373*Saldo_relativo_per_capita!H$543/1000000</f>
        <v>0.47546816864901487</v>
      </c>
      <c r="I373" s="340">
        <f>Saldo_relativo_per_capita!I373*Saldo_relativo_per_capita!I$543/1000000</f>
        <v>-0.57935703450611076</v>
      </c>
      <c r="J373" s="340">
        <f>Saldo_relativo_per_capita!J373*Saldo_relativo_per_capita!J$543/1000000</f>
        <v>0.21498146782065705</v>
      </c>
      <c r="K373" s="340">
        <f>Saldo_relativo_per_capita!K373*Saldo_relativo_per_capita!K$543/1000000</f>
        <v>0.33221632498964476</v>
      </c>
      <c r="L373" s="340">
        <f>Saldo_relativo_per_capita!L373*Saldo_relativo_per_capita!L$543/1000000</f>
        <v>7.0787882524504367E-2</v>
      </c>
      <c r="M373" s="340">
        <f>Saldo_relativo_per_capita!M373*Saldo_relativo_per_capita!M$543/1000000</f>
        <v>1.790264136423638</v>
      </c>
      <c r="N373" s="340">
        <f>Saldo_relativo_per_capita!N373*Saldo_relativo_per_capita!N$543/1000000</f>
        <v>-0.50313569962827187</v>
      </c>
      <c r="O373" s="340">
        <f>Saldo_relativo_per_capita!O373*Saldo_relativo_per_capita!O$543/1000000</f>
        <v>2.7522125596980102E-2</v>
      </c>
      <c r="P373" s="340">
        <f>Saldo_relativo_per_capita!P373*Saldo_relativo_per_capita!P$543/1000000</f>
        <v>0.14538882960861169</v>
      </c>
      <c r="Q373" s="340">
        <f>Saldo_relativo_per_capita!Q373*Saldo_relativo_per_capita!Q$543/1000000</f>
        <v>-1.7637862006314735</v>
      </c>
      <c r="R373" s="340">
        <f>Saldo_relativo_per_capita!R373*Saldo_relativo_per_capita!R$543/1000000</f>
        <v>-0.40313855540646443</v>
      </c>
      <c r="S373" s="340">
        <f>Saldo_relativo_per_capita!S373*Saldo_relativo_per_capita!S$543/1000000</f>
        <v>-0.17630627098524715</v>
      </c>
      <c r="T373" s="340">
        <f>Saldo_relativo_per_capita!T373*Saldo_relativo_per_capita!T$543/1000000</f>
        <v>-0.60091721268664777</v>
      </c>
      <c r="U373" s="340">
        <f>Saldo_relativo_per_capita!U373*Saldo_relativo_per_capita!U$543/1000000</f>
        <v>-8.7933038491925811E-2</v>
      </c>
      <c r="V373" s="340">
        <f>Saldo_relativo_per_capita!V373*Saldo_relativo_per_capita!V$543/1000000</f>
        <v>0.78144050037246371</v>
      </c>
      <c r="W373" s="148"/>
    </row>
    <row r="374" spans="1:23" s="115" customFormat="1">
      <c r="A374" s="356"/>
      <c r="D374" s="218"/>
      <c r="E374" s="218"/>
      <c r="F374" s="218"/>
      <c r="G374" s="218"/>
      <c r="H374" s="218"/>
      <c r="I374" s="218"/>
      <c r="J374" s="218"/>
      <c r="K374" s="218"/>
      <c r="L374" s="218"/>
      <c r="M374" s="218"/>
      <c r="N374" s="218"/>
      <c r="O374" s="218"/>
      <c r="P374" s="218"/>
      <c r="Q374" s="218"/>
      <c r="R374" s="218"/>
      <c r="S374" s="218"/>
      <c r="T374" s="218"/>
      <c r="U374" s="218"/>
      <c r="V374" s="218"/>
      <c r="W374" s="148"/>
    </row>
    <row r="375" spans="1:23" s="115" customFormat="1">
      <c r="A375" s="356"/>
      <c r="C375" s="147" t="s">
        <v>68</v>
      </c>
      <c r="D375" s="216">
        <f>Saldo_relativo_per_capita!D375*Saldo_relativo_per_capita!D$543/1000000</f>
        <v>0</v>
      </c>
      <c r="E375" s="216">
        <f>Saldo_relativo_per_capita!E375*Saldo_relativo_per_capita!E$543/1000000</f>
        <v>-4013.8526311601377</v>
      </c>
      <c r="F375" s="216">
        <f>Saldo_relativo_per_capita!F375*Saldo_relativo_per_capita!F$543/1000000</f>
        <v>568.1178739437911</v>
      </c>
      <c r="G375" s="216">
        <f>Saldo_relativo_per_capita!G375*Saldo_relativo_per_capita!G$543/1000000</f>
        <v>1835.6218132731196</v>
      </c>
      <c r="H375" s="216">
        <f>Saldo_relativo_per_capita!H375*Saldo_relativo_per_capita!H$543/1000000</f>
        <v>-769.36631724705478</v>
      </c>
      <c r="I375" s="216">
        <f>Saldo_relativo_per_capita!I375*Saldo_relativo_per_capita!I$543/1000000</f>
        <v>-1763.3766279963484</v>
      </c>
      <c r="J375" s="216">
        <f>Saldo_relativo_per_capita!J375*Saldo_relativo_per_capita!J$543/1000000</f>
        <v>321.72906790305564</v>
      </c>
      <c r="K375" s="216">
        <f>Saldo_relativo_per_capita!K375*Saldo_relativo_per_capita!K$543/1000000</f>
        <v>1402.9150927255819</v>
      </c>
      <c r="L375" s="216">
        <f>Saldo_relativo_per_capita!L375*Saldo_relativo_per_capita!L$543/1000000</f>
        <v>-936.50446825037568</v>
      </c>
      <c r="M375" s="216">
        <f>Saldo_relativo_per_capita!M375*Saldo_relativo_per_capita!M$543/1000000</f>
        <v>2130.7029950552264</v>
      </c>
      <c r="N375" s="216">
        <f>Saldo_relativo_per_capita!N375*Saldo_relativo_per_capita!N$543/1000000</f>
        <v>-1962.9776759552883</v>
      </c>
      <c r="O375" s="216">
        <f>Saldo_relativo_per_capita!O375*Saldo_relativo_per_capita!O$543/1000000</f>
        <v>-330.02216380641295</v>
      </c>
      <c r="P375" s="216">
        <f>Saldo_relativo_per_capita!P375*Saldo_relativo_per_capita!P$543/1000000</f>
        <v>1299.9313431155817</v>
      </c>
      <c r="Q375" s="216">
        <f>Saldo_relativo_per_capita!Q375*Saldo_relativo_per_capita!Q$543/1000000</f>
        <v>646.26819477460435</v>
      </c>
      <c r="R375" s="216">
        <f>Saldo_relativo_per_capita!R375*Saldo_relativo_per_capita!R$543/1000000</f>
        <v>-909.78660418744141</v>
      </c>
      <c r="S375" s="216">
        <f>Saldo_relativo_per_capita!S375*Saldo_relativo_per_capita!S$543/1000000</f>
        <v>205.4684948456364</v>
      </c>
      <c r="T375" s="216">
        <f>Saldo_relativo_per_capita!T375*Saldo_relativo_per_capita!T$543/1000000</f>
        <v>2437.6131425422977</v>
      </c>
      <c r="U375" s="216">
        <f>Saldo_relativo_per_capita!U375*Saldo_relativo_per_capita!U$543/1000000</f>
        <v>11.208944189262548</v>
      </c>
      <c r="V375" s="216">
        <f>Saldo_relativo_per_capita!V375*Saldo_relativo_per_capita!V$543/1000000</f>
        <v>-173.69047376510395</v>
      </c>
      <c r="W375" s="148"/>
    </row>
    <row r="376" spans="1:23" s="115" customFormat="1">
      <c r="A376" s="356"/>
      <c r="D376" s="218"/>
      <c r="E376" s="218"/>
      <c r="F376" s="218"/>
      <c r="G376" s="218"/>
      <c r="H376" s="218"/>
      <c r="I376" s="218"/>
      <c r="J376" s="218"/>
      <c r="K376" s="218"/>
      <c r="L376" s="218"/>
      <c r="M376" s="218"/>
      <c r="N376" s="218"/>
      <c r="O376" s="218"/>
      <c r="P376" s="218"/>
      <c r="Q376" s="218"/>
      <c r="R376" s="218"/>
      <c r="S376" s="218"/>
      <c r="T376" s="218"/>
      <c r="U376" s="218"/>
      <c r="V376" s="218"/>
      <c r="W376" s="148"/>
    </row>
    <row r="377" spans="1:23" s="115" customFormat="1">
      <c r="A377" s="356"/>
      <c r="C377" s="117" t="s">
        <v>3</v>
      </c>
      <c r="D377" s="219">
        <f>Saldo_relativo_per_capita!D377*Saldo_relativo_per_capita!D$543/1000000</f>
        <v>0</v>
      </c>
      <c r="E377" s="219">
        <f>Saldo_relativo_per_capita!E377*Saldo_relativo_per_capita!E$543/1000000</f>
        <v>-4012.5643937407308</v>
      </c>
      <c r="F377" s="219">
        <f>Saldo_relativo_per_capita!F377*Saldo_relativo_per_capita!F$543/1000000</f>
        <v>571.45004102167661</v>
      </c>
      <c r="G377" s="219">
        <f>Saldo_relativo_per_capita!G377*Saldo_relativo_per_capita!G$543/1000000</f>
        <v>1823.3385800864332</v>
      </c>
      <c r="H377" s="219">
        <f>Saldo_relativo_per_capita!H377*Saldo_relativo_per_capita!H$543/1000000</f>
        <v>-758.69236766017684</v>
      </c>
      <c r="I377" s="219">
        <f>Saldo_relativo_per_capita!I377*Saldo_relativo_per_capita!I$543/1000000</f>
        <v>-1716.756405147448</v>
      </c>
      <c r="J377" s="219">
        <f>Saldo_relativo_per_capita!J377*Saldo_relativo_per_capita!J$543/1000000</f>
        <v>309.81807264551884</v>
      </c>
      <c r="K377" s="219">
        <f>Saldo_relativo_per_capita!K377*Saldo_relativo_per_capita!K$543/1000000</f>
        <v>1361.3890655699804</v>
      </c>
      <c r="L377" s="219">
        <f>Saldo_relativo_per_capita!L377*Saldo_relativo_per_capita!L$543/1000000</f>
        <v>-932.53022589345051</v>
      </c>
      <c r="M377" s="219">
        <f>Saldo_relativo_per_capita!M377*Saldo_relativo_per_capita!M$543/1000000</f>
        <v>2116.3870564278523</v>
      </c>
      <c r="N377" s="219">
        <f>Saldo_relativo_per_capita!N377*Saldo_relativo_per_capita!N$543/1000000</f>
        <v>-1877.2266474831615</v>
      </c>
      <c r="O377" s="219">
        <f>Saldo_relativo_per_capita!O377*Saldo_relativo_per_capita!O$543/1000000</f>
        <v>-335.73866941486398</v>
      </c>
      <c r="P377" s="219">
        <f>Saldo_relativo_per_capita!P377*Saldo_relativo_per_capita!P$543/1000000</f>
        <v>1281.0304630509229</v>
      </c>
      <c r="Q377" s="219">
        <f>Saldo_relativo_per_capita!Q377*Saldo_relativo_per_capita!Q$543/1000000</f>
        <v>662.41590870321295</v>
      </c>
      <c r="R377" s="219">
        <f>Saldo_relativo_per_capita!R377*Saldo_relativo_per_capita!R$543/1000000</f>
        <v>-915.9919952146754</v>
      </c>
      <c r="S377" s="219">
        <f>Saldo_relativo_per_capita!S377*Saldo_relativo_per_capita!S$543/1000000</f>
        <v>208.92032181735425</v>
      </c>
      <c r="T377" s="219">
        <f>Saldo_relativo_per_capita!T377*Saldo_relativo_per_capita!T$543/1000000</f>
        <v>2396.5968551374394</v>
      </c>
      <c r="U377" s="219">
        <f>Saldo_relativo_per_capita!U377*Saldo_relativo_per_capita!U$543/1000000</f>
        <v>6.9621595973747858</v>
      </c>
      <c r="V377" s="219">
        <f>Saldo_relativo_per_capita!V377*Saldo_relativo_per_capita!V$543/1000000</f>
        <v>-188.80781950324533</v>
      </c>
      <c r="W377" s="148"/>
    </row>
    <row r="378" spans="1:23" s="115" customFormat="1">
      <c r="A378" s="355" t="str">
        <f>IF(B378="","",(IF(ISERROR(MATCH(B378,Tot_res!C:C,0)),"Eliminar!!!","")))</f>
        <v/>
      </c>
      <c r="B378" s="115" t="s">
        <v>370</v>
      </c>
      <c r="C378" s="333" t="str">
        <f>VLOOKUP(B378,Tot_res!C:D,2,FALSE)</f>
        <v>Pensiones de clases pasivas</v>
      </c>
      <c r="D378" s="340">
        <f>Saldo_relativo_per_capita!D378*Saldo_relativo_per_capita!D$543/1000000</f>
        <v>0</v>
      </c>
      <c r="E378" s="340">
        <f>Saldo_relativo_per_capita!E378*Saldo_relativo_per_capita!E$543/1000000</f>
        <v>224.17650738042818</v>
      </c>
      <c r="F378" s="340">
        <f>Saldo_relativo_per_capita!F378*Saldo_relativo_per_capita!F$543/1000000</f>
        <v>98.383949753073964</v>
      </c>
      <c r="G378" s="340">
        <f>Saldo_relativo_per_capita!G378*Saldo_relativo_per_capita!G$543/1000000</f>
        <v>50.105265675910211</v>
      </c>
      <c r="H378" s="340">
        <f>Saldo_relativo_per_capita!H378*Saldo_relativo_per_capita!H$543/1000000</f>
        <v>-101.35590845765577</v>
      </c>
      <c r="I378" s="340">
        <f>Saldo_relativo_per_capita!I378*Saldo_relativo_per_capita!I$543/1000000</f>
        <v>-58.400918208812122</v>
      </c>
      <c r="J378" s="340">
        <f>Saldo_relativo_per_capita!J378*Saldo_relativo_per_capita!J$543/1000000</f>
        <v>-1.8240758943569497</v>
      </c>
      <c r="K378" s="340">
        <f>Saldo_relativo_per_capita!K378*Saldo_relativo_per_capita!K$543/1000000</f>
        <v>415.37160332975651</v>
      </c>
      <c r="L378" s="340">
        <f>Saldo_relativo_per_capita!L378*Saldo_relativo_per_capita!L$543/1000000</f>
        <v>-35.526426967899617</v>
      </c>
      <c r="M378" s="340">
        <f>Saldo_relativo_per_capita!M378*Saldo_relativo_per_capita!M$543/1000000</f>
        <v>-879.42834483138404</v>
      </c>
      <c r="N378" s="340">
        <f>Saldo_relativo_per_capita!N378*Saldo_relativo_per_capita!N$543/1000000</f>
        <v>-295.32241643842315</v>
      </c>
      <c r="O378" s="340">
        <f>Saldo_relativo_per_capita!O378*Saldo_relativo_per_capita!O$543/1000000</f>
        <v>96.447875369922542</v>
      </c>
      <c r="P378" s="340">
        <f>Saldo_relativo_per_capita!P378*Saldo_relativo_per_capita!P$543/1000000</f>
        <v>159.46718327282719</v>
      </c>
      <c r="Q378" s="340">
        <f>Saldo_relativo_per_capita!Q378*Saldo_relativo_per_capita!Q$543/1000000</f>
        <v>526.91667228071015</v>
      </c>
      <c r="R378" s="340">
        <f>Saldo_relativo_per_capita!R378*Saldo_relativo_per_capita!R$543/1000000</f>
        <v>43.810763518729225</v>
      </c>
      <c r="S378" s="340">
        <f>Saldo_relativo_per_capita!S378*Saldo_relativo_per_capita!S$543/1000000</f>
        <v>-44.264954443225221</v>
      </c>
      <c r="T378" s="340">
        <f>Saldo_relativo_per_capita!T378*Saldo_relativo_per_capita!T$543/1000000</f>
        <v>-256.3439328927052</v>
      </c>
      <c r="U378" s="340">
        <f>Saldo_relativo_per_capita!U378*Saldo_relativo_per_capita!U$543/1000000</f>
        <v>12.861133835254066</v>
      </c>
      <c r="V378" s="340">
        <f>Saldo_relativo_per_capita!V378*Saldo_relativo_per_capita!V$543/1000000</f>
        <v>44.926023717850775</v>
      </c>
      <c r="W378" s="148"/>
    </row>
    <row r="379" spans="1:23" s="115" customFormat="1">
      <c r="A379" s="355" t="str">
        <f>IF(B379="","",(IF(ISERROR(MATCH(B379,Tot_res!C:C,0)),"Eliminar!!!","")))</f>
        <v/>
      </c>
      <c r="B379" s="115" t="s">
        <v>371</v>
      </c>
      <c r="C379" s="333" t="str">
        <f>VLOOKUP(B379,Tot_res!C:D,2,FALSE)</f>
        <v>Otras pensiones y prestac. de clases pasivas</v>
      </c>
      <c r="D379" s="340">
        <f>Saldo_relativo_per_capita!D379*Saldo_relativo_per_capita!D$543/1000000</f>
        <v>0</v>
      </c>
      <c r="E379" s="340">
        <f>Saldo_relativo_per_capita!E379*Saldo_relativo_per_capita!E$543/1000000</f>
        <v>-3.9039210228465908</v>
      </c>
      <c r="F379" s="340">
        <f>Saldo_relativo_per_capita!F379*Saldo_relativo_per_capita!F$543/1000000</f>
        <v>-0.75548630622634161</v>
      </c>
      <c r="G379" s="340">
        <f>Saldo_relativo_per_capita!G379*Saldo_relativo_per_capita!G$543/1000000</f>
        <v>-0.55613984849770937</v>
      </c>
      <c r="H379" s="340">
        <f>Saldo_relativo_per_capita!H379*Saldo_relativo_per_capita!H$543/1000000</f>
        <v>-0.72158464361799901</v>
      </c>
      <c r="I379" s="340">
        <f>Saldo_relativo_per_capita!I379*Saldo_relativo_per_capita!I$543/1000000</f>
        <v>7.6086205318649878</v>
      </c>
      <c r="J379" s="340">
        <f>Saldo_relativo_per_capita!J379*Saldo_relativo_per_capita!J$543/1000000</f>
        <v>-0.28581050740450931</v>
      </c>
      <c r="K379" s="340">
        <f>Saldo_relativo_per_capita!K379*Saldo_relativo_per_capita!K$543/1000000</f>
        <v>-1.3226933054197672</v>
      </c>
      <c r="L379" s="340">
        <f>Saldo_relativo_per_capita!L379*Saldo_relativo_per_capita!L$543/1000000</f>
        <v>-1.0025829713035801</v>
      </c>
      <c r="M379" s="340">
        <f>Saldo_relativo_per_capita!M379*Saldo_relativo_per_capita!M$543/1000000</f>
        <v>-4.4677976494511</v>
      </c>
      <c r="N379" s="340">
        <f>Saldo_relativo_per_capita!N379*Saldo_relativo_per_capita!N$543/1000000</f>
        <v>-3.0109784365598271</v>
      </c>
      <c r="O379" s="340">
        <f>Saldo_relativo_per_capita!O379*Saldo_relativo_per_capita!O$543/1000000</f>
        <v>-0.54848487947478719</v>
      </c>
      <c r="P379" s="340">
        <f>Saldo_relativo_per_capita!P379*Saldo_relativo_per_capita!P$543/1000000</f>
        <v>-1.4807230006359324</v>
      </c>
      <c r="Q379" s="340">
        <f>Saldo_relativo_per_capita!Q379*Saldo_relativo_per_capita!Q$543/1000000</f>
        <v>12.505732789495225</v>
      </c>
      <c r="R379" s="340">
        <f>Saldo_relativo_per_capita!R379*Saldo_relativo_per_capita!R$543/1000000</f>
        <v>-0.78343848465403065</v>
      </c>
      <c r="S379" s="340">
        <f>Saldo_relativo_per_capita!S379*Saldo_relativo_per_capita!S$543/1000000</f>
        <v>-0.44826572465272913</v>
      </c>
      <c r="T379" s="340">
        <f>Saldo_relativo_per_capita!T379*Saldo_relativo_per_capita!T$543/1000000</f>
        <v>-0.90234325375531066</v>
      </c>
      <c r="U379" s="340">
        <f>Saldo_relativo_per_capita!U379*Saldo_relativo_per_capita!U$543/1000000</f>
        <v>-0.1802321342403207</v>
      </c>
      <c r="V379" s="340">
        <f>Saldo_relativo_per_capita!V379*Saldo_relativo_per_capita!V$543/1000000</f>
        <v>0.25612884738033437</v>
      </c>
      <c r="W379" s="220"/>
    </row>
    <row r="380" spans="1:23" s="115" customFormat="1">
      <c r="A380" s="355" t="str">
        <f>IF(B380="","",(IF(ISERROR(MATCH(B380,Tot_res!C:C,0)),"Eliminar!!!","")))</f>
        <v/>
      </c>
      <c r="B380" s="115" t="s">
        <v>372</v>
      </c>
      <c r="C380" s="333" t="str">
        <f>VLOOKUP(B380,Tot_res!C:D,2,FALSE)</f>
        <v>Pensiones no contrib. y prestac. asistenciales</v>
      </c>
      <c r="D380" s="340">
        <f>Saldo_relativo_per_capita!D380*Saldo_relativo_per_capita!D$543/1000000</f>
        <v>0</v>
      </c>
      <c r="E380" s="340">
        <f>Saldo_relativo_per_capita!E380*Saldo_relativo_per_capita!E$543/1000000</f>
        <v>4.7063596152075871</v>
      </c>
      <c r="F380" s="340">
        <f>Saldo_relativo_per_capita!F380*Saldo_relativo_per_capita!F$543/1000000</f>
        <v>-0.37260332337295776</v>
      </c>
      <c r="G380" s="340">
        <f>Saldo_relativo_per_capita!G380*Saldo_relativo_per_capita!G$543/1000000</f>
        <v>-0.29291520322336045</v>
      </c>
      <c r="H380" s="340">
        <f>Saldo_relativo_per_capita!H380*Saldo_relativo_per_capita!H$543/1000000</f>
        <v>-0.32884015415280515</v>
      </c>
      <c r="I380" s="340">
        <f>Saldo_relativo_per_capita!I380*Saldo_relativo_per_capita!I$543/1000000</f>
        <v>3.3172486171039752</v>
      </c>
      <c r="J380" s="340">
        <f>Saldo_relativo_per_capita!J380*Saldo_relativo_per_capita!J$543/1000000</f>
        <v>-0.10560065752095334</v>
      </c>
      <c r="K380" s="340">
        <f>Saldo_relativo_per_capita!K380*Saldo_relativo_per_capita!K$543/1000000</f>
        <v>-0.65093256298363744</v>
      </c>
      <c r="L380" s="340">
        <f>Saldo_relativo_per_capita!L380*Saldo_relativo_per_capita!L$543/1000000</f>
        <v>-0.22769322751318338</v>
      </c>
      <c r="M380" s="340">
        <f>Saldo_relativo_per_capita!M380*Saldo_relativo_per_capita!M$543/1000000</f>
        <v>-2.2767529405927935</v>
      </c>
      <c r="N380" s="340">
        <f>Saldo_relativo_per_capita!N380*Saldo_relativo_per_capita!N$543/1000000</f>
        <v>-0.69126425598390484</v>
      </c>
      <c r="O380" s="340">
        <f>Saldo_relativo_per_capita!O380*Saldo_relativo_per_capita!O$543/1000000</f>
        <v>-0.19007702645542529</v>
      </c>
      <c r="P380" s="340">
        <f>Saldo_relativo_per_capita!P380*Saldo_relativo_per_capita!P$543/1000000</f>
        <v>-0.83136348937674021</v>
      </c>
      <c r="Q380" s="340">
        <f>Saldo_relativo_per_capita!Q380*Saldo_relativo_per_capita!Q$543/1000000</f>
        <v>-0.7737964188126083</v>
      </c>
      <c r="R380" s="340">
        <f>Saldo_relativo_per_capita!R380*Saldo_relativo_per_capita!R$543/1000000</f>
        <v>-0.25406192067316485</v>
      </c>
      <c r="S380" s="340">
        <f>Saldo_relativo_per_capita!S380*Saldo_relativo_per_capita!S$543/1000000</f>
        <v>-0.19613073069259615</v>
      </c>
      <c r="T380" s="340">
        <f>Saldo_relativo_per_capita!T380*Saldo_relativo_per_capita!T$543/1000000</f>
        <v>-0.67976126024362804</v>
      </c>
      <c r="U380" s="340">
        <f>Saldo_relativo_per_capita!U380*Saldo_relativo_per_capita!U$543/1000000</f>
        <v>-9.9470395922062249E-2</v>
      </c>
      <c r="V380" s="340">
        <f>Saldo_relativo_per_capita!V380*Saldo_relativo_per_capita!V$543/1000000</f>
        <v>-5.2344664791741373E-2</v>
      </c>
      <c r="W380" s="148"/>
    </row>
    <row r="381" spans="1:23" s="115" customFormat="1">
      <c r="A381" s="355" t="str">
        <f>IF(B381="","",(IF(ISERROR(MATCH(B381,Tot_res!C:C,0)),"Eliminar!!!","")))</f>
        <v/>
      </c>
      <c r="B381" s="115" t="s">
        <v>373</v>
      </c>
      <c r="C381" s="333" t="str">
        <f>VLOOKUP(B381,Tot_res!C:D,2,FALSE)</f>
        <v>Pensiones de guerra</v>
      </c>
      <c r="D381" s="340">
        <f>Saldo_relativo_per_capita!D381*Saldo_relativo_per_capita!D$543/1000000</f>
        <v>0</v>
      </c>
      <c r="E381" s="340">
        <f>Saldo_relativo_per_capita!E381*Saldo_relativo_per_capita!E$543/1000000</f>
        <v>-23.646337737745398</v>
      </c>
      <c r="F381" s="340">
        <f>Saldo_relativo_per_capita!F381*Saldo_relativo_per_capita!F$543/1000000</f>
        <v>1.2607591520406611</v>
      </c>
      <c r="G381" s="340">
        <f>Saldo_relativo_per_capita!G381*Saldo_relativo_per_capita!G$543/1000000</f>
        <v>3.5323445332296326</v>
      </c>
      <c r="H381" s="340">
        <f>Saldo_relativo_per_capita!H381*Saldo_relativo_per_capita!H$543/1000000</f>
        <v>-4.1679341875974645</v>
      </c>
      <c r="I381" s="340">
        <f>Saldo_relativo_per_capita!I381*Saldo_relativo_per_capita!I$543/1000000</f>
        <v>-11.712489645580016</v>
      </c>
      <c r="J381" s="340">
        <f>Saldo_relativo_per_capita!J381*Saldo_relativo_per_capita!J$543/1000000</f>
        <v>0.79709419078086208</v>
      </c>
      <c r="K381" s="340">
        <f>Saldo_relativo_per_capita!K381*Saldo_relativo_per_capita!K$543/1000000</f>
        <v>-7.8527797027027955</v>
      </c>
      <c r="L381" s="340">
        <f>Saldo_relativo_per_capita!L381*Saldo_relativo_per_capita!L$543/1000000</f>
        <v>0.54057641265224132</v>
      </c>
      <c r="M381" s="340">
        <f>Saldo_relativo_per_capita!M381*Saldo_relativo_per_capita!M$543/1000000</f>
        <v>15.836270332713609</v>
      </c>
      <c r="N381" s="340">
        <f>Saldo_relativo_per_capita!N381*Saldo_relativo_per_capita!N$543/1000000</f>
        <v>12.647305888806114</v>
      </c>
      <c r="O381" s="340">
        <f>Saldo_relativo_per_capita!O381*Saldo_relativo_per_capita!O$543/1000000</f>
        <v>-2.0691778357071531</v>
      </c>
      <c r="P381" s="340">
        <f>Saldo_relativo_per_capita!P381*Saldo_relativo_per_capita!P$543/1000000</f>
        <v>-12.627421694601658</v>
      </c>
      <c r="Q381" s="340">
        <f>Saldo_relativo_per_capita!Q381*Saldo_relativo_per_capita!Q$543/1000000</f>
        <v>32.57252228018077</v>
      </c>
      <c r="R381" s="340">
        <f>Saldo_relativo_per_capita!R381*Saldo_relativo_per_capita!R$543/1000000</f>
        <v>0.35524405845439005</v>
      </c>
      <c r="S381" s="340">
        <f>Saldo_relativo_per_capita!S381*Saldo_relativo_per_capita!S$543/1000000</f>
        <v>-2.4036066370666185</v>
      </c>
      <c r="T381" s="340">
        <f>Saldo_relativo_per_capita!T381*Saldo_relativo_per_capita!T$543/1000000</f>
        <v>-0.99817007505178523</v>
      </c>
      <c r="U381" s="340">
        <f>Saldo_relativo_per_capita!U381*Saldo_relativo_per_capita!U$543/1000000</f>
        <v>-1.2199731409002079</v>
      </c>
      <c r="V381" s="340">
        <f>Saldo_relativo_per_capita!V381*Saldo_relativo_per_capita!V$543/1000000</f>
        <v>-0.84422619190510573</v>
      </c>
      <c r="W381" s="148"/>
    </row>
    <row r="382" spans="1:23" s="115" customFormat="1">
      <c r="A382" s="355" t="str">
        <f>IF(B382="","",(IF(ISERROR(MATCH(B382,Tot_res!C:C,0)),"Eliminar!!!","")))</f>
        <v/>
      </c>
      <c r="B382" s="115" t="s">
        <v>374</v>
      </c>
      <c r="C382" s="333" t="str">
        <f>VLOOKUP(B382,Tot_res!C:D,2,FALSE)</f>
        <v>Gestión de pensiones de clases pasivas</v>
      </c>
      <c r="D382" s="340">
        <f>Saldo_relativo_per_capita!D382*Saldo_relativo_per_capita!D$543/1000000</f>
        <v>0</v>
      </c>
      <c r="E382" s="340">
        <f>Saldo_relativo_per_capita!E382*Saldo_relativo_per_capita!E$543/1000000</f>
        <v>0.10623594527869003</v>
      </c>
      <c r="F382" s="340">
        <f>Saldo_relativo_per_capita!F382*Saldo_relativo_per_capita!F$543/1000000</f>
        <v>5.3429234979606166E-2</v>
      </c>
      <c r="G382" s="340">
        <f>Saldo_relativo_per_capita!G382*Saldo_relativo_per_capita!G$543/1000000</f>
        <v>2.8679589933328389E-2</v>
      </c>
      <c r="H382" s="340">
        <f>Saldo_relativo_per_capita!H382*Saldo_relativo_per_capita!H$543/1000000</f>
        <v>-5.7403746848643668E-2</v>
      </c>
      <c r="I382" s="340">
        <f>Saldo_relativo_per_capita!I382*Saldo_relativo_per_capita!I$543/1000000</f>
        <v>-3.3770949770244661E-2</v>
      </c>
      <c r="J382" s="340">
        <f>Saldo_relativo_per_capita!J382*Saldo_relativo_per_capita!J$543/1000000</f>
        <v>-7.0929350718412765E-4</v>
      </c>
      <c r="K382" s="340">
        <f>Saldo_relativo_per_capita!K382*Saldo_relativo_per_capita!K$543/1000000</f>
        <v>0.21946525540797665</v>
      </c>
      <c r="L382" s="340">
        <f>Saldo_relativo_per_capita!L382*Saldo_relativo_per_capita!L$543/1000000</f>
        <v>-1.9444327914654287E-2</v>
      </c>
      <c r="M382" s="340">
        <f>Saldo_relativo_per_capita!M382*Saldo_relativo_per_capita!M$543/1000000</f>
        <v>-0.46900737680478249</v>
      </c>
      <c r="N382" s="340">
        <f>Saldo_relativo_per_capita!N382*Saldo_relativo_per_capita!N$543/1000000</f>
        <v>-0.1543544258686356</v>
      </c>
      <c r="O382" s="340">
        <f>Saldo_relativo_per_capita!O382*Saldo_relativo_per_capita!O$543/1000000</f>
        <v>5.0695883215214073E-2</v>
      </c>
      <c r="P382" s="340">
        <f>Saldo_relativo_per_capita!P382*Saldo_relativo_per_capita!P$543/1000000</f>
        <v>7.8536588967572513E-2</v>
      </c>
      <c r="Q382" s="340">
        <f>Saldo_relativo_per_capita!Q382*Saldo_relativo_per_capita!Q$543/1000000</f>
        <v>0.30904531937224533</v>
      </c>
      <c r="R382" s="340">
        <f>Saldo_relativo_per_capita!R382*Saldo_relativo_per_capita!R$543/1000000</f>
        <v>2.3439333601251531E-2</v>
      </c>
      <c r="S382" s="340">
        <f>Saldo_relativo_per_capita!S382*Saldo_relativo_per_capita!S$543/1000000</f>
        <v>-2.54569299332634E-2</v>
      </c>
      <c r="T382" s="340">
        <f>Saldo_relativo_per_capita!T382*Saldo_relativo_per_capita!T$543/1000000</f>
        <v>-0.13952787610955039</v>
      </c>
      <c r="U382" s="340">
        <f>Saldo_relativo_per_capita!U382*Saldo_relativo_per_capita!U$543/1000000</f>
        <v>6.192268773378631E-3</v>
      </c>
      <c r="V382" s="340">
        <f>Saldo_relativo_per_capita!V382*Saldo_relativo_per_capita!V$543/1000000</f>
        <v>2.395550722769603E-2</v>
      </c>
      <c r="W382" s="148"/>
    </row>
    <row r="383" spans="1:23" s="115" customFormat="1">
      <c r="A383" s="355" t="str">
        <f>IF(B383="","",(IF(ISERROR(MATCH(B383,Tot_res!C:C,0)),"Eliminar!!!","")))</f>
        <v/>
      </c>
      <c r="B383" s="115" t="s">
        <v>375</v>
      </c>
      <c r="C383" s="333" t="str">
        <f>VLOOKUP(B383,Tot_res!C:D,2,FALSE)</f>
        <v>Prestaciones económicas del mutualismo administrativo</v>
      </c>
      <c r="D383" s="340">
        <f>Saldo_relativo_per_capita!D383*Saldo_relativo_per_capita!D$543/1000000</f>
        <v>0</v>
      </c>
      <c r="E383" s="340">
        <f>Saldo_relativo_per_capita!E383*Saldo_relativo_per_capita!E$543/1000000</f>
        <v>7.2465082907680429</v>
      </c>
      <c r="F383" s="340">
        <f>Saldo_relativo_per_capita!F383*Saldo_relativo_per_capita!F$543/1000000</f>
        <v>2.6395334963898187</v>
      </c>
      <c r="G383" s="340">
        <f>Saldo_relativo_per_capita!G383*Saldo_relativo_per_capita!G$543/1000000</f>
        <v>0.35396477291317058</v>
      </c>
      <c r="H383" s="340">
        <f>Saldo_relativo_per_capita!H383*Saldo_relativo_per_capita!H$543/1000000</f>
        <v>-1.7955212015222337</v>
      </c>
      <c r="I383" s="340">
        <f>Saldo_relativo_per_capita!I383*Saldo_relativo_per_capita!I$543/1000000</f>
        <v>-3.6642718575057583E-2</v>
      </c>
      <c r="J383" s="340">
        <f>Saldo_relativo_per_capita!J383*Saldo_relativo_per_capita!J$543/1000000</f>
        <v>-0.16838400454811706</v>
      </c>
      <c r="K383" s="340">
        <f>Saldo_relativo_per_capita!K383*Saldo_relativo_per_capita!K$543/1000000</f>
        <v>7.8969991237304891</v>
      </c>
      <c r="L383" s="340">
        <f>Saldo_relativo_per_capita!L383*Saldo_relativo_per_capita!L$543/1000000</f>
        <v>0.18726530176759359</v>
      </c>
      <c r="M383" s="340">
        <f>Saldo_relativo_per_capita!M383*Saldo_relativo_per_capita!M$543/1000000</f>
        <v>-22.928406999587359</v>
      </c>
      <c r="N383" s="340">
        <f>Saldo_relativo_per_capita!N383*Saldo_relativo_per_capita!N$543/1000000</f>
        <v>-5.7127941083583149</v>
      </c>
      <c r="O383" s="340">
        <f>Saldo_relativo_per_capita!O383*Saldo_relativo_per_capita!O$543/1000000</f>
        <v>2.1790969547971955</v>
      </c>
      <c r="P383" s="340">
        <f>Saldo_relativo_per_capita!P383*Saldo_relativo_per_capita!P$543/1000000</f>
        <v>3.5119995523777945</v>
      </c>
      <c r="Q383" s="340">
        <f>Saldo_relativo_per_capita!Q383*Saldo_relativo_per_capita!Q$543/1000000</f>
        <v>12.612515679615695</v>
      </c>
      <c r="R383" s="340">
        <f>Saldo_relativo_per_capita!R383*Saldo_relativo_per_capita!R$543/1000000</f>
        <v>1.3371454251220072</v>
      </c>
      <c r="S383" s="340">
        <f>Saldo_relativo_per_capita!S383*Saldo_relativo_per_capita!S$543/1000000</f>
        <v>-1.3056331921669713</v>
      </c>
      <c r="T383" s="340">
        <f>Saldo_relativo_per_capita!T383*Saldo_relativo_per_capita!T$543/1000000</f>
        <v>-8.5956927763274784</v>
      </c>
      <c r="U383" s="340">
        <f>Saldo_relativo_per_capita!U383*Saldo_relativo_per_capita!U$543/1000000</f>
        <v>7.5143417023624551E-2</v>
      </c>
      <c r="V383" s="340">
        <f>Saldo_relativo_per_capita!V383*Saldo_relativo_per_capita!V$543/1000000</f>
        <v>2.5029029865800885</v>
      </c>
      <c r="W383" s="148"/>
    </row>
    <row r="384" spans="1:23" s="115" customFormat="1">
      <c r="A384" s="355" t="str">
        <f>IF(B384="","",(IF(ISERROR(MATCH(B384,Tot_res!C:C,0)),"Eliminar!!!","")))</f>
        <v/>
      </c>
      <c r="B384" s="115" t="s">
        <v>377</v>
      </c>
      <c r="C384" s="333" t="str">
        <f>VLOOKUP(B384,Tot_res!C:D,2,FALSE)</f>
        <v>Prestaciones de garantía salarial</v>
      </c>
      <c r="D384" s="340">
        <f>Saldo_relativo_per_capita!D384*Saldo_relativo_per_capita!D$543/1000000</f>
        <v>0</v>
      </c>
      <c r="E384" s="340">
        <f>Saldo_relativo_per_capita!E384*Saldo_relativo_per_capita!E$543/1000000</f>
        <v>-111.5709564710785</v>
      </c>
      <c r="F384" s="340">
        <f>Saldo_relativo_per_capita!F384*Saldo_relativo_per_capita!F$543/1000000</f>
        <v>4.0562561022263646</v>
      </c>
      <c r="G384" s="340">
        <f>Saldo_relativo_per_capita!G384*Saldo_relativo_per_capita!G$543/1000000</f>
        <v>-5.7810593664760193</v>
      </c>
      <c r="H384" s="340">
        <f>Saldo_relativo_per_capita!H384*Saldo_relativo_per_capita!H$543/1000000</f>
        <v>-9.4109568022397578</v>
      </c>
      <c r="I384" s="340">
        <f>Saldo_relativo_per_capita!I384*Saldo_relativo_per_capita!I$543/1000000</f>
        <v>-8.8754190653925562</v>
      </c>
      <c r="J384" s="340">
        <f>Saldo_relativo_per_capita!J384*Saldo_relativo_per_capita!J$543/1000000</f>
        <v>-3.7988378597737458</v>
      </c>
      <c r="K384" s="340">
        <f>Saldo_relativo_per_capita!K384*Saldo_relativo_per_capita!K$543/1000000</f>
        <v>-17.651074037962836</v>
      </c>
      <c r="L384" s="340">
        <f>Saldo_relativo_per_capita!L384*Saldo_relativo_per_capita!L$543/1000000</f>
        <v>-11.826569978660947</v>
      </c>
      <c r="M384" s="340">
        <f>Saldo_relativo_per_capita!M384*Saldo_relativo_per_capita!M$543/1000000</f>
        <v>110.03821837560739</v>
      </c>
      <c r="N384" s="340">
        <f>Saldo_relativo_per_capita!N384*Saldo_relativo_per_capita!N$543/1000000</f>
        <v>27.843251063457824</v>
      </c>
      <c r="O384" s="340">
        <f>Saldo_relativo_per_capita!O384*Saldo_relativo_per_capita!O$543/1000000</f>
        <v>-16.254587686579477</v>
      </c>
      <c r="P384" s="340">
        <f>Saldo_relativo_per_capita!P384*Saldo_relativo_per_capita!P$543/1000000</f>
        <v>-12.149723784844147</v>
      </c>
      <c r="Q384" s="340">
        <f>Saldo_relativo_per_capita!Q384*Saldo_relativo_per_capita!Q$543/1000000</f>
        <v>-5.3585635491947565</v>
      </c>
      <c r="R384" s="340">
        <f>Saldo_relativo_per_capita!R384*Saldo_relativo_per_capita!R$543/1000000</f>
        <v>2.7342271334537789</v>
      </c>
      <c r="S384" s="340">
        <f>Saldo_relativo_per_capita!S384*Saldo_relativo_per_capita!S$543/1000000</f>
        <v>8.0680921985142557</v>
      </c>
      <c r="T384" s="340">
        <f>Saldo_relativo_per_capita!T384*Saldo_relativo_per_capita!T$543/1000000</f>
        <v>54.987537918324009</v>
      </c>
      <c r="U384" s="340">
        <f>Saldo_relativo_per_capita!U384*Saldo_relativo_per_capita!U$543/1000000</f>
        <v>-0.69483553846941493</v>
      </c>
      <c r="V384" s="340">
        <f>Saldo_relativo_per_capita!V384*Saldo_relativo_per_capita!V$543/1000000</f>
        <v>-4.3549986509114538</v>
      </c>
      <c r="W384" s="148"/>
    </row>
    <row r="385" spans="1:23" s="115" customFormat="1">
      <c r="A385" s="355" t="str">
        <f>IF(B385="","",(IF(ISERROR(MATCH(B385,Tot_res!C:C,0)),"Eliminar!!!","")))</f>
        <v/>
      </c>
      <c r="B385" s="119" t="s">
        <v>378</v>
      </c>
      <c r="C385" s="333" t="str">
        <f>VLOOKUP(B385,Tot_res!C:D,2,FALSE)</f>
        <v>Prestaciones económicas por cese de actividad</v>
      </c>
      <c r="D385" s="340">
        <f>Saldo_relativo_per_capita!D385*Saldo_relativo_per_capita!D$543/1000000</f>
        <v>0</v>
      </c>
      <c r="E385" s="340">
        <f>Saldo_relativo_per_capita!E385*Saldo_relativo_per_capita!E$543/1000000</f>
        <v>-0.43819204642818765</v>
      </c>
      <c r="F385" s="340">
        <f>Saldo_relativo_per_capita!F385*Saldo_relativo_per_capita!F$543/1000000</f>
        <v>-4.080490486290312E-2</v>
      </c>
      <c r="G385" s="340">
        <f>Saldo_relativo_per_capita!G385*Saldo_relativo_per_capita!G$543/1000000</f>
        <v>2.2212545430099331E-2</v>
      </c>
      <c r="H385" s="340">
        <f>Saldo_relativo_per_capita!H385*Saldo_relativo_per_capita!H$543/1000000</f>
        <v>-4.5691310698349891E-2</v>
      </c>
      <c r="I385" s="340">
        <f>Saldo_relativo_per_capita!I385*Saldo_relativo_per_capita!I$543/1000000</f>
        <v>-0.1406018294670873</v>
      </c>
      <c r="J385" s="340">
        <f>Saldo_relativo_per_capita!J385*Saldo_relativo_per_capita!J$543/1000000</f>
        <v>-2.1122788912306519E-2</v>
      </c>
      <c r="K385" s="340">
        <f>Saldo_relativo_per_capita!K385*Saldo_relativo_per_capita!K$543/1000000</f>
        <v>-8.5784413172953794E-2</v>
      </c>
      <c r="L385" s="340">
        <f>Saldo_relativo_per_capita!L385*Saldo_relativo_per_capita!L$543/1000000</f>
        <v>-8.9155930005299713E-2</v>
      </c>
      <c r="M385" s="340">
        <f>Saldo_relativo_per_capita!M385*Saldo_relativo_per_capita!M$543/1000000</f>
        <v>-0.24164711692981569</v>
      </c>
      <c r="N385" s="340">
        <f>Saldo_relativo_per_capita!N385*Saldo_relativo_per_capita!N$543/1000000</f>
        <v>-0.19541714501224056</v>
      </c>
      <c r="O385" s="340">
        <f>Saldo_relativo_per_capita!O385*Saldo_relativo_per_capita!O$543/1000000</f>
        <v>-5.4802216838914501E-2</v>
      </c>
      <c r="P385" s="340">
        <f>Saldo_relativo_per_capita!P385*Saldo_relativo_per_capita!P$543/1000000</f>
        <v>1.6512785026021415</v>
      </c>
      <c r="Q385" s="340">
        <f>Saldo_relativo_per_capita!Q385*Saldo_relativo_per_capita!Q$543/1000000</f>
        <v>-0.23926567645674301</v>
      </c>
      <c r="R385" s="340">
        <f>Saldo_relativo_per_capita!R385*Saldo_relativo_per_capita!R$543/1000000</f>
        <v>-5.5229245240180393E-2</v>
      </c>
      <c r="S385" s="340">
        <f>Saldo_relativo_per_capita!S385*Saldo_relativo_per_capita!S$543/1000000</f>
        <v>3.636756991333364E-2</v>
      </c>
      <c r="T385" s="340">
        <f>Saldo_relativo_per_capita!T385*Saldo_relativo_per_capita!T$543/1000000</f>
        <v>-6.367013242954693E-2</v>
      </c>
      <c r="U385" s="340">
        <f>Saldo_relativo_per_capita!U385*Saldo_relativo_per_capita!U$543/1000000</f>
        <v>1.2756024412891909E-2</v>
      </c>
      <c r="V385" s="340">
        <f>Saldo_relativo_per_capita!V385*Saldo_relativo_per_capita!V$543/1000000</f>
        <v>-1.1229885903936889E-2</v>
      </c>
      <c r="W385" s="148"/>
    </row>
    <row r="386" spans="1:23" s="115" customFormat="1">
      <c r="A386" s="355" t="str">
        <f>IF(B386="","",(IF(ISERROR(MATCH(B386,Tot_res!C:C,0)),"Eliminar!!!","")))</f>
        <v/>
      </c>
      <c r="B386" s="119" t="s">
        <v>864</v>
      </c>
      <c r="C386" s="333" t="str">
        <f>VLOOKUP(B386,Tot_res!C:D,2,FALSE)</f>
        <v>Prestaciones a los desempleados, neto de renta y subsidio agrarios</v>
      </c>
      <c r="D386" s="340">
        <f>Saldo_relativo_per_capita!D386*Saldo_relativo_per_capita!D$543/1000000</f>
        <v>0</v>
      </c>
      <c r="E386" s="340">
        <f>Saldo_relativo_per_capita!E386*Saldo_relativo_per_capita!E$543/1000000</f>
        <v>-244.55539452779848</v>
      </c>
      <c r="F386" s="340">
        <f>Saldo_relativo_per_capita!F386*Saldo_relativo_per_capita!F$543/1000000</f>
        <v>-13.462537168186744</v>
      </c>
      <c r="G386" s="340">
        <f>Saldo_relativo_per_capita!G386*Saldo_relativo_per_capita!G$543/1000000</f>
        <v>10.522081296935331</v>
      </c>
      <c r="H386" s="340">
        <f>Saldo_relativo_per_capita!H386*Saldo_relativo_per_capita!H$543/1000000</f>
        <v>64.400925922418523</v>
      </c>
      <c r="I386" s="340">
        <f>Saldo_relativo_per_capita!I386*Saldo_relativo_per_capita!I$543/1000000</f>
        <v>96.046365564005484</v>
      </c>
      <c r="J386" s="340">
        <f>Saldo_relativo_per_capita!J386*Saldo_relativo_per_capita!J$543/1000000</f>
        <v>-1.5184601700236238</v>
      </c>
      <c r="K386" s="340">
        <f>Saldo_relativo_per_capita!K386*Saldo_relativo_per_capita!K$543/1000000</f>
        <v>-119.60341635668026</v>
      </c>
      <c r="L386" s="340">
        <f>Saldo_relativo_per_capita!L386*Saldo_relativo_per_capita!L$543/1000000</f>
        <v>118.00132923954939</v>
      </c>
      <c r="M386" s="340">
        <f>Saldo_relativo_per_capita!M386*Saldo_relativo_per_capita!M$543/1000000</f>
        <v>245.14916129568505</v>
      </c>
      <c r="N386" s="340">
        <f>Saldo_relativo_per_capita!N386*Saldo_relativo_per_capita!N$543/1000000</f>
        <v>87.670244143771541</v>
      </c>
      <c r="O386" s="340">
        <f>Saldo_relativo_per_capita!O386*Saldo_relativo_per_capita!O$543/1000000</f>
        <v>-7.2154259468722355</v>
      </c>
      <c r="P386" s="340">
        <f>Saldo_relativo_per_capita!P386*Saldo_relativo_per_capita!P$543/1000000</f>
        <v>-57.582405888401262</v>
      </c>
      <c r="Q386" s="340">
        <f>Saldo_relativo_per_capita!Q386*Saldo_relativo_per_capita!Q$543/1000000</f>
        <v>-37.74524379182715</v>
      </c>
      <c r="R386" s="340">
        <f>Saldo_relativo_per_capita!R386*Saldo_relativo_per_capita!R$543/1000000</f>
        <v>-41.503239961510182</v>
      </c>
      <c r="S386" s="340">
        <f>Saldo_relativo_per_capita!S386*Saldo_relativo_per_capita!S$543/1000000</f>
        <v>22.944759019878965</v>
      </c>
      <c r="T386" s="340">
        <f>Saldo_relativo_per_capita!T386*Saldo_relativo_per_capita!T$543/1000000</f>
        <v>-91.658426916365073</v>
      </c>
      <c r="U386" s="340">
        <f>Saldo_relativo_per_capita!U386*Saldo_relativo_per_capita!U$543/1000000</f>
        <v>2.6919627942593745</v>
      </c>
      <c r="V386" s="340">
        <f>Saldo_relativo_per_capita!V386*Saldo_relativo_per_capita!V$543/1000000</f>
        <v>-32.582278548836079</v>
      </c>
      <c r="W386" s="148"/>
    </row>
    <row r="387" spans="1:23" s="115" customFormat="1">
      <c r="A387" s="355" t="str">
        <f>IF(B387="","",(IF(ISERROR(MATCH(B387,Tot_res!C:C,0)),"Eliminar!!!","")))</f>
        <v/>
      </c>
      <c r="B387" s="115" t="s">
        <v>380</v>
      </c>
      <c r="C387" s="333" t="str">
        <f>VLOOKUP(B387,Tot_res!C:D,2,FALSE)</f>
        <v>Becas y ayudas a estudiantes + AF03/1</v>
      </c>
      <c r="D387" s="340">
        <f>Saldo_relativo_per_capita!D387*Saldo_relativo_per_capita!D$543/1000000</f>
        <v>0</v>
      </c>
      <c r="E387" s="340">
        <f>Saldo_relativo_per_capita!E387*Saldo_relativo_per_capita!E$543/1000000</f>
        <v>94.620552381550681</v>
      </c>
      <c r="F387" s="340">
        <f>Saldo_relativo_per_capita!F387*Saldo_relativo_per_capita!F$543/1000000</f>
        <v>-10.626702886197608</v>
      </c>
      <c r="G387" s="340">
        <f>Saldo_relativo_per_capita!G387*Saldo_relativo_per_capita!G$543/1000000</f>
        <v>-8.0294340766448737</v>
      </c>
      <c r="H387" s="340">
        <f>Saldo_relativo_per_capita!H387*Saldo_relativo_per_capita!H$543/1000000</f>
        <v>-16.5807084756519</v>
      </c>
      <c r="I387" s="340">
        <f>Saldo_relativo_per_capita!I387*Saldo_relativo_per_capita!I$543/1000000</f>
        <v>1.6812184017536373</v>
      </c>
      <c r="J387" s="340">
        <f>Saldo_relativo_per_capita!J387*Saldo_relativo_per_capita!J$543/1000000</f>
        <v>-4.5778563011112015</v>
      </c>
      <c r="K387" s="340">
        <f>Saldo_relativo_per_capita!K387*Saldo_relativo_per_capita!K$543/1000000</f>
        <v>6.5001849711151367</v>
      </c>
      <c r="L387" s="340">
        <f>Saldo_relativo_per_capita!L387*Saldo_relativo_per_capita!L$543/1000000</f>
        <v>-6.0121977369932438</v>
      </c>
      <c r="M387" s="340">
        <f>Saldo_relativo_per_capita!M387*Saldo_relativo_per_capita!M$543/1000000</f>
        <v>-73.091061509512826</v>
      </c>
      <c r="N387" s="340">
        <f>Saldo_relativo_per_capita!N387*Saldo_relativo_per_capita!N$543/1000000</f>
        <v>9.8639920718976803</v>
      </c>
      <c r="O387" s="340">
        <f>Saldo_relativo_per_capita!O387*Saldo_relativo_per_capita!O$543/1000000</f>
        <v>16.388461053822571</v>
      </c>
      <c r="P387" s="340">
        <f>Saldo_relativo_per_capita!P387*Saldo_relativo_per_capita!P$543/1000000</f>
        <v>4.0572029307226849</v>
      </c>
      <c r="Q387" s="340">
        <f>Saldo_relativo_per_capita!Q387*Saldo_relativo_per_capita!Q$543/1000000</f>
        <v>-21.054923301389579</v>
      </c>
      <c r="R387" s="340">
        <f>Saldo_relativo_per_capita!R387*Saldo_relativo_per_capita!R$543/1000000</f>
        <v>9.5621925634601119</v>
      </c>
      <c r="S387" s="340">
        <f>Saldo_relativo_per_capita!S387*Saldo_relativo_per_capita!S$543/1000000</f>
        <v>-2.3016685203446438E-4</v>
      </c>
      <c r="T387" s="340">
        <f>Saldo_relativo_per_capita!T387*Saldo_relativo_per_capita!T$543/1000000</f>
        <v>-9.5785347602559247E-4</v>
      </c>
      <c r="U387" s="340">
        <f>Saldo_relativo_per_capita!U387*Saldo_relativo_per_capita!U$543/1000000</f>
        <v>-3.5216563439240578</v>
      </c>
      <c r="V387" s="340">
        <f>Saldo_relativo_per_capita!V387*Saldo_relativo_per_capita!V$543/1000000</f>
        <v>0.82192427743099428</v>
      </c>
      <c r="W387" s="148"/>
    </row>
    <row r="388" spans="1:23" s="115" customFormat="1">
      <c r="A388" s="355" t="str">
        <f>IF(B388="","",(IF(ISERROR(MATCH(B388,Tot_res!C:C,0)),"Eliminar!!!","")))</f>
        <v/>
      </c>
      <c r="B388" s="119" t="s">
        <v>867</v>
      </c>
      <c r="C388" s="333" t="str">
        <f>VLOOKUP(B388,Tot_res!C:D,2,FALSE)</f>
        <v xml:space="preserve"> Gestión de la Deuda y de la Tesorería del Estado, indemnizaciones síndrome tóxico</v>
      </c>
      <c r="D388" s="340">
        <f>Saldo_relativo_per_capita!D388*Saldo_relativo_per_capita!D$543/1000000</f>
        <v>0</v>
      </c>
      <c r="E388" s="340">
        <f>Saldo_relativo_per_capita!E388*Saldo_relativo_per_capita!E$543/1000000</f>
        <v>-0.52644835567441017</v>
      </c>
      <c r="F388" s="340">
        <f>Saldo_relativo_per_capita!F388*Saldo_relativo_per_capita!F$543/1000000</f>
        <v>-8.6157342248269791E-2</v>
      </c>
      <c r="G388" s="340">
        <f>Saldo_relativo_per_capita!G388*Saldo_relativo_per_capita!G$543/1000000</f>
        <v>-6.5237649507476528E-2</v>
      </c>
      <c r="H388" s="340">
        <f>Saldo_relativo_per_capita!H388*Saldo_relativo_per_capita!H$543/1000000</f>
        <v>-6.9905523183017765E-2</v>
      </c>
      <c r="I388" s="340">
        <f>Saldo_relativo_per_capita!I388*Saldo_relativo_per_capita!I$543/1000000</f>
        <v>-0.13281119455437498</v>
      </c>
      <c r="J388" s="340">
        <f>Saldo_relativo_per_capita!J388*Saldo_relativo_per_capita!J$543/1000000</f>
        <v>-2.494090955873542E-2</v>
      </c>
      <c r="K388" s="340">
        <f>Saldo_relativo_per_capita!K388*Saldo_relativo_per_capita!K$543/1000000</f>
        <v>0.56976785629125248</v>
      </c>
      <c r="L388" s="340">
        <f>Saldo_relativo_per_capita!L388*Saldo_relativo_per_capita!L$543/1000000</f>
        <v>1.8980839153341894E-2</v>
      </c>
      <c r="M388" s="340">
        <f>Saldo_relativo_per_capita!M388*Saldo_relativo_per_capita!M$543/1000000</f>
        <v>-0.49632341062298047</v>
      </c>
      <c r="N388" s="340">
        <f>Saldo_relativo_per_capita!N388*Saldo_relativo_per_capita!N$543/1000000</f>
        <v>-0.30362556702176069</v>
      </c>
      <c r="O388" s="340">
        <f>Saldo_relativo_per_capita!O388*Saldo_relativo_per_capita!O$543/1000000</f>
        <v>-4.5314989055385259E-2</v>
      </c>
      <c r="P388" s="340">
        <f>Saldo_relativo_per_capita!P388*Saldo_relativo_per_capita!P$543/1000000</f>
        <v>-0.17397981290729242</v>
      </c>
      <c r="Q388" s="340">
        <f>Saldo_relativo_per_capita!Q388*Saldo_relativo_per_capita!Q$543/1000000</f>
        <v>1.6372853162117558</v>
      </c>
      <c r="R388" s="340">
        <f>Saldo_relativo_per_capita!R388*Saldo_relativo_per_capita!R$543/1000000</f>
        <v>-8.8041788075087668E-2</v>
      </c>
      <c r="S388" s="340">
        <f>Saldo_relativo_per_capita!S388*Saldo_relativo_per_capita!S$543/1000000</f>
        <v>-3.9950708397770339E-2</v>
      </c>
      <c r="T388" s="340">
        <f>Saldo_relativo_per_capita!T388*Saldo_relativo_per_capita!T$543/1000000</f>
        <v>-0.14068040851459454</v>
      </c>
      <c r="U388" s="340">
        <f>Saldo_relativo_per_capita!U388*Saldo_relativo_per_capita!U$543/1000000</f>
        <v>-2.1704321445389516E-2</v>
      </c>
      <c r="V388" s="340">
        <f>Saldo_relativo_per_capita!V388*Saldo_relativo_per_capita!V$543/1000000</f>
        <v>-1.0912030889805012E-2</v>
      </c>
      <c r="W388" s="148"/>
    </row>
    <row r="389" spans="1:23" s="115" customFormat="1">
      <c r="A389" s="355" t="str">
        <f>IF(B389="","",(IF(ISERROR(MATCH(B389,Tot_res!C:C,0)),"Eliminar!!!","")))</f>
        <v/>
      </c>
      <c r="B389" s="115" t="s">
        <v>869</v>
      </c>
      <c r="C389" s="333" t="str">
        <f>VLOOKUP(B389,Tot_res!C:D,2,FALSE)</f>
        <v>Pensiones contributivas de la Seguridad Social</v>
      </c>
      <c r="D389" s="340">
        <f>Saldo_relativo_per_capita!D389*Saldo_relativo_per_capita!D$543/1000000</f>
        <v>0</v>
      </c>
      <c r="E389" s="340">
        <f>Saldo_relativo_per_capita!E389*Saldo_relativo_per_capita!E$543/1000000</f>
        <v>-3760.1707605118595</v>
      </c>
      <c r="F389" s="340">
        <f>Saldo_relativo_per_capita!F389*Saldo_relativo_per_capita!F$543/1000000</f>
        <v>522.83441420623342</v>
      </c>
      <c r="G389" s="340">
        <f>Saldo_relativo_per_capita!G389*Saldo_relativo_per_capita!G$543/1000000</f>
        <v>1750.242057143897</v>
      </c>
      <c r="H389" s="340">
        <f>Saldo_relativo_per_capita!H389*Saldo_relativo_per_capita!H$543/1000000</f>
        <v>-634.79990337398158</v>
      </c>
      <c r="I389" s="340">
        <f>Saldo_relativo_per_capita!I389*Saldo_relativo_per_capita!I$543/1000000</f>
        <v>-1789.7097604940432</v>
      </c>
      <c r="J389" s="340">
        <f>Saldo_relativo_per_capita!J389*Saldo_relativo_per_capita!J$543/1000000</f>
        <v>309.04222420568016</v>
      </c>
      <c r="K389" s="340">
        <f>Saldo_relativo_per_capita!K389*Saldo_relativo_per_capita!K$543/1000000</f>
        <v>1151.0131005419328</v>
      </c>
      <c r="L389" s="340">
        <f>Saldo_relativo_per_capita!L389*Saldo_relativo_per_capita!L$543/1000000</f>
        <v>-902.25798721004287</v>
      </c>
      <c r="M389" s="340">
        <f>Saldo_relativo_per_capita!M389*Saldo_relativo_per_capita!M$543/1000000</f>
        <v>2764.3494945109974</v>
      </c>
      <c r="N389" s="340">
        <f>Saldo_relativo_per_capita!N389*Saldo_relativo_per_capita!N$543/1000000</f>
        <v>-1515.7618035390149</v>
      </c>
      <c r="O389" s="340">
        <f>Saldo_relativo_per_capita!O389*Saldo_relativo_per_capita!O$543/1000000</f>
        <v>-392.77751811911133</v>
      </c>
      <c r="P389" s="340">
        <f>Saldo_relativo_per_capita!P389*Saldo_relativo_per_capita!P$543/1000000</f>
        <v>1068.5321203839299</v>
      </c>
      <c r="Q389" s="340">
        <f>Saldo_relativo_per_capita!Q389*Saldo_relativo_per_capita!Q$543/1000000</f>
        <v>-226.43751958299453</v>
      </c>
      <c r="R389" s="340">
        <f>Saldo_relativo_per_capita!R389*Saldo_relativo_per_capita!R$543/1000000</f>
        <v>-939.4239469471014</v>
      </c>
      <c r="S389" s="340">
        <f>Saldo_relativo_per_capita!S389*Saldo_relativo_per_capita!S$543/1000000</f>
        <v>219.16721391300024</v>
      </c>
      <c r="T389" s="340">
        <f>Saldo_relativo_per_capita!T389*Saldo_relativo_per_capita!T$543/1000000</f>
        <v>2570.4026343511578</v>
      </c>
      <c r="U389" s="340">
        <f>Saldo_relativo_per_capita!U389*Saldo_relativo_per_capita!U$543/1000000</f>
        <v>11.851860215441594</v>
      </c>
      <c r="V389" s="340">
        <f>Saldo_relativo_per_capita!V389*Saldo_relativo_per_capita!V$543/1000000</f>
        <v>-206.09591969411386</v>
      </c>
      <c r="W389" s="148"/>
    </row>
    <row r="390" spans="1:23" s="115" customFormat="1">
      <c r="A390" s="355" t="str">
        <f>IF(B390="","",(IF(ISERROR(MATCH(B390,Tot_res!C:C,0)),"Eliminar!!!","")))</f>
        <v/>
      </c>
      <c r="B390" s="115" t="s">
        <v>870</v>
      </c>
      <c r="C390" s="333" t="str">
        <f>VLOOKUP(B390,Tot_res!C:D,2,FALSE)</f>
        <v>Otras prestaciones contributivas de la Seguridad Social + AF03/2</v>
      </c>
      <c r="D390" s="340">
        <f>Saldo_relativo_per_capita!D390*Saldo_relativo_per_capita!D$543/1000000</f>
        <v>0</v>
      </c>
      <c r="E390" s="340">
        <f>Saldo_relativo_per_capita!E390*Saldo_relativo_per_capita!E$543/1000000</f>
        <v>-100.98234383180376</v>
      </c>
      <c r="F390" s="340">
        <f>Saldo_relativo_per_capita!F390*Saldo_relativo_per_capita!F$543/1000000</f>
        <v>-1.1449593827120579</v>
      </c>
      <c r="G390" s="340">
        <f>Saldo_relativo_per_capita!G390*Saldo_relativo_per_capita!G$543/1000000</f>
        <v>23.024087888105097</v>
      </c>
      <c r="H390" s="340">
        <f>Saldo_relativo_per_capita!H390*Saldo_relativo_per_capita!H$543/1000000</f>
        <v>-20.549540810836973</v>
      </c>
      <c r="I390" s="340">
        <f>Saldo_relativo_per_capita!I390*Saldo_relativo_per_capita!I$543/1000000</f>
        <v>-45.971482498948838</v>
      </c>
      <c r="J390" s="340">
        <f>Saldo_relativo_per_capita!J390*Saldo_relativo_per_capita!J$543/1000000</f>
        <v>4.7790055641516336</v>
      </c>
      <c r="K390" s="340">
        <f>Saldo_relativo_per_capita!K390*Saldo_relativo_per_capita!K$543/1000000</f>
        <v>-39.569784791268489</v>
      </c>
      <c r="L390" s="340">
        <f>Saldo_relativo_per_capita!L390*Saldo_relativo_per_capita!L$543/1000000</f>
        <v>-46.881743975413805</v>
      </c>
      <c r="M390" s="340">
        <f>Saldo_relativo_per_capita!M390*Saldo_relativo_per_capita!M$543/1000000</f>
        <v>54.808442584531797</v>
      </c>
      <c r="N390" s="340">
        <f>Saldo_relativo_per_capita!N390*Saldo_relativo_per_capita!N$543/1000000</f>
        <v>-86.633575395256202</v>
      </c>
      <c r="O390" s="340">
        <f>Saldo_relativo_per_capita!O390*Saldo_relativo_per_capita!O$543/1000000</f>
        <v>-13.386436024658266</v>
      </c>
      <c r="P390" s="340">
        <f>Saldo_relativo_per_capita!P390*Saldo_relativo_per_capita!P$543/1000000</f>
        <v>32.812229835111111</v>
      </c>
      <c r="Q390" s="340">
        <f>Saldo_relativo_per_capita!Q390*Saldo_relativo_per_capita!Q$543/1000000</f>
        <v>63.970979853188531</v>
      </c>
      <c r="R390" s="340">
        <f>Saldo_relativo_per_capita!R390*Saldo_relativo_per_capita!R$543/1000000</f>
        <v>12.472362197998807</v>
      </c>
      <c r="S390" s="340">
        <f>Saldo_relativo_per_capita!S390*Saldo_relativo_per_capita!S$543/1000000</f>
        <v>16.543570975053324</v>
      </c>
      <c r="T390" s="340">
        <f>Saldo_relativo_per_capita!T390*Saldo_relativo_per_capita!T$543/1000000</f>
        <v>158.18993564268663</v>
      </c>
      <c r="U390" s="340">
        <f>Saldo_relativo_per_capita!U390*Saldo_relativo_per_capita!U$543/1000000</f>
        <v>-6.5321833901037518</v>
      </c>
      <c r="V390" s="340">
        <f>Saldo_relativo_per_capita!V390*Saldo_relativo_per_capita!V$543/1000000</f>
        <v>-4.9485644398247066</v>
      </c>
      <c r="W390" s="148"/>
    </row>
    <row r="391" spans="1:23" s="115" customFormat="1">
      <c r="A391" s="355" t="str">
        <f>IF(B391="","",(IF(ISERROR(MATCH(B391,Tot_res!C:C,0)),"Eliminar!!!","")))</f>
        <v/>
      </c>
      <c r="B391" s="115" t="s">
        <v>872</v>
      </c>
      <c r="C391" s="333" t="str">
        <f>VLOOKUP(B391,Tot_res!C:D,2,FALSE)</f>
        <v>Prestaciones económicas contributivas, Mutuas</v>
      </c>
      <c r="D391" s="340">
        <f>Saldo_relativo_per_capita!D391*Saldo_relativo_per_capita!D$543/1000000</f>
        <v>0</v>
      </c>
      <c r="E391" s="340">
        <f>Saldo_relativo_per_capita!E391*Saldo_relativo_per_capita!E$543/1000000</f>
        <v>-302.6609827647826</v>
      </c>
      <c r="F391" s="340">
        <f>Saldo_relativo_per_capita!F391*Saldo_relativo_per_capita!F$543/1000000</f>
        <v>2.7115997409289494</v>
      </c>
      <c r="G391" s="340">
        <f>Saldo_relativo_per_capita!G391*Saldo_relativo_per_capita!G$543/1000000</f>
        <v>-7.6062941823598225</v>
      </c>
      <c r="H391" s="340">
        <f>Saldo_relativo_per_capita!H391*Saldo_relativo_per_capita!H$543/1000000</f>
        <v>-2.5285741666589314</v>
      </c>
      <c r="I391" s="340">
        <f>Saldo_relativo_per_capita!I391*Saldo_relativo_per_capita!I$543/1000000</f>
        <v>-53.035696113834483</v>
      </c>
      <c r="J391" s="340">
        <f>Saldo_relativo_per_capita!J391*Saldo_relativo_per_capita!J$543/1000000</f>
        <v>3.7174367190516735</v>
      </c>
      <c r="K391" s="340">
        <f>Saldo_relativo_per_capita!K391*Saldo_relativo_per_capita!K$543/1000000</f>
        <v>-41.664434384534772</v>
      </c>
      <c r="L391" s="340">
        <f>Saldo_relativo_per_capita!L391*Saldo_relativo_per_capita!L$543/1000000</f>
        <v>-45.789887540811122</v>
      </c>
      <c r="M391" s="340">
        <f>Saldo_relativo_per_capita!M391*Saldo_relativo_per_capita!M$543/1000000</f>
        <v>50.886438589187009</v>
      </c>
      <c r="N391" s="340">
        <f>Saldo_relativo_per_capita!N391*Saldo_relativo_per_capita!N$543/1000000</f>
        <v>-87.876530035742903</v>
      </c>
      <c r="O391" s="340">
        <f>Saldo_relativo_per_capita!O391*Saldo_relativo_per_capita!O$543/1000000</f>
        <v>-46.104701072614631</v>
      </c>
      <c r="P391" s="340">
        <f>Saldo_relativo_per_capita!P391*Saldo_relativo_per_capita!P$543/1000000</f>
        <v>-23.239576219604565</v>
      </c>
      <c r="Q391" s="340">
        <f>Saldo_relativo_per_capita!Q391*Saldo_relativo_per_capita!Q$543/1000000</f>
        <v>519.42851156725544</v>
      </c>
      <c r="R391" s="340">
        <f>Saldo_relativo_per_capita!R391*Saldo_relativo_per_capita!R$543/1000000</f>
        <v>-16.766311595574283</v>
      </c>
      <c r="S391" s="340">
        <f>Saldo_relativo_per_capita!S391*Saldo_relativo_per_capita!S$543/1000000</f>
        <v>15.848268020811084</v>
      </c>
      <c r="T391" s="340">
        <f>Saldo_relativo_per_capita!T391*Saldo_relativo_per_capita!T$543/1000000</f>
        <v>41.950897070464286</v>
      </c>
      <c r="U391" s="340">
        <f>Saldo_relativo_per_capita!U391*Saldo_relativo_per_capita!U$543/1000000</f>
        <v>0.47444514893053996</v>
      </c>
      <c r="V391" s="340">
        <f>Saldo_relativo_per_capita!V391*Saldo_relativo_per_capita!V$543/1000000</f>
        <v>-7.7446087801108892</v>
      </c>
      <c r="W391" s="148"/>
    </row>
    <row r="392" spans="1:23" s="115" customFormat="1">
      <c r="A392" s="355" t="str">
        <f>IF(B392="","",(IF(ISERROR(MATCH(B392,Tot_res!C:C,0)),"Eliminar!!!","")))</f>
        <v/>
      </c>
      <c r="B392" s="115" t="s">
        <v>874</v>
      </c>
      <c r="C392" s="333" t="str">
        <f>VLOOKUP(B392,Tot_res!C:D,2,FALSE)</f>
        <v>Pensiones no contributivas de la Seg Soc + AF03/3</v>
      </c>
      <c r="D392" s="340">
        <f>Saldo_relativo_per_capita!D392*Saldo_relativo_per_capita!D$543/1000000</f>
        <v>0</v>
      </c>
      <c r="E392" s="340">
        <f>Saldo_relativo_per_capita!E392*Saldo_relativo_per_capita!E$543/1000000</f>
        <v>166.89737928981035</v>
      </c>
      <c r="F392" s="340">
        <f>Saldo_relativo_per_capita!F392*Saldo_relativo_per_capita!F$543/1000000</f>
        <v>-31.626643333854741</v>
      </c>
      <c r="G392" s="340">
        <f>Saldo_relativo_per_capita!G392*Saldo_relativo_per_capita!G$543/1000000</f>
        <v>-6.1919168456410878</v>
      </c>
      <c r="H392" s="340">
        <f>Saldo_relativo_per_capita!H392*Saldo_relativo_per_capita!H$543/1000000</f>
        <v>-19.050304910156086</v>
      </c>
      <c r="I392" s="340">
        <f>Saldo_relativo_per_capita!I392*Saldo_relativo_per_capita!I$543/1000000</f>
        <v>134.36900177794743</v>
      </c>
      <c r="J392" s="340">
        <f>Saldo_relativo_per_capita!J392*Saldo_relativo_per_capita!J$543/1000000</f>
        <v>2.2661602189886865</v>
      </c>
      <c r="K392" s="340">
        <f>Saldo_relativo_per_capita!K392*Saldo_relativo_per_capita!K$543/1000000</f>
        <v>-13.255189053116306</v>
      </c>
      <c r="L392" s="340">
        <f>Saldo_relativo_per_capita!L392*Saldo_relativo_per_capita!L$543/1000000</f>
        <v>-2.3875810189431173</v>
      </c>
      <c r="M392" s="340">
        <f>Saldo_relativo_per_capita!M392*Saldo_relativo_per_capita!M$543/1000000</f>
        <v>-90.469888912350044</v>
      </c>
      <c r="N392" s="340">
        <f>Saldo_relativo_per_capita!N392*Saldo_relativo_per_capita!N$543/1000000</f>
        <v>-13.770057701573016</v>
      </c>
      <c r="O392" s="340">
        <f>Saldo_relativo_per_capita!O392*Saldo_relativo_per_capita!O$543/1000000</f>
        <v>19.58694765603332</v>
      </c>
      <c r="P392" s="340">
        <f>Saldo_relativo_per_capita!P392*Saldo_relativo_per_capita!P$543/1000000</f>
        <v>101.56153315563732</v>
      </c>
      <c r="Q392" s="340">
        <f>Saldo_relativo_per_capita!Q392*Saldo_relativo_per_capita!Q$543/1000000</f>
        <v>-164.86829952156387</v>
      </c>
      <c r="R392" s="340">
        <f>Saldo_relativo_per_capita!R392*Saldo_relativo_per_capita!R$543/1000000</f>
        <v>-0.16781489887149692</v>
      </c>
      <c r="S392" s="340">
        <f>Saldo_relativo_per_capita!S392*Saldo_relativo_per_capita!S$543/1000000</f>
        <v>-22.141884018526806</v>
      </c>
      <c r="T392" s="340">
        <f>Saldo_relativo_per_capita!T392*Saldo_relativo_per_capita!T$543/1000000</f>
        <v>-66.013365815719837</v>
      </c>
      <c r="U392" s="340">
        <f>Saldo_relativo_per_capita!U392*Saldo_relativo_per_capita!U$543/1000000</f>
        <v>-8.4238808085167083</v>
      </c>
      <c r="V392" s="340">
        <f>Saldo_relativo_per_capita!V392*Saldo_relativo_per_capita!V$543/1000000</f>
        <v>13.685804740416074</v>
      </c>
      <c r="W392" s="220"/>
    </row>
    <row r="393" spans="1:23" s="115" customFormat="1">
      <c r="A393" s="355" t="str">
        <f>IF(B393="","",(IF(ISERROR(MATCH(B393,Tot_res!C:C,0)),"Eliminar!!!","")))</f>
        <v/>
      </c>
      <c r="B393" s="115" t="s">
        <v>876</v>
      </c>
      <c r="C393" s="333" t="str">
        <f>VLOOKUP(B393,Tot_res!C:D,2,FALSE)</f>
        <v>Protección familiar y otras prestaciones no contributivas de la Seg Social</v>
      </c>
      <c r="D393" s="340">
        <f>Saldo_relativo_per_capita!D393*Saldo_relativo_per_capita!D$543/1000000</f>
        <v>0</v>
      </c>
      <c r="E393" s="340">
        <f>Saldo_relativo_per_capita!E393*Saldo_relativo_per_capita!E$543/1000000</f>
        <v>35.599365478825334</v>
      </c>
      <c r="F393" s="340">
        <f>Saldo_relativo_per_capita!F393*Saldo_relativo_per_capita!F$543/1000000</f>
        <v>-4.7904539728066071</v>
      </c>
      <c r="G393" s="340">
        <f>Saldo_relativo_per_capita!G393*Saldo_relativo_per_capita!G$543/1000000</f>
        <v>6.0450489803614831</v>
      </c>
      <c r="H393" s="340">
        <f>Saldo_relativo_per_capita!H393*Saldo_relativo_per_capita!H$543/1000000</f>
        <v>-9.8227085214182601</v>
      </c>
      <c r="I393" s="340">
        <f>Saldo_relativo_per_capita!I393*Saldo_relativo_per_capita!I$543/1000000</f>
        <v>12.267860938361261</v>
      </c>
      <c r="J393" s="340">
        <f>Saldo_relativo_per_capita!J393*Saldo_relativo_per_capita!J$543/1000000</f>
        <v>1.1793354902577471</v>
      </c>
      <c r="K393" s="340">
        <f>Saldo_relativo_per_capita!K393*Saldo_relativo_per_capita!K$543/1000000</f>
        <v>12.764992882285027</v>
      </c>
      <c r="L393" s="340">
        <f>Saldo_relativo_per_capita!L393*Saldo_relativo_per_capita!L$543/1000000</f>
        <v>-0.82504467256363156</v>
      </c>
      <c r="M393" s="340">
        <f>Saldo_relativo_per_capita!M393*Saldo_relativo_per_capita!M$543/1000000</f>
        <v>-39.42893115831027</v>
      </c>
      <c r="N393" s="340">
        <f>Saldo_relativo_per_capita!N393*Saldo_relativo_per_capita!N$543/1000000</f>
        <v>-1.0831124695911627</v>
      </c>
      <c r="O393" s="340">
        <f>Saldo_relativo_per_capita!O393*Saldo_relativo_per_capita!O$543/1000000</f>
        <v>8.1200992140225488</v>
      </c>
      <c r="P393" s="340">
        <f>Saldo_relativo_per_capita!P393*Saldo_relativo_per_capita!P$543/1000000</f>
        <v>11.421474984772951</v>
      </c>
      <c r="Q393" s="340">
        <f>Saldo_relativo_per_capita!Q393*Saldo_relativo_per_capita!Q$543/1000000</f>
        <v>-41.780290972521804</v>
      </c>
      <c r="R393" s="340">
        <f>Saldo_relativo_per_capita!R393*Saldo_relativo_per_capita!R$543/1000000</f>
        <v>14.870286275022922</v>
      </c>
      <c r="S393" s="340">
        <f>Saldo_relativo_per_capita!S393*Saldo_relativo_per_capita!S$543/1000000</f>
        <v>-2.4939829394606896</v>
      </c>
      <c r="T393" s="340">
        <f>Saldo_relativo_per_capita!T393*Saldo_relativo_per_capita!T$543/1000000</f>
        <v>-5.8584733169278671</v>
      </c>
      <c r="U393" s="340">
        <f>Saldo_relativo_per_capita!U393*Saldo_relativo_per_capita!U$543/1000000</f>
        <v>-0.92300166797999117</v>
      </c>
      <c r="V393" s="340">
        <f>Saldo_relativo_per_capita!V393*Saldo_relativo_per_capita!V$543/1000000</f>
        <v>4.7375354476709877</v>
      </c>
      <c r="W393" s="148"/>
    </row>
    <row r="394" spans="1:23" s="115" customFormat="1">
      <c r="A394" s="355" t="str">
        <f>IF(B394="","",(IF(ISERROR(MATCH(B394,Tot_res!C:C,0)),"Eliminar!!!","")))</f>
        <v/>
      </c>
      <c r="B394" s="115" t="s">
        <v>383</v>
      </c>
      <c r="C394" s="333" t="str">
        <f>VLOOKUP(B394,Tot_res!C:D,2,FALSE)</f>
        <v xml:space="preserve"> Admón. y Servicios Generales prestaciones economicas</v>
      </c>
      <c r="D394" s="340">
        <f>Saldo_relativo_per_capita!D394*Saldo_relativo_per_capita!D$543/1000000</f>
        <v>0</v>
      </c>
      <c r="E394" s="340">
        <f>Saldo_relativo_per_capita!E394*Saldo_relativo_per_capita!E$543/1000000</f>
        <v>2.5380351474213616</v>
      </c>
      <c r="F394" s="340">
        <f>Saldo_relativo_per_capita!F394*Saldo_relativo_per_capita!F$543/1000000</f>
        <v>2.4164479562727257</v>
      </c>
      <c r="G394" s="340">
        <f>Saldo_relativo_per_capita!G394*Saldo_relativo_per_capita!G$543/1000000</f>
        <v>7.985834832067936</v>
      </c>
      <c r="H394" s="340">
        <f>Saldo_relativo_per_capita!H394*Saldo_relativo_per_capita!H$543/1000000</f>
        <v>-1.8078072963755709</v>
      </c>
      <c r="I394" s="340">
        <f>Saldo_relativo_per_capita!I394*Saldo_relativo_per_capita!I$543/1000000</f>
        <v>-3.9971282595071465</v>
      </c>
      <c r="J394" s="340">
        <f>Saldo_relativo_per_capita!J394*Saldo_relativo_per_capita!J$543/1000000</f>
        <v>0.36261464332554011</v>
      </c>
      <c r="K394" s="340">
        <f>Saldo_relativo_per_capita!K394*Saldo_relativo_per_capita!K$543/1000000</f>
        <v>8.7090402173032562</v>
      </c>
      <c r="L394" s="340">
        <f>Saldo_relativo_per_capita!L394*Saldo_relativo_per_capita!L$543/1000000</f>
        <v>1.5679378714898153</v>
      </c>
      <c r="M394" s="340">
        <f>Saldo_relativo_per_capita!M394*Saldo_relativo_per_capita!M$543/1000000</f>
        <v>-11.382807355322289</v>
      </c>
      <c r="N394" s="340">
        <f>Saldo_relativo_per_capita!N394*Saldo_relativo_per_capita!N$543/1000000</f>
        <v>-4.7355111326877148</v>
      </c>
      <c r="O394" s="340">
        <f>Saldo_relativo_per_capita!O394*Saldo_relativo_per_capita!O$543/1000000</f>
        <v>0.13468025069045472</v>
      </c>
      <c r="P394" s="340">
        <f>Saldo_relativo_per_capita!P394*Saldo_relativo_per_capita!P$543/1000000</f>
        <v>6.0220977343432169</v>
      </c>
      <c r="Q394" s="340">
        <f>Saldo_relativo_per_capita!Q394*Saldo_relativo_per_capita!Q$543/1000000</f>
        <v>-9.2794535680575141</v>
      </c>
      <c r="R394" s="340">
        <f>Saldo_relativo_per_capita!R394*Saldo_relativo_per_capita!R$543/1000000</f>
        <v>-2.1155708788184113</v>
      </c>
      <c r="S394" s="340">
        <f>Saldo_relativo_per_capita!S394*Saldo_relativo_per_capita!S$543/1000000</f>
        <v>-0.36785438884256227</v>
      </c>
      <c r="T394" s="340">
        <f>Saldo_relativo_per_capita!T394*Saldo_relativo_per_capita!T$543/1000000</f>
        <v>2.4608527324305998</v>
      </c>
      <c r="U394" s="340">
        <f>Saldo_relativo_per_capita!U394*Saldo_relativo_per_capita!U$543/1000000</f>
        <v>0.60560363478108259</v>
      </c>
      <c r="V394" s="340">
        <f>Saldo_relativo_per_capita!V394*Saldo_relativo_per_capita!V$543/1000000</f>
        <v>0.88298785948529379</v>
      </c>
      <c r="W394" s="148"/>
    </row>
    <row r="395" spans="1:23">
      <c r="A395" s="356"/>
      <c r="C395" s="46"/>
      <c r="D395" s="39"/>
      <c r="E395" s="39"/>
      <c r="F395" s="39"/>
      <c r="G395" s="39"/>
      <c r="H395" s="39"/>
      <c r="I395" s="39"/>
      <c r="J395" s="39"/>
      <c r="K395" s="39"/>
      <c r="L395" s="39"/>
      <c r="M395" s="39"/>
      <c r="N395" s="39"/>
      <c r="O395" s="39"/>
      <c r="P395" s="39"/>
      <c r="Q395" s="39"/>
      <c r="R395" s="39"/>
      <c r="S395" s="39"/>
      <c r="T395" s="39"/>
      <c r="U395" s="39"/>
      <c r="V395" s="39"/>
      <c r="W395" s="35"/>
    </row>
    <row r="396" spans="1:23" s="115" customFormat="1">
      <c r="A396" s="356"/>
      <c r="C396" s="112" t="s">
        <v>4</v>
      </c>
      <c r="D396" s="219">
        <f>Saldo_relativo_per_capita!D396*Saldo_relativo_per_capita!D$543/1000000</f>
        <v>0</v>
      </c>
      <c r="E396" s="219">
        <f>Saldo_relativo_per_capita!E396*Saldo_relativo_per_capita!E$543/1000000</f>
        <v>58.554615833495767</v>
      </c>
      <c r="F396" s="219">
        <f>Saldo_relativo_per_capita!F396*Saldo_relativo_per_capita!F$543/1000000</f>
        <v>-9.5900095573328894</v>
      </c>
      <c r="G396" s="219">
        <f>Saldo_relativo_per_capita!G396*Saldo_relativo_per_capita!G$543/1000000</f>
        <v>-2.7412731484867012</v>
      </c>
      <c r="H396" s="219">
        <f>Saldo_relativo_per_capita!H396*Saldo_relativo_per_capita!H$543/1000000</f>
        <v>-10.956684709633164</v>
      </c>
      <c r="I396" s="219">
        <f>Saldo_relativo_per_capita!I396*Saldo_relativo_per_capita!I$543/1000000</f>
        <v>-33.570387456112172</v>
      </c>
      <c r="J396" s="219">
        <f>Saldo_relativo_per_capita!J396*Saldo_relativo_per_capita!J$543/1000000</f>
        <v>9.1792456693141506</v>
      </c>
      <c r="K396" s="219">
        <f>Saldo_relativo_per_capita!K396*Saldo_relativo_per_capita!K$543/1000000</f>
        <v>32.168880040138333</v>
      </c>
      <c r="L396" s="219">
        <f>Saldo_relativo_per_capita!L396*Saldo_relativo_per_capita!L$543/1000000</f>
        <v>7.8780211290943898</v>
      </c>
      <c r="M396" s="219">
        <f>Saldo_relativo_per_capita!M396*Saldo_relativo_per_capita!M$543/1000000</f>
        <v>1.2879880825668575</v>
      </c>
      <c r="N396" s="219">
        <f>Saldo_relativo_per_capita!N396*Saldo_relativo_per_capita!N$543/1000000</f>
        <v>-82.693364414902533</v>
      </c>
      <c r="O396" s="219">
        <f>Saldo_relativo_per_capita!O396*Saldo_relativo_per_capita!O$543/1000000</f>
        <v>12.526553941619813</v>
      </c>
      <c r="P396" s="219">
        <f>Saldo_relativo_per_capita!P396*Saldo_relativo_per_capita!P$543/1000000</f>
        <v>-0.59255391774236255</v>
      </c>
      <c r="Q396" s="219">
        <f>Saldo_relativo_per_capita!Q396*Saldo_relativo_per_capita!Q$543/1000000</f>
        <v>-29.489776867159776</v>
      </c>
      <c r="R396" s="219">
        <f>Saldo_relativo_per_capita!R396*Saldo_relativo_per_capita!R$543/1000000</f>
        <v>15.436533828733619</v>
      </c>
      <c r="S396" s="219">
        <f>Saldo_relativo_per_capita!S396*Saldo_relativo_per_capita!S$543/1000000</f>
        <v>-5.200559843775399</v>
      </c>
      <c r="T396" s="219">
        <f>Saldo_relativo_per_capita!T396*Saldo_relativo_per_capita!T$543/1000000</f>
        <v>19.794578013350808</v>
      </c>
      <c r="U396" s="219">
        <f>Saldo_relativo_per_capita!U396*Saldo_relativo_per_capita!U$543/1000000</f>
        <v>4.1699465941254337</v>
      </c>
      <c r="V396" s="219">
        <f>Saldo_relativo_per_capita!V396*Saldo_relativo_per_capita!V$543/1000000</f>
        <v>13.838246782705484</v>
      </c>
      <c r="W396" s="148"/>
    </row>
    <row r="397" spans="1:23" s="115" customFormat="1">
      <c r="A397" s="355" t="str">
        <f>IF(B397="","",(IF(ISERROR(MATCH(B397,Tot_res!C:C,0)),"Eliminar!!!","")))</f>
        <v/>
      </c>
      <c r="B397" s="119" t="s">
        <v>384</v>
      </c>
      <c r="C397" s="333" t="str">
        <f>VLOOKUP(B397,Tot_res!C:D,2,FALSE)</f>
        <v xml:space="preserve">Acciones en favor de los emigrantes </v>
      </c>
      <c r="D397" s="340">
        <f>Saldo_relativo_per_capita!D397*Saldo_relativo_per_capita!D$543/1000000</f>
        <v>0</v>
      </c>
      <c r="E397" s="340">
        <f>Saldo_relativo_per_capita!E397*Saldo_relativo_per_capita!E$543/1000000</f>
        <v>0</v>
      </c>
      <c r="F397" s="340">
        <f>Saldo_relativo_per_capita!F397*Saldo_relativo_per_capita!F$543/1000000</f>
        <v>0</v>
      </c>
      <c r="G397" s="340">
        <f>Saldo_relativo_per_capita!G397*Saldo_relativo_per_capita!G$543/1000000</f>
        <v>0</v>
      </c>
      <c r="H397" s="340">
        <f>Saldo_relativo_per_capita!H397*Saldo_relativo_per_capita!H$543/1000000</f>
        <v>0</v>
      </c>
      <c r="I397" s="340">
        <f>Saldo_relativo_per_capita!I397*Saldo_relativo_per_capita!I$543/1000000</f>
        <v>0</v>
      </c>
      <c r="J397" s="340">
        <f>Saldo_relativo_per_capita!J397*Saldo_relativo_per_capita!J$543/1000000</f>
        <v>0</v>
      </c>
      <c r="K397" s="340">
        <f>Saldo_relativo_per_capita!K397*Saldo_relativo_per_capita!K$543/1000000</f>
        <v>0</v>
      </c>
      <c r="L397" s="340">
        <f>Saldo_relativo_per_capita!L397*Saldo_relativo_per_capita!L$543/1000000</f>
        <v>0</v>
      </c>
      <c r="M397" s="340">
        <f>Saldo_relativo_per_capita!M397*Saldo_relativo_per_capita!M$543/1000000</f>
        <v>0</v>
      </c>
      <c r="N397" s="340">
        <f>Saldo_relativo_per_capita!N397*Saldo_relativo_per_capita!N$543/1000000</f>
        <v>0</v>
      </c>
      <c r="O397" s="340">
        <f>Saldo_relativo_per_capita!O397*Saldo_relativo_per_capita!O$543/1000000</f>
        <v>0</v>
      </c>
      <c r="P397" s="340">
        <f>Saldo_relativo_per_capita!P397*Saldo_relativo_per_capita!P$543/1000000</f>
        <v>0</v>
      </c>
      <c r="Q397" s="340">
        <f>Saldo_relativo_per_capita!Q397*Saldo_relativo_per_capita!Q$543/1000000</f>
        <v>0</v>
      </c>
      <c r="R397" s="340">
        <f>Saldo_relativo_per_capita!R397*Saldo_relativo_per_capita!R$543/1000000</f>
        <v>0</v>
      </c>
      <c r="S397" s="340">
        <f>Saldo_relativo_per_capita!S397*Saldo_relativo_per_capita!S$543/1000000</f>
        <v>0</v>
      </c>
      <c r="T397" s="340">
        <f>Saldo_relativo_per_capita!T397*Saldo_relativo_per_capita!T$543/1000000</f>
        <v>0</v>
      </c>
      <c r="U397" s="340">
        <f>Saldo_relativo_per_capita!U397*Saldo_relativo_per_capita!U$543/1000000</f>
        <v>0</v>
      </c>
      <c r="V397" s="340">
        <f>Saldo_relativo_per_capita!V397*Saldo_relativo_per_capita!V$543/1000000</f>
        <v>0</v>
      </c>
      <c r="W397" s="148"/>
    </row>
    <row r="398" spans="1:23" s="115" customFormat="1">
      <c r="A398" s="355" t="str">
        <f>IF(B398="","",(IF(ISERROR(MATCH(B398,Tot_res!C:C,0)),"Eliminar!!!","")))</f>
        <v/>
      </c>
      <c r="B398" s="119" t="s">
        <v>385</v>
      </c>
      <c r="C398" s="333" t="str">
        <f>VLOOKUP(B398,Tot_res!C:D,2,FALSE)</f>
        <v>Otros servicios sociales del estado + AF19/1</v>
      </c>
      <c r="D398" s="340">
        <f>Saldo_relativo_per_capita!D398*Saldo_relativo_per_capita!D$543/1000000</f>
        <v>0</v>
      </c>
      <c r="E398" s="340">
        <f>Saldo_relativo_per_capita!E398*Saldo_relativo_per_capita!E$543/1000000</f>
        <v>-0.73162076792351038</v>
      </c>
      <c r="F398" s="340">
        <f>Saldo_relativo_per_capita!F398*Saldo_relativo_per_capita!F$543/1000000</f>
        <v>-1.6705063996024262E-2</v>
      </c>
      <c r="G398" s="340">
        <f>Saldo_relativo_per_capita!G398*Saldo_relativo_per_capita!G$543/1000000</f>
        <v>0.13123038878092358</v>
      </c>
      <c r="H398" s="340">
        <f>Saldo_relativo_per_capita!H398*Saldo_relativo_per_capita!H$543/1000000</f>
        <v>-0.34915747605237513</v>
      </c>
      <c r="I398" s="340">
        <f>Saldo_relativo_per_capita!I398*Saldo_relativo_per_capita!I$543/1000000</f>
        <v>-0.43830940457110662</v>
      </c>
      <c r="J398" s="340">
        <f>Saldo_relativo_per_capita!J398*Saldo_relativo_per_capita!J$543/1000000</f>
        <v>1.689240712377622E-3</v>
      </c>
      <c r="K398" s="340">
        <f>Saldo_relativo_per_capita!K398*Saldo_relativo_per_capita!K$543/1000000</f>
        <v>0.40279318408765491</v>
      </c>
      <c r="L398" s="340">
        <f>Saldo_relativo_per_capita!L398*Saldo_relativo_per_capita!L$543/1000000</f>
        <v>-8.6313526693130263E-2</v>
      </c>
      <c r="M398" s="340">
        <f>Saldo_relativo_per_capita!M398*Saldo_relativo_per_capita!M$543/1000000</f>
        <v>-2.0248385933598985</v>
      </c>
      <c r="N398" s="340">
        <f>Saldo_relativo_per_capita!N398*Saldo_relativo_per_capita!N$543/1000000</f>
        <v>-1.1891892614353581</v>
      </c>
      <c r="O398" s="340">
        <f>Saldo_relativo_per_capita!O398*Saldo_relativo_per_capita!O$543/1000000</f>
        <v>0.19378274890075256</v>
      </c>
      <c r="P398" s="340">
        <f>Saldo_relativo_per_capita!P398*Saldo_relativo_per_capita!P$543/1000000</f>
        <v>0.40685074564714158</v>
      </c>
      <c r="Q398" s="340">
        <f>Saldo_relativo_per_capita!Q398*Saldo_relativo_per_capita!Q$543/1000000</f>
        <v>-1.9710291084396618</v>
      </c>
      <c r="R398" s="340">
        <f>Saldo_relativo_per_capita!R398*Saldo_relativo_per_capita!R$543/1000000</f>
        <v>-0.30004788669891674</v>
      </c>
      <c r="S398" s="340">
        <f>Saldo_relativo_per_capita!S398*Saldo_relativo_per_capita!S$543/1000000</f>
        <v>0</v>
      </c>
      <c r="T398" s="340">
        <f>Saldo_relativo_per_capita!T398*Saldo_relativo_per_capita!T$543/1000000</f>
        <v>0</v>
      </c>
      <c r="U398" s="340">
        <f>Saldo_relativo_per_capita!U398*Saldo_relativo_per_capita!U$543/1000000</f>
        <v>0.23889588684031282</v>
      </c>
      <c r="V398" s="340">
        <f>Saldo_relativo_per_capita!V398*Saldo_relativo_per_capita!V$543/1000000</f>
        <v>5.731968894200782</v>
      </c>
      <c r="W398" s="148"/>
    </row>
    <row r="399" spans="1:23" s="115" customFormat="1">
      <c r="A399" s="355" t="str">
        <f>IF(B399="","",(IF(ISERROR(MATCH(B399,Tot_res!C:C,0)),"Eliminar!!!","")))</f>
        <v/>
      </c>
      <c r="B399" s="119" t="s">
        <v>386</v>
      </c>
      <c r="C399" s="333" t="str">
        <f>VLOOKUP(B399,Tot_res!C:D,2,FALSE)</f>
        <v>Atención a la infancia y a las familias</v>
      </c>
      <c r="D399" s="340">
        <f>Saldo_relativo_per_capita!D399*Saldo_relativo_per_capita!D$543/1000000</f>
        <v>0</v>
      </c>
      <c r="E399" s="340">
        <f>Saldo_relativo_per_capita!E399*Saldo_relativo_per_capita!E$543/1000000</f>
        <v>0</v>
      </c>
      <c r="F399" s="340">
        <f>Saldo_relativo_per_capita!F399*Saldo_relativo_per_capita!F$543/1000000</f>
        <v>0</v>
      </c>
      <c r="G399" s="340">
        <f>Saldo_relativo_per_capita!G399*Saldo_relativo_per_capita!G$543/1000000</f>
        <v>0</v>
      </c>
      <c r="H399" s="340">
        <f>Saldo_relativo_per_capita!H399*Saldo_relativo_per_capita!H$543/1000000</f>
        <v>0</v>
      </c>
      <c r="I399" s="340">
        <f>Saldo_relativo_per_capita!I399*Saldo_relativo_per_capita!I$543/1000000</f>
        <v>0</v>
      </c>
      <c r="J399" s="340">
        <f>Saldo_relativo_per_capita!J399*Saldo_relativo_per_capita!J$543/1000000</f>
        <v>0</v>
      </c>
      <c r="K399" s="340">
        <f>Saldo_relativo_per_capita!K399*Saldo_relativo_per_capita!K$543/1000000</f>
        <v>0</v>
      </c>
      <c r="L399" s="340">
        <f>Saldo_relativo_per_capita!L399*Saldo_relativo_per_capita!L$543/1000000</f>
        <v>0</v>
      </c>
      <c r="M399" s="340">
        <f>Saldo_relativo_per_capita!M399*Saldo_relativo_per_capita!M$543/1000000</f>
        <v>0</v>
      </c>
      <c r="N399" s="340">
        <f>Saldo_relativo_per_capita!N399*Saldo_relativo_per_capita!N$543/1000000</f>
        <v>0</v>
      </c>
      <c r="O399" s="340">
        <f>Saldo_relativo_per_capita!O399*Saldo_relativo_per_capita!O$543/1000000</f>
        <v>0</v>
      </c>
      <c r="P399" s="340">
        <f>Saldo_relativo_per_capita!P399*Saldo_relativo_per_capita!P$543/1000000</f>
        <v>0</v>
      </c>
      <c r="Q399" s="340">
        <f>Saldo_relativo_per_capita!Q399*Saldo_relativo_per_capita!Q$543/1000000</f>
        <v>0</v>
      </c>
      <c r="R399" s="340">
        <f>Saldo_relativo_per_capita!R399*Saldo_relativo_per_capita!R$543/1000000</f>
        <v>0</v>
      </c>
      <c r="S399" s="340">
        <f>Saldo_relativo_per_capita!S399*Saldo_relativo_per_capita!S$543/1000000</f>
        <v>0</v>
      </c>
      <c r="T399" s="340">
        <f>Saldo_relativo_per_capita!T399*Saldo_relativo_per_capita!T$543/1000000</f>
        <v>0</v>
      </c>
      <c r="U399" s="340">
        <f>Saldo_relativo_per_capita!U399*Saldo_relativo_per_capita!U$543/1000000</f>
        <v>0</v>
      </c>
      <c r="V399" s="340">
        <f>Saldo_relativo_per_capita!V399*Saldo_relativo_per_capita!V$543/1000000</f>
        <v>0</v>
      </c>
      <c r="W399" s="148"/>
    </row>
    <row r="400" spans="1:23" s="115" customFormat="1">
      <c r="A400" s="355" t="str">
        <f>IF(B400="","",(IF(ISERROR(MATCH(B400,Tot_res!C:C,0)),"Eliminar!!!","")))</f>
        <v/>
      </c>
      <c r="B400" s="119" t="s">
        <v>387</v>
      </c>
      <c r="C400" s="333" t="str">
        <f>VLOOKUP(B400,Tot_res!C:D,2,FALSE)</f>
        <v>Acciones en favor de los inmigrantes</v>
      </c>
      <c r="D400" s="340">
        <f>Saldo_relativo_per_capita!D400*Saldo_relativo_per_capita!D$543/1000000</f>
        <v>0</v>
      </c>
      <c r="E400" s="340">
        <f>Saldo_relativo_per_capita!E400*Saldo_relativo_per_capita!E$543/1000000</f>
        <v>8.0961905964191008</v>
      </c>
      <c r="F400" s="340">
        <f>Saldo_relativo_per_capita!F400*Saldo_relativo_per_capita!F$543/1000000</f>
        <v>-0.64139129159669761</v>
      </c>
      <c r="G400" s="340">
        <f>Saldo_relativo_per_capita!G400*Saldo_relativo_per_capita!G$543/1000000</f>
        <v>-0.53855108149589759</v>
      </c>
      <c r="H400" s="340">
        <f>Saldo_relativo_per_capita!H400*Saldo_relativo_per_capita!H$543/1000000</f>
        <v>-0.96370335646836203</v>
      </c>
      <c r="I400" s="340">
        <f>Saldo_relativo_per_capita!I400*Saldo_relativo_per_capita!I$543/1000000</f>
        <v>2.2634166837539045</v>
      </c>
      <c r="J400" s="340">
        <f>Saldo_relativo_per_capita!J400*Saldo_relativo_per_capita!J$543/1000000</f>
        <v>-0.63231999995291688</v>
      </c>
      <c r="K400" s="340">
        <f>Saldo_relativo_per_capita!K400*Saldo_relativo_per_capita!K$543/1000000</f>
        <v>-1.5532455959505191</v>
      </c>
      <c r="L400" s="340">
        <f>Saldo_relativo_per_capita!L400*Saldo_relativo_per_capita!L$543/1000000</f>
        <v>-0.9126499105264706</v>
      </c>
      <c r="M400" s="340">
        <f>Saldo_relativo_per_capita!M400*Saldo_relativo_per_capita!M$543/1000000</f>
        <v>-2.9909435529908159</v>
      </c>
      <c r="N400" s="340">
        <f>Saldo_relativo_per_capita!N400*Saldo_relativo_per_capita!N$543/1000000</f>
        <v>-2.8680054034827749</v>
      </c>
      <c r="O400" s="340">
        <f>Saldo_relativo_per_capita!O400*Saldo_relativo_per_capita!O$543/1000000</f>
        <v>-1.230427199127526</v>
      </c>
      <c r="P400" s="340">
        <f>Saldo_relativo_per_capita!P400*Saldo_relativo_per_capita!P$543/1000000</f>
        <v>-2.6676948169219794</v>
      </c>
      <c r="Q400" s="340">
        <f>Saldo_relativo_per_capita!Q400*Saldo_relativo_per_capita!Q$543/1000000</f>
        <v>-0.61293981490037908</v>
      </c>
      <c r="R400" s="340">
        <f>Saldo_relativo_per_capita!R400*Saldo_relativo_per_capita!R$543/1000000</f>
        <v>1.3511074629920847</v>
      </c>
      <c r="S400" s="340">
        <f>Saldo_relativo_per_capita!S400*Saldo_relativo_per_capita!S$543/1000000</f>
        <v>-0.40808355276719871</v>
      </c>
      <c r="T400" s="340">
        <f>Saldo_relativo_per_capita!T400*Saldo_relativo_per_capita!T$543/1000000</f>
        <v>-1.8452139180806217</v>
      </c>
      <c r="U400" s="340">
        <f>Saldo_relativo_per_capita!U400*Saldo_relativo_per_capita!U$543/1000000</f>
        <v>-0.30920396225360641</v>
      </c>
      <c r="V400" s="340">
        <f>Saldo_relativo_per_capita!V400*Saldo_relativo_per_capita!V$543/1000000</f>
        <v>6.4636587133506636</v>
      </c>
      <c r="W400" s="148"/>
    </row>
    <row r="401" spans="1:23" s="115" customFormat="1">
      <c r="A401" s="355" t="str">
        <f>IF(B401="","",(IF(ISERROR(MATCH(B401,Tot_res!C:C,0)),"Eliminar!!!","")))</f>
        <v/>
      </c>
      <c r="B401" s="119" t="s">
        <v>388</v>
      </c>
      <c r="C401" s="333" t="str">
        <f>VLOOKUP(B401,Tot_res!C:D,2,FALSE)</f>
        <v>Promoción y servicios a la juventud</v>
      </c>
      <c r="D401" s="340">
        <f>Saldo_relativo_per_capita!D401*Saldo_relativo_per_capita!D$543/1000000</f>
        <v>0</v>
      </c>
      <c r="E401" s="340">
        <f>Saldo_relativo_per_capita!E401*Saldo_relativo_per_capita!E$543/1000000</f>
        <v>-0.71305187186893515</v>
      </c>
      <c r="F401" s="340">
        <f>Saldo_relativo_per_capita!F401*Saldo_relativo_per_capita!F$543/1000000</f>
        <v>6.0041495075580847E-2</v>
      </c>
      <c r="G401" s="340">
        <f>Saldo_relativo_per_capita!G401*Saldo_relativo_per_capita!G$543/1000000</f>
        <v>3.921009375976775E-2</v>
      </c>
      <c r="H401" s="340">
        <f>Saldo_relativo_per_capita!H401*Saldo_relativo_per_capita!H$543/1000000</f>
        <v>-0.18531713081001883</v>
      </c>
      <c r="I401" s="340">
        <f>Saldo_relativo_per_capita!I401*Saldo_relativo_per_capita!I$543/1000000</f>
        <v>8.6730992620160485E-2</v>
      </c>
      <c r="J401" s="340">
        <f>Saldo_relativo_per_capita!J401*Saldo_relativo_per_capita!J$543/1000000</f>
        <v>5.0120795574703635E-2</v>
      </c>
      <c r="K401" s="340">
        <f>Saldo_relativo_per_capita!K401*Saldo_relativo_per_capita!K$543/1000000</f>
        <v>0.28057887308767232</v>
      </c>
      <c r="L401" s="340">
        <f>Saldo_relativo_per_capita!L401*Saldo_relativo_per_capita!L$543/1000000</f>
        <v>-0.12819213850999853</v>
      </c>
      <c r="M401" s="340">
        <f>Saldo_relativo_per_capita!M401*Saldo_relativo_per_capita!M$543/1000000</f>
        <v>0.14255970204959081</v>
      </c>
      <c r="N401" s="340">
        <f>Saldo_relativo_per_capita!N401*Saldo_relativo_per_capita!N$543/1000000</f>
        <v>-0.12002929203604963</v>
      </c>
      <c r="O401" s="340">
        <f>Saldo_relativo_per_capita!O401*Saldo_relativo_per_capita!O$543/1000000</f>
        <v>7.7843628121558525E-2</v>
      </c>
      <c r="P401" s="340">
        <f>Saldo_relativo_per_capita!P401*Saldo_relativo_per_capita!P$543/1000000</f>
        <v>0.33135073091917872</v>
      </c>
      <c r="Q401" s="340">
        <f>Saldo_relativo_per_capita!Q401*Saldo_relativo_per_capita!Q$543/1000000</f>
        <v>-2.4624148846160016E-2</v>
      </c>
      <c r="R401" s="340">
        <f>Saldo_relativo_per_capita!R401*Saldo_relativo_per_capita!R$543/1000000</f>
        <v>0.31283601339539785</v>
      </c>
      <c r="S401" s="340">
        <f>Saldo_relativo_per_capita!S401*Saldo_relativo_per_capita!S$543/1000000</f>
        <v>1.6234590796720325E-2</v>
      </c>
      <c r="T401" s="340">
        <f>Saldo_relativo_per_capita!T401*Saldo_relativo_per_capita!T$543/1000000</f>
        <v>-0.38469537796764641</v>
      </c>
      <c r="U401" s="340">
        <f>Saldo_relativo_per_capita!U401*Saldo_relativo_per_capita!U$543/1000000</f>
        <v>6.4665613943245617E-2</v>
      </c>
      <c r="V401" s="340">
        <f>Saldo_relativo_per_capita!V401*Saldo_relativo_per_capita!V$543/1000000</f>
        <v>9.3737430695231744E-2</v>
      </c>
      <c r="W401" s="148"/>
    </row>
    <row r="402" spans="1:23" s="115" customFormat="1">
      <c r="A402" s="355" t="str">
        <f>IF(B402="","",(IF(ISERROR(MATCH(B402,Tot_res!C:C,0)),"Eliminar!!!","")))</f>
        <v/>
      </c>
      <c r="B402" s="115" t="s">
        <v>389</v>
      </c>
      <c r="C402" s="333" t="str">
        <f>VLOOKUP(B402,Tot_res!C:D,2,FALSE)</f>
        <v>Igualdad oportunidades entre mujeres y hombres</v>
      </c>
      <c r="D402" s="340">
        <f>Saldo_relativo_per_capita!D402*Saldo_relativo_per_capita!D$543/1000000</f>
        <v>0</v>
      </c>
      <c r="E402" s="340">
        <f>Saldo_relativo_per_capita!E402*Saldo_relativo_per_capita!E$543/1000000</f>
        <v>-0.43961958670215751</v>
      </c>
      <c r="F402" s="340">
        <f>Saldo_relativo_per_capita!F402*Saldo_relativo_per_capita!F$543/1000000</f>
        <v>7.0184409975798986E-2</v>
      </c>
      <c r="G402" s="340">
        <f>Saldo_relativo_per_capita!G402*Saldo_relativo_per_capita!G$543/1000000</f>
        <v>-5.3047849890767981E-2</v>
      </c>
      <c r="H402" s="340">
        <f>Saldo_relativo_per_capita!H402*Saldo_relativo_per_capita!H$543/1000000</f>
        <v>-0.10896411210436976</v>
      </c>
      <c r="I402" s="340">
        <f>Saldo_relativo_per_capita!I402*Saldo_relativo_per_capita!I$543/1000000</f>
        <v>-0.24088307531892514</v>
      </c>
      <c r="J402" s="340">
        <f>Saldo_relativo_per_capita!J402*Saldo_relativo_per_capita!J$543/1000000</f>
        <v>0.29178505238153163</v>
      </c>
      <c r="K402" s="340">
        <f>Saldo_relativo_per_capita!K402*Saldo_relativo_per_capita!K$543/1000000</f>
        <v>0.33949716882223979</v>
      </c>
      <c r="L402" s="340">
        <f>Saldo_relativo_per_capita!L402*Saldo_relativo_per_capita!L$543/1000000</f>
        <v>0.24867336672987619</v>
      </c>
      <c r="M402" s="340">
        <f>Saldo_relativo_per_capita!M402*Saldo_relativo_per_capita!M$543/1000000</f>
        <v>-0.19243665079125494</v>
      </c>
      <c r="N402" s="340">
        <f>Saldo_relativo_per_capita!N402*Saldo_relativo_per_capita!N$543/1000000</f>
        <v>-0.56402610004118825</v>
      </c>
      <c r="O402" s="340">
        <f>Saldo_relativo_per_capita!O402*Saldo_relativo_per_capita!O$543/1000000</f>
        <v>-0.18410861670409465</v>
      </c>
      <c r="P402" s="340">
        <f>Saldo_relativo_per_capita!P402*Saldo_relativo_per_capita!P$543/1000000</f>
        <v>6.7302360923738772E-2</v>
      </c>
      <c r="Q402" s="340">
        <f>Saldo_relativo_per_capita!Q402*Saldo_relativo_per_capita!Q$543/1000000</f>
        <v>0.16402152773451567</v>
      </c>
      <c r="R402" s="340">
        <f>Saldo_relativo_per_capita!R402*Saldo_relativo_per_capita!R$543/1000000</f>
        <v>0.40918363835109267</v>
      </c>
      <c r="S402" s="340">
        <f>Saldo_relativo_per_capita!S402*Saldo_relativo_per_capita!S$543/1000000</f>
        <v>2.5752557345557373E-2</v>
      </c>
      <c r="T402" s="340">
        <f>Saldo_relativo_per_capita!T402*Saldo_relativo_per_capita!T$543/1000000</f>
        <v>-0.26938415139182481</v>
      </c>
      <c r="U402" s="340">
        <f>Saldo_relativo_per_capita!U402*Saldo_relativo_per_capita!U$543/1000000</f>
        <v>0.14649375644772641</v>
      </c>
      <c r="V402" s="340">
        <f>Saldo_relativo_per_capita!V402*Saldo_relativo_per_capita!V$543/1000000</f>
        <v>0.28957630423250463</v>
      </c>
      <c r="W402" s="148"/>
    </row>
    <row r="403" spans="1:23" s="115" customFormat="1">
      <c r="A403" s="355" t="str">
        <f>IF(B403="","",(IF(ISERROR(MATCH(B403,Tot_res!C:C,0)),"Eliminar!!!","")))</f>
        <v/>
      </c>
      <c r="B403" s="115" t="s">
        <v>390</v>
      </c>
      <c r="C403" s="333" t="str">
        <f>VLOOKUP(B403,Tot_res!C:D,2,FALSE)</f>
        <v>Actuaciones para la prevención integral de la violencia de género + AF19/2</v>
      </c>
      <c r="D403" s="340">
        <f>Saldo_relativo_per_capita!D403*Saldo_relativo_per_capita!D$543/1000000</f>
        <v>0</v>
      </c>
      <c r="E403" s="340">
        <f>Saldo_relativo_per_capita!E403*Saldo_relativo_per_capita!E$543/1000000</f>
        <v>-0.48422340928080915</v>
      </c>
      <c r="F403" s="340">
        <f>Saldo_relativo_per_capita!F403*Saldo_relativo_per_capita!F$543/1000000</f>
        <v>0.22961855250028318</v>
      </c>
      <c r="G403" s="340">
        <f>Saldo_relativo_per_capita!G403*Saldo_relativo_per_capita!G$543/1000000</f>
        <v>1.8064165697592612E-2</v>
      </c>
      <c r="H403" s="340">
        <f>Saldo_relativo_per_capita!H403*Saldo_relativo_per_capita!H$543/1000000</f>
        <v>0.41654816892551105</v>
      </c>
      <c r="I403" s="340">
        <f>Saldo_relativo_per_capita!I403*Saldo_relativo_per_capita!I$543/1000000</f>
        <v>0.70363941975405853</v>
      </c>
      <c r="J403" s="340">
        <f>Saldo_relativo_per_capita!J403*Saldo_relativo_per_capita!J$543/1000000</f>
        <v>0.19199791908846531</v>
      </c>
      <c r="K403" s="340">
        <f>Saldo_relativo_per_capita!K403*Saldo_relativo_per_capita!K$543/1000000</f>
        <v>-0.16972093036857769</v>
      </c>
      <c r="L403" s="340">
        <f>Saldo_relativo_per_capita!L403*Saldo_relativo_per_capita!L$543/1000000</f>
        <v>-0.17049846480264344</v>
      </c>
      <c r="M403" s="340">
        <f>Saldo_relativo_per_capita!M403*Saldo_relativo_per_capita!M$543/1000000</f>
        <v>-1.006949843029316</v>
      </c>
      <c r="N403" s="340">
        <f>Saldo_relativo_per_capita!N403*Saldo_relativo_per_capita!N$543/1000000</f>
        <v>-0.43327629453944566</v>
      </c>
      <c r="O403" s="340">
        <f>Saldo_relativo_per_capita!O403*Saldo_relativo_per_capita!O$543/1000000</f>
        <v>0.77912462677258798</v>
      </c>
      <c r="P403" s="340">
        <f>Saldo_relativo_per_capita!P403*Saldo_relativo_per_capita!P$543/1000000</f>
        <v>0.34644076344853764</v>
      </c>
      <c r="Q403" s="340">
        <f>Saldo_relativo_per_capita!Q403*Saldo_relativo_per_capita!Q$543/1000000</f>
        <v>-0.85583043728512009</v>
      </c>
      <c r="R403" s="340">
        <f>Saldo_relativo_per_capita!R403*Saldo_relativo_per_capita!R$543/1000000</f>
        <v>4.9102356018530233E-2</v>
      </c>
      <c r="S403" s="340">
        <f>Saldo_relativo_per_capita!S403*Saldo_relativo_per_capita!S$543/1000000</f>
        <v>0</v>
      </c>
      <c r="T403" s="340">
        <f>Saldo_relativo_per_capita!T403*Saldo_relativo_per_capita!T$543/1000000</f>
        <v>0</v>
      </c>
      <c r="U403" s="340">
        <f>Saldo_relativo_per_capita!U403*Saldo_relativo_per_capita!U$543/1000000</f>
        <v>0.21539079979466264</v>
      </c>
      <c r="V403" s="340">
        <f>Saldo_relativo_per_capita!V403*Saldo_relativo_per_capita!V$543/1000000</f>
        <v>0.1705726073056831</v>
      </c>
      <c r="W403" s="148"/>
    </row>
    <row r="404" spans="1:23" s="115" customFormat="1">
      <c r="A404" s="355" t="str">
        <f>IF(B404="","",(IF(ISERROR(MATCH(B404,Tot_res!C:C,0)),"Eliminar!!!","")))</f>
        <v/>
      </c>
      <c r="B404" s="115" t="s">
        <v>885</v>
      </c>
      <c r="C404" s="333" t="str">
        <f>VLOOKUP(B404,Tot_res!C:D,2,FALSE)</f>
        <v>Servicios Sociales Generales, neto de gasto directo del Estado en Ceuta y Melilla + AF19/3</v>
      </c>
      <c r="D404" s="340">
        <f>Saldo_relativo_per_capita!D404*Saldo_relativo_per_capita!D$543/1000000</f>
        <v>0</v>
      </c>
      <c r="E404" s="340">
        <f>Saldo_relativo_per_capita!E404*Saldo_relativo_per_capita!E$543/1000000</f>
        <v>52.209799190355589</v>
      </c>
      <c r="F404" s="340">
        <f>Saldo_relativo_per_capita!F404*Saldo_relativo_per_capita!F$543/1000000</f>
        <v>-9.4377373821917736</v>
      </c>
      <c r="G404" s="340">
        <f>Saldo_relativo_per_capita!G404*Saldo_relativo_per_capita!G$543/1000000</f>
        <v>-3.4332785673761186</v>
      </c>
      <c r="H404" s="340">
        <f>Saldo_relativo_per_capita!H404*Saldo_relativo_per_capita!H$543/1000000</f>
        <v>-10.055319434853459</v>
      </c>
      <c r="I404" s="340">
        <f>Saldo_relativo_per_capita!I404*Saldo_relativo_per_capita!I$543/1000000</f>
        <v>-35.76120951765715</v>
      </c>
      <c r="J404" s="340">
        <f>Saldo_relativo_per_capita!J404*Saldo_relativo_per_capita!J$543/1000000</f>
        <v>8.7597457633310842</v>
      </c>
      <c r="K404" s="340">
        <f>Saldo_relativo_per_capita!K404*Saldo_relativo_per_capita!K$543/1000000</f>
        <v>32.959155809801508</v>
      </c>
      <c r="L404" s="340">
        <f>Saldo_relativo_per_capita!L404*Saldo_relativo_per_capita!L$543/1000000</f>
        <v>9.5870016516313274</v>
      </c>
      <c r="M404" s="340">
        <f>Saldo_relativo_per_capita!M404*Saldo_relativo_per_capita!M$543/1000000</f>
        <v>8.0226967666467086</v>
      </c>
      <c r="N404" s="340">
        <f>Saldo_relativo_per_capita!N404*Saldo_relativo_per_capita!N$543/1000000</f>
        <v>-75.737379613348537</v>
      </c>
      <c r="O404" s="340">
        <f>Saldo_relativo_per_capita!O404*Saldo_relativo_per_capita!O$543/1000000</f>
        <v>12.96781354382783</v>
      </c>
      <c r="P404" s="340">
        <f>Saldo_relativo_per_capita!P404*Saldo_relativo_per_capita!P$543/1000000</f>
        <v>1.0177111505086418</v>
      </c>
      <c r="Q404" s="340">
        <f>Saldo_relativo_per_capita!Q404*Saldo_relativo_per_capita!Q$543/1000000</f>
        <v>-25.334732082344345</v>
      </c>
      <c r="R404" s="340">
        <f>Saldo_relativo_per_capita!R404*Saldo_relativo_per_capita!R$543/1000000</f>
        <v>13.175474978854178</v>
      </c>
      <c r="S404" s="340">
        <f>Saldo_relativo_per_capita!S404*Saldo_relativo_per_capita!S$543/1000000</f>
        <v>-4.8434385193026159</v>
      </c>
      <c r="T404" s="340">
        <f>Saldo_relativo_per_capita!T404*Saldo_relativo_per_capita!T$543/1000000</f>
        <v>21.460882450944972</v>
      </c>
      <c r="U404" s="340">
        <f>Saldo_relativo_per_capita!U404*Saldo_relativo_per_capita!U$543/1000000</f>
        <v>3.8769693391998117</v>
      </c>
      <c r="V404" s="340">
        <f>Saldo_relativo_per_capita!V404*Saldo_relativo_per_capita!V$543/1000000</f>
        <v>0.56584447197253118</v>
      </c>
      <c r="W404" s="148"/>
    </row>
    <row r="405" spans="1:23" s="115" customFormat="1">
      <c r="A405" s="355" t="str">
        <f>IF(B405="","",(IF(ISERROR(MATCH(B405,Tot_res!C:C,0)),"Eliminar!!!","")))</f>
        <v/>
      </c>
      <c r="B405" s="115" t="s">
        <v>887</v>
      </c>
      <c r="C405" s="333" t="str">
        <f>VLOOKUP(B405,Tot_res!C:D,2,FALSE)</f>
        <v>Otros Servicios Sociales, ISM</v>
      </c>
      <c r="D405" s="340">
        <f>Saldo_relativo_per_capita!D405*Saldo_relativo_per_capita!D$543/1000000</f>
        <v>0</v>
      </c>
      <c r="E405" s="340">
        <f>Saldo_relativo_per_capita!E405*Saldo_relativo_per_capita!E$543/1000000</f>
        <v>-0.11082436371535161</v>
      </c>
      <c r="F405" s="340">
        <f>Saldo_relativo_per_capita!F405*Saldo_relativo_per_capita!F$543/1000000</f>
        <v>-1.8057057457799442E-2</v>
      </c>
      <c r="G405" s="340">
        <f>Saldo_relativo_per_capita!G405*Saldo_relativo_per_capita!G$543/1000000</f>
        <v>-1.0199778657978258E-2</v>
      </c>
      <c r="H405" s="340">
        <f>Saldo_relativo_per_capita!H405*Saldo_relativo_per_capita!H$543/1000000</f>
        <v>-1.496649319379947E-2</v>
      </c>
      <c r="I405" s="340">
        <f>Saldo_relativo_per_capita!I405*Saldo_relativo_per_capita!I$543/1000000</f>
        <v>-2.8536155309723241E-2</v>
      </c>
      <c r="J405" s="340">
        <f>Saldo_relativo_per_capita!J405*Saldo_relativo_per_capita!J$543/1000000</f>
        <v>-7.9763785467581848E-3</v>
      </c>
      <c r="K405" s="340">
        <f>Saldo_relativo_per_capita!K405*Saldo_relativo_per_capita!K$543/1000000</f>
        <v>-3.3881724294206002E-2</v>
      </c>
      <c r="L405" s="340">
        <f>Saldo_relativo_per_capita!L405*Saldo_relativo_per_capita!L$543/1000000</f>
        <v>-2.8239645080096489E-2</v>
      </c>
      <c r="M405" s="340">
        <f>Saldo_relativo_per_capita!M405*Saldo_relativo_per_capita!M$543/1000000</f>
        <v>-0.10183812580816616</v>
      </c>
      <c r="N405" s="340">
        <f>Saldo_relativo_per_capita!N405*Saldo_relativo_per_capita!N$543/1000000</f>
        <v>-6.3566948233447024E-2</v>
      </c>
      <c r="O405" s="340">
        <f>Saldo_relativo_per_capita!O405*Saldo_relativo_per_capita!O$543/1000000</f>
        <v>-1.488892825279195E-2</v>
      </c>
      <c r="P405" s="340">
        <f>Saldo_relativo_per_capita!P405*Saldo_relativo_per_capita!P$543/1000000</f>
        <v>-1.563224667184392E-2</v>
      </c>
      <c r="Q405" s="340">
        <f>Saldo_relativo_per_capita!Q405*Saldo_relativo_per_capita!Q$543/1000000</f>
        <v>-1.3478061257896268E-2</v>
      </c>
      <c r="R405" s="340">
        <f>Saldo_relativo_per_capita!R405*Saldo_relativo_per_capita!R$543/1000000</f>
        <v>-1.9856537063062101E-2</v>
      </c>
      <c r="S405" s="340">
        <f>Saldo_relativo_per_capita!S405*Saldo_relativo_per_capita!S$543/1000000</f>
        <v>-8.6839424245570285E-3</v>
      </c>
      <c r="T405" s="340">
        <f>Saldo_relativo_per_capita!T405*Saldo_relativo_per_capita!T$543/1000000</f>
        <v>-1.6084306682445128E-2</v>
      </c>
      <c r="U405" s="340">
        <f>Saldo_relativo_per_capita!U405*Saldo_relativo_per_capita!U$543/1000000</f>
        <v>-4.3311303631629588E-3</v>
      </c>
      <c r="V405" s="340">
        <f>Saldo_relativo_per_capita!V405*Saldo_relativo_per_capita!V$543/1000000</f>
        <v>0.51104182301308521</v>
      </c>
      <c r="W405" s="148"/>
    </row>
    <row r="406" spans="1:23" s="115" customFormat="1">
      <c r="A406" s="355" t="str">
        <f>IF(B406="","",(IF(ISERROR(MATCH(B406,Tot_res!C:C,0)),"Eliminar!!!","")))</f>
        <v/>
      </c>
      <c r="B406" s="115" t="s">
        <v>888</v>
      </c>
      <c r="C406" s="333" t="str">
        <f>VLOOKUP(B406,Tot_res!C:D,2,FALSE)</f>
        <v>Otros Servicios Sociales, Mutuas</v>
      </c>
      <c r="D406" s="340">
        <f>Saldo_relativo_per_capita!D406*Saldo_relativo_per_capita!D$543/1000000</f>
        <v>0</v>
      </c>
      <c r="E406" s="340">
        <f>Saldo_relativo_per_capita!E406*Saldo_relativo_per_capita!E$543/1000000</f>
        <v>-1.0390207673439367</v>
      </c>
      <c r="F406" s="340">
        <f>Saldo_relativo_per_capita!F406*Saldo_relativo_per_capita!F$543/1000000</f>
        <v>0.56958110665533013</v>
      </c>
      <c r="G406" s="340">
        <f>Saldo_relativo_per_capita!G406*Saldo_relativo_per_capita!G$543/1000000</f>
        <v>0.15831105668019307</v>
      </c>
      <c r="H406" s="340">
        <f>Saldo_relativo_per_capita!H406*Saldo_relativo_per_capita!H$543/1000000</f>
        <v>1.13582753318908E-3</v>
      </c>
      <c r="I406" s="340">
        <f>Saldo_relativo_per_capita!I406*Saldo_relativo_per_capita!I$543/1000000</f>
        <v>-0.22524145295554038</v>
      </c>
      <c r="J406" s="340">
        <f>Saldo_relativo_per_capita!J406*Saldo_relativo_per_capita!J$543/1000000</f>
        <v>-0.12708871719985798</v>
      </c>
      <c r="K406" s="340">
        <f>Saldo_relativo_per_capita!K406*Saldo_relativo_per_capita!K$543/1000000</f>
        <v>6.5949739236119229E-2</v>
      </c>
      <c r="L406" s="340">
        <f>Saldo_relativo_per_capita!L406*Saldo_relativo_per_capita!L$543/1000000</f>
        <v>-0.42395099958556304</v>
      </c>
      <c r="M406" s="340">
        <f>Saldo_relativo_per_capita!M406*Saldo_relativo_per_capita!M$543/1000000</f>
        <v>0.76008293668423876</v>
      </c>
      <c r="N406" s="340">
        <f>Saldo_relativo_per_capita!N406*Saldo_relativo_per_capita!N$543/1000000</f>
        <v>-0.35308402411054374</v>
      </c>
      <c r="O406" s="340">
        <f>Saldo_relativo_per_capita!O406*Saldo_relativo_per_capita!O$543/1000000</f>
        <v>-0.12060945622622303</v>
      </c>
      <c r="P406" s="340">
        <f>Saldo_relativo_per_capita!P406*Saldo_relativo_per_capita!P$543/1000000</f>
        <v>-0.2016995350012516</v>
      </c>
      <c r="Q406" s="340">
        <f>Saldo_relativo_per_capita!Q406*Saldo_relativo_per_capita!Q$543/1000000</f>
        <v>0.99016568391604542</v>
      </c>
      <c r="R406" s="340">
        <f>Saldo_relativo_per_capita!R406*Saldo_relativo_per_capita!R$543/1000000</f>
        <v>-0.33066384897629675</v>
      </c>
      <c r="S406" s="340">
        <f>Saldo_relativo_per_capita!S406*Saldo_relativo_per_capita!S$543/1000000</f>
        <v>9.6330298651806825E-2</v>
      </c>
      <c r="T406" s="340">
        <f>Saldo_relativo_per_capita!T406*Saldo_relativo_per_capita!T$543/1000000</f>
        <v>0.26909477383072622</v>
      </c>
      <c r="U406" s="340">
        <f>Saldo_relativo_per_capita!U406*Saldo_relativo_per_capita!U$543/1000000</f>
        <v>-4.1077078433994158E-3</v>
      </c>
      <c r="V406" s="340">
        <f>Saldo_relativo_per_capita!V406*Saldo_relativo_per_capita!V$543/1000000</f>
        <v>-8.5184913945031721E-2</v>
      </c>
      <c r="W406" s="217"/>
    </row>
    <row r="407" spans="1:23" s="115" customFormat="1">
      <c r="A407" s="355" t="str">
        <f>IF(B407="","",(IF(ISERROR(MATCH(B407,Tot_res!C:C,0)),"Eliminar!!!","")))</f>
        <v/>
      </c>
      <c r="B407" s="115" t="s">
        <v>890</v>
      </c>
      <c r="C407" s="333" t="str">
        <f>VLOOKUP(B407,Tot_res!C:D,2,FALSE)</f>
        <v>Admón.y Serv.Generales de Servicios Sociales, IMSERSO + AF19/4</v>
      </c>
      <c r="D407" s="340">
        <f>Saldo_relativo_per_capita!D407*Saldo_relativo_per_capita!D$543/1000000</f>
        <v>0</v>
      </c>
      <c r="E407" s="340">
        <f>Saldo_relativo_per_capita!E407*Saldo_relativo_per_capita!E$543/1000000</f>
        <v>1.1835880386916733</v>
      </c>
      <c r="F407" s="340">
        <f>Saldo_relativo_per_capita!F407*Saldo_relativo_per_capita!F$543/1000000</f>
        <v>-0.24195828634992292</v>
      </c>
      <c r="G407" s="340">
        <f>Saldo_relativo_per_capita!G407*Saldo_relativo_per_capita!G$543/1000000</f>
        <v>-7.1177995631387839E-2</v>
      </c>
      <c r="H407" s="340">
        <f>Saldo_relativo_per_capita!H407*Saldo_relativo_per_capita!H$543/1000000</f>
        <v>-0.18065737519446612</v>
      </c>
      <c r="I407" s="340">
        <f>Saldo_relativo_per_capita!I407*Saldo_relativo_per_capita!I$543/1000000</f>
        <v>0.32852539407386105</v>
      </c>
      <c r="J407" s="340">
        <f>Saldo_relativo_per_capita!J407*Saldo_relativo_per_capita!J$543/1000000</f>
        <v>8.1166962029308301E-2</v>
      </c>
      <c r="K407" s="340">
        <f>Saldo_relativo_per_capita!K407*Saldo_relativo_per_capita!K$543/1000000</f>
        <v>0.18470148422354457</v>
      </c>
      <c r="L407" s="340">
        <f>Saldo_relativo_per_capita!L407*Saldo_relativo_per_capita!L$543/1000000</f>
        <v>4.8024932748609694E-2</v>
      </c>
      <c r="M407" s="340">
        <f>Saldo_relativo_per_capita!M407*Saldo_relativo_per_capita!M$543/1000000</f>
        <v>-0.39775261428854741</v>
      </c>
      <c r="N407" s="340">
        <f>Saldo_relativo_per_capita!N407*Saldo_relativo_per_capita!N$543/1000000</f>
        <v>-0.74544370680192729</v>
      </c>
      <c r="O407" s="340">
        <f>Saldo_relativo_per_capita!O407*Saldo_relativo_per_capita!O$543/1000000</f>
        <v>0.1929082961829412</v>
      </c>
      <c r="P407" s="340">
        <f>Saldo_relativo_per_capita!P407*Saldo_relativo_per_capita!P$543/1000000</f>
        <v>0.46036809390167244</v>
      </c>
      <c r="Q407" s="340">
        <f>Saldo_relativo_per_capita!Q407*Saldo_relativo_per_capita!Q$543/1000000</f>
        <v>-1.038660640290354</v>
      </c>
      <c r="R407" s="340">
        <f>Saldo_relativo_per_capita!R407*Saldo_relativo_per_capita!R$543/1000000</f>
        <v>9.4276487680674412E-2</v>
      </c>
      <c r="S407" s="340">
        <f>Saldo_relativo_per_capita!S407*Saldo_relativo_per_capita!S$543/1000000</f>
        <v>0</v>
      </c>
      <c r="T407" s="340">
        <f>Saldo_relativo_per_capita!T407*Saldo_relativo_per_capita!T$543/1000000</f>
        <v>0</v>
      </c>
      <c r="U407" s="340">
        <f>Saldo_relativo_per_capita!U407*Saldo_relativo_per_capita!U$543/1000000</f>
        <v>-1.5588575151221567E-2</v>
      </c>
      <c r="V407" s="340">
        <f>Saldo_relativo_per_capita!V407*Saldo_relativo_per_capita!V$543/1000000</f>
        <v>0.11767950417554465</v>
      </c>
      <c r="W407" s="148"/>
    </row>
    <row r="408" spans="1:23" s="115" customFormat="1">
      <c r="A408" s="355" t="str">
        <f>IF(B408="","",(IF(ISERROR(MATCH(B408,Tot_res!C:C,0)),"Eliminar!!!","")))</f>
        <v/>
      </c>
      <c r="B408" s="102" t="s">
        <v>892</v>
      </c>
      <c r="C408" s="333" t="str">
        <f>VLOOKUP(B408,Tot_res!C:D,2,FALSE)</f>
        <v>ISM formación y servicios sociales + AF19/5</v>
      </c>
      <c r="D408" s="340">
        <f>Saldo_relativo_per_capita!D408*Saldo_relativo_per_capita!D$543/1000000</f>
        <v>0</v>
      </c>
      <c r="E408" s="340">
        <f>Saldo_relativo_per_capita!E408*Saldo_relativo_per_capita!E$543/1000000</f>
        <v>0.58339877486423697</v>
      </c>
      <c r="F408" s="340">
        <f>Saldo_relativo_per_capita!F408*Saldo_relativo_per_capita!F$543/1000000</f>
        <v>-0.16358603994765564</v>
      </c>
      <c r="G408" s="340">
        <f>Saldo_relativo_per_capita!G408*Saldo_relativo_per_capita!G$543/1000000</f>
        <v>1.0181664196469931</v>
      </c>
      <c r="H408" s="340">
        <f>Saldo_relativo_per_capita!H408*Saldo_relativo_per_capita!H$543/1000000</f>
        <v>0.4837166725849954</v>
      </c>
      <c r="I408" s="340">
        <f>Saldo_relativo_per_capita!I408*Saldo_relativo_per_capita!I$543/1000000</f>
        <v>-0.25852034050168993</v>
      </c>
      <c r="J408" s="340">
        <f>Saldo_relativo_per_capita!J408*Saldo_relativo_per_capita!J$543/1000000</f>
        <v>0.570125031896209</v>
      </c>
      <c r="K408" s="340">
        <f>Saldo_relativo_per_capita!K408*Saldo_relativo_per_capita!K$543/1000000</f>
        <v>-0.30694796850709555</v>
      </c>
      <c r="L408" s="340">
        <f>Saldo_relativo_per_capita!L408*Saldo_relativo_per_capita!L$543/1000000</f>
        <v>-0.25583413681750888</v>
      </c>
      <c r="M408" s="340">
        <f>Saldo_relativo_per_capita!M408*Saldo_relativo_per_capita!M$543/1000000</f>
        <v>-0.92259194254561949</v>
      </c>
      <c r="N408" s="340">
        <f>Saldo_relativo_per_capita!N408*Saldo_relativo_per_capita!N$543/1000000</f>
        <v>-0.61936377087323657</v>
      </c>
      <c r="O408" s="340">
        <f>Saldo_relativo_per_capita!O408*Saldo_relativo_per_capita!O$543/1000000</f>
        <v>-0.13488470187522036</v>
      </c>
      <c r="P408" s="340">
        <f>Saldo_relativo_per_capita!P408*Saldo_relativo_per_capita!P$543/1000000</f>
        <v>-0.33755116449615813</v>
      </c>
      <c r="Q408" s="340">
        <f>Saldo_relativo_per_capita!Q408*Saldo_relativo_per_capita!Q$543/1000000</f>
        <v>-0.79266978544632005</v>
      </c>
      <c r="R408" s="340">
        <f>Saldo_relativo_per_capita!R408*Saldo_relativo_per_capita!R$543/1000000</f>
        <v>0.69512116417994085</v>
      </c>
      <c r="S408" s="340">
        <f>Saldo_relativo_per_capita!S408*Saldo_relativo_per_capita!S$543/1000000</f>
        <v>-7.8671276075113525E-2</v>
      </c>
      <c r="T408" s="340">
        <f>Saldo_relativo_per_capita!T408*Saldo_relativo_per_capita!T$543/1000000</f>
        <v>0.57997854269768767</v>
      </c>
      <c r="U408" s="340">
        <f>Saldo_relativo_per_capita!U408*Saldo_relativo_per_capita!U$543/1000000</f>
        <v>-3.923742648893494E-2</v>
      </c>
      <c r="V408" s="340">
        <f>Saldo_relativo_per_capita!V408*Saldo_relativo_per_capita!V$543/1000000</f>
        <v>-2.0648052295510675E-2</v>
      </c>
      <c r="W408" s="220"/>
    </row>
    <row r="409" spans="1:23" s="115" customFormat="1">
      <c r="A409" s="364"/>
      <c r="C409" s="142"/>
      <c r="D409" s="218"/>
      <c r="E409" s="218"/>
      <c r="F409" s="218"/>
      <c r="G409" s="218"/>
      <c r="H409" s="218"/>
      <c r="I409" s="218"/>
      <c r="J409" s="218"/>
      <c r="K409" s="218"/>
      <c r="L409" s="218"/>
      <c r="M409" s="218"/>
      <c r="N409" s="218"/>
      <c r="O409" s="218"/>
      <c r="P409" s="218"/>
      <c r="Q409" s="218"/>
      <c r="R409" s="218"/>
      <c r="S409" s="218"/>
      <c r="T409" s="218"/>
      <c r="U409" s="218"/>
      <c r="V409" s="218"/>
      <c r="W409" s="148"/>
    </row>
    <row r="410" spans="1:23" s="115" customFormat="1">
      <c r="A410" s="364"/>
      <c r="C410" s="117" t="s">
        <v>392</v>
      </c>
      <c r="D410" s="219">
        <f>Saldo_relativo_per_capita!D410*Saldo_relativo_per_capita!D$543/1000000</f>
        <v>0</v>
      </c>
      <c r="E410" s="219">
        <f>Saldo_relativo_per_capita!E410*Saldo_relativo_per_capita!E$543/1000000</f>
        <v>-59.842853252901669</v>
      </c>
      <c r="F410" s="219">
        <f>Saldo_relativo_per_capita!F410*Saldo_relativo_per_capita!F$543/1000000</f>
        <v>6.2578424794478558</v>
      </c>
      <c r="G410" s="219">
        <f>Saldo_relativo_per_capita!G410*Saldo_relativo_per_capita!G$543/1000000</f>
        <v>15.024506335173205</v>
      </c>
      <c r="H410" s="219">
        <f>Saldo_relativo_per_capita!H410*Saldo_relativo_per_capita!H$543/1000000</f>
        <v>0.28273512275498558</v>
      </c>
      <c r="I410" s="219">
        <f>Saldo_relativo_per_capita!I410*Saldo_relativo_per_capita!I$543/1000000</f>
        <v>-13.049835392787786</v>
      </c>
      <c r="J410" s="219">
        <f>Saldo_relativo_per_capita!J410*Saldo_relativo_per_capita!J$543/1000000</f>
        <v>2.7317495882224816</v>
      </c>
      <c r="K410" s="219">
        <f>Saldo_relativo_per_capita!K410*Saldo_relativo_per_capita!K$543/1000000</f>
        <v>9.3571471154631318</v>
      </c>
      <c r="L410" s="219">
        <f>Saldo_relativo_per_capita!L410*Saldo_relativo_per_capita!L$543/1000000</f>
        <v>-11.852263486019529</v>
      </c>
      <c r="M410" s="219">
        <f>Saldo_relativo_per_capita!M410*Saldo_relativo_per_capita!M$543/1000000</f>
        <v>13.027950544810965</v>
      </c>
      <c r="N410" s="219">
        <f>Saldo_relativo_per_capita!N410*Saldo_relativo_per_capita!N$543/1000000</f>
        <v>-3.0576640572213627</v>
      </c>
      <c r="O410" s="219">
        <f>Saldo_relativo_per_capita!O410*Saldo_relativo_per_capita!O$543/1000000</f>
        <v>-6.8100483331684041</v>
      </c>
      <c r="P410" s="219">
        <f>Saldo_relativo_per_capita!P410*Saldo_relativo_per_capita!P$543/1000000</f>
        <v>19.493433982403193</v>
      </c>
      <c r="Q410" s="219">
        <f>Saldo_relativo_per_capita!Q410*Saldo_relativo_per_capita!Q$543/1000000</f>
        <v>13.342062938554021</v>
      </c>
      <c r="R410" s="219">
        <f>Saldo_relativo_per_capita!R410*Saldo_relativo_per_capita!R$543/1000000</f>
        <v>-9.2311428014985903</v>
      </c>
      <c r="S410" s="219">
        <f>Saldo_relativo_per_capita!S410*Saldo_relativo_per_capita!S$543/1000000</f>
        <v>1.7487328720573831</v>
      </c>
      <c r="T410" s="219">
        <f>Saldo_relativo_per_capita!T410*Saldo_relativo_per_capita!T$543/1000000</f>
        <v>21.22170939151211</v>
      </c>
      <c r="U410" s="219">
        <f>Saldo_relativo_per_capita!U410*Saldo_relativo_per_capita!U$543/1000000</f>
        <v>7.6837997762253959E-2</v>
      </c>
      <c r="V410" s="219">
        <f>Saldo_relativo_per_capita!V410*Saldo_relativo_per_capita!V$543/1000000</f>
        <v>1.279098955435902</v>
      </c>
      <c r="W410" s="148"/>
    </row>
    <row r="411" spans="1:23" s="115" customFormat="1">
      <c r="A411" s="355" t="str">
        <f>IF(B411="","",(IF(ISERROR(MATCH(B411,Tot_res!C:C,0)),"Eliminar!!!","")))</f>
        <v/>
      </c>
      <c r="B411" s="119" t="s">
        <v>393</v>
      </c>
      <c r="C411" s="333" t="str">
        <f>VLOOKUP(B411,Tot_res!C:D,2,FALSE)</f>
        <v>Inspección y control de seguridad y protección social</v>
      </c>
      <c r="D411" s="340">
        <f>Saldo_relativo_per_capita!D411*Saldo_relativo_per_capita!D$543/1000000</f>
        <v>0</v>
      </c>
      <c r="E411" s="340">
        <f>Saldo_relativo_per_capita!E411*Saldo_relativo_per_capita!E$543/1000000</f>
        <v>0.6127268755455284</v>
      </c>
      <c r="F411" s="340">
        <f>Saldo_relativo_per_capita!F411*Saldo_relativo_per_capita!F$543/1000000</f>
        <v>1.8180099245132644</v>
      </c>
      <c r="G411" s="340">
        <f>Saldo_relativo_per_capita!G411*Saldo_relativo_per_capita!G$543/1000000</f>
        <v>0.76076517129025056</v>
      </c>
      <c r="H411" s="340">
        <f>Saldo_relativo_per_capita!H411*Saldo_relativo_per_capita!H$543/1000000</f>
        <v>2.3156258950973414</v>
      </c>
      <c r="I411" s="340">
        <f>Saldo_relativo_per_capita!I411*Saldo_relativo_per_capita!I$543/1000000</f>
        <v>1.8201818400624648</v>
      </c>
      <c r="J411" s="340">
        <f>Saldo_relativo_per_capita!J411*Saldo_relativo_per_capita!J$543/1000000</f>
        <v>0.39696632274623361</v>
      </c>
      <c r="K411" s="340">
        <f>Saldo_relativo_per_capita!K411*Saldo_relativo_per_capita!K$543/1000000</f>
        <v>4.6143371516031655</v>
      </c>
      <c r="L411" s="340">
        <f>Saldo_relativo_per_capita!L411*Saldo_relativo_per_capita!L$543/1000000</f>
        <v>0.66384013485461257</v>
      </c>
      <c r="M411" s="340">
        <f>Saldo_relativo_per_capita!M411*Saldo_relativo_per_capita!M$543/1000000</f>
        <v>-18.980053683647142</v>
      </c>
      <c r="N411" s="340">
        <f>Saldo_relativo_per_capita!N411*Saldo_relativo_per_capita!N$543/1000000</f>
        <v>1.3911865811182673</v>
      </c>
      <c r="O411" s="340">
        <f>Saldo_relativo_per_capita!O411*Saldo_relativo_per_capita!O$543/1000000</f>
        <v>0.45397184240065047</v>
      </c>
      <c r="P411" s="340">
        <f>Saldo_relativo_per_capita!P411*Saldo_relativo_per_capita!P$543/1000000</f>
        <v>1.6588037994843308</v>
      </c>
      <c r="Q411" s="340">
        <f>Saldo_relativo_per_capita!Q411*Saldo_relativo_per_capita!Q$543/1000000</f>
        <v>3.6479236861787876</v>
      </c>
      <c r="R411" s="340">
        <f>Saldo_relativo_per_capita!R411*Saldo_relativo_per_capita!R$543/1000000</f>
        <v>-0.3630854818097583</v>
      </c>
      <c r="S411" s="340">
        <f>Saldo_relativo_per_capita!S411*Saldo_relativo_per_capita!S$543/1000000</f>
        <v>0.18686213872680479</v>
      </c>
      <c r="T411" s="340">
        <f>Saldo_relativo_per_capita!T411*Saldo_relativo_per_capita!T$543/1000000</f>
        <v>-0.78403889612146338</v>
      </c>
      <c r="U411" s="340">
        <f>Saldo_relativo_per_capita!U411*Saldo_relativo_per_capita!U$543/1000000</f>
        <v>4.821712934116E-2</v>
      </c>
      <c r="V411" s="340">
        <f>Saldo_relativo_per_capita!V411*Saldo_relativo_per_capita!V$543/1000000</f>
        <v>-0.26224043138448477</v>
      </c>
      <c r="W411" s="148"/>
    </row>
    <row r="412" spans="1:23" s="115" customFormat="1">
      <c r="A412" s="355" t="str">
        <f>IF(B412="","",(IF(ISERROR(MATCH(B412,Tot_res!C:C,0)),"Eliminar!!!","")))</f>
        <v/>
      </c>
      <c r="B412" s="119" t="s">
        <v>394</v>
      </c>
      <c r="C412" s="333" t="str">
        <f>VLOOKUP(B412,Tot_res!C:D,2,FALSE)</f>
        <v>Dirección y servicios generales de seguridad social y protección social</v>
      </c>
      <c r="D412" s="340">
        <f>Saldo_relativo_per_capita!D412*Saldo_relativo_per_capita!D$543/1000000</f>
        <v>0</v>
      </c>
      <c r="E412" s="340">
        <f>Saldo_relativo_per_capita!E412*Saldo_relativo_per_capita!E$543/1000000</f>
        <v>-1.3437222078188842</v>
      </c>
      <c r="F412" s="340">
        <f>Saldo_relativo_per_capita!F412*Saldo_relativo_per_capita!F$543/1000000</f>
        <v>0.17007955950396825</v>
      </c>
      <c r="G412" s="340">
        <f>Saldo_relativo_per_capita!G412*Saldo_relativo_per_capita!G$543/1000000</f>
        <v>0.6722535532603251</v>
      </c>
      <c r="H412" s="340">
        <f>Saldo_relativo_per_capita!H412*Saldo_relativo_per_capita!H$543/1000000</f>
        <v>-0.26439813798077122</v>
      </c>
      <c r="I412" s="340">
        <f>Saldo_relativo_per_capita!I412*Saldo_relativo_per_capita!I$543/1000000</f>
        <v>-0.65736553429962563</v>
      </c>
      <c r="J412" s="340">
        <f>Saldo_relativo_per_capita!J412*Saldo_relativo_per_capita!J$543/1000000</f>
        <v>0.12119519599439653</v>
      </c>
      <c r="K412" s="340">
        <f>Saldo_relativo_per_capita!K412*Saldo_relativo_per_capita!K$543/1000000</f>
        <v>0.33700898278890301</v>
      </c>
      <c r="L412" s="340">
        <f>Saldo_relativo_per_capita!L412*Saldo_relativo_per_capita!L$543/1000000</f>
        <v>-0.36829096949303569</v>
      </c>
      <c r="M412" s="340">
        <f>Saldo_relativo_per_capita!M412*Saldo_relativo_per_capita!M$543/1000000</f>
        <v>1.0895064361413431</v>
      </c>
      <c r="N412" s="340">
        <f>Saldo_relativo_per_capita!N412*Saldo_relativo_per_capita!N$543/1000000</f>
        <v>-0.71000322351747547</v>
      </c>
      <c r="O412" s="340">
        <f>Saldo_relativo_per_capita!O412*Saldo_relativo_per_capita!O$543/1000000</f>
        <v>-0.11284714376486563</v>
      </c>
      <c r="P412" s="340">
        <f>Saldo_relativo_per_capita!P412*Saldo_relativo_per_capita!P$543/1000000</f>
        <v>0.40613782503061618</v>
      </c>
      <c r="Q412" s="340">
        <f>Saldo_relativo_per_capita!Q412*Saldo_relativo_per_capita!Q$543/1000000</f>
        <v>-2.5420335883853146E-2</v>
      </c>
      <c r="R412" s="340">
        <f>Saldo_relativo_per_capita!R412*Saldo_relativo_per_capita!R$543/1000000</f>
        <v>-0.38552493333805604</v>
      </c>
      <c r="S412" s="340">
        <f>Saldo_relativo_per_capita!S412*Saldo_relativo_per_capita!S$543/1000000</f>
        <v>8.1930051981021379E-2</v>
      </c>
      <c r="T412" s="340">
        <f>Saldo_relativo_per_capita!T412*Saldo_relativo_per_capita!T$543/1000000</f>
        <v>0.96803898742336969</v>
      </c>
      <c r="U412" s="340">
        <f>Saldo_relativo_per_capita!U412*Saldo_relativo_per_capita!U$543/1000000</f>
        <v>-3.474900683905496E-3</v>
      </c>
      <c r="V412" s="340">
        <f>Saldo_relativo_per_capita!V412*Saldo_relativo_per_capita!V$543/1000000</f>
        <v>2.4896794656529098E-2</v>
      </c>
      <c r="W412" s="148"/>
    </row>
    <row r="413" spans="1:23" s="115" customFormat="1">
      <c r="A413" s="355" t="str">
        <f>IF(B413="","",(IF(ISERROR(MATCH(B413,Tot_res!C:C,0)),"Eliminar!!!","")))</f>
        <v/>
      </c>
      <c r="B413" s="115" t="s">
        <v>635</v>
      </c>
      <c r="C413" s="333" t="str">
        <f>VLOOKUP(B413,Tot_res!C:D,2,FALSE)</f>
        <v>Gestión de Cotización y Recaudación</v>
      </c>
      <c r="D413" s="340">
        <f>Saldo_relativo_per_capita!D413*Saldo_relativo_per_capita!D$543/1000000</f>
        <v>0</v>
      </c>
      <c r="E413" s="340">
        <f>Saldo_relativo_per_capita!E413*Saldo_relativo_per_capita!E$543/1000000</f>
        <v>-11.615126604268498</v>
      </c>
      <c r="F413" s="340">
        <f>Saldo_relativo_per_capita!F413*Saldo_relativo_per_capita!F$543/1000000</f>
        <v>1.3895992289262793</v>
      </c>
      <c r="G413" s="340">
        <f>Saldo_relativo_per_capita!G413*Saldo_relativo_per_capita!G$543/1000000</f>
        <v>4.3793538227135622</v>
      </c>
      <c r="H413" s="340">
        <f>Saldo_relativo_per_capita!H413*Saldo_relativo_per_capita!H$543/1000000</f>
        <v>-1.5552744489270143</v>
      </c>
      <c r="I413" s="340">
        <f>Saldo_relativo_per_capita!I413*Saldo_relativo_per_capita!I$543/1000000</f>
        <v>-4.8100031010540576</v>
      </c>
      <c r="J413" s="340">
        <f>Saldo_relativo_per_capita!J413*Saldo_relativo_per_capita!J$543/1000000</f>
        <v>0.80510298874844322</v>
      </c>
      <c r="K413" s="340">
        <f>Saldo_relativo_per_capita!K413*Saldo_relativo_per_capita!K$543/1000000</f>
        <v>2.4426226757178608</v>
      </c>
      <c r="L413" s="340">
        <f>Saldo_relativo_per_capita!L413*Saldo_relativo_per_capita!L$543/1000000</f>
        <v>-2.3188148978235912</v>
      </c>
      <c r="M413" s="340">
        <f>Saldo_relativo_per_capita!M413*Saldo_relativo_per_capita!M$543/1000000</f>
        <v>7.8951006347087178</v>
      </c>
      <c r="N413" s="340">
        <f>Saldo_relativo_per_capita!N413*Saldo_relativo_per_capita!N$543/1000000</f>
        <v>-4.3546412089450666</v>
      </c>
      <c r="O413" s="340">
        <f>Saldo_relativo_per_capita!O413*Saldo_relativo_per_capita!O$543/1000000</f>
        <v>-1.2157578351866771</v>
      </c>
      <c r="P413" s="340">
        <f>Saldo_relativo_per_capita!P413*Saldo_relativo_per_capita!P$543/1000000</f>
        <v>2.4809783566364318</v>
      </c>
      <c r="Q413" s="340">
        <f>Saldo_relativo_per_capita!Q413*Saldo_relativo_per_capita!Q$543/1000000</f>
        <v>1.6780826295302136</v>
      </c>
      <c r="R413" s="340">
        <f>Saldo_relativo_per_capita!R413*Saldo_relativo_per_capita!R$543/1000000</f>
        <v>-2.4350739380719135</v>
      </c>
      <c r="S413" s="340">
        <f>Saldo_relativo_per_capita!S413*Saldo_relativo_per_capita!S$543/1000000</f>
        <v>0.74305705193239691</v>
      </c>
      <c r="T413" s="340">
        <f>Saldo_relativo_per_capita!T413*Saldo_relativo_per_capita!T$543/1000000</f>
        <v>6.9159329318503051</v>
      </c>
      <c r="U413" s="340">
        <f>Saldo_relativo_per_capita!U413*Saldo_relativo_per_capita!U$543/1000000</f>
        <v>4.5801665632679067E-2</v>
      </c>
      <c r="V413" s="340">
        <f>Saldo_relativo_per_capita!V413*Saldo_relativo_per_capita!V$543/1000000</f>
        <v>-0.47093995212007023</v>
      </c>
      <c r="W413" s="148"/>
    </row>
    <row r="414" spans="1:23" s="115" customFormat="1">
      <c r="A414" s="355" t="str">
        <f>IF(B414="","",(IF(ISERROR(MATCH(B414,Tot_res!C:C,0)),"Eliminar!!!","")))</f>
        <v/>
      </c>
      <c r="B414" s="115" t="s">
        <v>999</v>
      </c>
      <c r="C414" s="333" t="str">
        <f>VLOOKUP(B414,Tot_res!C:D,2,FALSE)</f>
        <v>Gestión Financiera, neta de aportación al Fondo de Reserva</v>
      </c>
      <c r="D414" s="340">
        <f>Saldo_relativo_per_capita!D414*Saldo_relativo_per_capita!D$543/1000000</f>
        <v>0</v>
      </c>
      <c r="E414" s="340">
        <f>Saldo_relativo_per_capita!E414*Saldo_relativo_per_capita!E$543/1000000</f>
        <v>-0.83419498522299262</v>
      </c>
      <c r="F414" s="340">
        <f>Saldo_relativo_per_capita!F414*Saldo_relativo_per_capita!F$543/1000000</f>
        <v>0.11537501851658377</v>
      </c>
      <c r="G414" s="340">
        <f>Saldo_relativo_per_capita!G414*Saldo_relativo_per_capita!G$543/1000000</f>
        <v>0.48698238175944775</v>
      </c>
      <c r="H414" s="340">
        <f>Saldo_relativo_per_capita!H414*Saldo_relativo_per_capita!H$543/1000000</f>
        <v>-0.18776927959930542</v>
      </c>
      <c r="I414" s="340">
        <f>Saldo_relativo_per_capita!I414*Saldo_relativo_per_capita!I$543/1000000</f>
        <v>-0.45464348041933961</v>
      </c>
      <c r="J414" s="340">
        <f>Saldo_relativo_per_capita!J414*Saldo_relativo_per_capita!J$543/1000000</f>
        <v>8.6719750157372683E-2</v>
      </c>
      <c r="K414" s="340">
        <f>Saldo_relativo_per_capita!K414*Saldo_relativo_per_capita!K$543/1000000</f>
        <v>0.26191403969145605</v>
      </c>
      <c r="L414" s="340">
        <f>Saldo_relativo_per_capita!L414*Saldo_relativo_per_capita!L$543/1000000</f>
        <v>-0.24614446066684373</v>
      </c>
      <c r="M414" s="340">
        <f>Saldo_relativo_per_capita!M414*Saldo_relativo_per_capita!M$543/1000000</f>
        <v>0.72918622009840806</v>
      </c>
      <c r="N414" s="340">
        <f>Saldo_relativo_per_capita!N414*Saldo_relativo_per_capita!N$543/1000000</f>
        <v>-0.49637831664515425</v>
      </c>
      <c r="O414" s="340">
        <f>Saldo_relativo_per_capita!O414*Saldo_relativo_per_capita!O$543/1000000</f>
        <v>-6.0665804577340193E-2</v>
      </c>
      <c r="P414" s="340">
        <f>Saldo_relativo_per_capita!P414*Saldo_relativo_per_capita!P$543/1000000</f>
        <v>0.30149300035888787</v>
      </c>
      <c r="Q414" s="340">
        <f>Saldo_relativo_per_capita!Q414*Saldo_relativo_per_capita!Q$543/1000000</f>
        <v>-0.16491032776516409</v>
      </c>
      <c r="R414" s="340">
        <f>Saldo_relativo_per_capita!R414*Saldo_relativo_per_capita!R$543/1000000</f>
        <v>-0.27192194459839314</v>
      </c>
      <c r="S414" s="340">
        <f>Saldo_relativo_per_capita!S414*Saldo_relativo_per_capita!S$543/1000000</f>
        <v>5.1751774989721853E-2</v>
      </c>
      <c r="T414" s="340">
        <f>Saldo_relativo_per_capita!T414*Saldo_relativo_per_capita!T$543/1000000</f>
        <v>0.66574618399036567</v>
      </c>
      <c r="U414" s="340">
        <f>Saldo_relativo_per_capita!U414*Saldo_relativo_per_capita!U$543/1000000</f>
        <v>-2.7218811637841072E-3</v>
      </c>
      <c r="V414" s="340">
        <f>Saldo_relativo_per_capita!V414*Saldo_relativo_per_capita!V$543/1000000</f>
        <v>2.0182111096077423E-2</v>
      </c>
      <c r="W414" s="148"/>
    </row>
    <row r="415" spans="1:23" s="115" customFormat="1">
      <c r="A415" s="355" t="str">
        <f>IF(B415="","",(IF(ISERROR(MATCH(B415,Tot_res!C:C,0)),"Eliminar!!!","")))</f>
        <v/>
      </c>
      <c r="B415" s="115" t="s">
        <v>1000</v>
      </c>
      <c r="C415" s="333" t="str">
        <f>VLOOKUP(B415,Tot_res!C:D,2,FALSE)</f>
        <v>Gestión del Patrimonio, TGSS</v>
      </c>
      <c r="D415" s="340">
        <f>Saldo_relativo_per_capita!D415*Saldo_relativo_per_capita!D$543/1000000</f>
        <v>0</v>
      </c>
      <c r="E415" s="340">
        <f>Saldo_relativo_per_capita!E415*Saldo_relativo_per_capita!E$543/1000000</f>
        <v>-0.27951881341715684</v>
      </c>
      <c r="F415" s="340">
        <f>Saldo_relativo_per_capita!F415*Saldo_relativo_per_capita!F$543/1000000</f>
        <v>3.6451051584933662E-2</v>
      </c>
      <c r="G415" s="340">
        <f>Saldo_relativo_per_capita!G415*Saldo_relativo_per_capita!G$543/1000000</f>
        <v>0.1366034050927678</v>
      </c>
      <c r="H415" s="340">
        <f>Saldo_relativo_per_capita!H415*Saldo_relativo_per_capita!H$543/1000000</f>
        <v>-5.3837204175335225E-2</v>
      </c>
      <c r="I415" s="340">
        <f>Saldo_relativo_per_capita!I415*Saldo_relativo_per_capita!I$543/1000000</f>
        <v>-0.13302857802403975</v>
      </c>
      <c r="J415" s="340">
        <f>Saldo_relativo_per_capita!J415*Saldo_relativo_per_capita!J$543/1000000</f>
        <v>2.5497401692128215E-2</v>
      </c>
      <c r="K415" s="340">
        <f>Saldo_relativo_per_capita!K415*Saldo_relativo_per_capita!K$543/1000000</f>
        <v>8.809648191977551E-2</v>
      </c>
      <c r="L415" s="340">
        <f>Saldo_relativo_per_capita!L415*Saldo_relativo_per_capita!L$543/1000000</f>
        <v>-7.2970944529292425E-2</v>
      </c>
      <c r="M415" s="340">
        <f>Saldo_relativo_per_capita!M415*Saldo_relativo_per_capita!M$543/1000000</f>
        <v>0.20442774759086657</v>
      </c>
      <c r="N415" s="340">
        <f>Saldo_relativo_per_capita!N415*Saldo_relativo_per_capita!N$543/1000000</f>
        <v>-0.13218908330500986</v>
      </c>
      <c r="O415" s="340">
        <f>Saldo_relativo_per_capita!O415*Saldo_relativo_per_capita!O$543/1000000</f>
        <v>-2.8384049757392001E-2</v>
      </c>
      <c r="P415" s="340">
        <f>Saldo_relativo_per_capita!P415*Saldo_relativo_per_capita!P$543/1000000</f>
        <v>9.3775204990968503E-2</v>
      </c>
      <c r="Q415" s="340">
        <f>Saldo_relativo_per_capita!Q415*Saldo_relativo_per_capita!Q$543/1000000</f>
        <v>-3.2702006917452217E-2</v>
      </c>
      <c r="R415" s="340">
        <f>Saldo_relativo_per_capita!R415*Saldo_relativo_per_capita!R$543/1000000</f>
        <v>-6.9699542215547597E-2</v>
      </c>
      <c r="S415" s="340">
        <f>Saldo_relativo_per_capita!S415*Saldo_relativo_per_capita!S$543/1000000</f>
        <v>1.4196479785945343E-2</v>
      </c>
      <c r="T415" s="340">
        <f>Saldo_relativo_per_capita!T415*Saldo_relativo_per_capita!T$543/1000000</f>
        <v>0.20021172292362352</v>
      </c>
      <c r="U415" s="340">
        <f>Saldo_relativo_per_capita!U415*Saldo_relativo_per_capita!U$543/1000000</f>
        <v>-4.7738991483170619E-5</v>
      </c>
      <c r="V415" s="340">
        <f>Saldo_relativo_per_capita!V415*Saldo_relativo_per_capita!V$543/1000000</f>
        <v>3.1184657516978328E-3</v>
      </c>
      <c r="W415" s="231"/>
    </row>
    <row r="416" spans="1:23" s="115" customFormat="1">
      <c r="A416" s="355" t="str">
        <f>IF(B416="","",(IF(ISERROR(MATCH(B416,Tot_res!C:C,0)),"Eliminar!!!","")))</f>
        <v/>
      </c>
      <c r="B416" s="115" t="s">
        <v>396</v>
      </c>
      <c r="C416" s="333" t="str">
        <f>VLOOKUP(B416,Tot_res!C:D,2,FALSE)</f>
        <v xml:space="preserve"> Sistema Integrado de Informática de la Seguridad Social</v>
      </c>
      <c r="D416" s="340">
        <f>Saldo_relativo_per_capita!D416*Saldo_relativo_per_capita!D$543/1000000</f>
        <v>0</v>
      </c>
      <c r="E416" s="340">
        <f>Saldo_relativo_per_capita!E416*Saldo_relativo_per_capita!E$543/1000000</f>
        <v>-6.9519507895539112</v>
      </c>
      <c r="F416" s="340">
        <f>Saldo_relativo_per_capita!F416*Saldo_relativo_per_capita!F$543/1000000</f>
        <v>0.90657910910549044</v>
      </c>
      <c r="G416" s="340">
        <f>Saldo_relativo_per_capita!G416*Saldo_relativo_per_capita!G$543/1000000</f>
        <v>3.3974820452358534</v>
      </c>
      <c r="H416" s="340">
        <f>Saldo_relativo_per_capita!H416*Saldo_relativo_per_capita!H$543/1000000</f>
        <v>-1.3389924974943532</v>
      </c>
      <c r="I416" s="340">
        <f>Saldo_relativo_per_capita!I416*Saldo_relativo_per_capita!I$543/1000000</f>
        <v>-3.3085720303458239</v>
      </c>
      <c r="J416" s="340">
        <f>Saldo_relativo_per_capita!J416*Saldo_relativo_per_capita!J$543/1000000</f>
        <v>0.63414937856302545</v>
      </c>
      <c r="K416" s="340">
        <f>Saldo_relativo_per_capita!K416*Saldo_relativo_per_capita!K$543/1000000</f>
        <v>2.1910596984579023</v>
      </c>
      <c r="L416" s="340">
        <f>Saldo_relativo_per_capita!L416*Saldo_relativo_per_capita!L$543/1000000</f>
        <v>-1.8148703811139326</v>
      </c>
      <c r="M416" s="340">
        <f>Saldo_relativo_per_capita!M416*Saldo_relativo_per_capita!M$543/1000000</f>
        <v>5.0843505805460207</v>
      </c>
      <c r="N416" s="340">
        <f>Saldo_relativo_per_capita!N416*Saldo_relativo_per_capita!N$543/1000000</f>
        <v>-3.2876928419168276</v>
      </c>
      <c r="O416" s="340">
        <f>Saldo_relativo_per_capita!O416*Saldo_relativo_per_capita!O$543/1000000</f>
        <v>-0.70594359896322834</v>
      </c>
      <c r="P416" s="340">
        <f>Saldo_relativo_per_capita!P416*Saldo_relativo_per_capita!P$543/1000000</f>
        <v>2.3322959997136645</v>
      </c>
      <c r="Q416" s="340">
        <f>Saldo_relativo_per_capita!Q416*Saldo_relativo_per_capita!Q$543/1000000</f>
        <v>-0.8133361043948466</v>
      </c>
      <c r="R416" s="340">
        <f>Saldo_relativo_per_capita!R416*Saldo_relativo_per_capita!R$543/1000000</f>
        <v>-1.7335068849686996</v>
      </c>
      <c r="S416" s="340">
        <f>Saldo_relativo_per_capita!S416*Saldo_relativo_per_capita!S$543/1000000</f>
        <v>0.35308259809152215</v>
      </c>
      <c r="T416" s="340">
        <f>Saldo_relativo_per_capita!T416*Saldo_relativo_per_capita!T$543/1000000</f>
        <v>4.9794932521397257</v>
      </c>
      <c r="U416" s="340">
        <f>Saldo_relativo_per_capita!U416*Saldo_relativo_per_capita!U$543/1000000</f>
        <v>-1.1873230122745834E-3</v>
      </c>
      <c r="V416" s="340">
        <f>Saldo_relativo_per_capita!V416*Saldo_relativo_per_capita!V$543/1000000</f>
        <v>7.7559789910663521E-2</v>
      </c>
      <c r="W416" s="220"/>
    </row>
    <row r="417" spans="1:23" s="115" customFormat="1">
      <c r="A417" s="355" t="str">
        <f>IF(B417="","",(IF(ISERROR(MATCH(B417,Tot_res!C:C,0)),"Eliminar!!!","")))</f>
        <v/>
      </c>
      <c r="B417" s="115" t="s">
        <v>1001</v>
      </c>
      <c r="C417" s="333" t="str">
        <f>VLOOKUP(B417,Tot_res!C:D,2,FALSE)</f>
        <v xml:space="preserve"> Admón. y Servic. Generales, TGSS e ISM</v>
      </c>
      <c r="D417" s="340">
        <f>Saldo_relativo_per_capita!D417*Saldo_relativo_per_capita!D$543/1000000</f>
        <v>0</v>
      </c>
      <c r="E417" s="340">
        <f>Saldo_relativo_per_capita!E417*Saldo_relativo_per_capita!E$543/1000000</f>
        <v>-2.7479210491127661</v>
      </c>
      <c r="F417" s="340">
        <f>Saldo_relativo_per_capita!F417*Saldo_relativo_per_capita!F$543/1000000</f>
        <v>1.2267457022846349</v>
      </c>
      <c r="G417" s="340">
        <f>Saldo_relativo_per_capita!G417*Saldo_relativo_per_capita!G$543/1000000</f>
        <v>4.6201581591876479</v>
      </c>
      <c r="H417" s="340">
        <f>Saldo_relativo_per_capita!H417*Saldo_relativo_per_capita!H$543/1000000</f>
        <v>5.0460479456953401E-2</v>
      </c>
      <c r="I417" s="340">
        <f>Saldo_relativo_per_capita!I417*Saldo_relativo_per_capita!I$543/1000000</f>
        <v>-1.2540114834218088</v>
      </c>
      <c r="J417" s="340">
        <f>Saldo_relativo_per_capita!J417*Saldo_relativo_per_capita!J$543/1000000</f>
        <v>1.2546838948239916</v>
      </c>
      <c r="K417" s="340">
        <f>Saldo_relativo_per_capita!K417*Saldo_relativo_per_capita!K$543/1000000</f>
        <v>1.6959435795117057</v>
      </c>
      <c r="L417" s="340">
        <f>Saldo_relativo_per_capita!L417*Saldo_relativo_per_capita!L$543/1000000</f>
        <v>-2.2303248021698781</v>
      </c>
      <c r="M417" s="340">
        <f>Saldo_relativo_per_capita!M417*Saldo_relativo_per_capita!M$543/1000000</f>
        <v>-4.0375741976794606</v>
      </c>
      <c r="N417" s="340">
        <f>Saldo_relativo_per_capita!N417*Saldo_relativo_per_capita!N$543/1000000</f>
        <v>-2.5223641603854938</v>
      </c>
      <c r="O417" s="340">
        <f>Saldo_relativo_per_capita!O417*Saldo_relativo_per_capita!O$543/1000000</f>
        <v>-8.6155189442850139E-2</v>
      </c>
      <c r="P417" s="340">
        <f>Saldo_relativo_per_capita!P417*Saldo_relativo_per_capita!P$543/1000000</f>
        <v>8.8044482627806193</v>
      </c>
      <c r="Q417" s="340">
        <f>Saldo_relativo_per_capita!Q417*Saldo_relativo_per_capita!Q$543/1000000</f>
        <v>-9.3418743810167282</v>
      </c>
      <c r="R417" s="340">
        <f>Saldo_relativo_per_capita!R417*Saldo_relativo_per_capita!R$543/1000000</f>
        <v>-1.6761944373514461</v>
      </c>
      <c r="S417" s="340">
        <f>Saldo_relativo_per_capita!S417*Saldo_relativo_per_capita!S$543/1000000</f>
        <v>-0.29893683649021568</v>
      </c>
      <c r="T417" s="340">
        <f>Saldo_relativo_per_capita!T417*Saldo_relativo_per_capita!T$543/1000000</f>
        <v>4.9402106418152831</v>
      </c>
      <c r="U417" s="340">
        <f>Saldo_relativo_per_capita!U417*Saldo_relativo_per_capita!U$543/1000000</f>
        <v>-0.1773274393351342</v>
      </c>
      <c r="V417" s="340">
        <f>Saldo_relativo_per_capita!V417*Saldo_relativo_per_capita!V$543/1000000</f>
        <v>1.7800332565449266</v>
      </c>
      <c r="W417" s="148"/>
    </row>
    <row r="418" spans="1:23" s="115" customFormat="1">
      <c r="A418" s="355" t="str">
        <f>IF(B418="","",(IF(ISERROR(MATCH(B418,Tot_res!C:C,0)),"Eliminar!!!","")))</f>
        <v/>
      </c>
      <c r="B418" s="115" t="s">
        <v>1002</v>
      </c>
      <c r="C418" s="333" t="str">
        <f>VLOOKUP(B418,Tot_res!C:D,2,FALSE)</f>
        <v>Admón. y Servic. Generales, Mutuas</v>
      </c>
      <c r="D418" s="340">
        <f>Saldo_relativo_per_capita!D418*Saldo_relativo_per_capita!D$543/1000000</f>
        <v>0</v>
      </c>
      <c r="E418" s="340">
        <f>Saldo_relativo_per_capita!E418*Saldo_relativo_per_capita!E$543/1000000</f>
        <v>-31.116126168978909</v>
      </c>
      <c r="F418" s="340">
        <f>Saldo_relativo_per_capita!F418*Saldo_relativo_per_capita!F$543/1000000</f>
        <v>0.7856905155347973</v>
      </c>
      <c r="G418" s="340">
        <f>Saldo_relativo_per_capita!G418*Saldo_relativo_per_capita!G$543/1000000</f>
        <v>-0.19908785807321333</v>
      </c>
      <c r="H418" s="340">
        <f>Saldo_relativo_per_capita!H418*Saldo_relativo_per_capita!H$543/1000000</f>
        <v>2.1954597370203235</v>
      </c>
      <c r="I418" s="340">
        <f>Saldo_relativo_per_capita!I418*Saldo_relativo_per_capita!I$543/1000000</f>
        <v>-2.3168952926597894</v>
      </c>
      <c r="J418" s="340">
        <f>Saldo_relativo_per_capita!J418*Saldo_relativo_per_capita!J$543/1000000</f>
        <v>-0.58887531400693116</v>
      </c>
      <c r="K418" s="340">
        <f>Saldo_relativo_per_capita!K418*Saldo_relativo_per_capita!K$543/1000000</f>
        <v>-2.0849142981927282</v>
      </c>
      <c r="L418" s="340">
        <f>Saldo_relativo_per_capita!L418*Saldo_relativo_per_capita!L$543/1000000</f>
        <v>-4.0522778102512262</v>
      </c>
      <c r="M418" s="340">
        <f>Saldo_relativo_per_capita!M418*Saldo_relativo_per_capita!M$543/1000000</f>
        <v>4.4496948119533517</v>
      </c>
      <c r="N418" s="340">
        <f>Saldo_relativo_per_capita!N418*Saldo_relativo_per_capita!N$543/1000000</f>
        <v>10.092591912926711</v>
      </c>
      <c r="O418" s="340">
        <f>Saldo_relativo_per_capita!O418*Saldo_relativo_per_capita!O$543/1000000</f>
        <v>-4.3960780593633055</v>
      </c>
      <c r="P418" s="340">
        <f>Saldo_relativo_per_capita!P418*Saldo_relativo_per_capita!P$543/1000000</f>
        <v>3.6498720313648145</v>
      </c>
      <c r="Q418" s="340">
        <f>Saldo_relativo_per_capita!Q418*Saldo_relativo_per_capita!Q$543/1000000</f>
        <v>21.112699955358476</v>
      </c>
      <c r="R418" s="340">
        <f>Saldo_relativo_per_capita!R418*Saldo_relativo_per_capita!R$543/1000000</f>
        <v>-1.1453617141263124</v>
      </c>
      <c r="S418" s="340">
        <f>Saldo_relativo_per_capita!S418*Saldo_relativo_per_capita!S$543/1000000</f>
        <v>0.73706945452532835</v>
      </c>
      <c r="T418" s="340">
        <f>Saldo_relativo_per_capita!T418*Saldo_relativo_per_capita!T$543/1000000</f>
        <v>2.4445994738613743</v>
      </c>
      <c r="U418" s="340">
        <f>Saldo_relativo_per_capita!U418*Saldo_relativo_per_capita!U$543/1000000</f>
        <v>0.28867311200780227</v>
      </c>
      <c r="V418" s="340">
        <f>Saldo_relativo_per_capita!V418*Saldo_relativo_per_capita!V$543/1000000</f>
        <v>0.14326551109948144</v>
      </c>
      <c r="W418" s="148"/>
    </row>
    <row r="419" spans="1:23" s="115" customFormat="1">
      <c r="A419" s="355" t="str">
        <f>IF(B419="","",(IF(ISERROR(MATCH(B419,Tot_res!C:C,0)),"Eliminar!!!","")))</f>
        <v/>
      </c>
      <c r="B419" s="115" t="s">
        <v>397</v>
      </c>
      <c r="C419" s="333" t="str">
        <f>VLOOKUP(B419,Tot_res!C:D,2,FALSE)</f>
        <v xml:space="preserve"> Control Interno y Contabilidad</v>
      </c>
      <c r="D419" s="340">
        <f>Saldo_relativo_per_capita!D419*Saldo_relativo_per_capita!D$543/1000000</f>
        <v>0</v>
      </c>
      <c r="E419" s="340">
        <f>Saldo_relativo_per_capita!E419*Saldo_relativo_per_capita!E$543/1000000</f>
        <v>-2.3353208441735536</v>
      </c>
      <c r="F419" s="340">
        <f>Saldo_relativo_per_capita!F419*Saldo_relativo_per_capita!F$543/1000000</f>
        <v>0.30454086262630181</v>
      </c>
      <c r="G419" s="340">
        <f>Saldo_relativo_per_capita!G419*Saldo_relativo_per_capita!G$543/1000000</f>
        <v>1.1412926929613396</v>
      </c>
      <c r="H419" s="340">
        <f>Saldo_relativo_per_capita!H419*Saldo_relativo_per_capita!H$543/1000000</f>
        <v>-0.44979850753391448</v>
      </c>
      <c r="I419" s="340">
        <f>Saldo_relativo_per_capita!I419*Saldo_relativo_per_capita!I$543/1000000</f>
        <v>-1.1114257653443504</v>
      </c>
      <c r="J419" s="340">
        <f>Saldo_relativo_per_capita!J419*Saldo_relativo_per_capita!J$543/1000000</f>
        <v>0.21302542364126398</v>
      </c>
      <c r="K419" s="340">
        <f>Saldo_relativo_per_capita!K419*Saldo_relativo_per_capita!K$543/1000000</f>
        <v>0.7360275611165118</v>
      </c>
      <c r="L419" s="340">
        <f>Saldo_relativo_per_capita!L419*Saldo_relativo_per_capita!L$543/1000000</f>
        <v>-0.60965688031870047</v>
      </c>
      <c r="M419" s="340">
        <f>Saldo_relativo_per_capita!M419*Saldo_relativo_per_capita!M$543/1000000</f>
        <v>1.7079507967283731</v>
      </c>
      <c r="N419" s="340">
        <f>Saldo_relativo_per_capita!N419*Saldo_relativo_per_capita!N$543/1000000</f>
        <v>-1.1044119636901528</v>
      </c>
      <c r="O419" s="340">
        <f>Saldo_relativo_per_capita!O419*Saldo_relativo_per_capita!O$543/1000000</f>
        <v>-0.23714276055390587</v>
      </c>
      <c r="P419" s="340">
        <f>Saldo_relativo_per_capita!P419*Saldo_relativo_per_capita!P$543/1000000</f>
        <v>0.78347209693977515</v>
      </c>
      <c r="Q419" s="340">
        <f>Saldo_relativo_per_capita!Q419*Saldo_relativo_per_capita!Q$543/1000000</f>
        <v>-0.27321838364653694</v>
      </c>
      <c r="R419" s="340">
        <f>Saldo_relativo_per_capita!R419*Saldo_relativo_per_capita!R$543/1000000</f>
        <v>-0.58232500265519516</v>
      </c>
      <c r="S419" s="340">
        <f>Saldo_relativo_per_capita!S419*Saldo_relativo_per_capita!S$543/1000000</f>
        <v>0.11860860008921283</v>
      </c>
      <c r="T419" s="340">
        <f>Saldo_relativo_per_capita!T419*Saldo_relativo_per_capita!T$543/1000000</f>
        <v>1.672726798155264</v>
      </c>
      <c r="U419" s="340">
        <f>Saldo_relativo_per_capita!U419*Saldo_relativo_per_capita!U$543/1000000</f>
        <v>-3.9884922423463249E-4</v>
      </c>
      <c r="V419" s="340">
        <f>Saldo_relativo_per_capita!V419*Saldo_relativo_per_capita!V$543/1000000</f>
        <v>2.6054124882508994E-2</v>
      </c>
      <c r="W419" s="148"/>
    </row>
    <row r="420" spans="1:23" s="115" customFormat="1">
      <c r="A420" s="355" t="str">
        <f>IF(B420="","",(IF(ISERROR(MATCH(B420,Tot_res!C:C,0)),"Eliminar!!!","")))</f>
        <v/>
      </c>
      <c r="B420" s="115" t="s">
        <v>398</v>
      </c>
      <c r="C420" s="333" t="str">
        <f>VLOOKUP(B420,Tot_res!C:D,2,FALSE)</f>
        <v xml:space="preserve"> Direcc. y Coord. Asist.Jurídica Admón. de la Seg.Soc.</v>
      </c>
      <c r="D420" s="340">
        <f>Saldo_relativo_per_capita!D420*Saldo_relativo_per_capita!D$543/1000000</f>
        <v>0</v>
      </c>
      <c r="E420" s="340">
        <f>Saldo_relativo_per_capita!E420*Saldo_relativo_per_capita!E$543/1000000</f>
        <v>-6.0771168331918021E-2</v>
      </c>
      <c r="F420" s="340">
        <f>Saldo_relativo_per_capita!F420*Saldo_relativo_per_capita!F$543/1000000</f>
        <v>7.9249513285443614E-3</v>
      </c>
      <c r="G420" s="340">
        <f>Saldo_relativo_per_capita!G420*Saldo_relativo_per_capita!G$543/1000000</f>
        <v>2.9699426754565141E-2</v>
      </c>
      <c r="H420" s="340">
        <f>Saldo_relativo_per_capita!H420*Saldo_relativo_per_capita!H$543/1000000</f>
        <v>-1.1704935912762145E-2</v>
      </c>
      <c r="I420" s="340">
        <f>Saldo_relativo_per_capita!I420*Saldo_relativo_per_capita!I$543/1000000</f>
        <v>-2.892221102838443E-2</v>
      </c>
      <c r="J420" s="340">
        <f>Saldo_relativo_per_capita!J420*Saldo_relativo_per_capita!J$543/1000000</f>
        <v>5.5434797798256299E-3</v>
      </c>
      <c r="K420" s="340">
        <f>Saldo_relativo_per_capita!K420*Saldo_relativo_per_capita!K$543/1000000</f>
        <v>1.91533659818687E-2</v>
      </c>
      <c r="L420" s="340">
        <f>Saldo_relativo_per_capita!L420*Saldo_relativo_per_capita!L$543/1000000</f>
        <v>-1.5864869699166007E-2</v>
      </c>
      <c r="M420" s="340">
        <f>Saldo_relativo_per_capita!M420*Saldo_relativo_per_capita!M$543/1000000</f>
        <v>4.44453556048078E-2</v>
      </c>
      <c r="N420" s="340">
        <f>Saldo_relativo_per_capita!N420*Saldo_relativo_per_capita!N$543/1000000</f>
        <v>-2.8739693528899341E-2</v>
      </c>
      <c r="O420" s="340">
        <f>Saldo_relativo_per_capita!O420*Saldo_relativo_per_capita!O$543/1000000</f>
        <v>-6.1710760884409448E-3</v>
      </c>
      <c r="P420" s="340">
        <f>Saldo_relativo_per_capita!P420*Saldo_relativo_per_capita!P$543/1000000</f>
        <v>2.0387997137642791E-2</v>
      </c>
      <c r="Q420" s="340">
        <f>Saldo_relativo_per_capita!Q420*Saldo_relativo_per_capita!Q$543/1000000</f>
        <v>-7.1098583414709038E-3</v>
      </c>
      <c r="R420" s="340">
        <f>Saldo_relativo_per_capita!R420*Saldo_relativo_per_capita!R$543/1000000</f>
        <v>-1.5153622616153691E-2</v>
      </c>
      <c r="S420" s="340">
        <f>Saldo_relativo_per_capita!S420*Saldo_relativo_per_capita!S$543/1000000</f>
        <v>3.0865066012741131E-3</v>
      </c>
      <c r="T420" s="340">
        <f>Saldo_relativo_per_capita!T420*Saldo_relativo_per_capita!T$543/1000000</f>
        <v>4.3528734853552034E-2</v>
      </c>
      <c r="U420" s="340">
        <f>Saldo_relativo_per_capita!U420*Saldo_relativo_per_capita!U$543/1000000</f>
        <v>-1.0379102043083181E-5</v>
      </c>
      <c r="V420" s="340">
        <f>Saldo_relativo_per_capita!V420*Saldo_relativo_per_capita!V$543/1000000</f>
        <v>6.7799660715831878E-4</v>
      </c>
      <c r="W420" s="148"/>
    </row>
    <row r="421" spans="1:23" s="115" customFormat="1">
      <c r="A421" s="355" t="str">
        <f>IF(B421="","",(IF(ISERROR(MATCH(B421,Tot_res!C:C,0)),"Eliminar!!!","")))</f>
        <v/>
      </c>
      <c r="B421" s="115" t="s">
        <v>399</v>
      </c>
      <c r="C421" s="333" t="str">
        <f>VLOOKUP(B421,Tot_res!C:D,2,FALSE)</f>
        <v>Autorizaciones iniciales trabajo</v>
      </c>
      <c r="D421" s="340">
        <f>Saldo_relativo_per_capita!D421*Saldo_relativo_per_capita!D$543/1000000</f>
        <v>0</v>
      </c>
      <c r="E421" s="340">
        <f>Saldo_relativo_per_capita!E421*Saldo_relativo_per_capita!E$543/1000000</f>
        <v>-0.63992866137022508</v>
      </c>
      <c r="F421" s="340">
        <f>Saldo_relativo_per_capita!F421*Saldo_relativo_per_capita!F$543/1000000</f>
        <v>-0.10154199691883022</v>
      </c>
      <c r="G421" s="340">
        <f>Saldo_relativo_per_capita!G421*Saldo_relativo_per_capita!G$543/1000000</f>
        <v>-8.0925575013742299E-2</v>
      </c>
      <c r="H421" s="340">
        <f>Saldo_relativo_per_capita!H421*Saldo_relativo_per_capita!H$543/1000000</f>
        <v>-8.4162528104160111E-2</v>
      </c>
      <c r="I421" s="340">
        <f>Saldo_relativo_per_capita!I421*Saldo_relativo_per_capita!I$543/1000000</f>
        <v>-0.16047012096556187</v>
      </c>
      <c r="J421" s="340">
        <f>Saldo_relativo_per_capita!J421*Saldo_relativo_per_capita!J$543/1000000</f>
        <v>-4.485434062062555E-2</v>
      </c>
      <c r="K421" s="340">
        <f>Saldo_relativo_per_capita!K421*Saldo_relativo_per_capita!K$543/1000000</f>
        <v>-0.19053037583379293</v>
      </c>
      <c r="L421" s="340">
        <f>Saldo_relativo_per_capita!L421*Saldo_relativo_per_capita!L$543/1000000</f>
        <v>-0.15880272632534842</v>
      </c>
      <c r="M421" s="340">
        <f>Saldo_relativo_per_capita!M421*Saldo_relativo_per_capita!M$543/1000000</f>
        <v>2.9950629322339242</v>
      </c>
      <c r="N421" s="340">
        <f>Saldo_relativo_per_capita!N421*Saldo_relativo_per_capita!N$543/1000000</f>
        <v>-0.38445477458693478</v>
      </c>
      <c r="O421" s="340">
        <f>Saldo_relativo_per_capita!O421*Saldo_relativo_per_capita!O$543/1000000</f>
        <v>-8.3726349672585521E-2</v>
      </c>
      <c r="P421" s="340">
        <f>Saldo_relativo_per_capita!P421*Saldo_relativo_per_capita!P$543/1000000</f>
        <v>-0.20952655444305623</v>
      </c>
      <c r="Q421" s="340">
        <f>Saldo_relativo_per_capita!Q421*Saldo_relativo_per_capita!Q$543/1000000</f>
        <v>-0.49203020586105667</v>
      </c>
      <c r="R421" s="340">
        <f>Saldo_relativo_per_capita!R421*Saldo_relativo_per_capita!R$543/1000000</f>
        <v>-0.1116611845528129</v>
      </c>
      <c r="S421" s="340">
        <f>Saldo_relativo_per_capita!S421*Saldo_relativo_per_capita!S$543/1000000</f>
        <v>-4.8833252980362903E-2</v>
      </c>
      <c r="T421" s="340">
        <f>Saldo_relativo_per_capita!T421*Saldo_relativo_per_capita!T$543/1000000</f>
        <v>-0.16644185203053327</v>
      </c>
      <c r="U421" s="340">
        <f>Saldo_relativo_per_capita!U421*Saldo_relativo_per_capita!U$543/1000000</f>
        <v>-2.435566409528063E-2</v>
      </c>
      <c r="V421" s="340">
        <f>Saldo_relativo_per_capita!V421*Saldo_relativo_per_capita!V$543/1000000</f>
        <v>-1.2816768859014352E-2</v>
      </c>
      <c r="W421" s="148"/>
    </row>
    <row r="422" spans="1:23" s="115" customFormat="1">
      <c r="A422" s="355" t="str">
        <f>IF(B422="","",(IF(ISERROR(MATCH(B422,Tot_res!C:C,0)),"Eliminar!!!","")))</f>
        <v/>
      </c>
      <c r="B422" s="115" t="s">
        <v>400</v>
      </c>
      <c r="C422" s="333" t="str">
        <f>VLOOKUP(B422,Tot_res!C:D,2,FALSE)</f>
        <v xml:space="preserve"> Inspección de trabajo</v>
      </c>
      <c r="D422" s="340">
        <f>Saldo_relativo_per_capita!D422*Saldo_relativo_per_capita!D$543/1000000</f>
        <v>0</v>
      </c>
      <c r="E422" s="340">
        <f>Saldo_relativo_per_capita!E422*Saldo_relativo_per_capita!E$543/1000000</f>
        <v>-2.5309988361984406</v>
      </c>
      <c r="F422" s="340">
        <f>Saldo_relativo_per_capita!F422*Saldo_relativo_per_capita!F$543/1000000</f>
        <v>-0.40161144755811823</v>
      </c>
      <c r="G422" s="340">
        <f>Saldo_relativo_per_capita!G422*Saldo_relativo_per_capita!G$543/1000000</f>
        <v>-0.32007088999561639</v>
      </c>
      <c r="H422" s="340">
        <f>Saldo_relativo_per_capita!H422*Saldo_relativo_per_capita!H$543/1000000</f>
        <v>-0.33287344909202254</v>
      </c>
      <c r="I422" s="340">
        <f>Saldo_relativo_per_capita!I422*Saldo_relativo_per_capita!I$543/1000000</f>
        <v>-0.6346796352874805</v>
      </c>
      <c r="J422" s="340">
        <f>Saldo_relativo_per_capita!J422*Saldo_relativo_per_capita!J$543/1000000</f>
        <v>-0.17740459329664574</v>
      </c>
      <c r="K422" s="340">
        <f>Saldo_relativo_per_capita!K422*Saldo_relativo_per_capita!K$543/1000000</f>
        <v>-0.75357174729948562</v>
      </c>
      <c r="L422" s="340">
        <f>Saldo_relativo_per_capita!L422*Saldo_relativo_per_capita!L$543/1000000</f>
        <v>-0.6280848784831401</v>
      </c>
      <c r="M422" s="340">
        <f>Saldo_relativo_per_capita!M422*Saldo_relativo_per_capita!M$543/1000000</f>
        <v>11.845852910531724</v>
      </c>
      <c r="N422" s="340">
        <f>Saldo_relativo_per_capita!N422*Saldo_relativo_per_capita!N$543/1000000</f>
        <v>-1.5205672847453748</v>
      </c>
      <c r="O422" s="340">
        <f>Saldo_relativo_per_capita!O422*Saldo_relativo_per_capita!O$543/1000000</f>
        <v>-0.33114830819846375</v>
      </c>
      <c r="P422" s="340">
        <f>Saldo_relativo_per_capita!P422*Saldo_relativo_per_capita!P$543/1000000</f>
        <v>-0.82870403759152389</v>
      </c>
      <c r="Q422" s="340">
        <f>Saldo_relativo_per_capita!Q422*Saldo_relativo_per_capita!Q$543/1000000</f>
        <v>-1.9460417286862857</v>
      </c>
      <c r="R422" s="340">
        <f>Saldo_relativo_per_capita!R422*Saldo_relativo_per_capita!R$543/1000000</f>
        <v>-0.44163411519429457</v>
      </c>
      <c r="S422" s="340">
        <f>Saldo_relativo_per_capita!S422*Saldo_relativo_per_capita!S$543/1000000</f>
        <v>-0.19314169519526586</v>
      </c>
      <c r="T422" s="340">
        <f>Saldo_relativo_per_capita!T422*Saldo_relativo_per_capita!T$543/1000000</f>
        <v>-0.65829858734874536</v>
      </c>
      <c r="U422" s="340">
        <f>Saldo_relativo_per_capita!U422*Saldo_relativo_per_capita!U$543/1000000</f>
        <v>-9.6329733611246596E-2</v>
      </c>
      <c r="V422" s="340">
        <f>Saldo_relativo_per_capita!V422*Saldo_relativo_per_capita!V$543/1000000</f>
        <v>-5.0691942749572061E-2</v>
      </c>
      <c r="W422" s="148"/>
    </row>
    <row r="423" spans="1:23">
      <c r="A423" s="356"/>
      <c r="B423" s="31"/>
      <c r="D423" s="39"/>
      <c r="E423" s="39"/>
      <c r="F423" s="39"/>
      <c r="G423" s="39"/>
      <c r="H423" s="39"/>
      <c r="I423" s="39"/>
      <c r="J423" s="39"/>
      <c r="K423" s="39"/>
      <c r="L423" s="39"/>
      <c r="M423" s="39"/>
      <c r="N423" s="39"/>
      <c r="O423" s="39"/>
      <c r="P423" s="39"/>
      <c r="Q423" s="39"/>
      <c r="R423" s="39"/>
      <c r="S423" s="39"/>
      <c r="T423" s="39"/>
      <c r="U423" s="39"/>
      <c r="V423" s="39"/>
      <c r="W423" s="35"/>
    </row>
    <row r="424" spans="1:23">
      <c r="A424" s="356"/>
      <c r="D424" s="39"/>
      <c r="E424" s="39"/>
      <c r="F424" s="39"/>
      <c r="G424" s="39"/>
      <c r="H424" s="39"/>
      <c r="I424" s="39"/>
      <c r="J424" s="39"/>
      <c r="K424" s="39"/>
      <c r="L424" s="39"/>
      <c r="M424" s="39"/>
      <c r="N424" s="39"/>
      <c r="O424" s="39"/>
      <c r="P424" s="39"/>
      <c r="Q424" s="39"/>
      <c r="R424" s="39"/>
      <c r="S424" s="39"/>
      <c r="T424" s="39"/>
      <c r="U424" s="39"/>
      <c r="V424" s="39"/>
      <c r="W424" s="35"/>
    </row>
    <row r="425" spans="1:23" s="115" customFormat="1">
      <c r="A425" s="356"/>
      <c r="C425" s="134" t="s">
        <v>65</v>
      </c>
      <c r="D425" s="216">
        <f>Saldo_relativo_per_capita!D425*Saldo_relativo_per_capita!D$543/1000000</f>
        <v>0</v>
      </c>
      <c r="E425" s="216">
        <f>Saldo_relativo_per_capita!E425*Saldo_relativo_per_capita!E$543/1000000</f>
        <v>-81.158803451127</v>
      </c>
      <c r="F425" s="216">
        <f>Saldo_relativo_per_capita!F425*Saldo_relativo_per_capita!F$543/1000000</f>
        <v>332.71391509109139</v>
      </c>
      <c r="G425" s="216">
        <f>Saldo_relativo_per_capita!G425*Saldo_relativo_per_capita!G$543/1000000</f>
        <v>-30.200868554696171</v>
      </c>
      <c r="H425" s="216">
        <f>Saldo_relativo_per_capita!H425*Saldo_relativo_per_capita!H$543/1000000</f>
        <v>-162.68274160732199</v>
      </c>
      <c r="I425" s="216">
        <f>Saldo_relativo_per_capita!I425*Saldo_relativo_per_capita!I$543/1000000</f>
        <v>-24.993801111128612</v>
      </c>
      <c r="J425" s="216">
        <f>Saldo_relativo_per_capita!J425*Saldo_relativo_per_capita!J$543/1000000</f>
        <v>-5.3726392372681673</v>
      </c>
      <c r="K425" s="216">
        <f>Saldo_relativo_per_capita!K425*Saldo_relativo_per_capita!K$543/1000000</f>
        <v>1098.2947156576884</v>
      </c>
      <c r="L425" s="216">
        <f>Saldo_relativo_per_capita!L425*Saldo_relativo_per_capita!L$543/1000000</f>
        <v>986.15210754139343</v>
      </c>
      <c r="M425" s="216">
        <f>Saldo_relativo_per_capita!M425*Saldo_relativo_per_capita!M$543/1000000</f>
        <v>-876.29894059245885</v>
      </c>
      <c r="N425" s="216">
        <f>Saldo_relativo_per_capita!N425*Saldo_relativo_per_capita!N$543/1000000</f>
        <v>-706.4925194891398</v>
      </c>
      <c r="O425" s="216">
        <f>Saldo_relativo_per_capita!O425*Saldo_relativo_per_capita!O$543/1000000</f>
        <v>559.63758159971144</v>
      </c>
      <c r="P425" s="216">
        <f>Saldo_relativo_per_capita!P425*Saldo_relativo_per_capita!P$543/1000000</f>
        <v>113.10943384324197</v>
      </c>
      <c r="Q425" s="216">
        <f>Saldo_relativo_per_capita!Q425*Saldo_relativo_per_capita!Q$543/1000000</f>
        <v>-1056.4753130005815</v>
      </c>
      <c r="R425" s="216">
        <f>Saldo_relativo_per_capita!R425*Saldo_relativo_per_capita!R$543/1000000</f>
        <v>-61.703859017298356</v>
      </c>
      <c r="S425" s="216">
        <f>Saldo_relativo_per_capita!S425*Saldo_relativo_per_capita!S$543/1000000</f>
        <v>35.375563282979073</v>
      </c>
      <c r="T425" s="216">
        <f>Saldo_relativo_per_capita!T425*Saldo_relativo_per_capita!T$543/1000000</f>
        <v>-164.76491598150545</v>
      </c>
      <c r="U425" s="216">
        <f>Saldo_relativo_per_capita!U425*Saldo_relativo_per_capita!U$543/1000000</f>
        <v>8.3564130812879629</v>
      </c>
      <c r="V425" s="216">
        <f>Saldo_relativo_per_capita!V425*Saldo_relativo_per_capita!V$543/1000000</f>
        <v>36.504671945133921</v>
      </c>
      <c r="W425" s="148"/>
    </row>
    <row r="426" spans="1:23" s="115" customFormat="1">
      <c r="A426" s="356"/>
      <c r="C426" s="134"/>
      <c r="D426" s="218"/>
      <c r="E426" s="218"/>
      <c r="F426" s="218"/>
      <c r="G426" s="218"/>
      <c r="H426" s="218"/>
      <c r="I426" s="218"/>
      <c r="J426" s="218"/>
      <c r="K426" s="218"/>
      <c r="L426" s="218"/>
      <c r="M426" s="218"/>
      <c r="N426" s="218"/>
      <c r="O426" s="218"/>
      <c r="P426" s="218"/>
      <c r="Q426" s="218"/>
      <c r="R426" s="218"/>
      <c r="S426" s="218"/>
      <c r="T426" s="218"/>
      <c r="U426" s="218"/>
      <c r="V426" s="218"/>
      <c r="W426" s="220"/>
    </row>
    <row r="427" spans="1:23" s="115" customFormat="1">
      <c r="A427" s="356"/>
      <c r="C427" s="128" t="s">
        <v>82</v>
      </c>
      <c r="D427" s="219">
        <f>Saldo_relativo_per_capita!D427*Saldo_relativo_per_capita!D$543/1000000</f>
        <v>0</v>
      </c>
      <c r="E427" s="219">
        <f>Saldo_relativo_per_capita!E427*Saldo_relativo_per_capita!E$543/1000000</f>
        <v>113.79639902408897</v>
      </c>
      <c r="F427" s="219">
        <f>Saldo_relativo_per_capita!F427*Saldo_relativo_per_capita!F$543/1000000</f>
        <v>-15.028804472332544</v>
      </c>
      <c r="G427" s="219">
        <f>Saldo_relativo_per_capita!G427*Saldo_relativo_per_capita!G$543/1000000</f>
        <v>7.6143338813609924</v>
      </c>
      <c r="H427" s="219">
        <f>Saldo_relativo_per_capita!H427*Saldo_relativo_per_capita!H$543/1000000</f>
        <v>-23.894488396205801</v>
      </c>
      <c r="I427" s="219">
        <f>Saldo_relativo_per_capita!I427*Saldo_relativo_per_capita!I$543/1000000</f>
        <v>23.383536841128166</v>
      </c>
      <c r="J427" s="219">
        <f>Saldo_relativo_per_capita!J427*Saldo_relativo_per_capita!J$543/1000000</f>
        <v>-3.2229792569460676</v>
      </c>
      <c r="K427" s="219">
        <f>Saldo_relativo_per_capita!K427*Saldo_relativo_per_capita!K$543/1000000</f>
        <v>-26.476153603762899</v>
      </c>
      <c r="L427" s="219">
        <f>Saldo_relativo_per_capita!L427*Saldo_relativo_per_capita!L$543/1000000</f>
        <v>-26.781303258678413</v>
      </c>
      <c r="M427" s="219">
        <f>Saldo_relativo_per_capita!M427*Saldo_relativo_per_capita!M$543/1000000</f>
        <v>-102.57205174164415</v>
      </c>
      <c r="N427" s="219">
        <f>Saldo_relativo_per_capita!N427*Saldo_relativo_per_capita!N$543/1000000</f>
        <v>-77.629173510217313</v>
      </c>
      <c r="O427" s="219">
        <f>Saldo_relativo_per_capita!O427*Saldo_relativo_per_capita!O$543/1000000</f>
        <v>44.24382608769065</v>
      </c>
      <c r="P427" s="219">
        <f>Saldo_relativo_per_capita!P427*Saldo_relativo_per_capita!P$543/1000000</f>
        <v>5.3744613441030014</v>
      </c>
      <c r="Q427" s="219">
        <f>Saldo_relativo_per_capita!Q427*Saldo_relativo_per_capita!Q$543/1000000</f>
        <v>-6.963209313457817</v>
      </c>
      <c r="R427" s="219">
        <f>Saldo_relativo_per_capita!R427*Saldo_relativo_per_capita!R$543/1000000</f>
        <v>-12.985559522095604</v>
      </c>
      <c r="S427" s="219">
        <f>Saldo_relativo_per_capita!S427*Saldo_relativo_per_capita!S$543/1000000</f>
        <v>-7.0063051756139965</v>
      </c>
      <c r="T427" s="219">
        <f>Saldo_relativo_per_capita!T427*Saldo_relativo_per_capita!T$543/1000000</f>
        <v>45.316742302262888</v>
      </c>
      <c r="U427" s="219">
        <f>Saldo_relativo_per_capita!U427*Saldo_relativo_per_capita!U$543/1000000</f>
        <v>-5.7083086512056322</v>
      </c>
      <c r="V427" s="219">
        <f>Saldo_relativo_per_capita!V427*Saldo_relativo_per_capita!V$543/1000000</f>
        <v>68.539037421526217</v>
      </c>
      <c r="W427" s="148"/>
    </row>
    <row r="428" spans="1:23" s="115" customFormat="1">
      <c r="A428" s="355" t="str">
        <f>IF(B428="","",(IF(ISERROR(MATCH(B428,Tot_res!C:C,0)),"Eliminar!!!","")))</f>
        <v/>
      </c>
      <c r="B428" s="119" t="s">
        <v>401</v>
      </c>
      <c r="C428" s="333" t="str">
        <f>VLOOKUP(B428,Tot_res!C:D,2,FALSE)</f>
        <v>Fomento de la inserción y estabilidad laboral+ AF20/1</v>
      </c>
      <c r="D428" s="340">
        <f>Saldo_relativo_per_capita!D428*Saldo_relativo_per_capita!D$543/1000000</f>
        <v>0</v>
      </c>
      <c r="E428" s="340">
        <f>Saldo_relativo_per_capita!E428*Saldo_relativo_per_capita!E$543/1000000</f>
        <v>114.34427447329509</v>
      </c>
      <c r="F428" s="340">
        <f>Saldo_relativo_per_capita!F428*Saldo_relativo_per_capita!F$543/1000000</f>
        <v>-14.121221620259153</v>
      </c>
      <c r="G428" s="340">
        <f>Saldo_relativo_per_capita!G428*Saldo_relativo_per_capita!G$543/1000000</f>
        <v>5.4461057469524627</v>
      </c>
      <c r="H428" s="340">
        <f>Saldo_relativo_per_capita!H428*Saldo_relativo_per_capita!H$543/1000000</f>
        <v>-24.959062698041159</v>
      </c>
      <c r="I428" s="340">
        <f>Saldo_relativo_per_capita!I428*Saldo_relativo_per_capita!I$543/1000000</f>
        <v>22.756447798808107</v>
      </c>
      <c r="J428" s="340">
        <f>Saldo_relativo_per_capita!J428*Saldo_relativo_per_capita!J$543/1000000</f>
        <v>-2.8267400020012383</v>
      </c>
      <c r="K428" s="340">
        <f>Saldo_relativo_per_capita!K428*Saldo_relativo_per_capita!K$543/1000000</f>
        <v>-23.062310174035012</v>
      </c>
      <c r="L428" s="340">
        <f>Saldo_relativo_per_capita!L428*Saldo_relativo_per_capita!L$543/1000000</f>
        <v>-22.366394401560367</v>
      </c>
      <c r="M428" s="340">
        <f>Saldo_relativo_per_capita!M428*Saldo_relativo_per_capita!M$543/1000000</f>
        <v>-100.56563477406328</v>
      </c>
      <c r="N428" s="340">
        <f>Saldo_relativo_per_capita!N428*Saldo_relativo_per_capita!N$543/1000000</f>
        <v>-72.310804393261762</v>
      </c>
      <c r="O428" s="340">
        <f>Saldo_relativo_per_capita!O428*Saldo_relativo_per_capita!O$543/1000000</f>
        <v>46.190089573191514</v>
      </c>
      <c r="P428" s="340">
        <f>Saldo_relativo_per_capita!P428*Saldo_relativo_per_capita!P$543/1000000</f>
        <v>-10.037820000764443</v>
      </c>
      <c r="Q428" s="340">
        <f>Saldo_relativo_per_capita!Q428*Saldo_relativo_per_capita!Q$543/1000000</f>
        <v>-6.719628420474117</v>
      </c>
      <c r="R428" s="340">
        <f>Saldo_relativo_per_capita!R428*Saldo_relativo_per_capita!R$543/1000000</f>
        <v>-11.477050165804313</v>
      </c>
      <c r="S428" s="340">
        <f>Saldo_relativo_per_capita!S428*Saldo_relativo_per_capita!S$543/1000000</f>
        <v>-6.4660533644775908</v>
      </c>
      <c r="T428" s="340">
        <f>Saldo_relativo_per_capita!T428*Saldo_relativo_per_capita!T$543/1000000</f>
        <v>42.928697858604259</v>
      </c>
      <c r="U428" s="340">
        <f>Saldo_relativo_per_capita!U428*Saldo_relativo_per_capita!U$543/1000000</f>
        <v>-5.5340225845645641</v>
      </c>
      <c r="V428" s="340">
        <f>Saldo_relativo_per_capita!V428*Saldo_relativo_per_capita!V$543/1000000</f>
        <v>68.781127148455639</v>
      </c>
      <c r="W428" s="148"/>
    </row>
    <row r="429" spans="1:23" s="115" customFormat="1">
      <c r="A429" s="355" t="str">
        <f>IF(B429="","",(IF(ISERROR(MATCH(B429,Tot_res!C:C,0)),"Eliminar!!!","")))</f>
        <v/>
      </c>
      <c r="B429" s="119" t="s">
        <v>402</v>
      </c>
      <c r="C429" s="333" t="str">
        <f>VLOOKUP(B429,Tot_res!C:D,2,FALSE)</f>
        <v>Desarrollo de la economía social y del Fondo Social Europeo</v>
      </c>
      <c r="D429" s="340">
        <f>Saldo_relativo_per_capita!D429*Saldo_relativo_per_capita!D$543/1000000</f>
        <v>0</v>
      </c>
      <c r="E429" s="340">
        <f>Saldo_relativo_per_capita!E429*Saldo_relativo_per_capita!E$543/1000000</f>
        <v>0.30037613499415411</v>
      </c>
      <c r="F429" s="340">
        <f>Saldo_relativo_per_capita!F429*Saldo_relativo_per_capita!F$543/1000000</f>
        <v>-3.3374804845058427E-2</v>
      </c>
      <c r="G429" s="340">
        <f>Saldo_relativo_per_capita!G429*Saldo_relativo_per_capita!G$543/1000000</f>
        <v>-3.0415567411683771E-2</v>
      </c>
      <c r="H429" s="340">
        <f>Saldo_relativo_per_capita!H429*Saldo_relativo_per_capita!H$543/1000000</f>
        <v>-9.0400169962393556E-2</v>
      </c>
      <c r="I429" s="340">
        <f>Saldo_relativo_per_capita!I429*Saldo_relativo_per_capita!I$543/1000000</f>
        <v>-0.14139428989407721</v>
      </c>
      <c r="J429" s="340">
        <f>Saldo_relativo_per_capita!J429*Saldo_relativo_per_capita!J$543/1000000</f>
        <v>-3.3903226401224819E-2</v>
      </c>
      <c r="K429" s="340">
        <f>Saldo_relativo_per_capita!K429*Saldo_relativo_per_capita!K$543/1000000</f>
        <v>-7.4217881783420966E-2</v>
      </c>
      <c r="L429" s="340">
        <f>Saldo_relativo_per_capita!L429*Saldo_relativo_per_capita!L$543/1000000</f>
        <v>-1.6363365832964556E-2</v>
      </c>
      <c r="M429" s="340">
        <f>Saldo_relativo_per_capita!M429*Saldo_relativo_per_capita!M$543/1000000</f>
        <v>-0.26695666197181683</v>
      </c>
      <c r="N429" s="340">
        <f>Saldo_relativo_per_capita!N429*Saldo_relativo_per_capita!N$543/1000000</f>
        <v>0.39993759658008216</v>
      </c>
      <c r="O429" s="340">
        <f>Saldo_relativo_per_capita!O429*Saldo_relativo_per_capita!O$543/1000000</f>
        <v>-1.2242334657022229E-2</v>
      </c>
      <c r="P429" s="340">
        <f>Saldo_relativo_per_capita!P429*Saldo_relativo_per_capita!P$543/1000000</f>
        <v>-0.14069798634546121</v>
      </c>
      <c r="Q429" s="340">
        <f>Saldo_relativo_per_capita!Q429*Saldo_relativo_per_capita!Q$543/1000000</f>
        <v>-0.36544266729392305</v>
      </c>
      <c r="R429" s="340">
        <f>Saldo_relativo_per_capita!R429*Saldo_relativo_per_capita!R$543/1000000</f>
        <v>0.14533159348036717</v>
      </c>
      <c r="S429" s="340">
        <f>Saldo_relativo_per_capita!S429*Saldo_relativo_per_capita!S$543/1000000</f>
        <v>6.619777470955264E-2</v>
      </c>
      <c r="T429" s="340">
        <f>Saldo_relativo_per_capita!T429*Saldo_relativo_per_capita!T$543/1000000</f>
        <v>0.32196388659577113</v>
      </c>
      <c r="U429" s="340">
        <f>Saldo_relativo_per_capita!U429*Saldo_relativo_per_capita!U$543/1000000</f>
        <v>-1.7192024238880364E-2</v>
      </c>
      <c r="V429" s="340">
        <f>Saldo_relativo_per_capita!V429*Saldo_relativo_per_capita!V$543/1000000</f>
        <v>-1.1206005722001004E-2</v>
      </c>
      <c r="W429" s="148"/>
    </row>
    <row r="430" spans="1:23" s="115" customFormat="1">
      <c r="A430" s="355" t="str">
        <f>IF(B430="","",(IF(ISERROR(MATCH(B430,Tot_res!C:C,0)),"Eliminar!!!","")))</f>
        <v/>
      </c>
      <c r="B430" s="115" t="s">
        <v>403</v>
      </c>
      <c r="C430" s="333" t="str">
        <f>VLOOKUP(B430,Tot_res!C:D,2,FALSE)</f>
        <v>Regulación y protección de la propiedad industrial</v>
      </c>
      <c r="D430" s="340">
        <f>Saldo_relativo_per_capita!D430*Saldo_relativo_per_capita!D$543/1000000</f>
        <v>0</v>
      </c>
      <c r="E430" s="340">
        <f>Saldo_relativo_per_capita!E430*Saldo_relativo_per_capita!E$543/1000000</f>
        <v>-1.7799270309952844</v>
      </c>
      <c r="F430" s="340">
        <f>Saldo_relativo_per_capita!F430*Saldo_relativo_per_capita!F$543/1000000</f>
        <v>0.12807946820244193</v>
      </c>
      <c r="G430" s="340">
        <f>Saldo_relativo_per_capita!G430*Saldo_relativo_per_capita!G$543/1000000</f>
        <v>-0.10219473451307411</v>
      </c>
      <c r="H430" s="340">
        <f>Saldo_relativo_per_capita!H430*Saldo_relativo_per_capita!H$543/1000000</f>
        <v>5.8796735191675061E-2</v>
      </c>
      <c r="I430" s="340">
        <f>Saldo_relativo_per_capita!I430*Saldo_relativo_per_capita!I$543/1000000</f>
        <v>-0.24492298576802063</v>
      </c>
      <c r="J430" s="340">
        <f>Saldo_relativo_per_capita!J430*Saldo_relativo_per_capita!J$543/1000000</f>
        <v>-4.6136746889103311E-2</v>
      </c>
      <c r="K430" s="340">
        <f>Saldo_relativo_per_capita!K430*Saldo_relativo_per_capita!K$543/1000000</f>
        <v>-0.11253658956315429</v>
      </c>
      <c r="L430" s="340">
        <f>Saldo_relativo_per_capita!L430*Saldo_relativo_per_capita!L$543/1000000</f>
        <v>-0.34419736672770052</v>
      </c>
      <c r="M430" s="340">
        <f>Saldo_relativo_per_capita!M430*Saldo_relativo_per_capita!M$543/1000000</f>
        <v>1.1102636909064236</v>
      </c>
      <c r="N430" s="340">
        <f>Saldo_relativo_per_capita!N430*Saldo_relativo_per_capita!N$543/1000000</f>
        <v>-0.58225117669870818</v>
      </c>
      <c r="O430" s="340">
        <f>Saldo_relativo_per_capita!O430*Saldo_relativo_per_capita!O$543/1000000</f>
        <v>-0.28256112363874408</v>
      </c>
      <c r="P430" s="340">
        <f>Saldo_relativo_per_capita!P430*Saldo_relativo_per_capita!P$543/1000000</f>
        <v>-0.25481994819811299</v>
      </c>
      <c r="Q430" s="340">
        <f>Saldo_relativo_per_capita!Q430*Saldo_relativo_per_capita!Q$543/1000000</f>
        <v>1.9906719929741474</v>
      </c>
      <c r="R430" s="340">
        <f>Saldo_relativo_per_capita!R430*Saldo_relativo_per_capita!R$543/1000000</f>
        <v>-0.21545365227469618</v>
      </c>
      <c r="S430" s="340">
        <f>Saldo_relativo_per_capita!S430*Saldo_relativo_per_capita!S$543/1000000</f>
        <v>0.12884317865938791</v>
      </c>
      <c r="T430" s="340">
        <f>Saldo_relativo_per_capita!T430*Saldo_relativo_per_capita!T$543/1000000</f>
        <v>0.5556870749254349</v>
      </c>
      <c r="U430" s="340">
        <f>Saldo_relativo_per_capita!U430*Saldo_relativo_per_capita!U$543/1000000</f>
        <v>2.0843409414209476E-2</v>
      </c>
      <c r="V430" s="340">
        <f>Saldo_relativo_per_capita!V430*Saldo_relativo_per_capita!V$543/1000000</f>
        <v>-2.8184195007118048E-2</v>
      </c>
      <c r="W430" s="148"/>
    </row>
    <row r="431" spans="1:23" s="115" customFormat="1">
      <c r="A431" s="355" t="str">
        <f>IF(B431="","",(IF(ISERROR(MATCH(B431,Tot_res!C:C,0)),"Eliminar!!!","")))</f>
        <v/>
      </c>
      <c r="B431" s="115" t="s">
        <v>404</v>
      </c>
      <c r="C431" s="333" t="str">
        <f>VLOOKUP(B431,Tot_res!C:D,2,FALSE)</f>
        <v>Apoyo a la pequeña y mediana empresa</v>
      </c>
      <c r="D431" s="340">
        <f>Saldo_relativo_per_capita!D431*Saldo_relativo_per_capita!D$543/1000000</f>
        <v>0</v>
      </c>
      <c r="E431" s="340">
        <f>Saldo_relativo_per_capita!E431*Saldo_relativo_per_capita!E$543/1000000</f>
        <v>-1.4082853945870644</v>
      </c>
      <c r="F431" s="340">
        <f>Saldo_relativo_per_capita!F431*Saldo_relativo_per_capita!F$543/1000000</f>
        <v>5.6177901278247927E-2</v>
      </c>
      <c r="G431" s="340">
        <f>Saldo_relativo_per_capita!G431*Saldo_relativo_per_capita!G$543/1000000</f>
        <v>-0.16517535087960064</v>
      </c>
      <c r="H431" s="340">
        <f>Saldo_relativo_per_capita!H431*Saldo_relativo_per_capita!H$543/1000000</f>
        <v>0.18011482269462392</v>
      </c>
      <c r="I431" s="340">
        <f>Saldo_relativo_per_capita!I431*Saldo_relativo_per_capita!I$543/1000000</f>
        <v>-2.2427109915581497E-2</v>
      </c>
      <c r="J431" s="340">
        <f>Saldo_relativo_per_capita!J431*Saldo_relativo_per_capita!J$543/1000000</f>
        <v>-3.867713725855107E-2</v>
      </c>
      <c r="K431" s="340">
        <f>Saldo_relativo_per_capita!K431*Saldo_relativo_per_capita!K$543/1000000</f>
        <v>-0.31669894424528616</v>
      </c>
      <c r="L431" s="340">
        <f>Saldo_relativo_per_capita!L431*Saldo_relativo_per_capita!L$543/1000000</f>
        <v>-0.38654669734053099</v>
      </c>
      <c r="M431" s="340">
        <f>Saldo_relativo_per_capita!M431*Saldo_relativo_per_capita!M$543/1000000</f>
        <v>1.4580093092079836</v>
      </c>
      <c r="N431" s="340">
        <f>Saldo_relativo_per_capita!N431*Saldo_relativo_per_capita!N$543/1000000</f>
        <v>-0.34078216972783171</v>
      </c>
      <c r="O431" s="340">
        <f>Saldo_relativo_per_capita!O431*Saldo_relativo_per_capita!O$543/1000000</f>
        <v>-0.21027130636891489</v>
      </c>
      <c r="P431" s="340">
        <f>Saldo_relativo_per_capita!P431*Saldo_relativo_per_capita!P$543/1000000</f>
        <v>-0.16901048074469877</v>
      </c>
      <c r="Q431" s="340">
        <f>Saldo_relativo_per_capita!Q431*Saldo_relativo_per_capita!Q$543/1000000</f>
        <v>0.96118125009308941</v>
      </c>
      <c r="R431" s="340">
        <f>Saldo_relativo_per_capita!R431*Saldo_relativo_per_capita!R$543/1000000</f>
        <v>-1.3093577428901807E-3</v>
      </c>
      <c r="S431" s="340">
        <f>Saldo_relativo_per_capita!S431*Saldo_relativo_per_capita!S$543/1000000</f>
        <v>9.6102433868821655E-2</v>
      </c>
      <c r="T431" s="340">
        <f>Saldo_relativo_per_capita!T431*Saldo_relativo_per_capita!T$543/1000000</f>
        <v>0.33838434773014359</v>
      </c>
      <c r="U431" s="340">
        <f>Saldo_relativo_per_capita!U431*Saldo_relativo_per_capita!U$543/1000000</f>
        <v>3.0858432575281366E-2</v>
      </c>
      <c r="V431" s="340">
        <f>Saldo_relativo_per_capita!V431*Saldo_relativo_per_capita!V$543/1000000</f>
        <v>-6.1644548637240587E-2</v>
      </c>
      <c r="W431" s="148"/>
    </row>
    <row r="432" spans="1:23" s="115" customFormat="1">
      <c r="A432" s="355" t="str">
        <f>IF(B432="","",(IF(ISERROR(MATCH(B432,Tot_res!C:C,0)),"Eliminar!!!","")))</f>
        <v/>
      </c>
      <c r="B432" s="115" t="s">
        <v>405</v>
      </c>
      <c r="C432" s="333" t="str">
        <f>VLOOKUP(B432,Tot_res!C:D,2,FALSE)</f>
        <v>Administración de las relaciones laborales y condiciones de trabajo</v>
      </c>
      <c r="D432" s="340">
        <f>Saldo_relativo_per_capita!D432*Saldo_relativo_per_capita!D$543/1000000</f>
        <v>0</v>
      </c>
      <c r="E432" s="340">
        <f>Saldo_relativo_per_capita!E432*Saldo_relativo_per_capita!E$543/1000000</f>
        <v>-2.6509335355311321</v>
      </c>
      <c r="F432" s="340">
        <f>Saldo_relativo_per_capita!F432*Saldo_relativo_per_capita!F$543/1000000</f>
        <v>-0.21675422277441767</v>
      </c>
      <c r="G432" s="340">
        <f>Saldo_relativo_per_capita!G432*Saldo_relativo_per_capita!G$543/1000000</f>
        <v>1.7533293888589776</v>
      </c>
      <c r="H432" s="340">
        <f>Saldo_relativo_per_capita!H432*Saldo_relativo_per_capita!H$543/1000000</f>
        <v>0.22618491711549324</v>
      </c>
      <c r="I432" s="340">
        <f>Saldo_relativo_per_capita!I432*Saldo_relativo_per_capita!I$543/1000000</f>
        <v>-0.28569323040455352</v>
      </c>
      <c r="J432" s="340">
        <f>Saldo_relativo_per_capita!J432*Saldo_relativo_per_capita!J$543/1000000</f>
        <v>-0.14219734200654027</v>
      </c>
      <c r="K432" s="340">
        <f>Saldo_relativo_per_capita!K432*Saldo_relativo_per_capita!K$543/1000000</f>
        <v>-0.55952472858553903</v>
      </c>
      <c r="L432" s="340">
        <f>Saldo_relativo_per_capita!L432*Saldo_relativo_per_capita!L$543/1000000</f>
        <v>-0.62885072761056859</v>
      </c>
      <c r="M432" s="340">
        <f>Saldo_relativo_per_capita!M432*Saldo_relativo_per_capita!M$543/1000000</f>
        <v>-0.40959065195517319</v>
      </c>
      <c r="N432" s="340">
        <f>Saldo_relativo_per_capita!N432*Saldo_relativo_per_capita!N$543/1000000</f>
        <v>-0.77187138186127779</v>
      </c>
      <c r="O432" s="340">
        <f>Saldo_relativo_per_capita!O432*Saldo_relativo_per_capita!O$543/1000000</f>
        <v>-0.36104578784993929</v>
      </c>
      <c r="P432" s="340">
        <f>Saldo_relativo_per_capita!P432*Saldo_relativo_per_capita!P$543/1000000</f>
        <v>0.94460410217112845</v>
      </c>
      <c r="Q432" s="340">
        <f>Saldo_relativo_per_capita!Q432*Saldo_relativo_per_capita!Q$543/1000000</f>
        <v>3.8877064597985669</v>
      </c>
      <c r="R432" s="340">
        <f>Saldo_relativo_per_capita!R432*Saldo_relativo_per_capita!R$543/1000000</f>
        <v>-0.34179891947602964</v>
      </c>
      <c r="S432" s="340">
        <f>Saldo_relativo_per_capita!S432*Saldo_relativo_per_capita!S$543/1000000</f>
        <v>-8.075395443685103E-2</v>
      </c>
      <c r="T432" s="340">
        <f>Saldo_relativo_per_capita!T432*Saldo_relativo_per_capita!T$543/1000000</f>
        <v>-0.25284710893708251</v>
      </c>
      <c r="U432" s="340">
        <f>Saldo_relativo_per_capita!U432*Saldo_relativo_per_capita!U$543/1000000</f>
        <v>-6.0524384050476471E-2</v>
      </c>
      <c r="V432" s="340">
        <f>Saldo_relativo_per_capita!V432*Saldo_relativo_per_capita!V$543/1000000</f>
        <v>-4.9438892464586631E-2</v>
      </c>
      <c r="W432" s="148"/>
    </row>
    <row r="433" spans="1:23" s="115" customFormat="1">
      <c r="A433" s="355" t="str">
        <f>IF(B433="","",(IF(ISERROR(MATCH(B433,Tot_res!C:C,0)),"Eliminar!!!","")))</f>
        <v/>
      </c>
      <c r="B433" s="115" t="s">
        <v>900</v>
      </c>
      <c r="C433" s="333" t="str">
        <f>VLOOKUP(B433,Tot_res!C:D,2,FALSE)</f>
        <v xml:space="preserve"> Previsión y política económica, subvenciones a préstamos ICO </v>
      </c>
      <c r="D433" s="340">
        <f>Saldo_relativo_per_capita!D433*Saldo_relativo_per_capita!D$543/1000000</f>
        <v>0</v>
      </c>
      <c r="E433" s="340">
        <f>Saldo_relativo_per_capita!E433*Saldo_relativo_per_capita!E$543/1000000</f>
        <v>-1.3875718937904853</v>
      </c>
      <c r="F433" s="340">
        <f>Saldo_relativo_per_capita!F433*Saldo_relativo_per_capita!F$543/1000000</f>
        <v>0.10002031148627945</v>
      </c>
      <c r="G433" s="340">
        <f>Saldo_relativo_per_capita!G433*Saldo_relativo_per_capita!G$543/1000000</f>
        <v>-7.9615578580250493E-2</v>
      </c>
      <c r="H433" s="340">
        <f>Saldo_relativo_per_capita!H433*Saldo_relativo_per_capita!H$543/1000000</f>
        <v>4.5959994097540445E-2</v>
      </c>
      <c r="I433" s="340">
        <f>Saldo_relativo_per_capita!I433*Saldo_relativo_per_capita!I$543/1000000</f>
        <v>-0.19084852739143371</v>
      </c>
      <c r="J433" s="340">
        <f>Saldo_relativo_per_capita!J433*Saldo_relativo_per_capita!J$543/1000000</f>
        <v>-3.5933382252499466E-2</v>
      </c>
      <c r="K433" s="340">
        <f>Saldo_relativo_per_capita!K433*Saldo_relativo_per_capita!K$543/1000000</f>
        <v>-8.7553039931704935E-2</v>
      </c>
      <c r="L433" s="340">
        <f>Saldo_relativo_per_capita!L433*Saldo_relativo_per_capita!L$543/1000000</f>
        <v>-0.27091652746524691</v>
      </c>
      <c r="M433" s="340">
        <f>Saldo_relativo_per_capita!M433*Saldo_relativo_per_capita!M$543/1000000</f>
        <v>0.86666919368430706</v>
      </c>
      <c r="N433" s="340">
        <f>Saldo_relativo_per_capita!N433*Saldo_relativo_per_capita!N$543/1000000</f>
        <v>-0.45467756905067253</v>
      </c>
      <c r="O433" s="340">
        <f>Saldo_relativo_per_capita!O433*Saldo_relativo_per_capita!O$543/1000000</f>
        <v>-0.22029628679582591</v>
      </c>
      <c r="P433" s="340">
        <f>Saldo_relativo_per_capita!P433*Saldo_relativo_per_capita!P$543/1000000</f>
        <v>-0.1985102858745727</v>
      </c>
      <c r="Q433" s="340">
        <f>Saldo_relativo_per_capita!Q433*Saldo_relativo_per_capita!Q$543/1000000</f>
        <v>1.5526953861882122</v>
      </c>
      <c r="R433" s="340">
        <f>Saldo_relativo_per_capita!R433*Saldo_relativo_per_capita!R$543/1000000</f>
        <v>-0.16792022080278829</v>
      </c>
      <c r="S433" s="340">
        <f>Saldo_relativo_per_capita!S433*Saldo_relativo_per_capita!S$543/1000000</f>
        <v>0.10055392200409662</v>
      </c>
      <c r="T433" s="340">
        <f>Saldo_relativo_per_capita!T433*Saldo_relativo_per_capita!T$543/1000000</f>
        <v>0.4336264662249843</v>
      </c>
      <c r="U433" s="340">
        <f>Saldo_relativo_per_capita!U433*Saldo_relativo_per_capita!U$543/1000000</f>
        <v>1.6286338156692361E-2</v>
      </c>
      <c r="V433" s="340">
        <f>Saldo_relativo_per_capita!V433*Saldo_relativo_per_capita!V$543/1000000</f>
        <v>-2.1968299906637765E-2</v>
      </c>
      <c r="W433" s="148"/>
    </row>
    <row r="434" spans="1:23" s="115" customFormat="1">
      <c r="A434" s="355" t="str">
        <f>IF(B434="","",(IF(ISERROR(MATCH(B434,Tot_res!C:C,0)),"Eliminar!!!","")))</f>
        <v/>
      </c>
      <c r="B434" s="115" t="s">
        <v>902</v>
      </c>
      <c r="C434" s="333" t="str">
        <f>VLOOKUP(B434,Tot_res!C:D,2,FALSE)</f>
        <v>Otros Servicios Sociales, formación y gestión del empleo y del desempleo, ISM</v>
      </c>
      <c r="D434" s="340">
        <f>Saldo_relativo_per_capita!D434*Saldo_relativo_per_capita!D$543/1000000</f>
        <v>0</v>
      </c>
      <c r="E434" s="340">
        <f>Saldo_relativo_per_capita!E434*Saldo_relativo_per_capita!E$543/1000000</f>
        <v>0.80862552012378419</v>
      </c>
      <c r="F434" s="340">
        <f>Saldo_relativo_per_capita!F434*Saldo_relativo_per_capita!F$543/1000000</f>
        <v>-0.32783103749025405</v>
      </c>
      <c r="G434" s="340">
        <f>Saldo_relativo_per_capita!G434*Saldo_relativo_per_capita!G$543/1000000</f>
        <v>-4.5575063341128347E-2</v>
      </c>
      <c r="H434" s="340">
        <f>Saldo_relativo_per_capita!H434*Saldo_relativo_per_capita!H$543/1000000</f>
        <v>-6.2670090374649226E-2</v>
      </c>
      <c r="I434" s="340">
        <f>Saldo_relativo_per_capita!I434*Saldo_relativo_per_capita!I$543/1000000</f>
        <v>1.40288353366567</v>
      </c>
      <c r="J434" s="340">
        <f>Saldo_relativo_per_capita!J434*Saldo_relativo_per_capita!J$543/1000000</f>
        <v>2.3874558081921058E-3</v>
      </c>
      <c r="K434" s="340">
        <f>Saldo_relativo_per_capita!K434*Saldo_relativo_per_capita!K$543/1000000</f>
        <v>-0.61513238540040249</v>
      </c>
      <c r="L434" s="340">
        <f>Saldo_relativo_per_capita!L434*Saldo_relativo_per_capita!L$543/1000000</f>
        <v>-0.51269882518792209</v>
      </c>
      <c r="M434" s="340">
        <f>Saldo_relativo_per_capita!M434*Saldo_relativo_per_capita!M$543/1000000</f>
        <v>-1.5995286047821806</v>
      </c>
      <c r="N434" s="340">
        <f>Saldo_relativo_per_capita!N434*Saldo_relativo_per_capita!N$543/1000000</f>
        <v>-0.52257176543996442</v>
      </c>
      <c r="O434" s="340">
        <f>Saldo_relativo_per_capita!O434*Saldo_relativo_per_capita!O$543/1000000</f>
        <v>-0.27031274656117638</v>
      </c>
      <c r="P434" s="340">
        <f>Saldo_relativo_per_capita!P434*Saldo_relativo_per_capita!P$543/1000000</f>
        <v>3.4064810827788414</v>
      </c>
      <c r="Q434" s="340">
        <f>Saldo_relativo_per_capita!Q434*Saldo_relativo_per_capita!Q$543/1000000</f>
        <v>-1.282521376238446</v>
      </c>
      <c r="R434" s="340">
        <f>Saldo_relativo_per_capita!R434*Saldo_relativo_per_capita!R$543/1000000</f>
        <v>-0.15870459460947448</v>
      </c>
      <c r="S434" s="340">
        <f>Saldo_relativo_per_capita!S434*Saldo_relativo_per_capita!S$543/1000000</f>
        <v>-0.15765945593303224</v>
      </c>
      <c r="T434" s="340">
        <f>Saldo_relativo_per_capita!T434*Saldo_relativo_per_capita!T$543/1000000</f>
        <v>-9.8916239608645623E-2</v>
      </c>
      <c r="U434" s="340">
        <f>Saldo_relativo_per_capita!U434*Saldo_relativo_per_capita!U$543/1000000</f>
        <v>-7.8632909253326916E-2</v>
      </c>
      <c r="V434" s="340">
        <f>Saldo_relativo_per_capita!V434*Saldo_relativo_per_capita!V$543/1000000</f>
        <v>0.11237750184411761</v>
      </c>
      <c r="W434" s="148"/>
    </row>
    <row r="435" spans="1:23" s="115" customFormat="1">
      <c r="A435" s="355" t="str">
        <f>IF(B435="","",(IF(ISERROR(MATCH(B435,Tot_res!C:C,0)),"Eliminar!!!","")))</f>
        <v/>
      </c>
      <c r="B435" s="115" t="s">
        <v>903</v>
      </c>
      <c r="C435" s="333" t="str">
        <f>VLOOKUP(B435,Tot_res!C:D,2,FALSE)</f>
        <v>ISM, formación  + AF20/2</v>
      </c>
      <c r="D435" s="340">
        <f>Saldo_relativo_per_capita!D435*Saldo_relativo_per_capita!D$543/1000000</f>
        <v>0</v>
      </c>
      <c r="E435" s="340">
        <f>Saldo_relativo_per_capita!E435*Saldo_relativo_per_capita!E$543/1000000</f>
        <v>5.3083813223134877</v>
      </c>
      <c r="F435" s="340">
        <f>Saldo_relativo_per_capita!F435*Saldo_relativo_per_capita!F$543/1000000</f>
        <v>-1.0788583307364248</v>
      </c>
      <c r="G435" s="340">
        <f>Saldo_relativo_per_capita!G435*Saldo_relativo_per_capita!G$543/1000000</f>
        <v>1.1273757507823368</v>
      </c>
      <c r="H435" s="340">
        <f>Saldo_relativo_per_capita!H435*Saldo_relativo_per_capita!H$543/1000000</f>
        <v>0.37914083832564549</v>
      </c>
      <c r="I435" s="340">
        <f>Saldo_relativo_per_capita!I435*Saldo_relativo_per_capita!I$543/1000000</f>
        <v>-0.30761042911647007</v>
      </c>
      <c r="J435" s="340">
        <f>Saldo_relativo_per_capita!J435*Saldo_relativo_per_capita!J$543/1000000</f>
        <v>-0.31050435714417529</v>
      </c>
      <c r="K435" s="340">
        <f>Saldo_relativo_per_capita!K435*Saldo_relativo_per_capita!K$543/1000000</f>
        <v>-2.0243376087132159</v>
      </c>
      <c r="L435" s="340">
        <f>Saldo_relativo_per_capita!L435*Saldo_relativo_per_capita!L$543/1000000</f>
        <v>-1.6872392649192387</v>
      </c>
      <c r="M435" s="340">
        <f>Saldo_relativo_per_capita!M435*Saldo_relativo_per_capita!M$543/1000000</f>
        <v>-3.8008538726389833</v>
      </c>
      <c r="N435" s="340">
        <f>Saldo_relativo_per_capita!N435*Saldo_relativo_per_capita!N$543/1000000</f>
        <v>-1.670815739257393</v>
      </c>
      <c r="O435" s="340">
        <f>Saldo_relativo_per_capita!O435*Saldo_relativo_per_capita!O$543/1000000</f>
        <v>-0.88957153283706003</v>
      </c>
      <c r="P435" s="340">
        <f>Saldo_relativo_per_capita!P435*Saldo_relativo_per_capita!P$543/1000000</f>
        <v>11.375020255833352</v>
      </c>
      <c r="Q435" s="340">
        <f>Saldo_relativo_per_capita!Q435*Saldo_relativo_per_capita!Q$543/1000000</f>
        <v>-5.2276979247462521</v>
      </c>
      <c r="R435" s="340">
        <f>Saldo_relativo_per_capita!R435*Saldo_relativo_per_capita!R$543/1000000</f>
        <v>-1.080069818578175</v>
      </c>
      <c r="S435" s="340">
        <f>Saldo_relativo_per_capita!S435*Saldo_relativo_per_capita!S$543/1000000</f>
        <v>-0.51884110410924922</v>
      </c>
      <c r="T435" s="340">
        <f>Saldo_relativo_per_capita!T435*Saldo_relativo_per_capita!T$543/1000000</f>
        <v>0.8014296221970223</v>
      </c>
      <c r="U435" s="340">
        <f>Saldo_relativo_per_capita!U435*Saldo_relativo_per_capita!U$543/1000000</f>
        <v>-0.2587728418500187</v>
      </c>
      <c r="V435" s="340">
        <f>Saldo_relativo_per_capita!V435*Saldo_relativo_per_capita!V$543/1000000</f>
        <v>-0.13617496480519392</v>
      </c>
      <c r="W435" s="148"/>
    </row>
    <row r="436" spans="1:23" s="115" customFormat="1">
      <c r="A436" s="355" t="str">
        <f>IF(B436="","",(IF(ISERROR(MATCH(B436,Tot_res!C:C,0)),"Eliminar!!!","")))</f>
        <v/>
      </c>
      <c r="B436" s="115" t="s">
        <v>406</v>
      </c>
      <c r="C436" s="333" t="str">
        <f>VLOOKUP(B436,Tot_res!C:D,2,FALSE)</f>
        <v>Gestión de la formación continua + AF20/3</v>
      </c>
      <c r="D436" s="340">
        <f>Saldo_relativo_per_capita!D436*Saldo_relativo_per_capita!D$543/1000000</f>
        <v>0</v>
      </c>
      <c r="E436" s="340">
        <f>Saldo_relativo_per_capita!E436*Saldo_relativo_per_capita!E$543/1000000</f>
        <v>0.26145942826623292</v>
      </c>
      <c r="F436" s="340">
        <f>Saldo_relativo_per_capita!F436*Saldo_relativo_per_capita!F$543/1000000</f>
        <v>0.46495786280576024</v>
      </c>
      <c r="G436" s="340">
        <f>Saldo_relativo_per_capita!G436*Saldo_relativo_per_capita!G$543/1000000</f>
        <v>-0.28950071050705606</v>
      </c>
      <c r="H436" s="340">
        <f>Saldo_relativo_per_capita!H436*Saldo_relativo_per_capita!H$543/1000000</f>
        <v>0.32744725474742303</v>
      </c>
      <c r="I436" s="340">
        <f>Saldo_relativo_per_capita!I436*Saldo_relativo_per_capita!I$543/1000000</f>
        <v>0.417102081144474</v>
      </c>
      <c r="J436" s="340">
        <f>Saldo_relativo_per_capita!J436*Saldo_relativo_per_capita!J$543/1000000</f>
        <v>0.20872548119905873</v>
      </c>
      <c r="K436" s="340">
        <f>Saldo_relativo_per_capita!K436*Saldo_relativo_per_capita!K$543/1000000</f>
        <v>0.37615774849482836</v>
      </c>
      <c r="L436" s="340">
        <f>Saldo_relativo_per_capita!L436*Saldo_relativo_per_capita!L$543/1000000</f>
        <v>-0.56809608203388107</v>
      </c>
      <c r="M436" s="340">
        <f>Saldo_relativo_per_capita!M436*Saldo_relativo_per_capita!M$543/1000000</f>
        <v>0.63557062996844016</v>
      </c>
      <c r="N436" s="340">
        <f>Saldo_relativo_per_capita!N436*Saldo_relativo_per_capita!N$543/1000000</f>
        <v>-1.3753369114998244</v>
      </c>
      <c r="O436" s="340">
        <f>Saldo_relativo_per_capita!O436*Saldo_relativo_per_capita!O$543/1000000</f>
        <v>0.30003763320784987</v>
      </c>
      <c r="P436" s="340">
        <f>Saldo_relativo_per_capita!P436*Saldo_relativo_per_capita!P$543/1000000</f>
        <v>0.44921460524694662</v>
      </c>
      <c r="Q436" s="340">
        <f>Saldo_relativo_per_capita!Q436*Saldo_relativo_per_capita!Q$543/1000000</f>
        <v>-1.760174013759187</v>
      </c>
      <c r="R436" s="340">
        <f>Saldo_relativo_per_capita!R436*Saldo_relativo_per_capita!R$543/1000000</f>
        <v>0.31141561371242832</v>
      </c>
      <c r="S436" s="340">
        <f>Saldo_relativo_per_capita!S436*Saldo_relativo_per_capita!S$543/1000000</f>
        <v>-0.17469460589912603</v>
      </c>
      <c r="T436" s="340">
        <f>Saldo_relativo_per_capita!T436*Saldo_relativo_per_capita!T$543/1000000</f>
        <v>0.28871639453093528</v>
      </c>
      <c r="U436" s="340">
        <f>Saldo_relativo_per_capita!U436*Saldo_relativo_per_capita!U$543/1000000</f>
        <v>0.17284791260545215</v>
      </c>
      <c r="V436" s="340">
        <f>Saldo_relativo_per_capita!V436*Saldo_relativo_per_capita!V$543/1000000</f>
        <v>-4.5850322230756788E-2</v>
      </c>
      <c r="W436" s="148"/>
    </row>
    <row r="437" spans="1:23" s="115" customFormat="1">
      <c r="A437" s="356"/>
      <c r="C437" s="132"/>
      <c r="D437" s="218"/>
      <c r="E437" s="218"/>
      <c r="F437" s="218"/>
      <c r="G437" s="218"/>
      <c r="H437" s="218"/>
      <c r="I437" s="218"/>
      <c r="J437" s="218"/>
      <c r="K437" s="218"/>
      <c r="L437" s="218"/>
      <c r="M437" s="218"/>
      <c r="N437" s="218"/>
      <c r="O437" s="218"/>
      <c r="P437" s="218"/>
      <c r="Q437" s="218"/>
      <c r="R437" s="218"/>
      <c r="S437" s="218"/>
      <c r="T437" s="218"/>
      <c r="U437" s="218"/>
      <c r="V437" s="218"/>
      <c r="W437" s="148"/>
    </row>
    <row r="438" spans="1:23" s="115" customFormat="1">
      <c r="A438" s="356"/>
      <c r="C438" s="128" t="s">
        <v>75</v>
      </c>
      <c r="D438" s="219">
        <f>Saldo_relativo_per_capita!D438*Saldo_relativo_per_capita!D$543/1000000</f>
        <v>0</v>
      </c>
      <c r="E438" s="219">
        <f>Saldo_relativo_per_capita!E438*Saldo_relativo_per_capita!E$543/1000000</f>
        <v>-80.711286345762716</v>
      </c>
      <c r="F438" s="219">
        <f>Saldo_relativo_per_capita!F438*Saldo_relativo_per_capita!F$543/1000000</f>
        <v>325.85532490853933</v>
      </c>
      <c r="G438" s="219">
        <f>Saldo_relativo_per_capita!G438*Saldo_relativo_per_capita!G$543/1000000</f>
        <v>-70.059117450915736</v>
      </c>
      <c r="H438" s="219">
        <f>Saldo_relativo_per_capita!H438*Saldo_relativo_per_capita!H$543/1000000</f>
        <v>-141.08232774915061</v>
      </c>
      <c r="I438" s="219">
        <f>Saldo_relativo_per_capita!I438*Saldo_relativo_per_capita!I$543/1000000</f>
        <v>-22.569422999687539</v>
      </c>
      <c r="J438" s="219">
        <f>Saldo_relativo_per_capita!J438*Saldo_relativo_per_capita!J$543/1000000</f>
        <v>-12.265000254303709</v>
      </c>
      <c r="K438" s="219">
        <f>Saldo_relativo_per_capita!K438*Saldo_relativo_per_capita!K$543/1000000</f>
        <v>1137.1854774181961</v>
      </c>
      <c r="L438" s="219">
        <f>Saldo_relativo_per_capita!L438*Saldo_relativo_per_capita!L$543/1000000</f>
        <v>1028.0052550658629</v>
      </c>
      <c r="M438" s="219">
        <f>Saldo_relativo_per_capita!M438*Saldo_relativo_per_capita!M$543/1000000</f>
        <v>-834.00424921406409</v>
      </c>
      <c r="N438" s="219">
        <f>Saldo_relativo_per_capita!N438*Saldo_relativo_per_capita!N$543/1000000</f>
        <v>-590.25388477412173</v>
      </c>
      <c r="O438" s="219">
        <f>Saldo_relativo_per_capita!O438*Saldo_relativo_per_capita!O$543/1000000</f>
        <v>536.82965972734769</v>
      </c>
      <c r="P438" s="219">
        <f>Saldo_relativo_per_capita!P438*Saldo_relativo_per_capita!P$543/1000000</f>
        <v>31.924498143257782</v>
      </c>
      <c r="Q438" s="219">
        <f>Saldo_relativo_per_capita!Q438*Saldo_relativo_per_capita!Q$543/1000000</f>
        <v>-1002.8628248721201</v>
      </c>
      <c r="R438" s="219">
        <f>Saldo_relativo_per_capita!R438*Saldo_relativo_per_capita!R$543/1000000</f>
        <v>-49.876601822657001</v>
      </c>
      <c r="S438" s="219">
        <f>Saldo_relativo_per_capita!S438*Saldo_relativo_per_capita!S$543/1000000</f>
        <v>28.987515887807835</v>
      </c>
      <c r="T438" s="219">
        <f>Saldo_relativo_per_capita!T438*Saldo_relativo_per_capita!T$543/1000000</f>
        <v>-273.68441724084181</v>
      </c>
      <c r="U438" s="219">
        <f>Saldo_relativo_per_capita!U438*Saldo_relativo_per_capita!U$543/1000000</f>
        <v>14.89945132702165</v>
      </c>
      <c r="V438" s="219">
        <f>Saldo_relativo_per_capita!V438*Saldo_relativo_per_capita!V$543/1000000</f>
        <v>-26.318049754407493</v>
      </c>
      <c r="W438" s="148"/>
    </row>
    <row r="439" spans="1:23" s="115" customFormat="1">
      <c r="A439" s="355" t="str">
        <f>IF(B439="","",(IF(ISERROR(MATCH(B439,Tot_res!C:C,0)),"Eliminar!!!","")))</f>
        <v/>
      </c>
      <c r="B439" s="115" t="s">
        <v>482</v>
      </c>
      <c r="C439" s="333" t="str">
        <f>VLOOKUP(B439,Tot_res!C:D,2,FALSE)</f>
        <v>Competitividad y calidad de la producción y los mercados agrarios + AF22/1</v>
      </c>
      <c r="D439" s="340">
        <f>Saldo_relativo_per_capita!D439*Saldo_relativo_per_capita!D$543/1000000</f>
        <v>0</v>
      </c>
      <c r="E439" s="340">
        <f>Saldo_relativo_per_capita!E439*Saldo_relativo_per_capita!E$543/1000000</f>
        <v>0.87033482890932778</v>
      </c>
      <c r="F439" s="340">
        <f>Saldo_relativo_per_capita!F439*Saldo_relativo_per_capita!F$543/1000000</f>
        <v>2.6410954219548133</v>
      </c>
      <c r="G439" s="340">
        <f>Saldo_relativo_per_capita!G439*Saldo_relativo_per_capita!G$543/1000000</f>
        <v>-0.1840292088688506</v>
      </c>
      <c r="H439" s="340">
        <f>Saldo_relativo_per_capita!H439*Saldo_relativo_per_capita!H$543/1000000</f>
        <v>-4.4350132294047925E-2</v>
      </c>
      <c r="I439" s="340">
        <f>Saldo_relativo_per_capita!I439*Saldo_relativo_per_capita!I$543/1000000</f>
        <v>-1.0779432178888231</v>
      </c>
      <c r="J439" s="340">
        <f>Saldo_relativo_per_capita!J439*Saldo_relativo_per_capita!J$543/1000000</f>
        <v>0.24785942542256784</v>
      </c>
      <c r="K439" s="340">
        <f>Saldo_relativo_per_capita!K439*Saldo_relativo_per_capita!K$543/1000000</f>
        <v>1.5326843312088536</v>
      </c>
      <c r="L439" s="340">
        <f>Saldo_relativo_per_capita!L439*Saldo_relativo_per_capita!L$543/1000000</f>
        <v>1.9777241590970671</v>
      </c>
      <c r="M439" s="340">
        <f>Saldo_relativo_per_capita!M439*Saldo_relativo_per_capita!M$543/1000000</f>
        <v>-2.7993957088758075</v>
      </c>
      <c r="N439" s="340">
        <f>Saldo_relativo_per_capita!N439*Saldo_relativo_per_capita!N$543/1000000</f>
        <v>-0.98718222647031773</v>
      </c>
      <c r="O439" s="340">
        <f>Saldo_relativo_per_capita!O439*Saldo_relativo_per_capita!O$543/1000000</f>
        <v>1.078873785226834</v>
      </c>
      <c r="P439" s="340">
        <f>Saldo_relativo_per_capita!P439*Saldo_relativo_per_capita!P$543/1000000</f>
        <v>-0.2580410053244494</v>
      </c>
      <c r="Q439" s="340">
        <f>Saldo_relativo_per_capita!Q439*Saldo_relativo_per_capita!Q$543/1000000</f>
        <v>-4.4037350605263725</v>
      </c>
      <c r="R439" s="340">
        <f>Saldo_relativo_per_capita!R439*Saldo_relativo_per_capita!R$543/1000000</f>
        <v>1.2586304464998241</v>
      </c>
      <c r="S439" s="340">
        <f>Saldo_relativo_per_capita!S439*Saldo_relativo_per_capita!S$543/1000000</f>
        <v>0</v>
      </c>
      <c r="T439" s="340">
        <f>Saldo_relativo_per_capita!T439*Saldo_relativo_per_capita!T$543/1000000</f>
        <v>0</v>
      </c>
      <c r="U439" s="340">
        <f>Saldo_relativo_per_capita!U439*Saldo_relativo_per_capita!U$543/1000000</f>
        <v>0.27351753533150747</v>
      </c>
      <c r="V439" s="340">
        <f>Saldo_relativo_per_capita!V439*Saldo_relativo_per_capita!V$543/1000000</f>
        <v>-0.12604337340211322</v>
      </c>
      <c r="W439" s="148"/>
    </row>
    <row r="440" spans="1:23" s="115" customFormat="1">
      <c r="A440" s="355" t="str">
        <f>IF(B440="","",(IF(ISERROR(MATCH(B440,Tot_res!C:C,0)),"Eliminar!!!","")))</f>
        <v/>
      </c>
      <c r="B440" s="115" t="s">
        <v>484</v>
      </c>
      <c r="C440" s="333" t="str">
        <f>VLOOKUP(B440,Tot_res!C:D,2,FALSE)</f>
        <v>Competitividad y calidad de la sanidad agraria + AF22/2</v>
      </c>
      <c r="D440" s="340">
        <f>Saldo_relativo_per_capita!D440*Saldo_relativo_per_capita!D$543/1000000</f>
        <v>0</v>
      </c>
      <c r="E440" s="340">
        <f>Saldo_relativo_per_capita!E440*Saldo_relativo_per_capita!E$543/1000000</f>
        <v>-3.1839879978472516</v>
      </c>
      <c r="F440" s="340">
        <f>Saldo_relativo_per_capita!F440*Saldo_relativo_per_capita!F$543/1000000</f>
        <v>3.2678133783662209</v>
      </c>
      <c r="G440" s="340">
        <f>Saldo_relativo_per_capita!G440*Saldo_relativo_per_capita!G$543/1000000</f>
        <v>0.11796244539895548</v>
      </c>
      <c r="H440" s="340">
        <f>Saldo_relativo_per_capita!H440*Saldo_relativo_per_capita!H$543/1000000</f>
        <v>-0.7056582577905377</v>
      </c>
      <c r="I440" s="340">
        <f>Saldo_relativo_per_capita!I440*Saldo_relativo_per_capita!I$543/1000000</f>
        <v>-1.5766574490224552</v>
      </c>
      <c r="J440" s="340">
        <f>Saldo_relativo_per_capita!J440*Saldo_relativo_per_capita!J$543/1000000</f>
        <v>0.3135966318905633</v>
      </c>
      <c r="K440" s="340">
        <f>Saldo_relativo_per_capita!K440*Saldo_relativo_per_capita!K$543/1000000</f>
        <v>4.0052829138850612</v>
      </c>
      <c r="L440" s="340">
        <f>Saldo_relativo_per_capita!L440*Saldo_relativo_per_capita!L$543/1000000</f>
        <v>1.0129070046010789</v>
      </c>
      <c r="M440" s="340">
        <f>Saldo_relativo_per_capita!M440*Saldo_relativo_per_capita!M$543/1000000</f>
        <v>-1.129200741055105</v>
      </c>
      <c r="N440" s="340">
        <f>Saldo_relativo_per_capita!N440*Saldo_relativo_per_capita!N$543/1000000</f>
        <v>-2.0760737093339041</v>
      </c>
      <c r="O440" s="340">
        <f>Saldo_relativo_per_capita!O440*Saldo_relativo_per_capita!O$543/1000000</f>
        <v>1.8262533093723852</v>
      </c>
      <c r="P440" s="340">
        <f>Saldo_relativo_per_capita!P440*Saldo_relativo_per_capita!P$543/1000000</f>
        <v>3.3688027872542623</v>
      </c>
      <c r="Q440" s="340">
        <f>Saldo_relativo_per_capita!Q440*Saldo_relativo_per_capita!Q$543/1000000</f>
        <v>-5.2378953329054765</v>
      </c>
      <c r="R440" s="340">
        <f>Saldo_relativo_per_capita!R440*Saldo_relativo_per_capita!R$543/1000000</f>
        <v>-0.22032277260265057</v>
      </c>
      <c r="S440" s="340">
        <f>Saldo_relativo_per_capita!S440*Saldo_relativo_per_capita!S$543/1000000</f>
        <v>0</v>
      </c>
      <c r="T440" s="340">
        <f>Saldo_relativo_per_capita!T440*Saldo_relativo_per_capita!T$543/1000000</f>
        <v>0</v>
      </c>
      <c r="U440" s="340">
        <f>Saldo_relativo_per_capita!U440*Saldo_relativo_per_capita!U$543/1000000</f>
        <v>-7.7331302727538923E-2</v>
      </c>
      <c r="V440" s="340">
        <f>Saldo_relativo_per_capita!V440*Saldo_relativo_per_capita!V$543/1000000</f>
        <v>0.29450909251638452</v>
      </c>
      <c r="W440" s="148"/>
    </row>
    <row r="441" spans="1:23" s="115" customFormat="1">
      <c r="A441" s="355" t="str">
        <f>IF(B441="","",(IF(ISERROR(MATCH(B441,Tot_res!C:C,0)),"Eliminar!!!","")))</f>
        <v/>
      </c>
      <c r="B441" s="115" t="s">
        <v>407</v>
      </c>
      <c r="C441" s="333" t="str">
        <f>VLOOKUP(B441,Tot_res!C:D,2,FALSE)</f>
        <v>Regulación de los mercados agrarios</v>
      </c>
      <c r="D441" s="340">
        <f>Saldo_relativo_per_capita!D441*Saldo_relativo_per_capita!D$543/1000000</f>
        <v>0</v>
      </c>
      <c r="E441" s="340">
        <f>Saldo_relativo_per_capita!E441*Saldo_relativo_per_capita!E$543/1000000</f>
        <v>-20.624401746332587</v>
      </c>
      <c r="F441" s="340">
        <f>Saldo_relativo_per_capita!F441*Saldo_relativo_per_capita!F$543/1000000</f>
        <v>285.92221664961545</v>
      </c>
      <c r="G441" s="340">
        <f>Saldo_relativo_per_capita!G441*Saldo_relativo_per_capita!G$543/1000000</f>
        <v>-81.530021360527243</v>
      </c>
      <c r="H441" s="340">
        <f>Saldo_relativo_per_capita!H441*Saldo_relativo_per_capita!H$543/1000000</f>
        <v>-118.88479029806669</v>
      </c>
      <c r="I441" s="340">
        <f>Saldo_relativo_per_capita!I441*Saldo_relativo_per_capita!I$543/1000000</f>
        <v>25.751226761632278</v>
      </c>
      <c r="J441" s="340">
        <f>Saldo_relativo_per_capita!J441*Saldo_relativo_per_capita!J$543/1000000</f>
        <v>-19.149923928338129</v>
      </c>
      <c r="K441" s="340">
        <f>Saldo_relativo_per_capita!K441*Saldo_relativo_per_capita!K$543/1000000</f>
        <v>1034.6172852988736</v>
      </c>
      <c r="L441" s="340">
        <f>Saldo_relativo_per_capita!L441*Saldo_relativo_per_capita!L$543/1000000</f>
        <v>849.72815517349306</v>
      </c>
      <c r="M441" s="340">
        <f>Saldo_relativo_per_capita!M441*Saldo_relativo_per_capita!M$543/1000000</f>
        <v>-686.34500334934626</v>
      </c>
      <c r="N441" s="340">
        <f>Saldo_relativo_per_capita!N441*Saldo_relativo_per_capita!N$543/1000000</f>
        <v>-498.00439901397226</v>
      </c>
      <c r="O441" s="340">
        <f>Saldo_relativo_per_capita!O441*Saldo_relativo_per_capita!O$543/1000000</f>
        <v>399.75488985907515</v>
      </c>
      <c r="P441" s="340">
        <f>Saldo_relativo_per_capita!P441*Saldo_relativo_per_capita!P$543/1000000</f>
        <v>-74.479404889872455</v>
      </c>
      <c r="Q441" s="340">
        <f>Saldo_relativo_per_capita!Q441*Saldo_relativo_per_capita!Q$543/1000000</f>
        <v>-812.13283281887038</v>
      </c>
      <c r="R441" s="340">
        <f>Saldo_relativo_per_capita!R441*Saldo_relativo_per_capita!R$543/1000000</f>
        <v>-58.699057887348353</v>
      </c>
      <c r="S441" s="340">
        <f>Saldo_relativo_per_capita!S441*Saldo_relativo_per_capita!S$543/1000000</f>
        <v>26.916455505912655</v>
      </c>
      <c r="T441" s="340">
        <f>Saldo_relativo_per_capita!T441*Saldo_relativo_per_capita!T$543/1000000</f>
        <v>-234.25276560466997</v>
      </c>
      <c r="U441" s="340">
        <f>Saldo_relativo_per_capita!U441*Saldo_relativo_per_capita!U$543/1000000</f>
        <v>3.6751220118106165</v>
      </c>
      <c r="V441" s="340">
        <f>Saldo_relativo_per_capita!V441*Saldo_relativo_per_capita!V$543/1000000</f>
        <v>-22.262750363068779</v>
      </c>
      <c r="W441" s="148"/>
    </row>
    <row r="442" spans="1:23" s="115" customFormat="1">
      <c r="A442" s="355" t="str">
        <f>IF(B442="","",(IF(ISERROR(MATCH(B442,Tot_res!C:C,0)),"Eliminar!!!","")))</f>
        <v/>
      </c>
      <c r="B442" s="115" t="s">
        <v>408</v>
      </c>
      <c r="C442" s="333" t="str">
        <f>VLOOKUP(B442,Tot_res!C:D,2,FALSE)</f>
        <v>Competitividad industria agroalimentaria y calidad alimentaria + AF22/3</v>
      </c>
      <c r="D442" s="340">
        <f>Saldo_relativo_per_capita!D442*Saldo_relativo_per_capita!D$543/1000000</f>
        <v>0</v>
      </c>
      <c r="E442" s="340">
        <f>Saldo_relativo_per_capita!E442*Saldo_relativo_per_capita!E$543/1000000</f>
        <v>-2.1948745822514995</v>
      </c>
      <c r="F442" s="340">
        <f>Saldo_relativo_per_capita!F442*Saldo_relativo_per_capita!F$543/1000000</f>
        <v>-2.4766328432585308E-2</v>
      </c>
      <c r="G442" s="340">
        <f>Saldo_relativo_per_capita!G442*Saldo_relativo_per_capita!G$543/1000000</f>
        <v>-0.2961149926593708</v>
      </c>
      <c r="H442" s="340">
        <f>Saldo_relativo_per_capita!H442*Saldo_relativo_per_capita!H$543/1000000</f>
        <v>-0.55950638951847786</v>
      </c>
      <c r="I442" s="340">
        <f>Saldo_relativo_per_capita!I442*Saldo_relativo_per_capita!I$543/1000000</f>
        <v>-0.82807611160845929</v>
      </c>
      <c r="J442" s="340">
        <f>Saldo_relativo_per_capita!J442*Saldo_relativo_per_capita!J$543/1000000</f>
        <v>0.11696836533940909</v>
      </c>
      <c r="K442" s="340">
        <f>Saldo_relativo_per_capita!K442*Saldo_relativo_per_capita!K$543/1000000</f>
        <v>0.73948804923875899</v>
      </c>
      <c r="L442" s="340">
        <f>Saldo_relativo_per_capita!L442*Saldo_relativo_per_capita!L$543/1000000</f>
        <v>0.53037745835511207</v>
      </c>
      <c r="M442" s="340">
        <f>Saldo_relativo_per_capita!M442*Saldo_relativo_per_capita!M$543/1000000</f>
        <v>1.414466219586354</v>
      </c>
      <c r="N442" s="340">
        <f>Saldo_relativo_per_capita!N442*Saldo_relativo_per_capita!N$543/1000000</f>
        <v>-1.0797322276029844</v>
      </c>
      <c r="O442" s="340">
        <f>Saldo_relativo_per_capita!O442*Saldo_relativo_per_capita!O$543/1000000</f>
        <v>9.9299933783411995E-2</v>
      </c>
      <c r="P442" s="340">
        <f>Saldo_relativo_per_capita!P442*Saldo_relativo_per_capita!P$543/1000000</f>
        <v>0.76940835896118898</v>
      </c>
      <c r="Q442" s="340">
        <f>Saldo_relativo_per_capita!Q442*Saldo_relativo_per_capita!Q$543/1000000</f>
        <v>1.1172058929854882</v>
      </c>
      <c r="R442" s="340">
        <f>Saldo_relativo_per_capita!R442*Saldo_relativo_per_capita!R$543/1000000</f>
        <v>6.8304403695696889E-2</v>
      </c>
      <c r="S442" s="340">
        <f>Saldo_relativo_per_capita!S442*Saldo_relativo_per_capita!S$543/1000000</f>
        <v>0</v>
      </c>
      <c r="T442" s="340">
        <f>Saldo_relativo_per_capita!T442*Saldo_relativo_per_capita!T$543/1000000</f>
        <v>0</v>
      </c>
      <c r="U442" s="340">
        <f>Saldo_relativo_per_capita!U442*Saldo_relativo_per_capita!U$543/1000000</f>
        <v>0.22201074868654389</v>
      </c>
      <c r="V442" s="340">
        <f>Saldo_relativo_per_capita!V442*Saldo_relativo_per_capita!V$543/1000000</f>
        <v>-9.4458798558589491E-2</v>
      </c>
      <c r="W442" s="148"/>
    </row>
    <row r="443" spans="1:23" s="115" customFormat="1">
      <c r="A443" s="355" t="str">
        <f>IF(B443="","",(IF(ISERROR(MATCH(B443,Tot_res!C:C,0)),"Eliminar!!!","")))</f>
        <v/>
      </c>
      <c r="B443" s="115" t="s">
        <v>409</v>
      </c>
      <c r="C443" s="333" t="str">
        <f>VLOOKUP(B443,Tot_res!C:D,2,FALSE)</f>
        <v>Desarrollo del medio rural  + AF22/4</v>
      </c>
      <c r="D443" s="340">
        <f>Saldo_relativo_per_capita!D443*Saldo_relativo_per_capita!D$543/1000000</f>
        <v>0</v>
      </c>
      <c r="E443" s="340">
        <f>Saldo_relativo_per_capita!E443*Saldo_relativo_per_capita!E$543/1000000</f>
        <v>-74.182775385387941</v>
      </c>
      <c r="F443" s="340">
        <f>Saldo_relativo_per_capita!F443*Saldo_relativo_per_capita!F$543/1000000</f>
        <v>24.480406194095494</v>
      </c>
      <c r="G443" s="340">
        <f>Saldo_relativo_per_capita!G443*Saldo_relativo_per_capita!G$543/1000000</f>
        <v>15.730263769186912</v>
      </c>
      <c r="H443" s="340">
        <f>Saldo_relativo_per_capita!H443*Saldo_relativo_per_capita!H$543/1000000</f>
        <v>-15.325746718970983</v>
      </c>
      <c r="I443" s="340">
        <f>Saldo_relativo_per_capita!I443*Saldo_relativo_per_capita!I$543/1000000</f>
        <v>-40.629753916692579</v>
      </c>
      <c r="J443" s="340">
        <f>Saldo_relativo_per_capita!J443*Saldo_relativo_per_capita!J$543/1000000</f>
        <v>6.6714111395877556</v>
      </c>
      <c r="K443" s="340">
        <f>Saldo_relativo_per_capita!K443*Saldo_relativo_per_capita!K$543/1000000</f>
        <v>85.39574579589204</v>
      </c>
      <c r="L443" s="340">
        <f>Saldo_relativo_per_capita!L443*Saldo_relativo_per_capita!L$543/1000000</f>
        <v>158.03227984225492</v>
      </c>
      <c r="M443" s="340">
        <f>Saldo_relativo_per_capita!M443*Saldo_relativo_per_capita!M$543/1000000</f>
        <v>-112.71315346160495</v>
      </c>
      <c r="N443" s="340">
        <f>Saldo_relativo_per_capita!N443*Saldo_relativo_per_capita!N$543/1000000</f>
        <v>-72.028778906857909</v>
      </c>
      <c r="O443" s="340">
        <f>Saldo_relativo_per_capita!O443*Saldo_relativo_per_capita!O$543/1000000</f>
        <v>129.64349788250598</v>
      </c>
      <c r="P443" s="340">
        <f>Saldo_relativo_per_capita!P443*Saldo_relativo_per_capita!P$543/1000000</f>
        <v>54.840547527493214</v>
      </c>
      <c r="Q443" s="340">
        <f>Saldo_relativo_per_capita!Q443*Saldo_relativo_per_capita!Q$543/1000000</f>
        <v>-136.25168540975412</v>
      </c>
      <c r="R443" s="340">
        <f>Saldo_relativo_per_capita!R443*Saldo_relativo_per_capita!R$543/1000000</f>
        <v>4.1274881649727346</v>
      </c>
      <c r="S443" s="340">
        <f>Saldo_relativo_per_capita!S443*Saldo_relativo_per_capita!S$543/1000000</f>
        <v>0.98998361811128399</v>
      </c>
      <c r="T443" s="340">
        <f>Saldo_relativo_per_capita!T443*Saldo_relativo_per_capita!T$543/1000000</f>
        <v>-29.581639354908884</v>
      </c>
      <c r="U443" s="340">
        <f>Saldo_relativo_per_capita!U443*Saldo_relativo_per_capita!U$543/1000000</f>
        <v>4.549248454305741</v>
      </c>
      <c r="V443" s="340">
        <f>Saldo_relativo_per_capita!V443*Saldo_relativo_per_capita!V$543/1000000</f>
        <v>-3.7473392342288365</v>
      </c>
      <c r="W443" s="148"/>
    </row>
    <row r="444" spans="1:23" s="115" customFormat="1">
      <c r="A444" s="355" t="str">
        <f>IF(B444="","",(IF(ISERROR(MATCH(B444,Tot_res!C:C,0)),"Eliminar!!!","")))</f>
        <v/>
      </c>
      <c r="B444" s="115" t="s">
        <v>411</v>
      </c>
      <c r="C444" s="333" t="str">
        <f>VLOOKUP(B444,Tot_res!C:D,2,FALSE)</f>
        <v>Programa de desarrollo rural sostenible</v>
      </c>
      <c r="D444" s="340">
        <f>Saldo_relativo_per_capita!D444*Saldo_relativo_per_capita!D$543/1000000</f>
        <v>0</v>
      </c>
      <c r="E444" s="340">
        <f>Saldo_relativo_per_capita!E444*Saldo_relativo_per_capita!E$543/1000000</f>
        <v>-3.6122381463186746</v>
      </c>
      <c r="F444" s="340">
        <f>Saldo_relativo_per_capita!F444*Saldo_relativo_per_capita!F$543/1000000</f>
        <v>-0.57317931961070023</v>
      </c>
      <c r="G444" s="340">
        <f>Saldo_relativo_per_capita!G444*Saldo_relativo_per_capita!G$543/1000000</f>
        <v>-0.45680474515938702</v>
      </c>
      <c r="H444" s="340">
        <f>Saldo_relativo_per_capita!H444*Saldo_relativo_per_capita!H$543/1000000</f>
        <v>-0.47507654034045427</v>
      </c>
      <c r="I444" s="340">
        <f>Saldo_relativo_per_capita!I444*Saldo_relativo_per_capita!I$543/1000000</f>
        <v>-0.9058139247193675</v>
      </c>
      <c r="J444" s="340">
        <f>Saldo_relativo_per_capita!J444*Saldo_relativo_per_capita!J$543/1000000</f>
        <v>-0.2531915977491388</v>
      </c>
      <c r="K444" s="340">
        <f>Saldo_relativo_per_capita!K444*Saldo_relativo_per_capita!K$543/1000000</f>
        <v>-0.57549658761273181</v>
      </c>
      <c r="L444" s="340">
        <f>Saldo_relativo_per_capita!L444*Saldo_relativo_per_capita!L$543/1000000</f>
        <v>-0.89640189664822323</v>
      </c>
      <c r="M444" s="340">
        <f>Saldo_relativo_per_capita!M444*Saldo_relativo_per_capita!M$543/1000000</f>
        <v>-3.2326146049859852</v>
      </c>
      <c r="N444" s="340">
        <f>Saldo_relativo_per_capita!N444*Saldo_relativo_per_capita!N$543/1000000</f>
        <v>-2.1701515905283517</v>
      </c>
      <c r="O444" s="340">
        <f>Saldo_relativo_per_capita!O444*Saldo_relativo_per_capita!O$543/1000000</f>
        <v>-0.47261442156965022</v>
      </c>
      <c r="P444" s="340">
        <f>Saldo_relativo_per_capita!P444*Saldo_relativo_per_capita!P$543/1000000</f>
        <v>15.831274708394332</v>
      </c>
      <c r="Q444" s="340">
        <f>Saldo_relativo_per_capita!Q444*Saldo_relativo_per_capita!Q$543/1000000</f>
        <v>-2.7773881465891717</v>
      </c>
      <c r="R444" s="340">
        <f>Saldo_relativo_per_capita!R444*Saldo_relativo_per_capita!R$543/1000000</f>
        <v>-0.63029961721224981</v>
      </c>
      <c r="S444" s="340">
        <f>Saldo_relativo_per_capita!S444*Saldo_relativo_per_capita!S$543/1000000</f>
        <v>-0.27565156848388733</v>
      </c>
      <c r="T444" s="340">
        <f>Saldo_relativo_per_capita!T444*Saldo_relativo_per_capita!T$543/1000000</f>
        <v>-0.93952286144093433</v>
      </c>
      <c r="U444" s="340">
        <f>Saldo_relativo_per_capita!U444*Saldo_relativo_per_capita!U$543/1000000</f>
        <v>2.4875183333162227</v>
      </c>
      <c r="V444" s="340">
        <f>Saldo_relativo_per_capita!V444*Saldo_relativo_per_capita!V$543/1000000</f>
        <v>-7.2347472741646837E-2</v>
      </c>
      <c r="W444" s="148"/>
    </row>
    <row r="445" spans="1:23" s="115" customFormat="1">
      <c r="A445" s="355" t="str">
        <f>IF(B445="","",(IF(ISERROR(MATCH(B445,Tot_res!C:C,0)),"Eliminar!!!","")))</f>
        <v/>
      </c>
      <c r="B445" s="115" t="s">
        <v>412</v>
      </c>
      <c r="C445" s="333" t="str">
        <f>VLOOKUP(B445,Tot_res!C:D,2,FALSE)</f>
        <v>Protección de los recursos pesqueros y desarrollo sostenible</v>
      </c>
      <c r="D445" s="340">
        <f>Saldo_relativo_per_capita!D445*Saldo_relativo_per_capita!D$543/1000000</f>
        <v>0</v>
      </c>
      <c r="E445" s="340">
        <f>Saldo_relativo_per_capita!E445*Saldo_relativo_per_capita!E$543/1000000</f>
        <v>-0.44077435785299579</v>
      </c>
      <c r="F445" s="340">
        <f>Saldo_relativo_per_capita!F445*Saldo_relativo_per_capita!F$543/1000000</f>
        <v>-0.37893151587582341</v>
      </c>
      <c r="G445" s="340">
        <f>Saldo_relativo_per_capita!G445*Saldo_relativo_per_capita!G$543/1000000</f>
        <v>0.11019152258475015</v>
      </c>
      <c r="H445" s="340">
        <f>Saldo_relativo_per_capita!H445*Saldo_relativo_per_capita!H$543/1000000</f>
        <v>0.26927388785204831</v>
      </c>
      <c r="I445" s="340">
        <f>Saldo_relativo_per_capita!I445*Saldo_relativo_per_capita!I$543/1000000</f>
        <v>6.5673143492160094E-2</v>
      </c>
      <c r="J445" s="340">
        <f>Saldo_relativo_per_capita!J445*Saldo_relativo_per_capita!J$543/1000000</f>
        <v>0.17710554865496062</v>
      </c>
      <c r="K445" s="340">
        <f>Saldo_relativo_per_capita!K445*Saldo_relativo_per_capita!K$543/1000000</f>
        <v>-0.70911803408749163</v>
      </c>
      <c r="L445" s="340">
        <f>Saldo_relativo_per_capita!L445*Saldo_relativo_per_capita!L$543/1000000</f>
        <v>-0.59251656759750815</v>
      </c>
      <c r="M445" s="340">
        <f>Saldo_relativo_per_capita!M445*Saldo_relativo_per_capita!M$543/1000000</f>
        <v>-1.1471110030213456</v>
      </c>
      <c r="N445" s="340">
        <f>Saldo_relativo_per_capita!N445*Saldo_relativo_per_capita!N$543/1000000</f>
        <v>-0.74192755747725703</v>
      </c>
      <c r="O445" s="340">
        <f>Saldo_relativo_per_capita!O445*Saldo_relativo_per_capita!O$543/1000000</f>
        <v>-0.31223824802884859</v>
      </c>
      <c r="P445" s="340">
        <f>Saldo_relativo_per_capita!P445*Saldo_relativo_per_capita!P$543/1000000</f>
        <v>4.7479954133334061</v>
      </c>
      <c r="Q445" s="340">
        <f>Saldo_relativo_per_capita!Q445*Saldo_relativo_per_capita!Q$543/1000000</f>
        <v>-1.7255410475375785</v>
      </c>
      <c r="R445" s="340">
        <f>Saldo_relativo_per_capita!R445*Saldo_relativo_per_capita!R$543/1000000</f>
        <v>-0.21337907392067237</v>
      </c>
      <c r="S445" s="340">
        <f>Saldo_relativo_per_capita!S445*Saldo_relativo_per_capita!S$543/1000000</f>
        <v>-0.18217500685582988</v>
      </c>
      <c r="T445" s="340">
        <f>Saldo_relativo_per_capita!T445*Saldo_relativo_per_capita!T$543/1000000</f>
        <v>0.35847895536258573</v>
      </c>
      <c r="U445" s="340">
        <f>Saldo_relativo_per_capita!U445*Saldo_relativo_per_capita!U$543/1000000</f>
        <v>0.73763240726076118</v>
      </c>
      <c r="V445" s="340">
        <f>Saldo_relativo_per_capita!V445*Saldo_relativo_per_capita!V$543/1000000</f>
        <v>-2.2638466285320843E-2</v>
      </c>
      <c r="W445" s="148"/>
    </row>
    <row r="446" spans="1:23" s="115" customFormat="1">
      <c r="A446" s="355" t="str">
        <f>IF(B446="","",(IF(ISERROR(MATCH(B446,Tot_res!C:C,0)),"Eliminar!!!","")))</f>
        <v/>
      </c>
      <c r="B446" s="115" t="s">
        <v>413</v>
      </c>
      <c r="C446" s="333" t="str">
        <f>VLOOKUP(B446,Tot_res!C:D,2,FALSE)</f>
        <v>Mejora de estructuras y mercados pesqueros</v>
      </c>
      <c r="D446" s="340">
        <f>Saldo_relativo_per_capita!D446*Saldo_relativo_per_capita!D$543/1000000</f>
        <v>0</v>
      </c>
      <c r="E446" s="340">
        <f>Saldo_relativo_per_capita!E446*Saldo_relativo_per_capita!E$543/1000000</f>
        <v>1.3842443361810139</v>
      </c>
      <c r="F446" s="340">
        <f>Saldo_relativo_per_capita!F446*Saldo_relativo_per_capita!F$543/1000000</f>
        <v>-1.1483423083441882</v>
      </c>
      <c r="G446" s="340">
        <f>Saldo_relativo_per_capita!G446*Saldo_relativo_per_capita!G$543/1000000</f>
        <v>-0.28097299660430769</v>
      </c>
      <c r="H446" s="340">
        <f>Saldo_relativo_per_capita!H446*Saldo_relativo_per_capita!H$543/1000000</f>
        <v>-0.64724441386226783</v>
      </c>
      <c r="I446" s="340">
        <f>Saldo_relativo_per_capita!I446*Saldo_relativo_per_capita!I$543/1000000</f>
        <v>2.1837339347101428</v>
      </c>
      <c r="J446" s="340">
        <f>Saldo_relativo_per_capita!J446*Saldo_relativo_per_capita!J$543/1000000</f>
        <v>0.90993822374512756</v>
      </c>
      <c r="K446" s="340">
        <f>Saldo_relativo_per_capita!K446*Saldo_relativo_per_capita!K$543/1000000</f>
        <v>-2.1584450125640373</v>
      </c>
      <c r="L446" s="340">
        <f>Saldo_relativo_per_capita!L446*Saldo_relativo_per_capita!L$543/1000000</f>
        <v>-1.8771815786948083</v>
      </c>
      <c r="M446" s="340">
        <f>Saldo_relativo_per_capita!M446*Saldo_relativo_per_capita!M$543/1000000</f>
        <v>-5.158133935906049</v>
      </c>
      <c r="N446" s="340">
        <f>Saldo_relativo_per_capita!N446*Saldo_relativo_per_capita!N$543/1000000</f>
        <v>-3.4750490498950652</v>
      </c>
      <c r="O446" s="340">
        <f>Saldo_relativo_per_capita!O446*Saldo_relativo_per_capita!O$543/1000000</f>
        <v>-0.9924785184045406</v>
      </c>
      <c r="P446" s="340">
        <f>Saldo_relativo_per_capita!P446*Saldo_relativo_per_capita!P$543/1000000</f>
        <v>16.382967860261562</v>
      </c>
      <c r="Q446" s="340">
        <f>Saldo_relativo_per_capita!Q446*Saldo_relativo_per_capita!Q$543/1000000</f>
        <v>-5.8273827082296314</v>
      </c>
      <c r="R446" s="340">
        <f>Saldo_relativo_per_capita!R446*Saldo_relativo_per_capita!R$543/1000000</f>
        <v>0.45125552696281251</v>
      </c>
      <c r="S446" s="340">
        <f>Saldo_relativo_per_capita!S446*Saldo_relativo_per_capita!S$543/1000000</f>
        <v>-0.55536629925063696</v>
      </c>
      <c r="T446" s="340">
        <f>Saldo_relativo_per_capita!T446*Saldo_relativo_per_capita!T$543/1000000</f>
        <v>-0.80000143106224386</v>
      </c>
      <c r="U446" s="340">
        <f>Saldo_relativo_per_capita!U446*Saldo_relativo_per_capita!U$543/1000000</f>
        <v>0.93329468815291339</v>
      </c>
      <c r="V446" s="340">
        <f>Saldo_relativo_per_capita!V446*Saldo_relativo_per_capita!V$543/1000000</f>
        <v>0.67516368280421035</v>
      </c>
      <c r="W446" s="148"/>
    </row>
    <row r="447" spans="1:23" s="115" customFormat="1">
      <c r="A447" s="355" t="str">
        <f>IF(B447="","",(IF(ISERROR(MATCH(B447,Tot_res!C:C,0)),"Eliminar!!!","")))</f>
        <v/>
      </c>
      <c r="B447" s="115" t="s">
        <v>415</v>
      </c>
      <c r="C447" s="333" t="str">
        <f>VLOOKUP(B447,Tot_res!C:D,2,FALSE)</f>
        <v>Previsión de riesgos en las producciones agrarias y pesqueras</v>
      </c>
      <c r="D447" s="340">
        <f>Saldo_relativo_per_capita!D447*Saldo_relativo_per_capita!D$543/1000000</f>
        <v>0</v>
      </c>
      <c r="E447" s="340">
        <f>Saldo_relativo_per_capita!E447*Saldo_relativo_per_capita!E$543/1000000</f>
        <v>21.449818553468766</v>
      </c>
      <c r="F447" s="340">
        <f>Saldo_relativo_per_capita!F447*Saldo_relativo_per_capita!F$543/1000000</f>
        <v>10.287753736142376</v>
      </c>
      <c r="G447" s="340">
        <f>Saldo_relativo_per_capita!G447*Saldo_relativo_per_capita!G$543/1000000</f>
        <v>-2.9065386072019486</v>
      </c>
      <c r="H447" s="340">
        <f>Saldo_relativo_per_capita!H447*Saldo_relativo_per_capita!H$543/1000000</f>
        <v>-4.7229033727284877</v>
      </c>
      <c r="I447" s="340">
        <f>Saldo_relativo_per_capita!I447*Saldo_relativo_per_capita!I$543/1000000</f>
        <v>-5.2384944117431855</v>
      </c>
      <c r="J447" s="340">
        <f>Saldo_relativo_per_capita!J447*Saldo_relativo_per_capita!J$543/1000000</f>
        <v>-1.4947507464584637</v>
      </c>
      <c r="K447" s="340">
        <f>Saldo_relativo_per_capita!K447*Saldo_relativo_per_capita!K$543/1000000</f>
        <v>9.2824681188915257</v>
      </c>
      <c r="L447" s="340">
        <f>Saldo_relativo_per_capita!L447*Saldo_relativo_per_capita!L$543/1000000</f>
        <v>16.060293294250421</v>
      </c>
      <c r="M447" s="340">
        <f>Saldo_relativo_per_capita!M447*Saldo_relativo_per_capita!M$543/1000000</f>
        <v>-18.740222081605797</v>
      </c>
      <c r="N447" s="340">
        <f>Saldo_relativo_per_capita!N447*Saldo_relativo_per_capita!N$543/1000000</f>
        <v>-6.8861685053325408</v>
      </c>
      <c r="O447" s="340">
        <f>Saldo_relativo_per_capita!O447*Saldo_relativo_per_capita!O$543/1000000</f>
        <v>3.6174041783678863</v>
      </c>
      <c r="P447" s="340">
        <f>Saldo_relativo_per_capita!P447*Saldo_relativo_per_capita!P$543/1000000</f>
        <v>10.358723446196276</v>
      </c>
      <c r="Q447" s="340">
        <f>Saldo_relativo_per_capita!Q447*Saldo_relativo_per_capita!Q$543/1000000</f>
        <v>-31.431313383117846</v>
      </c>
      <c r="R447" s="340">
        <f>Saldo_relativo_per_capita!R447*Saldo_relativo_per_capita!R$543/1000000</f>
        <v>4.2191666245450348</v>
      </c>
      <c r="S447" s="340">
        <f>Saldo_relativo_per_capita!S447*Saldo_relativo_per_capita!S$543/1000000</f>
        <v>2.0550505805790835</v>
      </c>
      <c r="T447" s="340">
        <f>Saldo_relativo_per_capita!T447*Saldo_relativo_per_capita!T$543/1000000</f>
        <v>-7.1466427732209787</v>
      </c>
      <c r="U447" s="340">
        <f>Saldo_relativo_per_capita!U447*Saldo_relativo_per_capita!U$543/1000000</f>
        <v>2.0651249819117923</v>
      </c>
      <c r="V447" s="340">
        <f>Saldo_relativo_per_capita!V447*Saldo_relativo_per_capita!V$543/1000000</f>
        <v>-0.82876963294393791</v>
      </c>
      <c r="W447" s="217"/>
    </row>
    <row r="448" spans="1:23" s="115" customFormat="1">
      <c r="A448" s="355" t="str">
        <f>IF(B448="","",(IF(ISERROR(MATCH(B448,Tot_res!C:C,0)),"Eliminar!!!","")))</f>
        <v/>
      </c>
      <c r="B448" s="115" t="s">
        <v>909</v>
      </c>
      <c r="C448" s="333" t="str">
        <f>VLOOKUP(B448,Tot_res!C:D,2,FALSE)</f>
        <v>Direc. y serv. grales. de agric., aliment. y medio amb., Medio Rural y Marino</v>
      </c>
      <c r="D448" s="340">
        <f>Saldo_relativo_per_capita!D448*Saldo_relativo_per_capita!D$543/1000000</f>
        <v>0</v>
      </c>
      <c r="E448" s="340">
        <f>Saldo_relativo_per_capita!E448*Saldo_relativo_per_capita!E$543/1000000</f>
        <v>-0.17663184833090467</v>
      </c>
      <c r="F448" s="340">
        <f>Saldo_relativo_per_capita!F448*Saldo_relativo_per_capita!F$543/1000000</f>
        <v>1.3812590006283245</v>
      </c>
      <c r="G448" s="340">
        <f>Saldo_relativo_per_capita!G448*Saldo_relativo_per_capita!G$543/1000000</f>
        <v>-0.36305327706525747</v>
      </c>
      <c r="H448" s="340">
        <f>Saldo_relativo_per_capita!H448*Saldo_relativo_per_capita!H$543/1000000</f>
        <v>1.367448656926052E-2</v>
      </c>
      <c r="I448" s="340">
        <f>Saldo_relativo_per_capita!I448*Saldo_relativo_per_capita!I$543/1000000</f>
        <v>-0.31331780784732294</v>
      </c>
      <c r="J448" s="340">
        <f>Saldo_relativo_per_capita!J448*Saldo_relativo_per_capita!J$543/1000000</f>
        <v>0.1959866836016308</v>
      </c>
      <c r="K448" s="340">
        <f>Saldo_relativo_per_capita!K448*Saldo_relativo_per_capita!K$543/1000000</f>
        <v>5.0555825444701359</v>
      </c>
      <c r="L448" s="340">
        <f>Saldo_relativo_per_capita!L448*Saldo_relativo_per_capita!L$543/1000000</f>
        <v>4.0296181767517503</v>
      </c>
      <c r="M448" s="340">
        <f>Saldo_relativo_per_capita!M448*Saldo_relativo_per_capita!M$543/1000000</f>
        <v>-4.1538805472492717</v>
      </c>
      <c r="N448" s="340">
        <f>Saldo_relativo_per_capita!N448*Saldo_relativo_per_capita!N$543/1000000</f>
        <v>-2.8044219866513798</v>
      </c>
      <c r="O448" s="340">
        <f>Saldo_relativo_per_capita!O448*Saldo_relativo_per_capita!O$543/1000000</f>
        <v>2.5867719670190401</v>
      </c>
      <c r="P448" s="340">
        <f>Saldo_relativo_per_capita!P448*Saldo_relativo_per_capita!P$543/1000000</f>
        <v>0.36222393656038959</v>
      </c>
      <c r="Q448" s="340">
        <f>Saldo_relativo_per_capita!Q448*Saldo_relativo_per_capita!Q$543/1000000</f>
        <v>-4.1922568575751091</v>
      </c>
      <c r="R448" s="340">
        <f>Saldo_relativo_per_capita!R448*Saldo_relativo_per_capita!R$543/1000000</f>
        <v>-0.23838763824923623</v>
      </c>
      <c r="S448" s="340">
        <f>Saldo_relativo_per_capita!S448*Saldo_relativo_per_capita!S$543/1000000</f>
        <v>3.9219057795137596E-2</v>
      </c>
      <c r="T448" s="340">
        <f>Saldo_relativo_per_capita!T448*Saldo_relativo_per_capita!T$543/1000000</f>
        <v>-1.3223241709014277</v>
      </c>
      <c r="U448" s="340">
        <f>Saldo_relativo_per_capita!U448*Saldo_relativo_per_capita!U$543/1000000</f>
        <v>3.3313468973102306E-2</v>
      </c>
      <c r="V448" s="340">
        <f>Saldo_relativo_per_capita!V448*Saldo_relativo_per_capita!V$543/1000000</f>
        <v>-0.13337518849886679</v>
      </c>
      <c r="W448" s="217"/>
    </row>
    <row r="449" spans="1:23" s="115" customFormat="1">
      <c r="A449" s="356"/>
      <c r="C449" s="129"/>
      <c r="D449" s="218"/>
      <c r="E449" s="218"/>
      <c r="F449" s="218"/>
      <c r="G449" s="218"/>
      <c r="H449" s="218"/>
      <c r="I449" s="218"/>
      <c r="J449" s="218"/>
      <c r="K449" s="218"/>
      <c r="L449" s="218"/>
      <c r="M449" s="218"/>
      <c r="N449" s="218"/>
      <c r="O449" s="218"/>
      <c r="P449" s="218"/>
      <c r="Q449" s="218"/>
      <c r="R449" s="218"/>
      <c r="S449" s="218"/>
      <c r="T449" s="218"/>
      <c r="U449" s="218"/>
      <c r="V449" s="218"/>
      <c r="W449" s="148"/>
    </row>
    <row r="450" spans="1:23" s="115" customFormat="1">
      <c r="A450" s="356"/>
      <c r="C450" s="128" t="s">
        <v>113</v>
      </c>
      <c r="D450" s="219">
        <f>Saldo_relativo_per_capita!D450*Saldo_relativo_per_capita!D$543/1000000</f>
        <v>0</v>
      </c>
      <c r="E450" s="219">
        <f>Saldo_relativo_per_capita!E450*Saldo_relativo_per_capita!E$543/1000000</f>
        <v>-114.24391612945294</v>
      </c>
      <c r="F450" s="219">
        <f>Saldo_relativo_per_capita!F450*Saldo_relativo_per_capita!F$543/1000000</f>
        <v>21.887394654884694</v>
      </c>
      <c r="G450" s="219">
        <f>Saldo_relativo_per_capita!G450*Saldo_relativo_per_capita!G$543/1000000</f>
        <v>32.24391501485858</v>
      </c>
      <c r="H450" s="219">
        <f>Saldo_relativo_per_capita!H450*Saldo_relativo_per_capita!H$543/1000000</f>
        <v>2.2940745380344278</v>
      </c>
      <c r="I450" s="219">
        <f>Saldo_relativo_per_capita!I450*Saldo_relativo_per_capita!I$543/1000000</f>
        <v>-25.807914952569227</v>
      </c>
      <c r="J450" s="219">
        <f>Saldo_relativo_per_capita!J450*Saldo_relativo_per_capita!J$543/1000000</f>
        <v>10.115340273981621</v>
      </c>
      <c r="K450" s="219">
        <f>Saldo_relativo_per_capita!K450*Saldo_relativo_per_capita!K$543/1000000</f>
        <v>-12.414608156744404</v>
      </c>
      <c r="L450" s="219">
        <f>Saldo_relativo_per_capita!L450*Saldo_relativo_per_capita!L$543/1000000</f>
        <v>-15.071844265791178</v>
      </c>
      <c r="M450" s="219">
        <f>Saldo_relativo_per_capita!M450*Saldo_relativo_per_capita!M$543/1000000</f>
        <v>60.277360363249493</v>
      </c>
      <c r="N450" s="219">
        <f>Saldo_relativo_per_capita!N450*Saldo_relativo_per_capita!N$543/1000000</f>
        <v>-38.609461204800702</v>
      </c>
      <c r="O450" s="219">
        <f>Saldo_relativo_per_capita!O450*Saldo_relativo_per_capita!O$543/1000000</f>
        <v>-21.43590421532701</v>
      </c>
      <c r="P450" s="219">
        <f>Saldo_relativo_per_capita!P450*Saldo_relativo_per_capita!P$543/1000000</f>
        <v>75.810474355881098</v>
      </c>
      <c r="Q450" s="219">
        <f>Saldo_relativo_per_capita!Q450*Saldo_relativo_per_capita!Q$543/1000000</f>
        <v>-46.649278815003719</v>
      </c>
      <c r="R450" s="219">
        <f>Saldo_relativo_per_capita!R450*Saldo_relativo_per_capita!R$543/1000000</f>
        <v>1.1583023274542856</v>
      </c>
      <c r="S450" s="219">
        <f>Saldo_relativo_per_capita!S450*Saldo_relativo_per_capita!S$543/1000000</f>
        <v>13.394352570785209</v>
      </c>
      <c r="T450" s="219">
        <f>Saldo_relativo_per_capita!T450*Saldo_relativo_per_capita!T$543/1000000</f>
        <v>63.602758957073448</v>
      </c>
      <c r="U450" s="219">
        <f>Saldo_relativo_per_capita!U450*Saldo_relativo_per_capita!U$543/1000000</f>
        <v>-0.83472959452803286</v>
      </c>
      <c r="V450" s="219">
        <f>Saldo_relativo_per_capita!V450*Saldo_relativo_per_capita!V$543/1000000</f>
        <v>-5.7163157219847998</v>
      </c>
      <c r="W450" s="148"/>
    </row>
    <row r="451" spans="1:23" s="115" customFormat="1">
      <c r="A451" s="355" t="str">
        <f>IF(B451="","",(IF(ISERROR(MATCH(B451,Tot_res!C:C,0)),"Eliminar!!!","")))</f>
        <v/>
      </c>
      <c r="B451" s="115" t="s">
        <v>417</v>
      </c>
      <c r="C451" s="333" t="str">
        <f>VLOOKUP(B451,Tot_res!C:D,2,FALSE)</f>
        <v>Dirección y servicios generales de industria y energía</v>
      </c>
      <c r="D451" s="340">
        <f>Saldo_relativo_per_capita!D451*Saldo_relativo_per_capita!D$543/1000000</f>
        <v>0</v>
      </c>
      <c r="E451" s="340">
        <f>Saldo_relativo_per_capita!E451*Saldo_relativo_per_capita!E$543/1000000</f>
        <v>-5.6300260150221089</v>
      </c>
      <c r="F451" s="340">
        <f>Saldo_relativo_per_capita!F451*Saldo_relativo_per_capita!F$543/1000000</f>
        <v>8.7838460263233414E-2</v>
      </c>
      <c r="G451" s="340">
        <f>Saldo_relativo_per_capita!G451*Saldo_relativo_per_capita!G$543/1000000</f>
        <v>3.2313146074799418E-2</v>
      </c>
      <c r="H451" s="340">
        <f>Saldo_relativo_per_capita!H451*Saldo_relativo_per_capita!H$543/1000000</f>
        <v>-0.72319380438692404</v>
      </c>
      <c r="I451" s="340">
        <f>Saldo_relativo_per_capita!I451*Saldo_relativo_per_capita!I$543/1000000</f>
        <v>2.3913840456711202</v>
      </c>
      <c r="J451" s="340">
        <f>Saldo_relativo_per_capita!J451*Saldo_relativo_per_capita!J$543/1000000</f>
        <v>-5.4223496598843859E-2</v>
      </c>
      <c r="K451" s="340">
        <f>Saldo_relativo_per_capita!K451*Saldo_relativo_per_capita!K$543/1000000</f>
        <v>-0.72061908332570368</v>
      </c>
      <c r="L451" s="340">
        <f>Saldo_relativo_per_capita!L451*Saldo_relativo_per_capita!L$543/1000000</f>
        <v>-0.58733379448971956</v>
      </c>
      <c r="M451" s="340">
        <f>Saldo_relativo_per_capita!M451*Saldo_relativo_per_capita!M$543/1000000</f>
        <v>-0.77341153096593029</v>
      </c>
      <c r="N451" s="340">
        <f>Saldo_relativo_per_capita!N451*Saldo_relativo_per_capita!N$543/1000000</f>
        <v>-2.3208624869356194</v>
      </c>
      <c r="O451" s="340">
        <f>Saldo_relativo_per_capita!O451*Saldo_relativo_per_capita!O$543/1000000</f>
        <v>-0.76687567156569714</v>
      </c>
      <c r="P451" s="340">
        <f>Saldo_relativo_per_capita!P451*Saldo_relativo_per_capita!P$543/1000000</f>
        <v>-0.13817394473854214</v>
      </c>
      <c r="Q451" s="340">
        <f>Saldo_relativo_per_capita!Q451*Saldo_relativo_per_capita!Q$543/1000000</f>
        <v>8.6617882308470122</v>
      </c>
      <c r="R451" s="340">
        <f>Saldo_relativo_per_capita!R451*Saldo_relativo_per_capita!R$543/1000000</f>
        <v>-0.56043745009597679</v>
      </c>
      <c r="S451" s="340">
        <f>Saldo_relativo_per_capita!S451*Saldo_relativo_per_capita!S$543/1000000</f>
        <v>0.30204167305661794</v>
      </c>
      <c r="T451" s="340">
        <f>Saldo_relativo_per_capita!T451*Saldo_relativo_per_capita!T$543/1000000</f>
        <v>0.91338139120340267</v>
      </c>
      <c r="U451" s="340">
        <f>Saldo_relativo_per_capita!U451*Saldo_relativo_per_capita!U$543/1000000</f>
        <v>3.4450689444195833E-2</v>
      </c>
      <c r="V451" s="340">
        <f>Saldo_relativo_per_capita!V451*Saldo_relativo_per_capita!V$543/1000000</f>
        <v>-0.14804035843530075</v>
      </c>
      <c r="W451" s="217"/>
    </row>
    <row r="452" spans="1:23" s="115" customFormat="1">
      <c r="A452" s="355" t="str">
        <f>IF(B452="","",(IF(ISERROR(MATCH(B452,Tot_res!C:C,0)),"Eliminar!!!","")))</f>
        <v/>
      </c>
      <c r="B452" s="115" t="s">
        <v>418</v>
      </c>
      <c r="C452" s="333" t="str">
        <f>VLOOKUP(B452,Tot_res!C:D,2,FALSE)</f>
        <v>Calidad y seguridad industrial</v>
      </c>
      <c r="D452" s="340">
        <f>Saldo_relativo_per_capita!D452*Saldo_relativo_per_capita!D$543/1000000</f>
        <v>0</v>
      </c>
      <c r="E452" s="340">
        <f>Saldo_relativo_per_capita!E452*Saldo_relativo_per_capita!E$543/1000000</f>
        <v>-0.14775711166532465</v>
      </c>
      <c r="F452" s="340">
        <f>Saldo_relativo_per_capita!F452*Saldo_relativo_per_capita!F$543/1000000</f>
        <v>2.5305874885246566E-2</v>
      </c>
      <c r="G452" s="340">
        <f>Saldo_relativo_per_capita!G452*Saldo_relativo_per_capita!G$543/1000000</f>
        <v>4.7165649489704382E-3</v>
      </c>
      <c r="H452" s="340">
        <f>Saldo_relativo_per_capita!H452*Saldo_relativo_per_capita!H$543/1000000</f>
        <v>-2.4443759081124169E-2</v>
      </c>
      <c r="I452" s="340">
        <f>Saldo_relativo_per_capita!I452*Saldo_relativo_per_capita!I$543/1000000</f>
        <v>-4.8176715127619119E-2</v>
      </c>
      <c r="J452" s="340">
        <f>Saldo_relativo_per_capita!J452*Saldo_relativo_per_capita!J$543/1000000</f>
        <v>2.3868600577575368E-3</v>
      </c>
      <c r="K452" s="340">
        <f>Saldo_relativo_per_capita!K452*Saldo_relativo_per_capita!K$543/1000000</f>
        <v>1.7516187172710827E-2</v>
      </c>
      <c r="L452" s="340">
        <f>Saldo_relativo_per_capita!L452*Saldo_relativo_per_capita!L$543/1000000</f>
        <v>2.7707721532820957E-3</v>
      </c>
      <c r="M452" s="340">
        <f>Saldo_relativo_per_capita!M452*Saldo_relativo_per_capita!M$543/1000000</f>
        <v>0.11347038466121494</v>
      </c>
      <c r="N452" s="340">
        <f>Saldo_relativo_per_capita!N452*Saldo_relativo_per_capita!N$543/1000000</f>
        <v>-1.693692667913882E-2</v>
      </c>
      <c r="O452" s="340">
        <f>Saldo_relativo_per_capita!O452*Saldo_relativo_per_capita!O$543/1000000</f>
        <v>-1.7569332636466782E-2</v>
      </c>
      <c r="P452" s="340">
        <f>Saldo_relativo_per_capita!P452*Saldo_relativo_per_capita!P$543/1000000</f>
        <v>4.0619014059648595E-3</v>
      </c>
      <c r="Q452" s="340">
        <f>Saldo_relativo_per_capita!Q452*Saldo_relativo_per_capita!Q$543/1000000</f>
        <v>-3.3783744465564619E-2</v>
      </c>
      <c r="R452" s="340">
        <f>Saldo_relativo_per_capita!R452*Saldo_relativo_per_capita!R$543/1000000</f>
        <v>-6.5430930899949228E-3</v>
      </c>
      <c r="S452" s="340">
        <f>Saldo_relativo_per_capita!S452*Saldo_relativo_per_capita!S$543/1000000</f>
        <v>3.0846828863378858E-2</v>
      </c>
      <c r="T452" s="340">
        <f>Saldo_relativo_per_capita!T452*Saldo_relativo_per_capita!T$543/1000000</f>
        <v>8.8268242510318839E-2</v>
      </c>
      <c r="U452" s="340">
        <f>Saldo_relativo_per_capita!U452*Saldo_relativo_per_capita!U$543/1000000</f>
        <v>1.0550642840391989E-2</v>
      </c>
      <c r="V452" s="340">
        <f>Saldo_relativo_per_capita!V452*Saldo_relativo_per_capita!V$543/1000000</f>
        <v>-4.6835767540047389E-3</v>
      </c>
      <c r="W452" s="148"/>
    </row>
    <row r="453" spans="1:23" s="115" customFormat="1">
      <c r="A453" s="355" t="str">
        <f>IF(B453="","",(IF(ISERROR(MATCH(B453,Tot_res!C:C,0)),"Eliminar!!!","")))</f>
        <v/>
      </c>
      <c r="B453" s="115" t="s">
        <v>419</v>
      </c>
      <c r="C453" s="333" t="str">
        <f>VLOOKUP(B453,Tot_res!C:D,2,FALSE)</f>
        <v>Desarrollo industrial</v>
      </c>
      <c r="D453" s="340">
        <f>Saldo_relativo_per_capita!D453*Saldo_relativo_per_capita!D$543/1000000</f>
        <v>0</v>
      </c>
      <c r="E453" s="340">
        <f>Saldo_relativo_per_capita!E453*Saldo_relativo_per_capita!E$543/1000000</f>
        <v>-0.83946633623957556</v>
      </c>
      <c r="F453" s="340">
        <f>Saldo_relativo_per_capita!F453*Saldo_relativo_per_capita!F$543/1000000</f>
        <v>0.14377264035434195</v>
      </c>
      <c r="G453" s="340">
        <f>Saldo_relativo_per_capita!G453*Saldo_relativo_per_capita!G$543/1000000</f>
        <v>2.6796662798311947E-2</v>
      </c>
      <c r="H453" s="340">
        <f>Saldo_relativo_per_capita!H453*Saldo_relativo_per_capita!H$543/1000000</f>
        <v>-0.13887462098089784</v>
      </c>
      <c r="I453" s="340">
        <f>Saldo_relativo_per_capita!I453*Saldo_relativo_per_capita!I$543/1000000</f>
        <v>-0.27371089001688442</v>
      </c>
      <c r="J453" s="340">
        <f>Saldo_relativo_per_capita!J453*Saldo_relativo_per_capita!J$543/1000000</f>
        <v>1.3560691903214369E-2</v>
      </c>
      <c r="K453" s="340">
        <f>Saldo_relativo_per_capita!K453*Saldo_relativo_per_capita!K$543/1000000</f>
        <v>9.9516356979607909E-2</v>
      </c>
      <c r="L453" s="340">
        <f>Saldo_relativo_per_capita!L453*Saldo_relativo_per_capita!L$543/1000000</f>
        <v>1.5741847697583401E-2</v>
      </c>
      <c r="M453" s="340">
        <f>Saldo_relativo_per_capita!M453*Saldo_relativo_per_capita!M$543/1000000</f>
        <v>0.64466993845278164</v>
      </c>
      <c r="N453" s="340">
        <f>Saldo_relativo_per_capita!N453*Saldo_relativo_per_capita!N$543/1000000</f>
        <v>-9.622535001021941E-2</v>
      </c>
      <c r="O453" s="340">
        <f>Saldo_relativo_per_capita!O453*Saldo_relativo_per_capita!O$543/1000000</f>
        <v>-9.9818297287211977E-2</v>
      </c>
      <c r="P453" s="340">
        <f>Saldo_relativo_per_capita!P453*Saldo_relativo_per_capita!P$543/1000000</f>
        <v>2.3077261412331407E-2</v>
      </c>
      <c r="Q453" s="340">
        <f>Saldo_relativo_per_capita!Q453*Saldo_relativo_per_capita!Q$543/1000000</f>
        <v>-0.19193875591720216</v>
      </c>
      <c r="R453" s="340">
        <f>Saldo_relativo_per_capita!R453*Saldo_relativo_per_capita!R$543/1000000</f>
        <v>-3.7173888430992681E-2</v>
      </c>
      <c r="S453" s="340">
        <f>Saldo_relativo_per_capita!S453*Saldo_relativo_per_capita!S$543/1000000</f>
        <v>0.17525298186122312</v>
      </c>
      <c r="T453" s="340">
        <f>Saldo_relativo_per_capita!T453*Saldo_relativo_per_capita!T$543/1000000</f>
        <v>0.50148664461091386</v>
      </c>
      <c r="U453" s="340">
        <f>Saldo_relativo_per_capita!U453*Saldo_relativo_per_capita!U$543/1000000</f>
        <v>5.9942356685053565E-2</v>
      </c>
      <c r="V453" s="340">
        <f>Saldo_relativo_per_capita!V453*Saldo_relativo_per_capita!V$543/1000000</f>
        <v>-2.6609243872380638E-2</v>
      </c>
      <c r="W453" s="148"/>
    </row>
    <row r="454" spans="1:23" s="115" customFormat="1">
      <c r="A454" s="355" t="str">
        <f>IF(B454="","",(IF(ISERROR(MATCH(B454,Tot_res!C:C,0)),"Eliminar!!!","")))</f>
        <v/>
      </c>
      <c r="B454" s="115" t="s">
        <v>420</v>
      </c>
      <c r="C454" s="333" t="str">
        <f>VLOOKUP(B454,Tot_res!C:D,2,FALSE)</f>
        <v>Reconversión y reindustrialización</v>
      </c>
      <c r="D454" s="340">
        <f>Saldo_relativo_per_capita!D454*Saldo_relativo_per_capita!D$543/1000000</f>
        <v>0</v>
      </c>
      <c r="E454" s="340">
        <f>Saldo_relativo_per_capita!E454*Saldo_relativo_per_capita!E$543/1000000</f>
        <v>-3.3340939546824075</v>
      </c>
      <c r="F454" s="340">
        <f>Saldo_relativo_per_capita!F454*Saldo_relativo_per_capita!F$543/1000000</f>
        <v>-3.8523986558328294</v>
      </c>
      <c r="G454" s="340">
        <f>Saldo_relativo_per_capita!G454*Saldo_relativo_per_capita!G$543/1000000</f>
        <v>-0.54912443692691215</v>
      </c>
      <c r="H454" s="340">
        <f>Saldo_relativo_per_capita!H454*Saldo_relativo_per_capita!H$543/1000000</f>
        <v>3.8899650455244523</v>
      </c>
      <c r="I454" s="340">
        <f>Saldo_relativo_per_capita!I454*Saldo_relativo_per_capita!I$543/1000000</f>
        <v>0.11194610377449492</v>
      </c>
      <c r="J454" s="340">
        <f>Saldo_relativo_per_capita!J454*Saldo_relativo_per_capita!J$543/1000000</f>
        <v>1.8628247021115756</v>
      </c>
      <c r="K454" s="340">
        <f>Saldo_relativo_per_capita!K454*Saldo_relativo_per_capita!K$543/1000000</f>
        <v>-7.1499218229446564</v>
      </c>
      <c r="L454" s="340">
        <f>Saldo_relativo_per_capita!L454*Saldo_relativo_per_capita!L$543/1000000</f>
        <v>-5.6574085940600689</v>
      </c>
      <c r="M454" s="340">
        <f>Saldo_relativo_per_capita!M454*Saldo_relativo_per_capita!M$543/1000000</f>
        <v>-6.8648858058054723</v>
      </c>
      <c r="N454" s="340">
        <f>Saldo_relativo_per_capita!N454*Saldo_relativo_per_capita!N$543/1000000</f>
        <v>-10.987374916059034</v>
      </c>
      <c r="O454" s="340">
        <f>Saldo_relativo_per_capita!O454*Saldo_relativo_per_capita!O$543/1000000</f>
        <v>-3.0780405513535407</v>
      </c>
      <c r="P454" s="340">
        <f>Saldo_relativo_per_capita!P454*Saldo_relativo_per_capita!P$543/1000000</f>
        <v>42.855836311149424</v>
      </c>
      <c r="Q454" s="340">
        <f>Saldo_relativo_per_capita!Q454*Saldo_relativo_per_capita!Q$543/1000000</f>
        <v>-16.588287155262538</v>
      </c>
      <c r="R454" s="340">
        <f>Saldo_relativo_per_capita!R454*Saldo_relativo_per_capita!R$543/1000000</f>
        <v>5.8366316487278649</v>
      </c>
      <c r="S454" s="340">
        <f>Saldo_relativo_per_capita!S454*Saldo_relativo_per_capita!S$543/1000000</f>
        <v>-1.8754850676232873</v>
      </c>
      <c r="T454" s="340">
        <f>Saldo_relativo_per_capita!T454*Saldo_relativo_per_capita!T$543/1000000</f>
        <v>6.6648292647131191</v>
      </c>
      <c r="U454" s="340">
        <f>Saldo_relativo_per_capita!U454*Saldo_relativo_per_capita!U$543/1000000</f>
        <v>-0.88746712022515273</v>
      </c>
      <c r="V454" s="340">
        <f>Saldo_relativo_per_capita!V454*Saldo_relativo_per_capita!V$543/1000000</f>
        <v>-0.39754499522502806</v>
      </c>
      <c r="W454" s="217"/>
    </row>
    <row r="455" spans="1:23" s="115" customFormat="1">
      <c r="A455" s="355" t="str">
        <f>IF(B455="","",(IF(ISERROR(MATCH(B455,Tot_res!C:C,0)),"Eliminar!!!","")))</f>
        <v/>
      </c>
      <c r="B455" s="115" t="s">
        <v>915</v>
      </c>
      <c r="C455" s="333" t="str">
        <f>VLOOKUP(B455,Tot_res!C:D,2,FALSE)</f>
        <v xml:space="preserve"> Explotación minera. Parte ejecutada por la Dirección Gral. De Política Energética y Minas.  </v>
      </c>
      <c r="D455" s="340">
        <f>Saldo_relativo_per_capita!D455*Saldo_relativo_per_capita!D$543/1000000</f>
        <v>0</v>
      </c>
      <c r="E455" s="340">
        <f>Saldo_relativo_per_capita!E455*Saldo_relativo_per_capita!E$543/1000000</f>
        <v>-0.16076702580317012</v>
      </c>
      <c r="F455" s="340">
        <f>Saldo_relativo_per_capita!F455*Saldo_relativo_per_capita!F$543/1000000</f>
        <v>0.12616678873143217</v>
      </c>
      <c r="G455" s="340">
        <f>Saldo_relativo_per_capita!G455*Saldo_relativo_per_capita!G$543/1000000</f>
        <v>0.47234176031164743</v>
      </c>
      <c r="H455" s="340">
        <f>Saldo_relativo_per_capita!H455*Saldo_relativo_per_capita!H$543/1000000</f>
        <v>-8.3428508028292284E-2</v>
      </c>
      <c r="I455" s="340">
        <f>Saldo_relativo_per_capita!I455*Saldo_relativo_per_capita!I$543/1000000</f>
        <v>-0.17639596109186081</v>
      </c>
      <c r="J455" s="340">
        <f>Saldo_relativo_per_capita!J455*Saldo_relativo_per_capita!J$543/1000000</f>
        <v>-4.5839236637692259E-2</v>
      </c>
      <c r="K455" s="340">
        <f>Saldo_relativo_per_capita!K455*Saldo_relativo_per_capita!K$543/1000000</f>
        <v>0.71683654726572799</v>
      </c>
      <c r="L455" s="340">
        <f>Saldo_relativo_per_capita!L455*Saldo_relativo_per_capita!L$543/1000000</f>
        <v>-3.5201488146403781E-2</v>
      </c>
      <c r="M455" s="340">
        <f>Saldo_relativo_per_capita!M455*Saldo_relativo_per_capita!M$543/1000000</f>
        <v>-0.45479021432928546</v>
      </c>
      <c r="N455" s="340">
        <f>Saldo_relativo_per_capita!N455*Saldo_relativo_per_capita!N$543/1000000</f>
        <v>3.1035882556232783E-2</v>
      </c>
      <c r="O455" s="340">
        <f>Saldo_relativo_per_capita!O455*Saldo_relativo_per_capita!O$543/1000000</f>
        <v>9.4525461473958267E-2</v>
      </c>
      <c r="P455" s="340">
        <f>Saldo_relativo_per_capita!P455*Saldo_relativo_per_capita!P$543/1000000</f>
        <v>0.23598188777115559</v>
      </c>
      <c r="Q455" s="340">
        <f>Saldo_relativo_per_capita!Q455*Saldo_relativo_per_capita!Q$543/1000000</f>
        <v>-0.45486665551791428</v>
      </c>
      <c r="R455" s="340">
        <f>Saldo_relativo_per_capita!R455*Saldo_relativo_per_capita!R$543/1000000</f>
        <v>-3.2853722327157595E-2</v>
      </c>
      <c r="S455" s="340">
        <f>Saldo_relativo_per_capita!S455*Saldo_relativo_per_capita!S$543/1000000</f>
        <v>-5.3679703990263193E-2</v>
      </c>
      <c r="T455" s="340">
        <f>Saldo_relativo_per_capita!T455*Saldo_relativo_per_capita!T$543/1000000</f>
        <v>-0.1382042051199722</v>
      </c>
      <c r="U455" s="340">
        <f>Saldo_relativo_per_capita!U455*Saldo_relativo_per_capita!U$543/1000000</f>
        <v>-2.6772839393818113E-2</v>
      </c>
      <c r="V455" s="340">
        <f>Saldo_relativo_per_capita!V455*Saldo_relativo_per_capita!V$543/1000000</f>
        <v>-1.4088767724324576E-2</v>
      </c>
      <c r="W455" s="148"/>
    </row>
    <row r="456" spans="1:23" s="115" customFormat="1">
      <c r="A456" s="355" t="str">
        <f>IF(B456="","",(IF(ISERROR(MATCH(B456,Tot_res!C:C,0)),"Eliminar!!!","")))</f>
        <v/>
      </c>
      <c r="B456" s="115" t="s">
        <v>421</v>
      </c>
      <c r="C456" s="333" t="str">
        <f>VLOOKUP(B456,Tot_res!C:D,2,FALSE)</f>
        <v>Seguridad nuclear y protección radiológica</v>
      </c>
      <c r="D456" s="340">
        <f>Saldo_relativo_per_capita!D456*Saldo_relativo_per_capita!D$543/1000000</f>
        <v>0</v>
      </c>
      <c r="E456" s="340">
        <f>Saldo_relativo_per_capita!E456*Saldo_relativo_per_capita!E$543/1000000</f>
        <v>0</v>
      </c>
      <c r="F456" s="340">
        <f>Saldo_relativo_per_capita!F456*Saldo_relativo_per_capita!F$543/1000000</f>
        <v>0</v>
      </c>
      <c r="G456" s="340">
        <f>Saldo_relativo_per_capita!G456*Saldo_relativo_per_capita!G$543/1000000</f>
        <v>0</v>
      </c>
      <c r="H456" s="340">
        <f>Saldo_relativo_per_capita!H456*Saldo_relativo_per_capita!H$543/1000000</f>
        <v>0</v>
      </c>
      <c r="I456" s="340">
        <f>Saldo_relativo_per_capita!I456*Saldo_relativo_per_capita!I$543/1000000</f>
        <v>0</v>
      </c>
      <c r="J456" s="340">
        <f>Saldo_relativo_per_capita!J456*Saldo_relativo_per_capita!J$543/1000000</f>
        <v>0</v>
      </c>
      <c r="K456" s="340">
        <f>Saldo_relativo_per_capita!K456*Saldo_relativo_per_capita!K$543/1000000</f>
        <v>0</v>
      </c>
      <c r="L456" s="340">
        <f>Saldo_relativo_per_capita!L456*Saldo_relativo_per_capita!L$543/1000000</f>
        <v>0</v>
      </c>
      <c r="M456" s="340">
        <f>Saldo_relativo_per_capita!M456*Saldo_relativo_per_capita!M$543/1000000</f>
        <v>0</v>
      </c>
      <c r="N456" s="340">
        <f>Saldo_relativo_per_capita!N456*Saldo_relativo_per_capita!N$543/1000000</f>
        <v>0</v>
      </c>
      <c r="O456" s="340">
        <f>Saldo_relativo_per_capita!O456*Saldo_relativo_per_capita!O$543/1000000</f>
        <v>0</v>
      </c>
      <c r="P456" s="340">
        <f>Saldo_relativo_per_capita!P456*Saldo_relativo_per_capita!P$543/1000000</f>
        <v>0</v>
      </c>
      <c r="Q456" s="340">
        <f>Saldo_relativo_per_capita!Q456*Saldo_relativo_per_capita!Q$543/1000000</f>
        <v>0</v>
      </c>
      <c r="R456" s="340">
        <f>Saldo_relativo_per_capita!R456*Saldo_relativo_per_capita!R$543/1000000</f>
        <v>0</v>
      </c>
      <c r="S456" s="340">
        <f>Saldo_relativo_per_capita!S456*Saldo_relativo_per_capita!S$543/1000000</f>
        <v>0</v>
      </c>
      <c r="T456" s="340">
        <f>Saldo_relativo_per_capita!T456*Saldo_relativo_per_capita!T$543/1000000</f>
        <v>0</v>
      </c>
      <c r="U456" s="340">
        <f>Saldo_relativo_per_capita!U456*Saldo_relativo_per_capita!U$543/1000000</f>
        <v>0</v>
      </c>
      <c r="V456" s="340">
        <f>Saldo_relativo_per_capita!V456*Saldo_relativo_per_capita!V$543/1000000</f>
        <v>0</v>
      </c>
      <c r="W456" s="148"/>
    </row>
    <row r="457" spans="1:23" s="115" customFormat="1">
      <c r="A457" s="355" t="str">
        <f>IF(B457="","",(IF(ISERROR(MATCH(B457,Tot_res!C:C,0)),"Eliminar!!!","")))</f>
        <v/>
      </c>
      <c r="B457" s="115" t="s">
        <v>1190</v>
      </c>
      <c r="C457" s="333" t="str">
        <f>VLOOKUP(B457,Tot_res!C:D,2,FALSE)</f>
        <v>Normativa y desarrollo energético, neto de subvenciones a sistemas eléctricos insulares y extrapeninsulares</v>
      </c>
      <c r="D457" s="340">
        <f>Saldo_relativo_per_capita!D457*Saldo_relativo_per_capita!D$543/1000000</f>
        <v>0</v>
      </c>
      <c r="E457" s="340">
        <f>Saldo_relativo_per_capita!E457*Saldo_relativo_per_capita!E$543/1000000</f>
        <v>-68.434306609210651</v>
      </c>
      <c r="F457" s="340">
        <f>Saldo_relativo_per_capita!F457*Saldo_relativo_per_capita!F$543/1000000</f>
        <v>19.198512646889775</v>
      </c>
      <c r="G457" s="340">
        <f>Saldo_relativo_per_capita!G457*Saldo_relativo_per_capita!G$543/1000000</f>
        <v>32.124826232090498</v>
      </c>
      <c r="H457" s="340">
        <f>Saldo_relativo_per_capita!H457*Saldo_relativo_per_capita!H$543/1000000</f>
        <v>-2.3939109447541576</v>
      </c>
      <c r="I457" s="340">
        <f>Saldo_relativo_per_capita!I457*Saldo_relativo_per_capita!I$543/1000000</f>
        <v>-22.272085661104729</v>
      </c>
      <c r="J457" s="340">
        <f>Saldo_relativo_per_capita!J457*Saldo_relativo_per_capita!J$543/1000000</f>
        <v>8.4803138139759806</v>
      </c>
      <c r="K457" s="340">
        <f>Saldo_relativo_per_capita!K457*Saldo_relativo_per_capita!K$543/1000000</f>
        <v>-2.3043709732438789</v>
      </c>
      <c r="L457" s="340">
        <f>Saldo_relativo_per_capita!L457*Saldo_relativo_per_capita!L$543/1000000</f>
        <v>-0.67773854056047134</v>
      </c>
      <c r="M457" s="340">
        <f>Saldo_relativo_per_capita!M457*Saldo_relativo_per_capita!M$543/1000000</f>
        <v>34.509960067918087</v>
      </c>
      <c r="N457" s="340">
        <f>Saldo_relativo_per_capita!N457*Saldo_relativo_per_capita!N$543/1000000</f>
        <v>-16.780596786357016</v>
      </c>
      <c r="O457" s="340">
        <f>Saldo_relativo_per_capita!O457*Saldo_relativo_per_capita!O$543/1000000</f>
        <v>-10.720268981461848</v>
      </c>
      <c r="P457" s="340">
        <f>Saldo_relativo_per_capita!P457*Saldo_relativo_per_capita!P$543/1000000</f>
        <v>30.170998604165018</v>
      </c>
      <c r="Q457" s="340">
        <f>Saldo_relativo_per_capita!Q457*Saldo_relativo_per_capita!Q$543/1000000</f>
        <v>-38.710893601912801</v>
      </c>
      <c r="R457" s="340">
        <f>Saldo_relativo_per_capita!R457*Saldo_relativo_per_capita!R$543/1000000</f>
        <v>-2.1548321551187599</v>
      </c>
      <c r="S457" s="340">
        <f>Saldo_relativo_per_capita!S457*Saldo_relativo_per_capita!S$543/1000000</f>
        <v>8.9262930867001078</v>
      </c>
      <c r="T457" s="340">
        <f>Saldo_relativo_per_capita!T457*Saldo_relativo_per_capita!T$543/1000000</f>
        <v>35.47904728973247</v>
      </c>
      <c r="U457" s="340">
        <f>Saldo_relativo_per_capita!U457*Saldo_relativo_per_capita!U$543/1000000</f>
        <v>-0.62569701720620874</v>
      </c>
      <c r="V457" s="340">
        <f>Saldo_relativo_per_capita!V457*Saldo_relativo_per_capita!V$543/1000000</f>
        <v>-3.8152504705409047</v>
      </c>
    </row>
    <row r="458" spans="1:23" s="115" customFormat="1">
      <c r="A458" s="355" t="str">
        <f>IF(B458="","",(IF(ISERROR(MATCH(B458,Tot_res!C:C,0)),"Eliminar!!!","")))</f>
        <v/>
      </c>
      <c r="B458" s="115" t="s">
        <v>422</v>
      </c>
      <c r="C458" s="333" t="str">
        <f>VLOOKUP(B458,Tot_res!C:D,2,FALSE)</f>
        <v>Promoción comercial e internacionalización de la empresa</v>
      </c>
      <c r="D458" s="340">
        <f>Saldo_relativo_per_capita!D458*Saldo_relativo_per_capita!D$543/1000000</f>
        <v>0</v>
      </c>
      <c r="E458" s="340">
        <f>Saldo_relativo_per_capita!E458*Saldo_relativo_per_capita!E$543/1000000</f>
        <v>-11.433686708970619</v>
      </c>
      <c r="F458" s="340">
        <f>Saldo_relativo_per_capita!F458*Saldo_relativo_per_capita!F$543/1000000</f>
        <v>1.5684183435099677</v>
      </c>
      <c r="G458" s="340">
        <f>Saldo_relativo_per_capita!G458*Saldo_relativo_per_capita!G$543/1000000</f>
        <v>-1.0591572501442768</v>
      </c>
      <c r="H458" s="340">
        <f>Saldo_relativo_per_capita!H458*Saldo_relativo_per_capita!H$543/1000000</f>
        <v>-3.3677827648116105</v>
      </c>
      <c r="I458" s="340">
        <f>Saldo_relativo_per_capita!I458*Saldo_relativo_per_capita!I$543/1000000</f>
        <v>-5.6840239110010931</v>
      </c>
      <c r="J458" s="340">
        <f>Saldo_relativo_per_capita!J458*Saldo_relativo_per_capita!J$543/1000000</f>
        <v>-0.35266595761972763</v>
      </c>
      <c r="K458" s="340">
        <f>Saldo_relativo_per_capita!K458*Saldo_relativo_per_capita!K$543/1000000</f>
        <v>-0.18549556410665713</v>
      </c>
      <c r="L458" s="340">
        <f>Saldo_relativo_per_capita!L458*Saldo_relativo_per_capita!L$543/1000000</f>
        <v>-3.9955782423317934</v>
      </c>
      <c r="M458" s="340">
        <f>Saldo_relativo_per_capita!M458*Saldo_relativo_per_capita!M$543/1000000</f>
        <v>15.257356912999301</v>
      </c>
      <c r="N458" s="340">
        <f>Saldo_relativo_per_capita!N458*Saldo_relativo_per_capita!N$543/1000000</f>
        <v>-1.1994371803338848</v>
      </c>
      <c r="O458" s="340">
        <f>Saldo_relativo_per_capita!O458*Saldo_relativo_per_capita!O$543/1000000</f>
        <v>-2.7500804684589895</v>
      </c>
      <c r="P458" s="340">
        <f>Saldo_relativo_per_capita!P458*Saldo_relativo_per_capita!P$543/1000000</f>
        <v>3.5671542302973167</v>
      </c>
      <c r="Q458" s="340">
        <f>Saldo_relativo_per_capita!Q458*Saldo_relativo_per_capita!Q$543/1000000</f>
        <v>-1.1363469088690752</v>
      </c>
      <c r="R458" s="340">
        <f>Saldo_relativo_per_capita!R458*Saldo_relativo_per_capita!R$543/1000000</f>
        <v>1.4398997849976667</v>
      </c>
      <c r="S458" s="340">
        <f>Saldo_relativo_per_capita!S458*Saldo_relativo_per_capita!S$543/1000000</f>
        <v>3.034639200048348</v>
      </c>
      <c r="T458" s="340">
        <f>Saldo_relativo_per_capita!T458*Saldo_relativo_per_capita!T$543/1000000</f>
        <v>6.9390832047894389</v>
      </c>
      <c r="U458" s="340">
        <f>Saldo_relativo_per_capita!U458*Saldo_relativo_per_capita!U$543/1000000</f>
        <v>-6.5162020832152875E-2</v>
      </c>
      <c r="V458" s="340">
        <f>Saldo_relativo_per_capita!V458*Saldo_relativo_per_capita!V$543/1000000</f>
        <v>-0.57713469916217475</v>
      </c>
    </row>
    <row r="459" spans="1:23" s="115" customFormat="1">
      <c r="A459" s="355" t="str">
        <f>IF(B459="","",(IF(ISERROR(MATCH(B459,Tot_res!C:C,0)),"Eliminar!!!","")))</f>
        <v/>
      </c>
      <c r="B459" s="115" t="s">
        <v>424</v>
      </c>
      <c r="C459" s="333" t="str">
        <f>VLOOKUP(B459,Tot_res!C:D,2,FALSE)</f>
        <v>Ordenación del comercio exterior</v>
      </c>
      <c r="D459" s="340">
        <f>Saldo_relativo_per_capita!D459*Saldo_relativo_per_capita!D$543/1000000</f>
        <v>0</v>
      </c>
      <c r="E459" s="340">
        <f>Saldo_relativo_per_capita!E459*Saldo_relativo_per_capita!E$543/1000000</f>
        <v>-0.47067855652282625</v>
      </c>
      <c r="F459" s="340">
        <f>Saldo_relativo_per_capita!F459*Saldo_relativo_per_capita!F$543/1000000</f>
        <v>3.2876199035446356E-2</v>
      </c>
      <c r="G459" s="340">
        <f>Saldo_relativo_per_capita!G459*Saldo_relativo_per_capita!G$543/1000000</f>
        <v>-5.7366649196757546E-2</v>
      </c>
      <c r="H459" s="340">
        <f>Saldo_relativo_per_capita!H459*Saldo_relativo_per_capita!H$543/1000000</f>
        <v>-0.14353346249111013</v>
      </c>
      <c r="I459" s="340">
        <f>Saldo_relativo_per_capita!I459*Saldo_relativo_per_capita!I$543/1000000</f>
        <v>-0.23115231138677542</v>
      </c>
      <c r="J459" s="340">
        <f>Saldo_relativo_per_capita!J459*Saldo_relativo_per_capita!J$543/1000000</f>
        <v>-2.9017469099337799E-2</v>
      </c>
      <c r="K459" s="340">
        <f>Saldo_relativo_per_capita!K459*Saldo_relativo_per_capita!K$543/1000000</f>
        <v>-4.309770703432958E-2</v>
      </c>
      <c r="L459" s="340">
        <f>Saldo_relativo_per_capita!L459*Saldo_relativo_per_capita!L$543/1000000</f>
        <v>-0.17113480304084269</v>
      </c>
      <c r="M459" s="340">
        <f>Saldo_relativo_per_capita!M459*Saldo_relativo_per_capita!M$543/1000000</f>
        <v>0.75249793966906176</v>
      </c>
      <c r="N459" s="340">
        <f>Saldo_relativo_per_capita!N459*Saldo_relativo_per_capita!N$543/1000000</f>
        <v>-0.11893974796212087</v>
      </c>
      <c r="O459" s="340">
        <f>Saldo_relativo_per_capita!O459*Saldo_relativo_per_capita!O$543/1000000</f>
        <v>-0.13314815178665895</v>
      </c>
      <c r="P459" s="340">
        <f>Saldo_relativo_per_capita!P459*Saldo_relativo_per_capita!P$543/1000000</f>
        <v>7.9264112218940433E-2</v>
      </c>
      <c r="Q459" s="340">
        <f>Saldo_relativo_per_capita!Q459*Saldo_relativo_per_capita!Q$543/1000000</f>
        <v>0.17181146211577844</v>
      </c>
      <c r="R459" s="340">
        <f>Saldo_relativo_per_capita!R459*Saldo_relativo_per_capita!R$543/1000000</f>
        <v>9.3846841271592249E-2</v>
      </c>
      <c r="S459" s="340">
        <f>Saldo_relativo_per_capita!S459*Saldo_relativo_per_capita!S$543/1000000</f>
        <v>7.5466052994861713E-2</v>
      </c>
      <c r="T459" s="340">
        <f>Saldo_relativo_per_capita!T459*Saldo_relativo_per_capita!T$543/1000000</f>
        <v>0.22012736245401582</v>
      </c>
      <c r="U459" s="340">
        <f>Saldo_relativo_per_capita!U459*Saldo_relativo_per_capita!U$543/1000000</f>
        <v>-1.1104608307493217E-2</v>
      </c>
      <c r="V459" s="340">
        <f>Saldo_relativo_per_capita!V459*Saldo_relativo_per_capita!V$543/1000000</f>
        <v>-1.6716502931441619E-2</v>
      </c>
    </row>
    <row r="460" spans="1:23" s="115" customFormat="1">
      <c r="A460" s="355" t="str">
        <f>IF(B460="","",(IF(ISERROR(MATCH(B460,Tot_res!C:C,0)),"Eliminar!!!","")))</f>
        <v/>
      </c>
      <c r="B460" s="115" t="s">
        <v>426</v>
      </c>
      <c r="C460" s="333" t="str">
        <f>VLOOKUP(B460,Tot_res!C:D,2,FALSE)</f>
        <v>Ordenación y modernización de las estructuras comerciales + AF23</v>
      </c>
      <c r="D460" s="340">
        <f>Saldo_relativo_per_capita!D460*Saldo_relativo_per_capita!D$543/1000000</f>
        <v>0</v>
      </c>
      <c r="E460" s="340">
        <f>Saldo_relativo_per_capita!E460*Saldo_relativo_per_capita!E$543/1000000</f>
        <v>-0.26328465367293646</v>
      </c>
      <c r="F460" s="340">
        <f>Saldo_relativo_per_capita!F460*Saldo_relativo_per_capita!F$543/1000000</f>
        <v>-6.6106816043551902E-3</v>
      </c>
      <c r="G460" s="340">
        <f>Saldo_relativo_per_capita!G460*Saldo_relativo_per_capita!G$543/1000000</f>
        <v>-2.1774186199776391E-2</v>
      </c>
      <c r="H460" s="340">
        <f>Saldo_relativo_per_capita!H460*Saldo_relativo_per_capita!H$543/1000000</f>
        <v>7.7074592941960951E-2</v>
      </c>
      <c r="I460" s="340">
        <f>Saldo_relativo_per_capita!I460*Saldo_relativo_per_capita!I$543/1000000</f>
        <v>5.452573569944863E-2</v>
      </c>
      <c r="J460" s="340">
        <f>Saldo_relativo_per_capita!J460*Saldo_relativo_per_capita!J$543/1000000</f>
        <v>-1.0208503710229975E-2</v>
      </c>
      <c r="K460" s="340">
        <f>Saldo_relativo_per_capita!K460*Saldo_relativo_per_capita!K$543/1000000</f>
        <v>-5.553854375551167E-2</v>
      </c>
      <c r="L460" s="340">
        <f>Saldo_relativo_per_capita!L460*Saldo_relativo_per_capita!L$543/1000000</f>
        <v>-8.9948860865492697E-2</v>
      </c>
      <c r="M460" s="340">
        <f>Saldo_relativo_per_capita!M460*Saldo_relativo_per_capita!M$543/1000000</f>
        <v>0.22280157519404753</v>
      </c>
      <c r="N460" s="340">
        <f>Saldo_relativo_per_capita!N460*Saldo_relativo_per_capita!N$543/1000000</f>
        <v>-6.2809792035785322E-2</v>
      </c>
      <c r="O460" s="340">
        <f>Saldo_relativo_per_capita!O460*Saldo_relativo_per_capita!O$543/1000000</f>
        <v>-5.4101285389996097E-2</v>
      </c>
      <c r="P460" s="340">
        <f>Saldo_relativo_per_capita!P460*Saldo_relativo_per_capita!P$543/1000000</f>
        <v>-4.546697070113357E-2</v>
      </c>
      <c r="Q460" s="340">
        <f>Saldo_relativo_per_capita!Q460*Saldo_relativo_per_capita!Q$543/1000000</f>
        <v>0.26907436001132834</v>
      </c>
      <c r="R460" s="340">
        <f>Saldo_relativo_per_capita!R460*Saldo_relativo_per_capita!R$543/1000000</f>
        <v>-2.8804386836481666E-2</v>
      </c>
      <c r="S460" s="340">
        <f>Saldo_relativo_per_capita!S460*Saldo_relativo_per_capita!S$543/1000000</f>
        <v>-1.4284722987947544E-3</v>
      </c>
      <c r="T460" s="340">
        <f>Saldo_relativo_per_capita!T460*Saldo_relativo_per_capita!T$543/1000000</f>
        <v>2.785174939306697E-2</v>
      </c>
      <c r="U460" s="340">
        <f>Saldo_relativo_per_capita!U460*Saldo_relativo_per_capita!U$543/1000000</f>
        <v>-4.8137484792904386E-3</v>
      </c>
      <c r="V460" s="340">
        <f>Saldo_relativo_per_capita!V460*Saldo_relativo_per_capita!V$543/1000000</f>
        <v>-6.5379276900683347E-3</v>
      </c>
    </row>
    <row r="461" spans="1:23" s="115" customFormat="1">
      <c r="A461" s="355" t="str">
        <f>IF(B461="","",(IF(ISERROR(MATCH(B461,Tot_res!C:C,0)),"Eliminar!!!","")))</f>
        <v/>
      </c>
      <c r="B461" s="115" t="s">
        <v>427</v>
      </c>
      <c r="C461" s="333" t="str">
        <f>VLOOKUP(B461,Tot_res!C:D,2,FALSE)</f>
        <v>Coordinación y promoción del turismo + AF24</v>
      </c>
      <c r="D461" s="340">
        <f>Saldo_relativo_per_capita!D461*Saldo_relativo_per_capita!D$543/1000000</f>
        <v>0</v>
      </c>
      <c r="E461" s="340">
        <f>Saldo_relativo_per_capita!E461*Saldo_relativo_per_capita!E$543/1000000</f>
        <v>-4.4935302310701237</v>
      </c>
      <c r="F461" s="340">
        <f>Saldo_relativo_per_capita!F461*Saldo_relativo_per_capita!F$543/1000000</f>
        <v>1.2408475740965967</v>
      </c>
      <c r="G461" s="340">
        <f>Saldo_relativo_per_capita!G461*Saldo_relativo_per_capita!G$543/1000000</f>
        <v>1.2890419881531474</v>
      </c>
      <c r="H461" s="340">
        <f>Saldo_relativo_per_capita!H461*Saldo_relativo_per_capita!H$543/1000000</f>
        <v>8.4478953609236029</v>
      </c>
      <c r="I461" s="340">
        <f>Saldo_relativo_per_capita!I461*Saldo_relativo_per_capita!I$543/1000000</f>
        <v>7.1497818239811632</v>
      </c>
      <c r="J461" s="340">
        <f>Saldo_relativo_per_capita!J461*Saldo_relativo_per_capita!J$543/1000000</f>
        <v>-0.5757837806761773</v>
      </c>
      <c r="K461" s="340">
        <f>Saldo_relativo_per_capita!K461*Saldo_relativo_per_capita!K$543/1000000</f>
        <v>-2.664155420544378</v>
      </c>
      <c r="L461" s="340">
        <f>Saldo_relativo_per_capita!L461*Saldo_relativo_per_capita!L$543/1000000</f>
        <v>-3.0171520143425994</v>
      </c>
      <c r="M461" s="340">
        <f>Saldo_relativo_per_capita!M461*Saldo_relativo_per_capita!M$543/1000000</f>
        <v>3.1314527704338362</v>
      </c>
      <c r="N461" s="340">
        <f>Saldo_relativo_per_capita!N461*Saldo_relativo_per_capita!N$543/1000000</f>
        <v>-3.0317486947107559</v>
      </c>
      <c r="O461" s="340">
        <f>Saldo_relativo_per_capita!O461*Saldo_relativo_per_capita!O$543/1000000</f>
        <v>-1.1718802063206595</v>
      </c>
      <c r="P461" s="340">
        <f>Saldo_relativo_per_capita!P461*Saldo_relativo_per_capita!P$543/1000000</f>
        <v>-0.23607048452477308</v>
      </c>
      <c r="Q461" s="340">
        <f>Saldo_relativo_per_capita!Q461*Saldo_relativo_per_capita!Q$543/1000000</f>
        <v>-2.5128937839292487</v>
      </c>
      <c r="R461" s="340">
        <f>Saldo_relativo_per_capita!R461*Saldo_relativo_per_capita!R$543/1000000</f>
        <v>-1.6097584235437037</v>
      </c>
      <c r="S461" s="340">
        <f>Saldo_relativo_per_capita!S461*Saldo_relativo_per_capita!S$543/1000000</f>
        <v>-0.40624473681375561</v>
      </c>
      <c r="T461" s="340">
        <f>Saldo_relativo_per_capita!T461*Saldo_relativo_per_capita!T$543/1000000</f>
        <v>-1.404478198922064</v>
      </c>
      <c r="U461" s="340">
        <f>Saldo_relativo_per_capita!U461*Saldo_relativo_per_capita!U$543/1000000</f>
        <v>-5.8759114389453769E-2</v>
      </c>
      <c r="V461" s="340">
        <f>Saldo_relativo_per_capita!V461*Saldo_relativo_per_capita!V$543/1000000</f>
        <v>-7.6564427800659085E-2</v>
      </c>
    </row>
    <row r="462" spans="1:23" s="115" customFormat="1">
      <c r="A462" s="355" t="str">
        <f>IF(B462="","",(IF(ISERROR(MATCH(B462,Tot_res!C:C,0)),"Eliminar!!!","")))</f>
        <v/>
      </c>
      <c r="B462" s="115" t="s">
        <v>919</v>
      </c>
      <c r="C462" s="333" t="str">
        <f>VLOOKUP(B462,Tot_res!C:D,2,FALSE)</f>
        <v>Investig. y desarrollo tecnolog-industrial.Secretaría general de ciencia, tecnología e innovación</v>
      </c>
      <c r="D462" s="340">
        <f>Saldo_relativo_per_capita!D462*Saldo_relativo_per_capita!D$543/1000000</f>
        <v>0</v>
      </c>
      <c r="E462" s="340">
        <f>Saldo_relativo_per_capita!E462*Saldo_relativo_per_capita!E$543/1000000</f>
        <v>-14.262921787243293</v>
      </c>
      <c r="F462" s="340">
        <f>Saldo_relativo_per_capita!F462*Saldo_relativo_per_capita!F$543/1000000</f>
        <v>2.4427637369060764</v>
      </c>
      <c r="G462" s="340">
        <f>Saldo_relativo_per_capita!G462*Saldo_relativo_per_capita!G$543/1000000</f>
        <v>0.45528770976514615</v>
      </c>
      <c r="H462" s="340">
        <f>Saldo_relativo_per_capita!H462*Saldo_relativo_per_capita!H$543/1000000</f>
        <v>-2.3595441196087621</v>
      </c>
      <c r="I462" s="340">
        <f>Saldo_relativo_per_capita!I462*Saldo_relativo_per_capita!I$543/1000000</f>
        <v>-4.6504747696201054</v>
      </c>
      <c r="J462" s="340">
        <f>Saldo_relativo_per_capita!J462*Saldo_relativo_per_capita!J$543/1000000</f>
        <v>0.23040243503135655</v>
      </c>
      <c r="K462" s="340">
        <f>Saldo_relativo_per_capita!K462*Saldo_relativo_per_capita!K$543/1000000</f>
        <v>1.6908289884616026</v>
      </c>
      <c r="L462" s="340">
        <f>Saldo_relativo_per_capita!L462*Saldo_relativo_per_capita!L$543/1000000</f>
        <v>0.26746128201292302</v>
      </c>
      <c r="M462" s="340">
        <f>Saldo_relativo_per_capita!M462*Saldo_relativo_per_capita!M$543/1000000</f>
        <v>10.953240783814877</v>
      </c>
      <c r="N462" s="340">
        <f>Saldo_relativo_per_capita!N462*Saldo_relativo_per_capita!N$543/1000000</f>
        <v>-1.6349132560738993</v>
      </c>
      <c r="O462" s="340">
        <f>Saldo_relativo_per_capita!O462*Saldo_relativo_per_capita!O$543/1000000</f>
        <v>-1.6959590941083238</v>
      </c>
      <c r="P462" s="340">
        <f>Saldo_relativo_per_capita!P462*Saldo_relativo_per_capita!P$543/1000000</f>
        <v>0.39209335786148153</v>
      </c>
      <c r="Q462" s="340">
        <f>Saldo_relativo_per_capita!Q462*Saldo_relativo_per_capita!Q$543/1000000</f>
        <v>-3.2611283447661092</v>
      </c>
      <c r="R462" s="340">
        <f>Saldo_relativo_per_capita!R462*Saldo_relativo_per_capita!R$543/1000000</f>
        <v>-0.63160157868158007</v>
      </c>
      <c r="S462" s="340">
        <f>Saldo_relativo_per_capita!S462*Saldo_relativo_per_capita!S$543/1000000</f>
        <v>2.9776293168168526</v>
      </c>
      <c r="T462" s="340">
        <f>Saldo_relativo_per_capita!T462*Saldo_relativo_per_capita!T$543/1000000</f>
        <v>8.5204903170664341</v>
      </c>
      <c r="U462" s="340">
        <f>Saldo_relativo_per_capita!U462*Saldo_relativo_per_capita!U$543/1000000</f>
        <v>1.0184483977901457</v>
      </c>
      <c r="V462" s="340">
        <f>Saldo_relativo_per_capita!V462*Saldo_relativo_per_capita!V$543/1000000</f>
        <v>-0.45210337542485451</v>
      </c>
    </row>
    <row r="463" spans="1:23" s="115" customFormat="1">
      <c r="A463" s="355" t="str">
        <f>IF(B463="","",(IF(ISERROR(MATCH(B463,Tot_res!C:C,0)),"Eliminar!!!","")))</f>
        <v/>
      </c>
      <c r="B463" s="115" t="s">
        <v>429</v>
      </c>
      <c r="C463" s="333" t="str">
        <f>VLOOKUP(B463,Tot_res!C:D,2,FALSE)</f>
        <v>Investigación y desarrollo de la sociedad de la información</v>
      </c>
      <c r="D463" s="340">
        <f>Saldo_relativo_per_capita!D463*Saldo_relativo_per_capita!D$543/1000000</f>
        <v>0</v>
      </c>
      <c r="E463" s="340">
        <f>Saldo_relativo_per_capita!E463*Saldo_relativo_per_capita!E$543/1000000</f>
        <v>-4.557164925103705</v>
      </c>
      <c r="F463" s="340">
        <f>Saldo_relativo_per_capita!F463*Saldo_relativo_per_capita!F$543/1000000</f>
        <v>0.99894293999918837</v>
      </c>
      <c r="G463" s="340">
        <f>Saldo_relativo_per_capita!G463*Saldo_relativo_per_capita!G$543/1000000</f>
        <v>-0.36498899147805125</v>
      </c>
      <c r="H463" s="340">
        <f>Saldo_relativo_per_capita!H463*Saldo_relativo_per_capita!H$543/1000000</f>
        <v>-0.78949901756316554</v>
      </c>
      <c r="I463" s="340">
        <f>Saldo_relativo_per_capita!I463*Saldo_relativo_per_capita!I$543/1000000</f>
        <v>-1.5002832476636399</v>
      </c>
      <c r="J463" s="340">
        <f>Saldo_relativo_per_capita!J463*Saldo_relativo_per_capita!J$543/1000000</f>
        <v>0.72462537013927519</v>
      </c>
      <c r="K463" s="340">
        <f>Saldo_relativo_per_capita!K463*Saldo_relativo_per_capita!K$543/1000000</f>
        <v>-1.4030255115173336</v>
      </c>
      <c r="L463" s="340">
        <f>Saldo_relativo_per_capita!L463*Saldo_relativo_per_capita!L$543/1000000</f>
        <v>-0.82306018062724884</v>
      </c>
      <c r="M463" s="340">
        <f>Saldo_relativo_per_capita!M463*Saldo_relativo_per_capita!M$543/1000000</f>
        <v>1.7756655815427302</v>
      </c>
      <c r="N463" s="340">
        <f>Saldo_relativo_per_capita!N463*Saldo_relativo_per_capita!N$543/1000000</f>
        <v>-1.7999761887510253</v>
      </c>
      <c r="O463" s="340">
        <f>Saldo_relativo_per_capita!O463*Saldo_relativo_per_capita!O$543/1000000</f>
        <v>-0.80076429608656807</v>
      </c>
      <c r="P463" s="340">
        <f>Saldo_relativo_per_capita!P463*Saldo_relativo_per_capita!P$543/1000000</f>
        <v>-1.2323667851131872</v>
      </c>
      <c r="Q463" s="340">
        <f>Saldo_relativo_per_capita!Q463*Saldo_relativo_per_capita!Q$543/1000000</f>
        <v>5.3277077687139709</v>
      </c>
      <c r="R463" s="340">
        <f>Saldo_relativo_per_capita!R463*Saldo_relativo_per_capita!R$543/1000000</f>
        <v>-0.88910098665922499</v>
      </c>
      <c r="S463" s="340">
        <f>Saldo_relativo_per_capita!S463*Saldo_relativo_per_capita!S$543/1000000</f>
        <v>0.12603003859551218</v>
      </c>
      <c r="T463" s="340">
        <f>Saldo_relativo_per_capita!T463*Saldo_relativo_per_capita!T$543/1000000</f>
        <v>5.5379837694203653</v>
      </c>
      <c r="U463" s="340">
        <f>Saldo_relativo_per_capita!U463*Saldo_relativo_per_capita!U$543/1000000</f>
        <v>-0.20461104375102454</v>
      </c>
      <c r="V463" s="340">
        <f>Saldo_relativo_per_capita!V463*Saldo_relativo_per_capita!V$543/1000000</f>
        <v>-0.1261142940968657</v>
      </c>
    </row>
    <row r="464" spans="1:23" s="115" customFormat="1">
      <c r="A464" s="355" t="str">
        <f>IF(B464="","",(IF(ISERROR(MATCH(B464,Tot_res!C:C,0)),"Eliminar!!!","")))</f>
        <v/>
      </c>
      <c r="B464" s="115" t="s">
        <v>430</v>
      </c>
      <c r="C464" s="333" t="str">
        <f>VLOOKUP(B464,Tot_res!C:D,2,FALSE)</f>
        <v>Innovación tecnológica de las telecomunicaciones</v>
      </c>
      <c r="D464" s="340">
        <f>Saldo_relativo_per_capita!D464*Saldo_relativo_per_capita!D$543/1000000</f>
        <v>0</v>
      </c>
      <c r="E464" s="340">
        <f>Saldo_relativo_per_capita!E464*Saldo_relativo_per_capita!E$543/1000000</f>
        <v>1.3896399525109408E-2</v>
      </c>
      <c r="F464" s="340">
        <f>Saldo_relativo_per_capita!F464*Saldo_relativo_per_capita!F$543/1000000</f>
        <v>-0.14789308501718471</v>
      </c>
      <c r="G464" s="340">
        <f>Saldo_relativo_per_capita!G464*Saldo_relativo_per_capita!G$543/1000000</f>
        <v>-0.13231276623510888</v>
      </c>
      <c r="H464" s="340">
        <f>Saldo_relativo_per_capita!H464*Saldo_relativo_per_capita!H$543/1000000</f>
        <v>-0.18108649067955557</v>
      </c>
      <c r="I464" s="340">
        <f>Saldo_relativo_per_capita!I464*Saldo_relativo_per_capita!I$543/1000000</f>
        <v>-0.48132317148909493</v>
      </c>
      <c r="J464" s="340">
        <f>Saldo_relativo_per_capita!J464*Saldo_relativo_per_capita!J$543/1000000</f>
        <v>-0.1435932609094987</v>
      </c>
      <c r="K464" s="340">
        <f>Saldo_relativo_per_capita!K464*Saldo_relativo_per_capita!K$543/1000000</f>
        <v>-0.43670357597230708</v>
      </c>
      <c r="L464" s="340">
        <f>Saldo_relativo_per_capita!L464*Saldo_relativo_per_capita!L$543/1000000</f>
        <v>-0.32756860161299256</v>
      </c>
      <c r="M464" s="340">
        <f>Saldo_relativo_per_capita!M464*Saldo_relativo_per_capita!M$543/1000000</f>
        <v>0.80349317317863</v>
      </c>
      <c r="N464" s="340">
        <f>Saldo_relativo_per_capita!N464*Saldo_relativo_per_capita!N$543/1000000</f>
        <v>-0.61793710774528254</v>
      </c>
      <c r="O464" s="340">
        <f>Saldo_relativo_per_capita!O464*Saldo_relativo_per_capita!O$543/1000000</f>
        <v>-0.26225503235603603</v>
      </c>
      <c r="P464" s="340">
        <f>Saldo_relativo_per_capita!P464*Saldo_relativo_per_capita!P$543/1000000</f>
        <v>0.27303350840834906</v>
      </c>
      <c r="Q464" s="340">
        <f>Saldo_relativo_per_capita!Q464*Saldo_relativo_per_capita!Q$543/1000000</f>
        <v>1.8345041812157603</v>
      </c>
      <c r="R464" s="340">
        <f>Saldo_relativo_per_capita!R464*Saldo_relativo_per_capita!R$543/1000000</f>
        <v>-0.29158675959032088</v>
      </c>
      <c r="S464" s="340">
        <f>Saldo_relativo_per_capita!S464*Saldo_relativo_per_capita!S$543/1000000</f>
        <v>3.0500982898520771E-2</v>
      </c>
      <c r="T464" s="340">
        <f>Saldo_relativo_per_capita!T464*Saldo_relativo_per_capita!T$543/1000000</f>
        <v>0.18583259469099758</v>
      </c>
      <c r="U464" s="340">
        <f>Saldo_relativo_per_capita!U464*Saldo_relativo_per_capita!U$543/1000000</f>
        <v>-7.7970363194895809E-2</v>
      </c>
      <c r="V464" s="340">
        <f>Saldo_relativo_per_capita!V464*Saldo_relativo_per_capita!V$543/1000000</f>
        <v>-4.1030625115084339E-2</v>
      </c>
    </row>
    <row r="465" spans="1:22" s="115" customFormat="1">
      <c r="A465" s="355" t="str">
        <f>IF(B465="","",(IF(ISERROR(MATCH(B465,Tot_res!C:C,0)),"Eliminar!!!","")))</f>
        <v/>
      </c>
      <c r="B465" s="115" t="s">
        <v>432</v>
      </c>
      <c r="C465" s="333" t="str">
        <f>VLOOKUP(B465,Tot_res!C:D,2,FALSE)</f>
        <v>Ordenación y promoción de las telecomunicaciones y de la sociedad de la información</v>
      </c>
      <c r="D465" s="340">
        <f>Saldo_relativo_per_capita!D465*Saldo_relativo_per_capita!D$543/1000000</f>
        <v>0</v>
      </c>
      <c r="E465" s="340">
        <f>Saldo_relativo_per_capita!E465*Saldo_relativo_per_capita!E$543/1000000</f>
        <v>0</v>
      </c>
      <c r="F465" s="340">
        <f>Saldo_relativo_per_capita!F465*Saldo_relativo_per_capita!F$543/1000000</f>
        <v>0</v>
      </c>
      <c r="G465" s="340">
        <f>Saldo_relativo_per_capita!G465*Saldo_relativo_per_capita!G$543/1000000</f>
        <v>0</v>
      </c>
      <c r="H465" s="340">
        <f>Saldo_relativo_per_capita!H465*Saldo_relativo_per_capita!H$543/1000000</f>
        <v>0</v>
      </c>
      <c r="I465" s="340">
        <f>Saldo_relativo_per_capita!I465*Saldo_relativo_per_capita!I$543/1000000</f>
        <v>0</v>
      </c>
      <c r="J465" s="340">
        <f>Saldo_relativo_per_capita!J465*Saldo_relativo_per_capita!J$543/1000000</f>
        <v>0</v>
      </c>
      <c r="K465" s="340">
        <f>Saldo_relativo_per_capita!K465*Saldo_relativo_per_capita!K$543/1000000</f>
        <v>0</v>
      </c>
      <c r="L465" s="340">
        <f>Saldo_relativo_per_capita!L465*Saldo_relativo_per_capita!L$543/1000000</f>
        <v>0</v>
      </c>
      <c r="M465" s="340">
        <f>Saldo_relativo_per_capita!M465*Saldo_relativo_per_capita!M$543/1000000</f>
        <v>0</v>
      </c>
      <c r="N465" s="340">
        <f>Saldo_relativo_per_capita!N465*Saldo_relativo_per_capita!N$543/1000000</f>
        <v>0</v>
      </c>
      <c r="O465" s="340">
        <f>Saldo_relativo_per_capita!O465*Saldo_relativo_per_capita!O$543/1000000</f>
        <v>0</v>
      </c>
      <c r="P465" s="340">
        <f>Saldo_relativo_per_capita!P465*Saldo_relativo_per_capita!P$543/1000000</f>
        <v>0</v>
      </c>
      <c r="Q465" s="340">
        <f>Saldo_relativo_per_capita!Q465*Saldo_relativo_per_capita!Q$543/1000000</f>
        <v>0</v>
      </c>
      <c r="R465" s="340">
        <f>Saldo_relativo_per_capita!R465*Saldo_relativo_per_capita!R$543/1000000</f>
        <v>0</v>
      </c>
      <c r="S465" s="340">
        <f>Saldo_relativo_per_capita!S465*Saldo_relativo_per_capita!S$543/1000000</f>
        <v>0</v>
      </c>
      <c r="T465" s="340">
        <f>Saldo_relativo_per_capita!T465*Saldo_relativo_per_capita!T$543/1000000</f>
        <v>0</v>
      </c>
      <c r="U465" s="340">
        <f>Saldo_relativo_per_capita!U465*Saldo_relativo_per_capita!U$543/1000000</f>
        <v>0</v>
      </c>
      <c r="V465" s="340">
        <f>Saldo_relativo_per_capita!V465*Saldo_relativo_per_capita!V$543/1000000</f>
        <v>0</v>
      </c>
    </row>
    <row r="466" spans="1:22" s="115" customFormat="1">
      <c r="A466" s="355" t="str">
        <f>IF(B466="","",(IF(ISERROR(MATCH(B466,Tot_res!C:C,0)),"Eliminar!!!","")))</f>
        <v/>
      </c>
      <c r="B466" s="115" t="s">
        <v>433</v>
      </c>
      <c r="C466" s="333" t="str">
        <f>VLOOKUP(B466,Tot_res!C:D,2,FALSE)</f>
        <v>Regulación y vigilancia de la competencia en el mercado de tabacos</v>
      </c>
      <c r="D466" s="340">
        <f>Saldo_relativo_per_capita!D466*Saldo_relativo_per_capita!D$543/1000000</f>
        <v>0</v>
      </c>
      <c r="E466" s="340">
        <f>Saldo_relativo_per_capita!E466*Saldo_relativo_per_capita!E$543/1000000</f>
        <v>-0.21252449938943166</v>
      </c>
      <c r="F466" s="340">
        <f>Saldo_relativo_per_capita!F466*Saldo_relativo_per_capita!F$543/1000000</f>
        <v>2.563985701114813E-2</v>
      </c>
      <c r="G466" s="340">
        <f>Saldo_relativo_per_capita!G466*Saldo_relativo_per_capita!G$543/1000000</f>
        <v>2.0975597939943285E-2</v>
      </c>
      <c r="H466" s="340">
        <f>Saldo_relativo_per_capita!H466*Saldo_relativo_per_capita!H$543/1000000</f>
        <v>8.6549740300308362E-2</v>
      </c>
      <c r="I466" s="340">
        <f>Saldo_relativo_per_capita!I466*Saldo_relativo_per_capita!I$543/1000000</f>
        <v>-0.19222375693719848</v>
      </c>
      <c r="J466" s="340">
        <f>Saldo_relativo_per_capita!J466*Saldo_relativo_per_capita!J$543/1000000</f>
        <v>1.1684844099980126E-2</v>
      </c>
      <c r="K466" s="340">
        <f>Saldo_relativo_per_capita!K466*Saldo_relativo_per_capita!K$543/1000000</f>
        <v>2.2734607872858931E-2</v>
      </c>
      <c r="L466" s="340">
        <f>Saldo_relativo_per_capita!L466*Saldo_relativo_per_capita!L$543/1000000</f>
        <v>2.4523707411373694E-2</v>
      </c>
      <c r="M466" s="340">
        <f>Saldo_relativo_per_capita!M466*Saldo_relativo_per_capita!M$543/1000000</f>
        <v>0.19408808217540621</v>
      </c>
      <c r="N466" s="340">
        <f>Saldo_relativo_per_capita!N466*Saldo_relativo_per_capita!N$543/1000000</f>
        <v>3.0585453011984898E-2</v>
      </c>
      <c r="O466" s="340">
        <f>Saldo_relativo_per_capita!O466*Saldo_relativo_per_capita!O$543/1000000</f>
        <v>2.277142803308408E-2</v>
      </c>
      <c r="P466" s="340">
        <f>Saldo_relativo_per_capita!P466*Saldo_relativo_per_capita!P$543/1000000</f>
        <v>-0.14371967955678011</v>
      </c>
      <c r="Q466" s="340">
        <f>Saldo_relativo_per_capita!Q466*Saldo_relativo_per_capita!Q$543/1000000</f>
        <v>-1.8101136929954784E-2</v>
      </c>
      <c r="R466" s="340">
        <f>Saldo_relativo_per_capita!R466*Saldo_relativo_per_capita!R$543/1000000</f>
        <v>3.10385182923862E-2</v>
      </c>
      <c r="S466" s="340">
        <f>Saldo_relativo_per_capita!S466*Saldo_relativo_per_capita!S$543/1000000</f>
        <v>4.935332260429668E-2</v>
      </c>
      <c r="T466" s="340">
        <f>Saldo_relativo_per_capita!T466*Saldo_relativo_per_capita!T$543/1000000</f>
        <v>5.641811828494292E-2</v>
      </c>
      <c r="U466" s="340">
        <f>Saldo_relativo_per_capita!U466*Saldo_relativo_per_capita!U$543/1000000</f>
        <v>3.4239344215894283E-3</v>
      </c>
      <c r="V466" s="340">
        <f>Saldo_relativo_per_capita!V466*Saldo_relativo_per_capita!V$543/1000000</f>
        <v>-1.3218138645939445E-2</v>
      </c>
    </row>
    <row r="467" spans="1:22" s="115" customFormat="1">
      <c r="A467" s="355" t="str">
        <f>IF(B467="","",(IF(ISERROR(MATCH(B467,Tot_res!C:C,0)),"Eliminar!!!","")))</f>
        <v/>
      </c>
      <c r="B467" s="115" t="s">
        <v>434</v>
      </c>
      <c r="C467" s="333" t="str">
        <f>VLOOKUP(B467,Tot_res!C:D,2,FALSE)</f>
        <v>Publicaciones</v>
      </c>
      <c r="D467" s="340">
        <f>Saldo_relativo_per_capita!D467*Saldo_relativo_per_capita!D$543/1000000</f>
        <v>0</v>
      </c>
      <c r="E467" s="340">
        <f>Saldo_relativo_per_capita!E467*Saldo_relativo_per_capita!E$543/1000000</f>
        <v>-1.7604114381987654E-2</v>
      </c>
      <c r="F467" s="340">
        <f>Saldo_relativo_per_capita!F467*Saldo_relativo_per_capita!F$543/1000000</f>
        <v>3.2120156566108038E-3</v>
      </c>
      <c r="G467" s="340">
        <f>Saldo_relativo_per_capita!G467*Saldo_relativo_per_capita!G$543/1000000</f>
        <v>2.3396329570219087E-3</v>
      </c>
      <c r="H467" s="340">
        <f>Saldo_relativo_per_capita!H467*Saldo_relativo_per_capita!H$543/1000000</f>
        <v>-2.1127092703002938E-3</v>
      </c>
      <c r="I467" s="340">
        <f>Saldo_relativo_per_capita!I467*Saldo_relativo_per_capita!I$543/1000000</f>
        <v>-5.7022662564832696E-3</v>
      </c>
      <c r="J467" s="340">
        <f>Saldo_relativo_per_capita!J467*Saldo_relativo_per_capita!J$543/1000000</f>
        <v>8.7326191398496233E-4</v>
      </c>
      <c r="K467" s="340">
        <f>Saldo_relativo_per_capita!K467*Saldo_relativo_per_capita!K$543/1000000</f>
        <v>8.8735794782868421E-4</v>
      </c>
      <c r="L467" s="340">
        <f>Saldo_relativo_per_capita!L467*Saldo_relativo_per_capita!L$543/1000000</f>
        <v>-2.1675498871547859E-4</v>
      </c>
      <c r="M467" s="340">
        <f>Saldo_relativo_per_capita!M467*Saldo_relativo_per_capita!M$543/1000000</f>
        <v>1.1750704310118591E-2</v>
      </c>
      <c r="N467" s="340">
        <f>Saldo_relativo_per_capita!N467*Saldo_relativo_per_capita!N$543/1000000</f>
        <v>-3.3241067152185301E-3</v>
      </c>
      <c r="O467" s="340">
        <f>Saldo_relativo_per_capita!O467*Saldo_relativo_per_capita!O$543/1000000</f>
        <v>-2.4397360220692328E-3</v>
      </c>
      <c r="P467" s="340">
        <f>Saldo_relativo_per_capita!P467*Saldo_relativo_per_capita!P$543/1000000</f>
        <v>4.7710458254786418E-3</v>
      </c>
      <c r="Q467" s="340">
        <f>Saldo_relativo_per_capita!Q467*Saldo_relativo_per_capita!Q$543/1000000</f>
        <v>-5.9247303371183458E-3</v>
      </c>
      <c r="R467" s="340">
        <f>Saldo_relativo_per_capita!R467*Saldo_relativo_per_capita!R$543/1000000</f>
        <v>-4.2202146104821758E-4</v>
      </c>
      <c r="S467" s="340">
        <f>Saldo_relativo_per_capita!S467*Saldo_relativo_per_capita!S$543/1000000</f>
        <v>3.137067071587272E-3</v>
      </c>
      <c r="T467" s="340">
        <f>Saldo_relativo_per_capita!T467*Saldo_relativo_per_capita!T$543/1000000</f>
        <v>1.0641412246003555E-2</v>
      </c>
      <c r="U467" s="340">
        <f>Saldo_relativo_per_capita!U467*Saldo_relativo_per_capita!U$543/1000000</f>
        <v>8.1226007007713906E-4</v>
      </c>
      <c r="V467" s="340">
        <f>Saldo_relativo_per_capita!V467*Saldo_relativo_per_capita!V$543/1000000</f>
        <v>-6.7831856577051748E-4</v>
      </c>
    </row>
    <row r="468" spans="1:22" s="115" customFormat="1">
      <c r="A468" s="356"/>
      <c r="C468" s="133"/>
      <c r="D468" s="218"/>
      <c r="E468" s="218"/>
      <c r="F468" s="218"/>
      <c r="G468" s="218"/>
      <c r="H468" s="218"/>
      <c r="I468" s="218"/>
      <c r="J468" s="218"/>
      <c r="K468" s="218"/>
      <c r="L468" s="218"/>
      <c r="M468" s="218"/>
      <c r="N468" s="218"/>
      <c r="O468" s="218"/>
      <c r="P468" s="218"/>
      <c r="Q468" s="218"/>
      <c r="R468" s="218"/>
      <c r="S468" s="218"/>
      <c r="T468" s="218"/>
      <c r="U468" s="218"/>
      <c r="V468" s="218"/>
    </row>
    <row r="469" spans="1:22" s="115" customFormat="1">
      <c r="A469" s="356"/>
      <c r="C469" s="151" t="s">
        <v>8</v>
      </c>
      <c r="D469" s="216">
        <f>Saldo_relativo_per_capita!D469*Saldo_relativo_per_capita!D$543/1000000</f>
        <v>0</v>
      </c>
      <c r="E469" s="216">
        <f>Saldo_relativo_per_capita!E469*Saldo_relativo_per_capita!E$543/1000000</f>
        <v>-6512.032494108892</v>
      </c>
      <c r="F469" s="216">
        <f>Saldo_relativo_per_capita!F469*Saldo_relativo_per_capita!F$543/1000000</f>
        <v>1393.9713569868923</v>
      </c>
      <c r="G469" s="216">
        <f>Saldo_relativo_per_capita!G469*Saldo_relativo_per_capita!G$543/1000000</f>
        <v>2145.6705686406726</v>
      </c>
      <c r="H469" s="216">
        <f>Saldo_relativo_per_capita!H469*Saldo_relativo_per_capita!H$543/1000000</f>
        <v>-862.82999217201575</v>
      </c>
      <c r="I469" s="216">
        <f>Saldo_relativo_per_capita!I469*Saldo_relativo_per_capita!I$543/1000000</f>
        <v>-946.31964220906741</v>
      </c>
      <c r="J469" s="216">
        <f>Saldo_relativo_per_capita!J469*Saldo_relativo_per_capita!J$543/1000000</f>
        <v>608.10902506026991</v>
      </c>
      <c r="K469" s="216">
        <f>Saldo_relativo_per_capita!K469*Saldo_relativo_per_capita!K$543/1000000</f>
        <v>3754.835087011716</v>
      </c>
      <c r="L469" s="216">
        <f>Saldo_relativo_per_capita!L469*Saldo_relativo_per_capita!L$543/1000000</f>
        <v>-256.44735094345532</v>
      </c>
      <c r="M469" s="216">
        <f>Saldo_relativo_per_capita!M469*Saldo_relativo_per_capita!M$543/1000000</f>
        <v>1082.284678949374</v>
      </c>
      <c r="N469" s="216">
        <f>Saldo_relativo_per_capita!N469*Saldo_relativo_per_capita!N$543/1000000</f>
        <v>-5525.649514445583</v>
      </c>
      <c r="O469" s="216">
        <f>Saldo_relativo_per_capita!O469*Saldo_relativo_per_capita!O$543/1000000</f>
        <v>822.28128619441043</v>
      </c>
      <c r="P469" s="216">
        <f>Saldo_relativo_per_capita!P469*Saldo_relativo_per_capita!P$543/1000000</f>
        <v>1619.6749973859687</v>
      </c>
      <c r="Q469" s="216">
        <f>Saldo_relativo_per_capita!Q469*Saldo_relativo_per_capita!Q$543/1000000</f>
        <v>-2371.0102047082992</v>
      </c>
      <c r="R469" s="216">
        <f>Saldo_relativo_per_capita!R469*Saldo_relativo_per_capita!R$543/1000000</f>
        <v>-1753.7267487325171</v>
      </c>
      <c r="S469" s="216">
        <f>Saldo_relativo_per_capita!S469*Saldo_relativo_per_capita!S$543/1000000</f>
        <v>489.49805431333778</v>
      </c>
      <c r="T469" s="216">
        <f>Saldo_relativo_per_capita!T469*Saldo_relativo_per_capita!T$543/1000000</f>
        <v>5953.5020231931794</v>
      </c>
      <c r="U469" s="216">
        <f>Saldo_relativo_per_capita!U469*Saldo_relativo_per_capita!U$543/1000000</f>
        <v>125.7136524280024</v>
      </c>
      <c r="V469" s="216">
        <f>Saldo_relativo_per_capita!V469*Saldo_relativo_per_capita!V$543/1000000</f>
        <v>232.47521715600595</v>
      </c>
    </row>
    <row r="470" spans="1:22" s="115" customFormat="1">
      <c r="A470" s="356"/>
      <c r="C470" s="133"/>
      <c r="D470" s="218"/>
      <c r="E470" s="218"/>
      <c r="F470" s="218"/>
      <c r="G470" s="218"/>
      <c r="H470" s="218"/>
      <c r="I470" s="218"/>
      <c r="J470" s="218"/>
      <c r="K470" s="218"/>
      <c r="L470" s="218"/>
      <c r="M470" s="218"/>
      <c r="N470" s="218"/>
      <c r="O470" s="218"/>
      <c r="P470" s="218"/>
      <c r="Q470" s="218"/>
      <c r="R470" s="218"/>
      <c r="S470" s="218"/>
      <c r="T470" s="218"/>
      <c r="U470" s="218"/>
      <c r="V470" s="218"/>
    </row>
    <row r="471" spans="1:22" s="137" customFormat="1">
      <c r="A471" s="356"/>
      <c r="C471" s="151" t="s">
        <v>69</v>
      </c>
      <c r="D471" s="216">
        <f>Saldo_relativo_per_capita!D471*Saldo_relativo_per_capita!D$543/1000000</f>
        <v>0</v>
      </c>
      <c r="E471" s="216">
        <f>Saldo_relativo_per_capita!E471*Saldo_relativo_per_capita!E$543/1000000</f>
        <v>-139.92082146252005</v>
      </c>
      <c r="F471" s="216">
        <f>Saldo_relativo_per_capita!F471*Saldo_relativo_per_capita!F$543/1000000</f>
        <v>123.67710286654801</v>
      </c>
      <c r="G471" s="216">
        <f>Saldo_relativo_per_capita!G471*Saldo_relativo_per_capita!G$543/1000000</f>
        <v>253.84417256337261</v>
      </c>
      <c r="H471" s="216">
        <f>Saldo_relativo_per_capita!H471*Saldo_relativo_per_capita!H$543/1000000</f>
        <v>-143.91154331457716</v>
      </c>
      <c r="I471" s="216">
        <f>Saldo_relativo_per_capita!I471*Saldo_relativo_per_capita!I$543/1000000</f>
        <v>82.247966794106006</v>
      </c>
      <c r="J471" s="216">
        <f>Saldo_relativo_per_capita!J471*Saldo_relativo_per_capita!J$543/1000000</f>
        <v>69.292483045919184</v>
      </c>
      <c r="K471" s="216">
        <f>Saldo_relativo_per_capita!K471*Saldo_relativo_per_capita!K$543/1000000</f>
        <v>354.10125751015636</v>
      </c>
      <c r="L471" s="216">
        <f>Saldo_relativo_per_capita!L471*Saldo_relativo_per_capita!L$543/1000000</f>
        <v>12.382054865346747</v>
      </c>
      <c r="M471" s="216">
        <f>Saldo_relativo_per_capita!M471*Saldo_relativo_per_capita!M$543/1000000</f>
        <v>-64.575465425485788</v>
      </c>
      <c r="N471" s="216">
        <f>Saldo_relativo_per_capita!N471*Saldo_relativo_per_capita!N$543/1000000</f>
        <v>-336.20705561830664</v>
      </c>
      <c r="O471" s="216">
        <f>Saldo_relativo_per_capita!O471*Saldo_relativo_per_capita!O$543/1000000</f>
        <v>114.2033816700299</v>
      </c>
      <c r="P471" s="216">
        <f>Saldo_relativo_per_capita!P471*Saldo_relativo_per_capita!P$543/1000000</f>
        <v>314.65673552781533</v>
      </c>
      <c r="Q471" s="216">
        <f>Saldo_relativo_per_capita!Q471*Saldo_relativo_per_capita!Q$543/1000000</f>
        <v>-452.65505680677222</v>
      </c>
      <c r="R471" s="216">
        <f>Saldo_relativo_per_capita!R471*Saldo_relativo_per_capita!R$543/1000000</f>
        <v>-99.010181069365657</v>
      </c>
      <c r="S471" s="216">
        <f>Saldo_relativo_per_capita!S471*Saldo_relativo_per_capita!S$543/1000000</f>
        <v>-108.82201784135569</v>
      </c>
      <c r="T471" s="216">
        <f>Saldo_relativo_per_capita!T471*Saldo_relativo_per_capita!T$543/1000000</f>
        <v>-80.089269981712832</v>
      </c>
      <c r="U471" s="216">
        <f>Saldo_relativo_per_capita!U471*Saldo_relativo_per_capita!U$543/1000000</f>
        <v>24.96836668774063</v>
      </c>
      <c r="V471" s="216">
        <f>Saldo_relativo_per_capita!V471*Saldo_relativo_per_capita!V$543/1000000</f>
        <v>75.817889989062508</v>
      </c>
    </row>
    <row r="472" spans="1:22">
      <c r="A472" s="355" t="str">
        <f>IF(B472="","",(IF(ISERROR(MATCH(B472,Tot_res!C:C,0)),"Eliminar!!!","")))</f>
        <v/>
      </c>
      <c r="B472" s="115" t="s">
        <v>636</v>
      </c>
      <c r="C472" s="333" t="str">
        <f>VLOOKUP(B472,Tot_res!C:D,2,FALSE)</f>
        <v>Amortización y gastos financieros de la deuda pública en moneda nacional</v>
      </c>
      <c r="D472" s="340">
        <f>Saldo_relativo_per_capita!D472*Saldo_relativo_per_capita!D$543/1000000</f>
        <v>0</v>
      </c>
      <c r="E472" s="340">
        <f>Saldo_relativo_per_capita!E472*Saldo_relativo_per_capita!E$543/1000000</f>
        <v>-138.44288678875878</v>
      </c>
      <c r="F472" s="340">
        <f>Saldo_relativo_per_capita!F472*Saldo_relativo_per_capita!F$543/1000000</f>
        <v>122.37074490805067</v>
      </c>
      <c r="G472" s="340">
        <f>Saldo_relativo_per_capita!G472*Saldo_relativo_per_capita!G$543/1000000</f>
        <v>251.16290539782324</v>
      </c>
      <c r="H472" s="340">
        <f>Saldo_relativo_per_capita!H472*Saldo_relativo_per_capita!H$543/1000000</f>
        <v>-142.39145604238854</v>
      </c>
      <c r="I472" s="340">
        <f>Saldo_relativo_per_capita!I472*Saldo_relativo_per_capita!I$543/1000000</f>
        <v>81.379210302391655</v>
      </c>
      <c r="J472" s="340">
        <f>Saldo_relativo_per_capita!J472*Saldo_relativo_per_capita!J$543/1000000</f>
        <v>68.56057079544577</v>
      </c>
      <c r="K472" s="340">
        <f>Saldo_relativo_per_capita!K472*Saldo_relativo_per_capita!K$543/1000000</f>
        <v>350.36100983988632</v>
      </c>
      <c r="L472" s="340">
        <f>Saldo_relativo_per_capita!L472*Saldo_relativo_per_capita!L$543/1000000</f>
        <v>12.251267552731525</v>
      </c>
      <c r="M472" s="340">
        <f>Saldo_relativo_per_capita!M472*Saldo_relativo_per_capita!M$543/1000000</f>
        <v>-63.893377381482352</v>
      </c>
      <c r="N472" s="340">
        <f>Saldo_relativo_per_capita!N472*Saldo_relativo_per_capita!N$543/1000000</f>
        <v>-332.655818140794</v>
      </c>
      <c r="O472" s="340">
        <f>Saldo_relativo_per_capita!O472*Saldo_relativo_per_capita!O$543/1000000</f>
        <v>112.99709131333417</v>
      </c>
      <c r="P472" s="340">
        <f>Saldo_relativo_per_capita!P472*Saldo_relativo_per_capita!P$543/1000000</f>
        <v>311.33312654018295</v>
      </c>
      <c r="Q472" s="340">
        <f>Saldo_relativo_per_capita!Q472*Saldo_relativo_per_capita!Q$543/1000000</f>
        <v>-447.87381984206462</v>
      </c>
      <c r="R472" s="340">
        <f>Saldo_relativo_per_capita!R472*Saldo_relativo_per_capita!R$543/1000000</f>
        <v>-97.964371173965972</v>
      </c>
      <c r="S472" s="340">
        <f>Saldo_relativo_per_capita!S472*Saldo_relativo_per_capita!S$543/1000000</f>
        <v>-107.67256894764924</v>
      </c>
      <c r="T472" s="340">
        <f>Saldo_relativo_per_capita!T472*Saldo_relativo_per_capita!T$543/1000000</f>
        <v>-79.24331504902247</v>
      </c>
      <c r="U472" s="340">
        <f>Saldo_relativo_per_capita!U472*Saldo_relativo_per_capita!U$543/1000000</f>
        <v>24.704634567750585</v>
      </c>
      <c r="V472" s="340">
        <f>Saldo_relativo_per_capita!V472*Saldo_relativo_per_capita!V$543/1000000</f>
        <v>75.017052148524087</v>
      </c>
    </row>
    <row r="473" spans="1:22">
      <c r="A473" s="355" t="str">
        <f>IF(B473="","",(IF(ISERROR(MATCH(B473,Tot_res!C:C,0)),"Eliminar!!!","")))</f>
        <v/>
      </c>
      <c r="B473" s="115" t="s">
        <v>637</v>
      </c>
      <c r="C473" s="333" t="str">
        <f>VLOOKUP(B473,Tot_res!C:D,2,FALSE)</f>
        <v>Amortización y gastos financieros de la deuda pública en moneda extranjera</v>
      </c>
      <c r="D473" s="340">
        <f>Saldo_relativo_per_capita!D473*Saldo_relativo_per_capita!D$543/1000000</f>
        <v>0</v>
      </c>
      <c r="E473" s="340">
        <f>Saldo_relativo_per_capita!E473*Saldo_relativo_per_capita!E$543/1000000</f>
        <v>-1.47793467376321</v>
      </c>
      <c r="F473" s="340">
        <f>Saldo_relativo_per_capita!F473*Saldo_relativo_per_capita!F$543/1000000</f>
        <v>1.3063579584973335</v>
      </c>
      <c r="G473" s="340">
        <f>Saldo_relativo_per_capita!G473*Saldo_relativo_per_capita!G$543/1000000</f>
        <v>2.681267165549253</v>
      </c>
      <c r="H473" s="340">
        <f>Saldo_relativo_per_capita!H473*Saldo_relativo_per_capita!H$543/1000000</f>
        <v>-1.5200872721888605</v>
      </c>
      <c r="I473" s="340">
        <f>Saldo_relativo_per_capita!I473*Saldo_relativo_per_capita!I$543/1000000</f>
        <v>0.86875649171408609</v>
      </c>
      <c r="J473" s="340">
        <f>Saldo_relativo_per_capita!J473*Saldo_relativo_per_capita!J$543/1000000</f>
        <v>0.73191225047334207</v>
      </c>
      <c r="K473" s="340">
        <f>Saldo_relativo_per_capita!K473*Saldo_relativo_per_capita!K$543/1000000</f>
        <v>3.740247670269655</v>
      </c>
      <c r="L473" s="340">
        <f>Saldo_relativo_per_capita!L473*Saldo_relativo_per_capita!L$543/1000000</f>
        <v>0.13078731261476767</v>
      </c>
      <c r="M473" s="340">
        <f>Saldo_relativo_per_capita!M473*Saldo_relativo_per_capita!M$543/1000000</f>
        <v>-0.68208804400342438</v>
      </c>
      <c r="N473" s="340">
        <f>Saldo_relativo_per_capita!N473*Saldo_relativo_per_capita!N$543/1000000</f>
        <v>-3.5512374775131326</v>
      </c>
      <c r="O473" s="340">
        <f>Saldo_relativo_per_capita!O473*Saldo_relativo_per_capita!O$543/1000000</f>
        <v>1.2062903566954817</v>
      </c>
      <c r="P473" s="340">
        <f>Saldo_relativo_per_capita!P473*Saldo_relativo_per_capita!P$543/1000000</f>
        <v>3.3236089876320443</v>
      </c>
      <c r="Q473" s="340">
        <f>Saldo_relativo_per_capita!Q473*Saldo_relativo_per_capita!Q$543/1000000</f>
        <v>-4.7812369647084685</v>
      </c>
      <c r="R473" s="340">
        <f>Saldo_relativo_per_capita!R473*Saldo_relativo_per_capita!R$543/1000000</f>
        <v>-1.045809895399908</v>
      </c>
      <c r="S473" s="340">
        <f>Saldo_relativo_per_capita!S473*Saldo_relativo_per_capita!S$543/1000000</f>
        <v>-1.1494488937066261</v>
      </c>
      <c r="T473" s="340">
        <f>Saldo_relativo_per_capita!T473*Saldo_relativo_per_capita!T$543/1000000</f>
        <v>-0.84595493269071176</v>
      </c>
      <c r="U473" s="340">
        <f>Saldo_relativo_per_capita!U473*Saldo_relativo_per_capita!U$543/1000000</f>
        <v>0.26373211998994806</v>
      </c>
      <c r="V473" s="340">
        <f>Saldo_relativo_per_capita!V473*Saldo_relativo_per_capita!V$543/1000000</f>
        <v>0.80083784053836171</v>
      </c>
    </row>
    <row r="474" spans="1:22">
      <c r="A474" s="356"/>
      <c r="D474" s="39"/>
      <c r="E474" s="39"/>
      <c r="F474" s="39"/>
      <c r="G474" s="39"/>
      <c r="H474" s="39"/>
      <c r="I474" s="39"/>
      <c r="J474" s="39"/>
      <c r="K474" s="39"/>
      <c r="L474" s="39"/>
      <c r="M474" s="39"/>
      <c r="N474" s="39"/>
      <c r="O474" s="39"/>
      <c r="P474" s="39"/>
      <c r="Q474" s="39"/>
      <c r="R474" s="39"/>
      <c r="S474" s="39"/>
      <c r="T474" s="39"/>
      <c r="U474" s="39"/>
      <c r="V474" s="39"/>
    </row>
    <row r="475" spans="1:22" s="115" customFormat="1">
      <c r="A475" s="356"/>
      <c r="C475" s="137" t="s">
        <v>7</v>
      </c>
      <c r="D475" s="216">
        <f>Saldo_relativo_per_capita!D475*Saldo_relativo_per_capita!D$543/1000000</f>
        <v>0</v>
      </c>
      <c r="E475" s="216">
        <f>Saldo_relativo_per_capita!E475*Saldo_relativo_per_capita!E$543/1000000</f>
        <v>-6651.9533155714189</v>
      </c>
      <c r="F475" s="216">
        <f>Saldo_relativo_per_capita!F475*Saldo_relativo_per_capita!F$543/1000000</f>
        <v>1517.6484598534389</v>
      </c>
      <c r="G475" s="216">
        <f>Saldo_relativo_per_capita!G475*Saldo_relativo_per_capita!G$543/1000000</f>
        <v>2399.5147412040437</v>
      </c>
      <c r="H475" s="216">
        <f>Saldo_relativo_per_capita!H475*Saldo_relativo_per_capita!H$543/1000000</f>
        <v>-1006.7415354865932</v>
      </c>
      <c r="I475" s="216">
        <f>Saldo_relativo_per_capita!I475*Saldo_relativo_per_capita!I$543/1000000</f>
        <v>-864.07167541496381</v>
      </c>
      <c r="J475" s="216">
        <f>Saldo_relativo_per_capita!J475*Saldo_relativo_per_capita!J$543/1000000</f>
        <v>677.40150810618843</v>
      </c>
      <c r="K475" s="216">
        <f>Saldo_relativo_per_capita!K475*Saldo_relativo_per_capita!K$543/1000000</f>
        <v>4108.9363445218651</v>
      </c>
      <c r="L475" s="216">
        <f>Saldo_relativo_per_capita!L475*Saldo_relativo_per_capita!L$543/1000000</f>
        <v>-244.06529607811143</v>
      </c>
      <c r="M475" s="216">
        <f>Saldo_relativo_per_capita!M475*Saldo_relativo_per_capita!M$543/1000000</f>
        <v>1017.7092135238915</v>
      </c>
      <c r="N475" s="216">
        <f>Saldo_relativo_per_capita!N475*Saldo_relativo_per_capita!N$543/1000000</f>
        <v>-5861.8565700639001</v>
      </c>
      <c r="O475" s="216">
        <f>Saldo_relativo_per_capita!O475*Saldo_relativo_per_capita!O$543/1000000</f>
        <v>936.48466786443726</v>
      </c>
      <c r="P475" s="216">
        <f>Saldo_relativo_per_capita!P475*Saldo_relativo_per_capita!P$543/1000000</f>
        <v>1934.331732913781</v>
      </c>
      <c r="Q475" s="216">
        <f>Saldo_relativo_per_capita!Q475*Saldo_relativo_per_capita!Q$543/1000000</f>
        <v>-2823.665261515067</v>
      </c>
      <c r="R475" s="216">
        <f>Saldo_relativo_per_capita!R475*Saldo_relativo_per_capita!R$543/1000000</f>
        <v>-1852.736929801885</v>
      </c>
      <c r="S475" s="216">
        <f>Saldo_relativo_per_capita!S475*Saldo_relativo_per_capita!S$543/1000000</f>
        <v>380.67603647198189</v>
      </c>
      <c r="T475" s="216">
        <f>Saldo_relativo_per_capita!T475*Saldo_relativo_per_capita!T$543/1000000</f>
        <v>5873.4127532114653</v>
      </c>
      <c r="U475" s="216">
        <f>Saldo_relativo_per_capita!U475*Saldo_relativo_per_capita!U$543/1000000</f>
        <v>150.68201911574306</v>
      </c>
      <c r="V475" s="216">
        <f>Saldo_relativo_per_capita!V475*Saldo_relativo_per_capita!V$543/1000000</f>
        <v>308.29310714506818</v>
      </c>
    </row>
    <row r="476" spans="1:22" s="115" customFormat="1">
      <c r="A476" s="356"/>
      <c r="C476" s="137" t="s">
        <v>80</v>
      </c>
      <c r="D476" s="216">
        <f>Saldo_relativo_per_capita!D476*Saldo_relativo_per_capita!D$543/1000000</f>
        <v>0</v>
      </c>
      <c r="E476" s="216">
        <f>Saldo_relativo_per_capita!E476*Saldo_relativo_per_capita!E$543/1000000</f>
        <v>-6985.8098769592143</v>
      </c>
      <c r="F476" s="216">
        <f>Saldo_relativo_per_capita!F476*Saldo_relativo_per_capita!F$543/1000000</f>
        <v>1474.6879780516365</v>
      </c>
      <c r="G476" s="216">
        <f>Saldo_relativo_per_capita!G476*Saldo_relativo_per_capita!G$543/1000000</f>
        <v>2266.7477609407833</v>
      </c>
      <c r="H476" s="216">
        <f>Saldo_relativo_per_capita!H476*Saldo_relativo_per_capita!H$543/1000000</f>
        <v>-1127.8747304390479</v>
      </c>
      <c r="I476" s="216">
        <f>Saldo_relativo_per_capita!I476*Saldo_relativo_per_capita!I$543/1000000</f>
        <v>-814.44451718829998</v>
      </c>
      <c r="J476" s="216">
        <f>Saldo_relativo_per_capita!J476*Saldo_relativo_per_capita!J$543/1000000</f>
        <v>627.34360669960643</v>
      </c>
      <c r="K476" s="216">
        <f>Saldo_relativo_per_capita!K476*Saldo_relativo_per_capita!K$543/1000000</f>
        <v>4076.9384574599644</v>
      </c>
      <c r="L476" s="216">
        <f>Saldo_relativo_per_capita!L476*Saldo_relativo_per_capita!L$543/1000000</f>
        <v>-44.72998351397149</v>
      </c>
      <c r="M476" s="216">
        <f>Saldo_relativo_per_capita!M476*Saldo_relativo_per_capita!M$543/1000000</f>
        <v>30.028311194981303</v>
      </c>
      <c r="N476" s="216">
        <f>Saldo_relativo_per_capita!N476*Saldo_relativo_per_capita!N$543/1000000</f>
        <v>-6035.735805467606</v>
      </c>
      <c r="O476" s="216">
        <f>Saldo_relativo_per_capita!O476*Saldo_relativo_per_capita!O$543/1000000</f>
        <v>758.2010666707298</v>
      </c>
      <c r="P476" s="216">
        <f>Saldo_relativo_per_capita!P476*Saldo_relativo_per_capita!P$543/1000000</f>
        <v>1931.4308600802806</v>
      </c>
      <c r="Q476" s="216">
        <f>Saldo_relativo_per_capita!Q476*Saldo_relativo_per_capita!Q$543/1000000</f>
        <v>-2285.0258726303305</v>
      </c>
      <c r="R476" s="216">
        <f>Saldo_relativo_per_capita!R476*Saldo_relativo_per_capita!R$543/1000000</f>
        <v>-1912.5469576542819</v>
      </c>
      <c r="S476" s="216">
        <f>Saldo_relativo_per_capita!S476*Saldo_relativo_per_capita!S$543/1000000</f>
        <v>762.48522469455384</v>
      </c>
      <c r="T476" s="216">
        <f>Saldo_relativo_per_capita!T476*Saldo_relativo_per_capita!T$543/1000000</f>
        <v>6812.8714690278466</v>
      </c>
      <c r="U476" s="216">
        <f>Saldo_relativo_per_capita!U476*Saldo_relativo_per_capita!U$543/1000000</f>
        <v>148.31310616078309</v>
      </c>
      <c r="V476" s="216">
        <f>Saldo_relativo_per_capita!V476*Saldo_relativo_per_capita!V$543/1000000</f>
        <v>317.11990287156306</v>
      </c>
    </row>
    <row r="477" spans="1:22">
      <c r="A477" s="356"/>
      <c r="C477" s="38"/>
      <c r="D477" s="39"/>
      <c r="E477" s="39"/>
      <c r="F477" s="39"/>
      <c r="G477" s="39"/>
      <c r="H477" s="39"/>
      <c r="I477" s="39"/>
      <c r="J477" s="39"/>
      <c r="K477" s="39"/>
      <c r="L477" s="39"/>
      <c r="M477" s="39"/>
      <c r="N477" s="39"/>
      <c r="O477" s="39"/>
      <c r="P477" s="39"/>
      <c r="Q477" s="39"/>
      <c r="R477" s="39"/>
      <c r="S477" s="39"/>
      <c r="T477" s="39"/>
      <c r="U477" s="39"/>
      <c r="V477" s="39"/>
    </row>
    <row r="478" spans="1:22">
      <c r="A478" s="356"/>
      <c r="C478" s="38"/>
      <c r="D478" s="39"/>
      <c r="E478" s="39"/>
      <c r="F478" s="39"/>
      <c r="G478" s="39"/>
      <c r="H478" s="39"/>
      <c r="I478" s="39"/>
      <c r="J478" s="39"/>
      <c r="K478" s="39"/>
      <c r="L478" s="39"/>
      <c r="M478" s="39"/>
      <c r="N478" s="39"/>
      <c r="O478" s="39"/>
      <c r="P478" s="39"/>
      <c r="Q478" s="39"/>
      <c r="R478" s="39"/>
      <c r="S478" s="39"/>
      <c r="T478" s="39"/>
      <c r="U478" s="39"/>
      <c r="V478" s="39"/>
    </row>
    <row r="479" spans="1:22">
      <c r="A479" s="356"/>
      <c r="C479" s="38"/>
      <c r="D479" s="39"/>
      <c r="E479" s="39"/>
      <c r="F479" s="39"/>
      <c r="G479" s="39"/>
      <c r="H479" s="39"/>
      <c r="I479" s="39"/>
      <c r="J479" s="39"/>
      <c r="K479" s="39"/>
      <c r="L479" s="39"/>
      <c r="M479" s="39"/>
      <c r="N479" s="39"/>
      <c r="O479" s="39"/>
      <c r="P479" s="39"/>
      <c r="Q479" s="39"/>
      <c r="R479" s="39"/>
      <c r="S479" s="39"/>
      <c r="T479" s="39"/>
      <c r="U479" s="39"/>
      <c r="V479" s="39"/>
    </row>
    <row r="480" spans="1:22">
      <c r="A480" s="356"/>
      <c r="C480" s="38"/>
      <c r="D480" s="39"/>
      <c r="E480" s="39"/>
      <c r="F480" s="39"/>
      <c r="G480" s="39"/>
      <c r="H480" s="39"/>
      <c r="I480" s="39"/>
      <c r="J480" s="39"/>
      <c r="K480" s="39"/>
      <c r="L480" s="39"/>
      <c r="M480" s="39"/>
      <c r="N480" s="39"/>
      <c r="O480" s="39"/>
      <c r="P480" s="39"/>
      <c r="Q480" s="39"/>
      <c r="R480" s="39"/>
      <c r="S480" s="39"/>
      <c r="T480" s="39"/>
      <c r="U480" s="39"/>
      <c r="V480" s="39"/>
    </row>
    <row r="481" spans="1:22">
      <c r="A481" s="356"/>
      <c r="C481" s="38"/>
      <c r="D481" s="39"/>
      <c r="E481" s="39"/>
      <c r="F481" s="39"/>
      <c r="G481" s="39"/>
      <c r="H481" s="39"/>
      <c r="I481" s="39"/>
      <c r="J481" s="39"/>
      <c r="K481" s="39"/>
      <c r="L481" s="39"/>
      <c r="M481" s="39"/>
      <c r="N481" s="39"/>
      <c r="O481" s="39"/>
      <c r="P481" s="39"/>
      <c r="Q481" s="39"/>
      <c r="R481" s="39"/>
      <c r="S481" s="39"/>
      <c r="T481" s="39"/>
      <c r="U481" s="39"/>
      <c r="V481" s="39"/>
    </row>
    <row r="482" spans="1:22">
      <c r="A482" s="356"/>
      <c r="C482" s="34"/>
      <c r="D482" s="39"/>
      <c r="E482" s="39"/>
      <c r="F482" s="39"/>
      <c r="G482" s="39"/>
      <c r="H482" s="39"/>
      <c r="I482" s="39"/>
      <c r="J482" s="39"/>
      <c r="K482" s="39"/>
      <c r="L482" s="39"/>
      <c r="M482" s="39"/>
      <c r="N482" s="39"/>
      <c r="O482" s="39"/>
      <c r="P482" s="39"/>
      <c r="Q482" s="39"/>
      <c r="R482" s="39"/>
      <c r="S482" s="39"/>
      <c r="T482" s="39"/>
      <c r="U482" s="39"/>
      <c r="V482" s="39"/>
    </row>
    <row r="483" spans="1:22" s="115" customFormat="1">
      <c r="A483" s="356"/>
      <c r="C483" s="233" t="s">
        <v>478</v>
      </c>
      <c r="D483" s="218"/>
      <c r="E483" s="218"/>
      <c r="F483" s="218"/>
      <c r="G483" s="218"/>
      <c r="H483" s="218"/>
      <c r="I483" s="218"/>
      <c r="J483" s="218"/>
      <c r="K483" s="218"/>
      <c r="L483" s="218"/>
      <c r="M483" s="218"/>
      <c r="N483" s="218"/>
      <c r="O483" s="218"/>
      <c r="P483" s="218"/>
      <c r="Q483" s="218"/>
      <c r="R483" s="218"/>
      <c r="S483" s="218"/>
      <c r="T483" s="218"/>
      <c r="U483" s="218"/>
      <c r="V483" s="218"/>
    </row>
    <row r="484" spans="1:22" s="115" customFormat="1">
      <c r="A484" s="356"/>
    </row>
    <row r="485" spans="1:22" s="115" customFormat="1">
      <c r="A485" s="356"/>
    </row>
    <row r="486" spans="1:22" s="115" customFormat="1">
      <c r="A486" s="356"/>
      <c r="C486" s="109" t="s">
        <v>86</v>
      </c>
      <c r="D486" s="216">
        <f>Saldo_relativo_per_capita!D486*Saldo_relativo_per_capita!D$543/1000000</f>
        <v>0</v>
      </c>
      <c r="E486" s="216">
        <f>Saldo_relativo_per_capita!E486*Saldo_relativo_per_capita!E$543/1000000</f>
        <v>7529.162222052767</v>
      </c>
      <c r="F486" s="216">
        <f>Saldo_relativo_per_capita!F486*Saldo_relativo_per_capita!F$543/1000000</f>
        <v>-333.94643254927297</v>
      </c>
      <c r="G486" s="216">
        <f>Saldo_relativo_per_capita!G486*Saldo_relativo_per_capita!G$543/1000000</f>
        <v>-127.34398456983185</v>
      </c>
      <c r="H486" s="216">
        <f>Saldo_relativo_per_capita!H486*Saldo_relativo_per_capita!H$543/1000000</f>
        <v>-29.238961159711767</v>
      </c>
      <c r="I486" s="216">
        <f>Saldo_relativo_per_capita!I486*Saldo_relativo_per_capita!I$543/1000000</f>
        <v>1741.9596986205984</v>
      </c>
      <c r="J486" s="216">
        <f>Saldo_relativo_per_capita!J486*Saldo_relativo_per_capita!J$543/1000000</f>
        <v>-73.684004881259781</v>
      </c>
      <c r="K486" s="216">
        <f>Saldo_relativo_per_capita!K486*Saldo_relativo_per_capita!K$543/1000000</f>
        <v>376.2659180284594</v>
      </c>
      <c r="L486" s="216">
        <f>Saldo_relativo_per_capita!L486*Saldo_relativo_per_capita!L$543/1000000</f>
        <v>1636.0455673426497</v>
      </c>
      <c r="M486" s="216">
        <f>Saldo_relativo_per_capita!M486*Saldo_relativo_per_capita!M$543/1000000</f>
        <v>-4167.2789344053963</v>
      </c>
      <c r="N486" s="216">
        <f>Saldo_relativo_per_capita!N486*Saldo_relativo_per_capita!N$543/1000000</f>
        <v>2751.5818811076756</v>
      </c>
      <c r="O486" s="216">
        <f>Saldo_relativo_per_capita!O486*Saldo_relativo_per_capita!O$543/1000000</f>
        <v>1108.3563344321788</v>
      </c>
      <c r="P486" s="216">
        <f>Saldo_relativo_per_capita!P486*Saldo_relativo_per_capita!P$543/1000000</f>
        <v>953.2097166284002</v>
      </c>
      <c r="Q486" s="216">
        <f>Saldo_relativo_per_capita!Q486*Saldo_relativo_per_capita!Q$543/1000000</f>
        <v>-9837.9717439157794</v>
      </c>
      <c r="R486" s="216">
        <f>Saldo_relativo_per_capita!R486*Saldo_relativo_per_capita!R$543/1000000</f>
        <v>1311.8004195709407</v>
      </c>
      <c r="S486" s="216">
        <f>Saldo_relativo_per_capita!S486*Saldo_relativo_per_capita!S$543/1000000</f>
        <v>-427.20947193132491</v>
      </c>
      <c r="T486" s="216">
        <f>Saldo_relativo_per_capita!T486*Saldo_relativo_per_capita!T$543/1000000</f>
        <v>-2531.3049612570553</v>
      </c>
      <c r="U486" s="216">
        <f>Saldo_relativo_per_capita!U486*Saldo_relativo_per_capita!U$543/1000000</f>
        <v>-7.6766989943539841</v>
      </c>
      <c r="V486" s="216">
        <f>Saldo_relativo_per_capita!V486*Saldo_relativo_per_capita!V$543/1000000</f>
        <v>127.27343588031914</v>
      </c>
    </row>
    <row r="487" spans="1:22">
      <c r="A487" s="356"/>
      <c r="D487" s="39"/>
      <c r="E487" s="39"/>
      <c r="F487" s="39"/>
      <c r="G487" s="39"/>
      <c r="H487" s="39"/>
      <c r="I487" s="39"/>
      <c r="J487" s="39"/>
      <c r="K487" s="39"/>
      <c r="L487" s="39"/>
      <c r="M487" s="39"/>
      <c r="N487" s="39"/>
      <c r="O487" s="39"/>
      <c r="P487" s="39"/>
      <c r="Q487" s="39"/>
      <c r="R487" s="39"/>
      <c r="S487" s="39"/>
      <c r="T487" s="39"/>
      <c r="U487" s="39"/>
      <c r="V487" s="39"/>
    </row>
    <row r="488" spans="1:22" s="115" customFormat="1">
      <c r="A488" s="356"/>
      <c r="C488" s="112" t="s">
        <v>87</v>
      </c>
      <c r="D488" s="216">
        <f>Saldo_relativo_per_capita!D488*Saldo_relativo_per_capita!D$543/1000000</f>
        <v>0</v>
      </c>
      <c r="E488" s="216">
        <f>Saldo_relativo_per_capita!E488*Saldo_relativo_per_capita!E$543/1000000</f>
        <v>5999.9225521166372</v>
      </c>
      <c r="F488" s="216">
        <f>Saldo_relativo_per_capita!F488*Saldo_relativo_per_capita!F$543/1000000</f>
        <v>-249.03851268212802</v>
      </c>
      <c r="G488" s="216">
        <f>Saldo_relativo_per_capita!G488*Saldo_relativo_per_capita!G$543/1000000</f>
        <v>-122.63071175606358</v>
      </c>
      <c r="H488" s="216">
        <f>Saldo_relativo_per_capita!H488*Saldo_relativo_per_capita!H$543/1000000</f>
        <v>92.347140073816405</v>
      </c>
      <c r="I488" s="216">
        <f>Saldo_relativo_per_capita!I488*Saldo_relativo_per_capita!I$543/1000000</f>
        <v>1263.6739587439697</v>
      </c>
      <c r="J488" s="216">
        <f>Saldo_relativo_per_capita!J488*Saldo_relativo_per_capita!J$543/1000000</f>
        <v>-18.093202662179234</v>
      </c>
      <c r="K488" s="216">
        <f>Saldo_relativo_per_capita!K488*Saldo_relativo_per_capita!K$543/1000000</f>
        <v>248.74866586448837</v>
      </c>
      <c r="L488" s="216">
        <f>Saldo_relativo_per_capita!L488*Saldo_relativo_per_capita!L$543/1000000</f>
        <v>1308.9869896534876</v>
      </c>
      <c r="M488" s="216">
        <f>Saldo_relativo_per_capita!M488*Saldo_relativo_per_capita!M$543/1000000</f>
        <v>-3235.3231944913564</v>
      </c>
      <c r="N488" s="216">
        <f>Saldo_relativo_per_capita!N488*Saldo_relativo_per_capita!N$543/1000000</f>
        <v>2136.4258925219692</v>
      </c>
      <c r="O488" s="216">
        <f>Saldo_relativo_per_capita!O488*Saldo_relativo_per_capita!O$543/1000000</f>
        <v>853.00026164270173</v>
      </c>
      <c r="P488" s="216">
        <f>Saldo_relativo_per_capita!P488*Saldo_relativo_per_capita!P$543/1000000</f>
        <v>777.83780598731471</v>
      </c>
      <c r="Q488" s="216">
        <f>Saldo_relativo_per_capita!Q488*Saldo_relativo_per_capita!Q$543/1000000</f>
        <v>-8077.808756914912</v>
      </c>
      <c r="R488" s="216">
        <f>Saldo_relativo_per_capita!R488*Saldo_relativo_per_capita!R$543/1000000</f>
        <v>948.27936195078757</v>
      </c>
      <c r="S488" s="216">
        <f>Saldo_relativo_per_capita!S488*Saldo_relativo_per_capita!S$543/1000000</f>
        <v>-303.64573432840984</v>
      </c>
      <c r="T488" s="216">
        <f>Saldo_relativo_per_capita!T488*Saldo_relativo_per_capita!T$543/1000000</f>
        <v>-1705.3065562209549</v>
      </c>
      <c r="U488" s="216">
        <f>Saldo_relativo_per_capita!U488*Saldo_relativo_per_capita!U$543/1000000</f>
        <v>-4.5014879456983028</v>
      </c>
      <c r="V488" s="216">
        <f>Saldo_relativo_per_capita!V488*Saldo_relativo_per_capita!V$543/1000000</f>
        <v>87.125528446522907</v>
      </c>
    </row>
    <row r="489" spans="1:22" s="115" customFormat="1">
      <c r="A489" s="355" t="str">
        <f>IF(B489="","",(IF(ISERROR(MATCH(B489,Tot_res!C:C,0)),"Eliminar!!!","")))</f>
        <v/>
      </c>
      <c r="B489" s="115" t="s">
        <v>438</v>
      </c>
      <c r="C489" s="333" t="str">
        <f>VLOOKUP(B489,Tot_res!C:D,2,FALSE)</f>
        <v>IRPF, ingresos homogeneizados</v>
      </c>
      <c r="D489" s="218">
        <f>Saldo_relativo_per_capita!D489*Saldo_relativo_per_capita!D$543/1000000</f>
        <v>0</v>
      </c>
      <c r="E489" s="218">
        <f>Saldo_relativo_per_capita!E489*Saldo_relativo_per_capita!E$543/1000000</f>
        <v>5192.4781697162443</v>
      </c>
      <c r="F489" s="218">
        <f>Saldo_relativo_per_capita!F489*Saldo_relativo_per_capita!F$543/1000000</f>
        <v>-155.07056913572106</v>
      </c>
      <c r="G489" s="218">
        <f>Saldo_relativo_per_capita!G489*Saldo_relativo_per_capita!G$543/1000000</f>
        <v>-107.94243326261325</v>
      </c>
      <c r="H489" s="218">
        <f>Saldo_relativo_per_capita!H489*Saldo_relativo_per_capita!H$543/1000000</f>
        <v>79.840093653871477</v>
      </c>
      <c r="I489" s="218">
        <f>Saldo_relativo_per_capita!I489*Saldo_relativo_per_capita!I$543/1000000</f>
        <v>1088.0396160301964</v>
      </c>
      <c r="J489" s="218">
        <f>Saldo_relativo_per_capita!J489*Saldo_relativo_per_capita!J$543/1000000</f>
        <v>18.046972438470643</v>
      </c>
      <c r="K489" s="218">
        <f>Saldo_relativo_per_capita!K489*Saldo_relativo_per_capita!K$543/1000000</f>
        <v>306.39300296141471</v>
      </c>
      <c r="L489" s="218">
        <f>Saldo_relativo_per_capita!L489*Saldo_relativo_per_capita!L$543/1000000</f>
        <v>1118.346664860383</v>
      </c>
      <c r="M489" s="218">
        <f>Saldo_relativo_per_capita!M489*Saldo_relativo_per_capita!M$543/1000000</f>
        <v>-2955.2238079864319</v>
      </c>
      <c r="N489" s="218">
        <f>Saldo_relativo_per_capita!N489*Saldo_relativo_per_capita!N$543/1000000</f>
        <v>1874.4163804681468</v>
      </c>
      <c r="O489" s="218">
        <f>Saldo_relativo_per_capita!O489*Saldo_relativo_per_capita!O$543/1000000</f>
        <v>765.29995988180372</v>
      </c>
      <c r="P489" s="218">
        <f>Saldo_relativo_per_capita!P489*Saldo_relativo_per_capita!P$543/1000000</f>
        <v>769.88477441581847</v>
      </c>
      <c r="Q489" s="218">
        <f>Saldo_relativo_per_capita!Q489*Saldo_relativo_per_capita!Q$543/1000000</f>
        <v>-7137.5823564310722</v>
      </c>
      <c r="R489" s="218">
        <f>Saldo_relativo_per_capita!R489*Saldo_relativo_per_capita!R$543/1000000</f>
        <v>820.8321827580819</v>
      </c>
      <c r="S489" s="218">
        <f>Saldo_relativo_per_capita!S489*Saldo_relativo_per_capita!S$543/1000000</f>
        <v>-295.49836054733277</v>
      </c>
      <c r="T489" s="218">
        <f>Saldo_relativo_per_capita!T489*Saldo_relativo_per_capita!T$543/1000000</f>
        <v>-1503.3053900323496</v>
      </c>
      <c r="U489" s="218">
        <f>Saldo_relativo_per_capita!U489*Saldo_relativo_per_capita!U$543/1000000</f>
        <v>6.0913151826612175</v>
      </c>
      <c r="V489" s="218">
        <f>Saldo_relativo_per_capita!V489*Saldo_relativo_per_capita!V$543/1000000</f>
        <v>114.95378502843165</v>
      </c>
    </row>
    <row r="490" spans="1:22" s="115" customFormat="1">
      <c r="A490" s="355" t="str">
        <f>IF(B490="","",(IF(ISERROR(MATCH(B490,Tot_res!C:C,0)),"Eliminar!!!","")))</f>
        <v/>
      </c>
      <c r="B490" s="115" t="s">
        <v>439</v>
      </c>
      <c r="C490" s="333" t="str">
        <f>VLOOKUP(B490,Tot_res!C:D,2,FALSE)</f>
        <v>Impuesto sobre sociedades, ingresos homogéneos</v>
      </c>
      <c r="D490" s="218">
        <f>Saldo_relativo_per_capita!D490*Saldo_relativo_per_capita!D$543/1000000</f>
        <v>0</v>
      </c>
      <c r="E490" s="218">
        <f>Saldo_relativo_per_capita!E490*Saldo_relativo_per_capita!E$543/1000000</f>
        <v>639.27764189563663</v>
      </c>
      <c r="F490" s="218">
        <f>Saldo_relativo_per_capita!F490*Saldo_relativo_per_capita!F$543/1000000</f>
        <v>-64.906679845869036</v>
      </c>
      <c r="G490" s="218">
        <f>Saldo_relativo_per_capita!G490*Saldo_relativo_per_capita!G$543/1000000</f>
        <v>7.5486048789892681</v>
      </c>
      <c r="H490" s="218">
        <f>Saldo_relativo_per_capita!H490*Saldo_relativo_per_capita!H$543/1000000</f>
        <v>1.9476467401991069</v>
      </c>
      <c r="I490" s="218">
        <f>Saldo_relativo_per_capita!I490*Saldo_relativo_per_capita!I$543/1000000</f>
        <v>127.70648355681034</v>
      </c>
      <c r="J490" s="218">
        <f>Saldo_relativo_per_capita!J490*Saldo_relativo_per_capita!J$543/1000000</f>
        <v>-21.450747076767673</v>
      </c>
      <c r="K490" s="218">
        <f>Saldo_relativo_per_capita!K490*Saldo_relativo_per_capita!K$543/1000000</f>
        <v>-21.367819103010643</v>
      </c>
      <c r="L490" s="218">
        <f>Saldo_relativo_per_capita!L490*Saldo_relativo_per_capita!L$543/1000000</f>
        <v>158.86224040923028</v>
      </c>
      <c r="M490" s="218">
        <f>Saldo_relativo_per_capita!M490*Saldo_relativo_per_capita!M$543/1000000</f>
        <v>-217.79585209649389</v>
      </c>
      <c r="N490" s="218">
        <f>Saldo_relativo_per_capita!N490*Saldo_relativo_per_capita!N$543/1000000</f>
        <v>239.63012670161018</v>
      </c>
      <c r="O490" s="218">
        <f>Saldo_relativo_per_capita!O490*Saldo_relativo_per_capita!O$543/1000000</f>
        <v>71.43474461196098</v>
      </c>
      <c r="P490" s="218">
        <f>Saldo_relativo_per_capita!P490*Saldo_relativo_per_capita!P$543/1000000</f>
        <v>50.289829184842063</v>
      </c>
      <c r="Q490" s="218">
        <f>Saldo_relativo_per_capita!Q490*Saldo_relativo_per_capita!Q$543/1000000</f>
        <v>-845.89717110783647</v>
      </c>
      <c r="R490" s="218">
        <f>Saldo_relativo_per_capita!R490*Saldo_relativo_per_capita!R$543/1000000</f>
        <v>97.645029618756979</v>
      </c>
      <c r="S490" s="218">
        <f>Saldo_relativo_per_capita!S490*Saldo_relativo_per_capita!S$543/1000000</f>
        <v>-12.438747329151122</v>
      </c>
      <c r="T490" s="218">
        <f>Saldo_relativo_per_capita!T490*Saldo_relativo_per_capita!T$543/1000000</f>
        <v>-175.60448406979782</v>
      </c>
      <c r="U490" s="218">
        <f>Saldo_relativo_per_capita!U490*Saldo_relativo_per_capita!U$543/1000000</f>
        <v>-5.6144865381249245</v>
      </c>
      <c r="V490" s="218">
        <f>Saldo_relativo_per_capita!V490*Saldo_relativo_per_capita!V$543/1000000</f>
        <v>-29.266360430982132</v>
      </c>
    </row>
    <row r="491" spans="1:22" s="115" customFormat="1">
      <c r="A491" s="355" t="str">
        <f>IF(B491="","",(IF(ISERROR(MATCH(B491,Tot_res!C:C,0)),"Eliminar!!!","")))</f>
        <v/>
      </c>
      <c r="B491" s="115" t="s">
        <v>440</v>
      </c>
      <c r="C491" s="333" t="str">
        <f>VLOOKUP(B491,Tot_res!C:D,2,FALSE)</f>
        <v>Impuesto sobre la renta de no residentes</v>
      </c>
      <c r="D491" s="218">
        <f>Saldo_relativo_per_capita!D491*Saldo_relativo_per_capita!D$543/1000000</f>
        <v>0</v>
      </c>
      <c r="E491" s="218">
        <f>Saldo_relativo_per_capita!E491*Saldo_relativo_per_capita!E$543/1000000</f>
        <v>0</v>
      </c>
      <c r="F491" s="218">
        <f>Saldo_relativo_per_capita!F491*Saldo_relativo_per_capita!F$543/1000000</f>
        <v>0</v>
      </c>
      <c r="G491" s="218">
        <f>Saldo_relativo_per_capita!G491*Saldo_relativo_per_capita!G$543/1000000</f>
        <v>0</v>
      </c>
      <c r="H491" s="218">
        <f>Saldo_relativo_per_capita!H491*Saldo_relativo_per_capita!H$543/1000000</f>
        <v>0</v>
      </c>
      <c r="I491" s="218">
        <f>Saldo_relativo_per_capita!I491*Saldo_relativo_per_capita!I$543/1000000</f>
        <v>0</v>
      </c>
      <c r="J491" s="218">
        <f>Saldo_relativo_per_capita!J491*Saldo_relativo_per_capita!J$543/1000000</f>
        <v>0</v>
      </c>
      <c r="K491" s="218">
        <f>Saldo_relativo_per_capita!K491*Saldo_relativo_per_capita!K$543/1000000</f>
        <v>0</v>
      </c>
      <c r="L491" s="218">
        <f>Saldo_relativo_per_capita!L491*Saldo_relativo_per_capita!L$543/1000000</f>
        <v>0</v>
      </c>
      <c r="M491" s="218">
        <f>Saldo_relativo_per_capita!M491*Saldo_relativo_per_capita!M$543/1000000</f>
        <v>0</v>
      </c>
      <c r="N491" s="218">
        <f>Saldo_relativo_per_capita!N491*Saldo_relativo_per_capita!N$543/1000000</f>
        <v>0</v>
      </c>
      <c r="O491" s="218">
        <f>Saldo_relativo_per_capita!O491*Saldo_relativo_per_capita!O$543/1000000</f>
        <v>0</v>
      </c>
      <c r="P491" s="218">
        <f>Saldo_relativo_per_capita!P491*Saldo_relativo_per_capita!P$543/1000000</f>
        <v>0</v>
      </c>
      <c r="Q491" s="218">
        <f>Saldo_relativo_per_capita!Q491*Saldo_relativo_per_capita!Q$543/1000000</f>
        <v>0</v>
      </c>
      <c r="R491" s="218">
        <f>Saldo_relativo_per_capita!R491*Saldo_relativo_per_capita!R$543/1000000</f>
        <v>0</v>
      </c>
      <c r="S491" s="218">
        <f>Saldo_relativo_per_capita!S491*Saldo_relativo_per_capita!S$543/1000000</f>
        <v>0</v>
      </c>
      <c r="T491" s="218">
        <f>Saldo_relativo_per_capita!T491*Saldo_relativo_per_capita!T$543/1000000</f>
        <v>0</v>
      </c>
      <c r="U491" s="218">
        <f>Saldo_relativo_per_capita!U491*Saldo_relativo_per_capita!U$543/1000000</f>
        <v>0</v>
      </c>
      <c r="V491" s="218">
        <f>Saldo_relativo_per_capita!V491*Saldo_relativo_per_capita!V$543/1000000</f>
        <v>0</v>
      </c>
    </row>
    <row r="492" spans="1:22" s="115" customFormat="1">
      <c r="A492" s="355" t="str">
        <f>IF(B492="","",(IF(ISERROR(MATCH(B492,Tot_res!C:C,0)),"Eliminar!!!","")))</f>
        <v/>
      </c>
      <c r="B492" s="115" t="s">
        <v>442</v>
      </c>
      <c r="C492" s="333" t="str">
        <f>VLOOKUP(B492,Tot_res!C:D,2,FALSE)</f>
        <v>Impuesto sobre sucesiones y donaciones, ing. homog.</v>
      </c>
      <c r="D492" s="218">
        <f>Saldo_relativo_per_capita!D492*Saldo_relativo_per_capita!D$543/1000000</f>
        <v>0</v>
      </c>
      <c r="E492" s="218">
        <f>Saldo_relativo_per_capita!E492*Saldo_relativo_per_capita!E$543/1000000</f>
        <v>168.16674050475766</v>
      </c>
      <c r="F492" s="218">
        <f>Saldo_relativo_per_capita!F492*Saldo_relativo_per_capita!F$543/1000000</f>
        <v>-29.061263700537665</v>
      </c>
      <c r="G492" s="218">
        <f>Saldo_relativo_per_capita!G492*Saldo_relativo_per_capita!G$543/1000000</f>
        <v>-22.236883372439191</v>
      </c>
      <c r="H492" s="218">
        <f>Saldo_relativo_per_capita!H492*Saldo_relativo_per_capita!H$543/1000000</f>
        <v>10.559399679746786</v>
      </c>
      <c r="I492" s="218">
        <f>Saldo_relativo_per_capita!I492*Saldo_relativo_per_capita!I$543/1000000</f>
        <v>47.927859156963969</v>
      </c>
      <c r="J492" s="218">
        <f>Saldo_relativo_per_capita!J492*Saldo_relativo_per_capita!J$543/1000000</f>
        <v>-14.689428023882156</v>
      </c>
      <c r="K492" s="218">
        <f>Saldo_relativo_per_capita!K492*Saldo_relativo_per_capita!K$543/1000000</f>
        <v>-36.27651799391451</v>
      </c>
      <c r="L492" s="218">
        <f>Saldo_relativo_per_capita!L492*Saldo_relativo_per_capita!L$543/1000000</f>
        <v>31.778084383875228</v>
      </c>
      <c r="M492" s="218">
        <f>Saldo_relativo_per_capita!M492*Saldo_relativo_per_capita!M$543/1000000</f>
        <v>-62.3035344084307</v>
      </c>
      <c r="N492" s="218">
        <f>Saldo_relativo_per_capita!N492*Saldo_relativo_per_capita!N$543/1000000</f>
        <v>22.379385352211479</v>
      </c>
      <c r="O492" s="218">
        <f>Saldo_relativo_per_capita!O492*Saldo_relativo_per_capita!O$543/1000000</f>
        <v>16.265557148937301</v>
      </c>
      <c r="P492" s="218">
        <f>Saldo_relativo_per_capita!P492*Saldo_relativo_per_capita!P$543/1000000</f>
        <v>-42.336797613344359</v>
      </c>
      <c r="Q492" s="218">
        <f>Saldo_relativo_per_capita!Q492*Saldo_relativo_per_capita!Q$543/1000000</f>
        <v>-94.329229375999745</v>
      </c>
      <c r="R492" s="218">
        <f>Saldo_relativo_per_capita!R492*Saldo_relativo_per_capita!R$543/1000000</f>
        <v>29.80214957394945</v>
      </c>
      <c r="S492" s="218">
        <f>Saldo_relativo_per_capita!S492*Saldo_relativo_per_capita!S$543/1000000</f>
        <v>4.2913735480740147</v>
      </c>
      <c r="T492" s="218">
        <f>Saldo_relativo_per_capita!T492*Saldo_relativo_per_capita!T$543/1000000</f>
        <v>-26.396682118807099</v>
      </c>
      <c r="U492" s="218">
        <f>Saldo_relativo_per_capita!U492*Saldo_relativo_per_capita!U$543/1000000</f>
        <v>-4.9783165902343409</v>
      </c>
      <c r="V492" s="218">
        <f>Saldo_relativo_per_capita!V492*Saldo_relativo_per_capita!V$543/1000000</f>
        <v>1.4381038490735105</v>
      </c>
    </row>
    <row r="493" spans="1:22" s="115" customFormat="1">
      <c r="A493" s="355" t="str">
        <f>IF(B493="","",(IF(ISERROR(MATCH(B493,Tot_res!C:C,0)),"Eliminar!!!","")))</f>
        <v/>
      </c>
      <c r="B493" s="115" t="s">
        <v>662</v>
      </c>
      <c r="C493" s="333" t="str">
        <f>VLOOKUP(B493,Tot_res!C:D,2,FALSE)</f>
        <v>Impuesto sobre el patrimonio, recaudación real</v>
      </c>
      <c r="D493" s="218">
        <f>Saldo_relativo_per_capita!D493*Saldo_relativo_per_capita!D$543/1000000</f>
        <v>0</v>
      </c>
      <c r="E493" s="218">
        <f>Saldo_relativo_per_capita!E493*Saldo_relativo_per_capita!E$543/1000000</f>
        <v>0</v>
      </c>
      <c r="F493" s="218">
        <f>Saldo_relativo_per_capita!F493*Saldo_relativo_per_capita!F$543/1000000</f>
        <v>0</v>
      </c>
      <c r="G493" s="218">
        <f>Saldo_relativo_per_capita!G493*Saldo_relativo_per_capita!G$543/1000000</f>
        <v>0</v>
      </c>
      <c r="H493" s="218">
        <f>Saldo_relativo_per_capita!H493*Saldo_relativo_per_capita!H$543/1000000</f>
        <v>0</v>
      </c>
      <c r="I493" s="218">
        <f>Saldo_relativo_per_capita!I493*Saldo_relativo_per_capita!I$543/1000000</f>
        <v>0</v>
      </c>
      <c r="J493" s="218">
        <f>Saldo_relativo_per_capita!J493*Saldo_relativo_per_capita!J$543/1000000</f>
        <v>0</v>
      </c>
      <c r="K493" s="218">
        <f>Saldo_relativo_per_capita!K493*Saldo_relativo_per_capita!K$543/1000000</f>
        <v>0</v>
      </c>
      <c r="L493" s="218">
        <f>Saldo_relativo_per_capita!L493*Saldo_relativo_per_capita!L$543/1000000</f>
        <v>0</v>
      </c>
      <c r="M493" s="218">
        <f>Saldo_relativo_per_capita!M493*Saldo_relativo_per_capita!M$543/1000000</f>
        <v>0</v>
      </c>
      <c r="N493" s="218">
        <f>Saldo_relativo_per_capita!N493*Saldo_relativo_per_capita!N$543/1000000</f>
        <v>0</v>
      </c>
      <c r="O493" s="218">
        <f>Saldo_relativo_per_capita!O493*Saldo_relativo_per_capita!O$543/1000000</f>
        <v>0</v>
      </c>
      <c r="P493" s="218">
        <f>Saldo_relativo_per_capita!P493*Saldo_relativo_per_capita!P$543/1000000</f>
        <v>0</v>
      </c>
      <c r="Q493" s="218">
        <f>Saldo_relativo_per_capita!Q493*Saldo_relativo_per_capita!Q$543/1000000</f>
        <v>0</v>
      </c>
      <c r="R493" s="218">
        <f>Saldo_relativo_per_capita!R493*Saldo_relativo_per_capita!R$543/1000000</f>
        <v>0</v>
      </c>
      <c r="S493" s="218">
        <f>Saldo_relativo_per_capita!S493*Saldo_relativo_per_capita!S$543/1000000</f>
        <v>0</v>
      </c>
      <c r="T493" s="218">
        <f>Saldo_relativo_per_capita!T493*Saldo_relativo_per_capita!T$543/1000000</f>
        <v>0</v>
      </c>
      <c r="U493" s="218">
        <f>Saldo_relativo_per_capita!U493*Saldo_relativo_per_capita!U$543/1000000</f>
        <v>0</v>
      </c>
      <c r="V493" s="218">
        <f>Saldo_relativo_per_capita!V493*Saldo_relativo_per_capita!V$543/1000000</f>
        <v>0</v>
      </c>
    </row>
    <row r="494" spans="1:22">
      <c r="A494" s="356"/>
      <c r="C494" s="31"/>
      <c r="D494" s="39"/>
      <c r="E494" s="39"/>
      <c r="F494" s="39"/>
      <c r="G494" s="39"/>
      <c r="H494" s="39"/>
      <c r="I494" s="39"/>
      <c r="J494" s="39"/>
      <c r="K494" s="39"/>
      <c r="L494" s="39"/>
      <c r="M494" s="39"/>
      <c r="N494" s="39"/>
      <c r="O494" s="39"/>
      <c r="P494" s="39"/>
      <c r="Q494" s="39"/>
      <c r="R494" s="39"/>
      <c r="S494" s="39"/>
      <c r="T494" s="39"/>
      <c r="U494" s="39"/>
      <c r="V494" s="39"/>
    </row>
    <row r="495" spans="1:22" s="115" customFormat="1">
      <c r="A495" s="356"/>
      <c r="C495" s="112" t="s">
        <v>109</v>
      </c>
      <c r="D495" s="219">
        <f>Saldo_relativo_per_capita!D495*Saldo_relativo_per_capita!D$543/1000000</f>
        <v>0</v>
      </c>
      <c r="E495" s="219">
        <f>Saldo_relativo_per_capita!E495*Saldo_relativo_per_capita!E$543/1000000</f>
        <v>1529.2396699361298</v>
      </c>
      <c r="F495" s="219">
        <f>Saldo_relativo_per_capita!F495*Saldo_relativo_per_capita!F$543/1000000</f>
        <v>-84.907919867144599</v>
      </c>
      <c r="G495" s="219">
        <f>Saldo_relativo_per_capita!G495*Saldo_relativo_per_capita!G$543/1000000</f>
        <v>-4.7132728137675466</v>
      </c>
      <c r="H495" s="219">
        <f>Saldo_relativo_per_capita!H495*Saldo_relativo_per_capita!H$543/1000000</f>
        <v>-121.58610123352868</v>
      </c>
      <c r="I495" s="219">
        <f>Saldo_relativo_per_capita!I495*Saldo_relativo_per_capita!I$543/1000000</f>
        <v>478.28573987662861</v>
      </c>
      <c r="J495" s="219">
        <f>Saldo_relativo_per_capita!J495*Saldo_relativo_per_capita!J$543/1000000</f>
        <v>-55.590802219080821</v>
      </c>
      <c r="K495" s="219">
        <f>Saldo_relativo_per_capita!K495*Saldo_relativo_per_capita!K$543/1000000</f>
        <v>127.5172521639704</v>
      </c>
      <c r="L495" s="219">
        <f>Saldo_relativo_per_capita!L495*Saldo_relativo_per_capita!L$543/1000000</f>
        <v>327.05857768916161</v>
      </c>
      <c r="M495" s="219">
        <f>Saldo_relativo_per_capita!M495*Saldo_relativo_per_capita!M$543/1000000</f>
        <v>-931.95573991403649</v>
      </c>
      <c r="N495" s="219">
        <f>Saldo_relativo_per_capita!N495*Saldo_relativo_per_capita!N$543/1000000</f>
        <v>615.15598858570434</v>
      </c>
      <c r="O495" s="219">
        <f>Saldo_relativo_per_capita!O495*Saldo_relativo_per_capita!O$543/1000000</f>
        <v>255.35607278947697</v>
      </c>
      <c r="P495" s="219">
        <f>Saldo_relativo_per_capita!P495*Saldo_relativo_per_capita!P$543/1000000</f>
        <v>175.37191064108609</v>
      </c>
      <c r="Q495" s="219">
        <f>Saldo_relativo_per_capita!Q495*Saldo_relativo_per_capita!Q$543/1000000</f>
        <v>-1760.1629870008676</v>
      </c>
      <c r="R495" s="219">
        <f>Saldo_relativo_per_capita!R495*Saldo_relativo_per_capita!R$543/1000000</f>
        <v>363.52105762015407</v>
      </c>
      <c r="S495" s="219">
        <f>Saldo_relativo_per_capita!S495*Saldo_relativo_per_capita!S$543/1000000</f>
        <v>-123.56373760291477</v>
      </c>
      <c r="T495" s="219">
        <f>Saldo_relativo_per_capita!T495*Saldo_relativo_per_capita!T$543/1000000</f>
        <v>-825.99840503609914</v>
      </c>
      <c r="U495" s="219">
        <f>Saldo_relativo_per_capita!U495*Saldo_relativo_per_capita!U$543/1000000</f>
        <v>-3.1752110486559002</v>
      </c>
      <c r="V495" s="219">
        <f>Saldo_relativo_per_capita!V495*Saldo_relativo_per_capita!V$543/1000000</f>
        <v>40.147907433796242</v>
      </c>
    </row>
    <row r="496" spans="1:22" s="115" customFormat="1">
      <c r="A496" s="355" t="str">
        <f>IF(B496="","",(IF(ISERROR(MATCH(B496,Tot_res!C:C,0)),"Eliminar!!!","")))</f>
        <v/>
      </c>
      <c r="B496" s="115" t="s">
        <v>443</v>
      </c>
      <c r="C496" s="333" t="str">
        <f>VLOOKUP(B496,Tot_res!C:D,2,FALSE)</f>
        <v>IVA</v>
      </c>
      <c r="D496" s="218">
        <f>Saldo_relativo_per_capita!D496*Saldo_relativo_per_capita!D$543/1000000</f>
        <v>0</v>
      </c>
      <c r="E496" s="218">
        <f>Saldo_relativo_per_capita!E496*Saldo_relativo_per_capita!E$543/1000000</f>
        <v>859.27996444336429</v>
      </c>
      <c r="F496" s="218">
        <f>Saldo_relativo_per_capita!F496*Saldo_relativo_per_capita!F$543/1000000</f>
        <v>-148.40661465236977</v>
      </c>
      <c r="G496" s="218">
        <f>Saldo_relativo_per_capita!G496*Saldo_relativo_per_capita!G$543/1000000</f>
        <v>-55.920923419657967</v>
      </c>
      <c r="H496" s="218">
        <f>Saldo_relativo_per_capita!H496*Saldo_relativo_per_capita!H$543/1000000</f>
        <v>-114.1960206754481</v>
      </c>
      <c r="I496" s="218">
        <f>Saldo_relativo_per_capita!I496*Saldo_relativo_per_capita!I$543/1000000</f>
        <v>2364.1106097866132</v>
      </c>
      <c r="J496" s="218">
        <f>Saldo_relativo_per_capita!J496*Saldo_relativo_per_capita!J$543/1000000</f>
        <v>-59.866213303380313</v>
      </c>
      <c r="K496" s="218">
        <f>Saldo_relativo_per_capita!K496*Saldo_relativo_per_capita!K$543/1000000</f>
        <v>-41.925381183494032</v>
      </c>
      <c r="L496" s="218">
        <f>Saldo_relativo_per_capita!L496*Saldo_relativo_per_capita!L$543/1000000</f>
        <v>190.098559117343</v>
      </c>
      <c r="M496" s="218">
        <f>Saldo_relativo_per_capita!M496*Saldo_relativo_per_capita!M$543/1000000</f>
        <v>-1201.0317353068376</v>
      </c>
      <c r="N496" s="218">
        <f>Saldo_relativo_per_capita!N496*Saldo_relativo_per_capita!N$543/1000000</f>
        <v>250.17909051217651</v>
      </c>
      <c r="O496" s="218">
        <f>Saldo_relativo_per_capita!O496*Saldo_relativo_per_capita!O$543/1000000</f>
        <v>148.02569390764438</v>
      </c>
      <c r="P496" s="218">
        <f>Saldo_relativo_per_capita!P496*Saldo_relativo_per_capita!P$543/1000000</f>
        <v>-62.597353037570429</v>
      </c>
      <c r="Q496" s="218">
        <f>Saldo_relativo_per_capita!Q496*Saldo_relativo_per_capita!Q$543/1000000</f>
        <v>-1468.8182342699677</v>
      </c>
      <c r="R496" s="218">
        <f>Saldo_relativo_per_capita!R496*Saldo_relativo_per_capita!R$543/1000000</f>
        <v>211.21458348277108</v>
      </c>
      <c r="S496" s="218">
        <f>Saldo_relativo_per_capita!S496*Saldo_relativo_per_capita!S$543/1000000</f>
        <v>-164.34968191844266</v>
      </c>
      <c r="T496" s="218">
        <f>Saldo_relativo_per_capita!T496*Saldo_relativo_per_capita!T$543/1000000</f>
        <v>-859.65893529577409</v>
      </c>
      <c r="U496" s="218">
        <f>Saldo_relativo_per_capita!U496*Saldo_relativo_per_capita!U$543/1000000</f>
        <v>-33.348525021422709</v>
      </c>
      <c r="V496" s="218">
        <f>Saldo_relativo_per_capita!V496*Saldo_relativo_per_capita!V$543/1000000</f>
        <v>187.21111683445943</v>
      </c>
    </row>
    <row r="497" spans="1:22" s="115" customFormat="1">
      <c r="A497" s="355" t="str">
        <f>IF(B497="","",(IF(ISERROR(MATCH(B497,Tot_res!C:C,0)),"Eliminar!!!","")))</f>
        <v/>
      </c>
      <c r="B497" s="115" t="s">
        <v>444</v>
      </c>
      <c r="C497" s="333" t="str">
        <f>VLOOKUP(B497,Tot_res!C:D,2,FALSE)</f>
        <v>Impuestos especiales* (sin electricidad ni matriculación)</v>
      </c>
      <c r="D497" s="218">
        <f>Saldo_relativo_per_capita!D497*Saldo_relativo_per_capita!D$543/1000000</f>
        <v>0</v>
      </c>
      <c r="E497" s="218">
        <f>Saldo_relativo_per_capita!E497*Saldo_relativo_per_capita!E$543/1000000</f>
        <v>-99.689901993262723</v>
      </c>
      <c r="F497" s="218">
        <f>Saldo_relativo_per_capita!F497*Saldo_relativo_per_capita!F$543/1000000</f>
        <v>-24.602160104810192</v>
      </c>
      <c r="G497" s="218">
        <f>Saldo_relativo_per_capita!G497*Saldo_relativo_per_capita!G$543/1000000</f>
        <v>-28.420982437685375</v>
      </c>
      <c r="H497" s="218">
        <f>Saldo_relativo_per_capita!H497*Saldo_relativo_per_capita!H$543/1000000</f>
        <v>-44.497085478197235</v>
      </c>
      <c r="I497" s="218">
        <f>Saldo_relativo_per_capita!I497*Saldo_relativo_per_capita!I$543/1000000</f>
        <v>706.21218888551209</v>
      </c>
      <c r="J497" s="218">
        <f>Saldo_relativo_per_capita!J497*Saldo_relativo_per_capita!J$543/1000000</f>
        <v>-33.701083566811612</v>
      </c>
      <c r="K497" s="218">
        <f>Saldo_relativo_per_capita!K497*Saldo_relativo_per_capita!K$543/1000000</f>
        <v>-18.089043319898913</v>
      </c>
      <c r="L497" s="218">
        <f>Saldo_relativo_per_capita!L497*Saldo_relativo_per_capita!L$543/1000000</f>
        <v>-61.822474324006656</v>
      </c>
      <c r="M497" s="218">
        <f>Saldo_relativo_per_capita!M497*Saldo_relativo_per_capita!M$543/1000000</f>
        <v>-111.48333204519457</v>
      </c>
      <c r="N497" s="218">
        <f>Saldo_relativo_per_capita!N497*Saldo_relativo_per_capita!N$543/1000000</f>
        <v>-2.5542752385629512</v>
      </c>
      <c r="O497" s="218">
        <f>Saldo_relativo_per_capita!O497*Saldo_relativo_per_capita!O$543/1000000</f>
        <v>-13.017300368458979</v>
      </c>
      <c r="P497" s="218">
        <f>Saldo_relativo_per_capita!P497*Saldo_relativo_per_capita!P$543/1000000</f>
        <v>-9.6946771801901157</v>
      </c>
      <c r="Q497" s="218">
        <f>Saldo_relativo_per_capita!Q497*Saldo_relativo_per_capita!Q$543/1000000</f>
        <v>-287.85309292639647</v>
      </c>
      <c r="R497" s="218">
        <f>Saldo_relativo_per_capita!R497*Saldo_relativo_per_capita!R$543/1000000</f>
        <v>1.9716168925820508</v>
      </c>
      <c r="S497" s="218">
        <f>Saldo_relativo_per_capita!S497*Saldo_relativo_per_capita!S$543/1000000</f>
        <v>3.4753636903973106</v>
      </c>
      <c r="T497" s="218">
        <f>Saldo_relativo_per_capita!T497*Saldo_relativo_per_capita!T$543/1000000</f>
        <v>-22.281526580508661</v>
      </c>
      <c r="U497" s="218">
        <f>Saldo_relativo_per_capita!U497*Saldo_relativo_per_capita!U$543/1000000</f>
        <v>4.5484467050085975</v>
      </c>
      <c r="V497" s="218">
        <f>Saldo_relativo_per_capita!V497*Saldo_relativo_per_capita!V$543/1000000</f>
        <v>41.499319390483919</v>
      </c>
    </row>
    <row r="498" spans="1:22" s="115" customFormat="1">
      <c r="A498" s="355" t="str">
        <f>IF(B498="","",(IF(ISERROR(MATCH(B498,Tot_res!C:C,0)),"Eliminar!!!","")))</f>
        <v/>
      </c>
      <c r="B498" s="115" t="s">
        <v>445</v>
      </c>
      <c r="C498" s="333" t="str">
        <f>VLOOKUP(B498,Tot_res!C:D,2,FALSE)</f>
        <v>Electricidad</v>
      </c>
      <c r="D498" s="218">
        <f>Saldo_relativo_per_capita!D498*Saldo_relativo_per_capita!D$543/1000000</f>
        <v>0</v>
      </c>
      <c r="E498" s="218">
        <f>Saldo_relativo_per_capita!E498*Saldo_relativo_per_capita!E$543/1000000</f>
        <v>11.628173922060265</v>
      </c>
      <c r="F498" s="218">
        <f>Saldo_relativo_per_capita!F498*Saldo_relativo_per_capita!F$543/1000000</f>
        <v>0.18912398857295126</v>
      </c>
      <c r="G498" s="218">
        <f>Saldo_relativo_per_capita!G498*Saldo_relativo_per_capita!G$543/1000000</f>
        <v>0.42010149197389124</v>
      </c>
      <c r="H498" s="218">
        <f>Saldo_relativo_per_capita!H498*Saldo_relativo_per_capita!H$543/1000000</f>
        <v>-7.0507959623070677</v>
      </c>
      <c r="I498" s="218">
        <f>Saldo_relativo_per_capita!I498*Saldo_relativo_per_capita!I$543/1000000</f>
        <v>7.8983954784595864</v>
      </c>
      <c r="J498" s="218">
        <f>Saldo_relativo_per_capita!J498*Saldo_relativo_per_capita!J$543/1000000</f>
        <v>0.11626051355857872</v>
      </c>
      <c r="K498" s="218">
        <f>Saldo_relativo_per_capita!K498*Saldo_relativo_per_capita!K$543/1000000</f>
        <v>4.1144337067441539</v>
      </c>
      <c r="L498" s="218">
        <f>Saldo_relativo_per_capita!L498*Saldo_relativo_per_capita!L$543/1000000</f>
        <v>3.261109785175337</v>
      </c>
      <c r="M498" s="218">
        <f>Saldo_relativo_per_capita!M498*Saldo_relativo_per_capita!M$543/1000000</f>
        <v>-17.276794052200817</v>
      </c>
      <c r="N498" s="218">
        <f>Saldo_relativo_per_capita!N498*Saldo_relativo_per_capita!N$543/1000000</f>
        <v>0.73943476509126482</v>
      </c>
      <c r="O498" s="218">
        <f>Saldo_relativo_per_capita!O498*Saldo_relativo_per_capita!O$543/1000000</f>
        <v>3.0420472199779689</v>
      </c>
      <c r="P498" s="218">
        <f>Saldo_relativo_per_capita!P498*Saldo_relativo_per_capita!P$543/1000000</f>
        <v>3.9588021168441316</v>
      </c>
      <c r="Q498" s="218">
        <f>Saldo_relativo_per_capita!Q498*Saldo_relativo_per_capita!Q$543/1000000</f>
        <v>-12.015004844552641</v>
      </c>
      <c r="R498" s="218">
        <f>Saldo_relativo_per_capita!R498*Saldo_relativo_per_capita!R$543/1000000</f>
        <v>3.7649325810013661</v>
      </c>
      <c r="S498" s="218">
        <f>Saldo_relativo_per_capita!S498*Saldo_relativo_per_capita!S$543/1000000</f>
        <v>0.59804754547669015</v>
      </c>
      <c r="T498" s="218">
        <f>Saldo_relativo_per_capita!T498*Saldo_relativo_per_capita!T$543/1000000</f>
        <v>-4.9592204394251169</v>
      </c>
      <c r="U498" s="218">
        <f>Saldo_relativo_per_capita!U498*Saldo_relativo_per_capita!U$543/1000000</f>
        <v>0.61551637634743128</v>
      </c>
      <c r="V498" s="218">
        <f>Saldo_relativo_per_capita!V498*Saldo_relativo_per_capita!V$543/1000000</f>
        <v>0.95543580720183907</v>
      </c>
    </row>
    <row r="499" spans="1:22" s="115" customFormat="1">
      <c r="A499" s="355" t="str">
        <f>IF(B499="","",(IF(ISERROR(MATCH(B499,Tot_res!C:C,0)),"Eliminar!!!","")))</f>
        <v/>
      </c>
      <c r="B499" s="115" t="s">
        <v>446</v>
      </c>
      <c r="C499" s="333" t="str">
        <f>VLOOKUP(B499,Tot_res!C:D,2,FALSE)</f>
        <v>Determinados medios de transporte, homogeneizado</v>
      </c>
      <c r="D499" s="218">
        <f>Saldo_relativo_per_capita!D499*Saldo_relativo_per_capita!D$543/1000000</f>
        <v>0</v>
      </c>
      <c r="E499" s="218">
        <f>Saldo_relativo_per_capita!E499*Saldo_relativo_per_capita!E$543/1000000</f>
        <v>5.5281608254047994</v>
      </c>
      <c r="F499" s="218">
        <f>Saldo_relativo_per_capita!F499*Saldo_relativo_per_capita!F$543/1000000</f>
        <v>1.4262343112839027</v>
      </c>
      <c r="G499" s="218">
        <f>Saldo_relativo_per_capita!G499*Saldo_relativo_per_capita!G$543/1000000</f>
        <v>2.1441599924194858</v>
      </c>
      <c r="H499" s="218">
        <f>Saldo_relativo_per_capita!H499*Saldo_relativo_per_capita!H$543/1000000</f>
        <v>-0.75609495209071609</v>
      </c>
      <c r="I499" s="218">
        <f>Saldo_relativo_per_capita!I499*Saldo_relativo_per_capita!I$543/1000000</f>
        <v>12.006374576972654</v>
      </c>
      <c r="J499" s="218">
        <f>Saldo_relativo_per_capita!J499*Saldo_relativo_per_capita!J$543/1000000</f>
        <v>-0.65218384454185108</v>
      </c>
      <c r="K499" s="218">
        <f>Saldo_relativo_per_capita!K499*Saldo_relativo_per_capita!K$543/1000000</f>
        <v>4.3985870642429381</v>
      </c>
      <c r="L499" s="218">
        <f>Saldo_relativo_per_capita!L499*Saldo_relativo_per_capita!L$543/1000000</f>
        <v>2.6444258266961378</v>
      </c>
      <c r="M499" s="218">
        <f>Saldo_relativo_per_capita!M499*Saldo_relativo_per_capita!M$543/1000000</f>
        <v>-15.83969590333629</v>
      </c>
      <c r="N499" s="218">
        <f>Saldo_relativo_per_capita!N499*Saldo_relativo_per_capita!N$543/1000000</f>
        <v>-0.76541901934636591</v>
      </c>
      <c r="O499" s="218">
        <f>Saldo_relativo_per_capita!O499*Saldo_relativo_per_capita!O$543/1000000</f>
        <v>2.0267122031524698</v>
      </c>
      <c r="P499" s="218">
        <f>Saldo_relativo_per_capita!P499*Saldo_relativo_per_capita!P$543/1000000</f>
        <v>3.0299008580625957</v>
      </c>
      <c r="Q499" s="218">
        <f>Saldo_relativo_per_capita!Q499*Saldo_relativo_per_capita!Q$543/1000000</f>
        <v>-12.86114599299848</v>
      </c>
      <c r="R499" s="218">
        <f>Saldo_relativo_per_capita!R499*Saldo_relativo_per_capita!R$543/1000000</f>
        <v>-0.2229879253282778</v>
      </c>
      <c r="S499" s="218">
        <f>Saldo_relativo_per_capita!S499*Saldo_relativo_per_capita!S$543/1000000</f>
        <v>-0.69026521697174092</v>
      </c>
      <c r="T499" s="218">
        <f>Saldo_relativo_per_capita!T499*Saldo_relativo_per_capita!T$543/1000000</f>
        <v>-2.8428586700616405</v>
      </c>
      <c r="U499" s="218">
        <f>Saldo_relativo_per_capita!U499*Saldo_relativo_per_capita!U$543/1000000</f>
        <v>0.60537426874876266</v>
      </c>
      <c r="V499" s="218">
        <f>Saldo_relativo_per_capita!V499*Saldo_relativo_per_capita!V$543/1000000</f>
        <v>0.82072159769156172</v>
      </c>
    </row>
    <row r="500" spans="1:22" s="115" customFormat="1">
      <c r="A500" s="355" t="str">
        <f>IF(B500="","",(IF(ISERROR(MATCH(B500,Tot_res!C:C,0)),"Eliminar!!!","")))</f>
        <v/>
      </c>
      <c r="B500" s="115" t="s">
        <v>448</v>
      </c>
      <c r="C500" s="333" t="str">
        <f>VLOOKUP(B500,Tot_res!C:D,2,FALSE)</f>
        <v xml:space="preserve">Tráfico exterior </v>
      </c>
      <c r="D500" s="218">
        <f>Saldo_relativo_per_capita!D500*Saldo_relativo_per_capita!D$543/1000000</f>
        <v>0</v>
      </c>
      <c r="E500" s="218">
        <f>Saldo_relativo_per_capita!E500*Saldo_relativo_per_capita!E$543/1000000</f>
        <v>17.360803856404011</v>
      </c>
      <c r="F500" s="218">
        <f>Saldo_relativo_per_capita!F500*Saldo_relativo_per_capita!F$543/1000000</f>
        <v>-1.87820845410236</v>
      </c>
      <c r="G500" s="218">
        <f>Saldo_relativo_per_capita!G500*Saldo_relativo_per_capita!G$543/1000000</f>
        <v>-1.7903711337382553</v>
      </c>
      <c r="H500" s="218">
        <f>Saldo_relativo_per_capita!H500*Saldo_relativo_per_capita!H$543/1000000</f>
        <v>-4.677832573858475</v>
      </c>
      <c r="I500" s="218">
        <f>Saldo_relativo_per_capita!I500*Saldo_relativo_per_capita!I$543/1000000</f>
        <v>54.183972345131032</v>
      </c>
      <c r="J500" s="218">
        <f>Saldo_relativo_per_capita!J500*Saldo_relativo_per_capita!J$543/1000000</f>
        <v>-1.3775186557844969</v>
      </c>
      <c r="K500" s="218">
        <f>Saldo_relativo_per_capita!K500*Saldo_relativo_per_capita!K$543/1000000</f>
        <v>-0.67421770670463499</v>
      </c>
      <c r="L500" s="218">
        <f>Saldo_relativo_per_capita!L500*Saldo_relativo_per_capita!L$543/1000000</f>
        <v>5.1796208984971557</v>
      </c>
      <c r="M500" s="218">
        <f>Saldo_relativo_per_capita!M500*Saldo_relativo_per_capita!M$543/1000000</f>
        <v>-31.506580048668599</v>
      </c>
      <c r="N500" s="218">
        <f>Saldo_relativo_per_capita!N500*Saldo_relativo_per_capita!N$543/1000000</f>
        <v>3.1562075556358611</v>
      </c>
      <c r="O500" s="218">
        <f>Saldo_relativo_per_capita!O500*Saldo_relativo_per_capita!O$543/1000000</f>
        <v>3.8640860776389645</v>
      </c>
      <c r="P500" s="218">
        <f>Saldo_relativo_per_capita!P500*Saldo_relativo_per_capita!P$543/1000000</f>
        <v>0.41586287747749939</v>
      </c>
      <c r="Q500" s="218">
        <f>Saldo_relativo_per_capita!Q500*Saldo_relativo_per_capita!Q$543/1000000</f>
        <v>-34.922683612259476</v>
      </c>
      <c r="R500" s="218">
        <f>Saldo_relativo_per_capita!R500*Saldo_relativo_per_capita!R$543/1000000</f>
        <v>4.7165801382802579</v>
      </c>
      <c r="S500" s="218">
        <f>Saldo_relativo_per_capita!S500*Saldo_relativo_per_capita!S$543/1000000</f>
        <v>-1.7603300371294706</v>
      </c>
      <c r="T500" s="218">
        <f>Saldo_relativo_per_capita!T500*Saldo_relativo_per_capita!T$543/1000000</f>
        <v>-14.387746682831384</v>
      </c>
      <c r="U500" s="218">
        <f>Saldo_relativo_per_capita!U500*Saldo_relativo_per_capita!U$543/1000000</f>
        <v>-0.2648800022175482</v>
      </c>
      <c r="V500" s="218">
        <f>Saldo_relativo_per_capita!V500*Saldo_relativo_per_capita!V$543/1000000</f>
        <v>4.363235158230232</v>
      </c>
    </row>
    <row r="501" spans="1:22" s="115" customFormat="1">
      <c r="A501" s="355" t="str">
        <f>IF(B501="","",(IF(ISERROR(MATCH(B501,Tot_res!C:C,0)),"Eliminar!!!","")))</f>
        <v/>
      </c>
      <c r="B501" s="115" t="s">
        <v>449</v>
      </c>
      <c r="C501" s="333" t="str">
        <f>VLOOKUP(B501,Tot_res!C:D,2,FALSE)</f>
        <v>Impuesto sobre las primas de seguros</v>
      </c>
      <c r="D501" s="218">
        <f>Saldo_relativo_per_capita!D501*Saldo_relativo_per_capita!D$543/1000000</f>
        <v>0</v>
      </c>
      <c r="E501" s="218">
        <f>Saldo_relativo_per_capita!E501*Saldo_relativo_per_capita!E$543/1000000</f>
        <v>23.800977787459043</v>
      </c>
      <c r="F501" s="218">
        <f>Saldo_relativo_per_capita!F501*Saldo_relativo_per_capita!F$543/1000000</f>
        <v>-0.18671002573561588</v>
      </c>
      <c r="G501" s="218">
        <f>Saldo_relativo_per_capita!G501*Saldo_relativo_per_capita!G$543/1000000</f>
        <v>-1.3814513277344753</v>
      </c>
      <c r="H501" s="218">
        <f>Saldo_relativo_per_capita!H501*Saldo_relativo_per_capita!H$543/1000000</f>
        <v>-2.7627243147658667</v>
      </c>
      <c r="I501" s="218">
        <f>Saldo_relativo_per_capita!I501*Saldo_relativo_per_capita!I$543/1000000</f>
        <v>8.4397524994986668</v>
      </c>
      <c r="J501" s="218">
        <f>Saldo_relativo_per_capita!J501*Saldo_relativo_per_capita!J$543/1000000</f>
        <v>-1.8557973372975616</v>
      </c>
      <c r="K501" s="218">
        <f>Saldo_relativo_per_capita!K501*Saldo_relativo_per_capita!K$543/1000000</f>
        <v>2.7845746476505036</v>
      </c>
      <c r="L501" s="218">
        <f>Saldo_relativo_per_capita!L501*Saldo_relativo_per_capita!L$543/1000000</f>
        <v>6.2174757608111033</v>
      </c>
      <c r="M501" s="218">
        <f>Saldo_relativo_per_capita!M501*Saldo_relativo_per_capita!M$543/1000000</f>
        <v>-5.4805282795716899</v>
      </c>
      <c r="N501" s="218">
        <f>Saldo_relativo_per_capita!N501*Saldo_relativo_per_capita!N$543/1000000</f>
        <v>3.5507317015912578</v>
      </c>
      <c r="O501" s="218">
        <f>Saldo_relativo_per_capita!O501*Saldo_relativo_per_capita!O$543/1000000</f>
        <v>3.1661900086720673</v>
      </c>
      <c r="P501" s="218">
        <f>Saldo_relativo_per_capita!P501*Saldo_relativo_per_capita!P$543/1000000</f>
        <v>-1.2245113689614768</v>
      </c>
      <c r="Q501" s="218">
        <f>Saldo_relativo_per_capita!Q501*Saldo_relativo_per_capita!Q$543/1000000</f>
        <v>-29.296261308198918</v>
      </c>
      <c r="R501" s="218">
        <f>Saldo_relativo_per_capita!R501*Saldo_relativo_per_capita!R$543/1000000</f>
        <v>1.8902336866543643</v>
      </c>
      <c r="S501" s="218">
        <f>Saldo_relativo_per_capita!S501*Saldo_relativo_per_capita!S$543/1000000</f>
        <v>-0.55336093121159868</v>
      </c>
      <c r="T501" s="218">
        <f>Saldo_relativo_per_capita!T501*Saldo_relativo_per_capita!T$543/1000000</f>
        <v>-8.243334447263166</v>
      </c>
      <c r="U501" s="218">
        <f>Saldo_relativo_per_capita!U501*Saldo_relativo_per_capita!U$543/1000000</f>
        <v>0.20783293351176085</v>
      </c>
      <c r="V501" s="218">
        <f>Saldo_relativo_per_capita!V501*Saldo_relativo_per_capita!V$543/1000000</f>
        <v>0.92691031489149234</v>
      </c>
    </row>
    <row r="502" spans="1:22" s="115" customFormat="1">
      <c r="A502" s="355" t="str">
        <f>IF(B502="","",(IF(ISERROR(MATCH(B502,Tot_res!C:C,0)),"Eliminar!!!","")))</f>
        <v/>
      </c>
      <c r="B502" s="115" t="s">
        <v>451</v>
      </c>
      <c r="C502" s="333" t="str">
        <f>VLOOKUP(B502,Tot_res!C:D,2,FALSE)</f>
        <v>Transmisiones patrim. y actos jurídicos documentados, ing. homog.</v>
      </c>
      <c r="D502" s="218">
        <f>Saldo_relativo_per_capita!D502*Saldo_relativo_per_capita!D$543/1000000</f>
        <v>0</v>
      </c>
      <c r="E502" s="218">
        <f>Saldo_relativo_per_capita!E502*Saldo_relativo_per_capita!E$543/1000000</f>
        <v>111.93584435169029</v>
      </c>
      <c r="F502" s="218">
        <f>Saldo_relativo_per_capita!F502*Saldo_relativo_per_capita!F$543/1000000</f>
        <v>-0.40388734343908755</v>
      </c>
      <c r="G502" s="218">
        <f>Saldo_relativo_per_capita!G502*Saldo_relativo_per_capita!G$543/1000000</f>
        <v>12.020411701329762</v>
      </c>
      <c r="H502" s="218">
        <f>Saldo_relativo_per_capita!H502*Saldo_relativo_per_capita!H$543/1000000</f>
        <v>-14.086592392665525</v>
      </c>
      <c r="I502" s="218">
        <f>Saldo_relativo_per_capita!I502*Saldo_relativo_per_capita!I$543/1000000</f>
        <v>30.341889461736294</v>
      </c>
      <c r="J502" s="218">
        <f>Saldo_relativo_per_capita!J502*Saldo_relativo_per_capita!J$543/1000000</f>
        <v>4.9211844967105502</v>
      </c>
      <c r="K502" s="218">
        <f>Saldo_relativo_per_capita!K502*Saldo_relativo_per_capita!K$543/1000000</f>
        <v>16.901798245533772</v>
      </c>
      <c r="L502" s="218">
        <f>Saldo_relativo_per_capita!L502*Saldo_relativo_per_capita!L$543/1000000</f>
        <v>38.690904335401058</v>
      </c>
      <c r="M502" s="218">
        <f>Saldo_relativo_per_capita!M502*Saldo_relativo_per_capita!M$543/1000000</f>
        <v>-70.879509487090203</v>
      </c>
      <c r="N502" s="218">
        <f>Saldo_relativo_per_capita!N502*Saldo_relativo_per_capita!N$543/1000000</f>
        <v>47.674344331887632</v>
      </c>
      <c r="O502" s="218">
        <f>Saldo_relativo_per_capita!O502*Saldo_relativo_per_capita!O$543/1000000</f>
        <v>28.273057984786451</v>
      </c>
      <c r="P502" s="218">
        <f>Saldo_relativo_per_capita!P502*Saldo_relativo_per_capita!P$543/1000000</f>
        <v>53.10960376959045</v>
      </c>
      <c r="Q502" s="218">
        <f>Saldo_relativo_per_capita!Q502*Saldo_relativo_per_capita!Q$543/1000000</f>
        <v>-222.84620969008247</v>
      </c>
      <c r="R502" s="218">
        <f>Saldo_relativo_per_capita!R502*Saldo_relativo_per_capita!R$543/1000000</f>
        <v>31.834281114919211</v>
      </c>
      <c r="S502" s="218">
        <f>Saldo_relativo_per_capita!S502*Saldo_relativo_per_capita!S$543/1000000</f>
        <v>-4.9323643558267625</v>
      </c>
      <c r="T502" s="218">
        <f>Saldo_relativo_per_capita!T502*Saldo_relativo_per_capita!T$543/1000000</f>
        <v>-66.39235324666771</v>
      </c>
      <c r="U502" s="218">
        <f>Saldo_relativo_per_capita!U502*Saldo_relativo_per_capita!U$543/1000000</f>
        <v>1.0170302508050231</v>
      </c>
      <c r="V502" s="218">
        <f>Saldo_relativo_per_capita!V502*Saldo_relativo_per_capita!V$543/1000000</f>
        <v>2.8205664713798049</v>
      </c>
    </row>
    <row r="503" spans="1:22" s="115" customFormat="1">
      <c r="A503" s="355" t="str">
        <f>IF(B503="","",(IF(ISERROR(MATCH(B503,Tot_res!C:C,0)),"Eliminar!!!","")))</f>
        <v/>
      </c>
      <c r="B503" s="115" t="s">
        <v>452</v>
      </c>
      <c r="C503" s="333" t="str">
        <f>VLOOKUP(B503,Tot_res!C:D,2,FALSE)</f>
        <v>Venta Minorista de Hidrocarburos, ingr. Homog.</v>
      </c>
      <c r="D503" s="218">
        <f>Saldo_relativo_per_capita!D503*Saldo_relativo_per_capita!D$543/1000000</f>
        <v>0</v>
      </c>
      <c r="E503" s="218">
        <f>Saldo_relativo_per_capita!E503*Saldo_relativo_per_capita!E$543/1000000</f>
        <v>-0.17169414797560784</v>
      </c>
      <c r="F503" s="218">
        <f>Saldo_relativo_per_capita!F503*Saldo_relativo_per_capita!F$543/1000000</f>
        <v>0.10163466088318891</v>
      </c>
      <c r="G503" s="218">
        <f>Saldo_relativo_per_capita!G503*Saldo_relativo_per_capita!G$543/1000000</f>
        <v>-0.10238068224357434</v>
      </c>
      <c r="H503" s="218">
        <f>Saldo_relativo_per_capita!H503*Saldo_relativo_per_capita!H$543/1000000</f>
        <v>-0.61743605940237078</v>
      </c>
      <c r="I503" s="218">
        <f>Saldo_relativo_per_capita!I503*Saldo_relativo_per_capita!I$543/1000000</f>
        <v>6.8607020203191951</v>
      </c>
      <c r="J503" s="218">
        <f>Saldo_relativo_per_capita!J503*Saldo_relativo_per_capita!J$543/1000000</f>
        <v>-0.47600471981004205</v>
      </c>
      <c r="K503" s="218">
        <f>Saldo_relativo_per_capita!K503*Saldo_relativo_per_capita!K$543/1000000</f>
        <v>-0.2282647337284851</v>
      </c>
      <c r="L503" s="218">
        <f>Saldo_relativo_per_capita!L503*Saldo_relativo_per_capita!L$543/1000000</f>
        <v>-0.26853995100017636</v>
      </c>
      <c r="M503" s="218">
        <f>Saldo_relativo_per_capita!M503*Saldo_relativo_per_capita!M$543/1000000</f>
        <v>-1.9463853937830853</v>
      </c>
      <c r="N503" s="218">
        <f>Saldo_relativo_per_capita!N503*Saldo_relativo_per_capita!N$543/1000000</f>
        <v>0.55861528402562055</v>
      </c>
      <c r="O503" s="218">
        <f>Saldo_relativo_per_capita!O503*Saldo_relativo_per_capita!O$543/1000000</f>
        <v>6.888369993516083E-2</v>
      </c>
      <c r="P503" s="218">
        <f>Saldo_relativo_per_capita!P503*Saldo_relativo_per_capita!P$543/1000000</f>
        <v>-0.53969153506128276</v>
      </c>
      <c r="Q503" s="218">
        <f>Saldo_relativo_per_capita!Q503*Saldo_relativo_per_capita!Q$543/1000000</f>
        <v>-3.2442011194273586</v>
      </c>
      <c r="R503" s="218">
        <f>Saldo_relativo_per_capita!R503*Saldo_relativo_per_capita!R$543/1000000</f>
        <v>-0.2196022301211456</v>
      </c>
      <c r="S503" s="218">
        <f>Saldo_relativo_per_capita!S503*Saldo_relativo_per_capita!S$543/1000000</f>
        <v>-0.16489116347939375</v>
      </c>
      <c r="T503" s="218">
        <f>Saldo_relativo_per_capita!T503*Saldo_relativo_per_capita!T$543/1000000</f>
        <v>7.6282852657551678E-2</v>
      </c>
      <c r="U503" s="218">
        <f>Saldo_relativo_per_capita!U503*Saldo_relativo_per_capita!U$543/1000000</f>
        <v>7.3046277156528547E-2</v>
      </c>
      <c r="V503" s="218">
        <f>Saldo_relativo_per_capita!V503*Saldo_relativo_per_capita!V$543/1000000</f>
        <v>0.23992694105527265</v>
      </c>
    </row>
    <row r="504" spans="1:22" s="115" customFormat="1">
      <c r="A504" s="355" t="str">
        <f>IF(B504="","",(IF(ISERROR(MATCH(B504,Tot_res!C:C,0)),"Eliminar!!!","")))</f>
        <v/>
      </c>
      <c r="B504" s="115" t="s">
        <v>453</v>
      </c>
      <c r="C504" s="333" t="str">
        <f>VLOOKUP(B504,Tot_res!C:D,2,FALSE)</f>
        <v>Tasas sobre el juego, ingresos homogeneizados</v>
      </c>
      <c r="D504" s="218">
        <f>Saldo_relativo_per_capita!D504*Saldo_relativo_per_capita!D$543/1000000</f>
        <v>0</v>
      </c>
      <c r="E504" s="218">
        <f>Saldo_relativo_per_capita!E504*Saldo_relativo_per_capita!E$543/1000000</f>
        <v>38.804285650378318</v>
      </c>
      <c r="F504" s="218">
        <f>Saldo_relativo_per_capita!F504*Saldo_relativo_per_capita!F$543/1000000</f>
        <v>0.57944838405228283</v>
      </c>
      <c r="G504" s="218">
        <f>Saldo_relativo_per_capita!G504*Saldo_relativo_per_capita!G$543/1000000</f>
        <v>2.5192943938157355</v>
      </c>
      <c r="H504" s="218">
        <f>Saldo_relativo_per_capita!H504*Saldo_relativo_per_capita!H$543/1000000</f>
        <v>-6.2177188696569035</v>
      </c>
      <c r="I504" s="218">
        <f>Saldo_relativo_per_capita!I504*Saldo_relativo_per_capita!I$543/1000000</f>
        <v>12.729099588435222</v>
      </c>
      <c r="J504" s="218">
        <f>Saldo_relativo_per_capita!J504*Saldo_relativo_per_capita!J$543/1000000</f>
        <v>-0.1939492594742592</v>
      </c>
      <c r="K504" s="218">
        <f>Saldo_relativo_per_capita!K504*Saldo_relativo_per_capita!K$543/1000000</f>
        <v>-3.6572225335713644</v>
      </c>
      <c r="L504" s="218">
        <f>Saldo_relativo_per_capita!L504*Saldo_relativo_per_capita!L$543/1000000</f>
        <v>4.0729486304617737</v>
      </c>
      <c r="M504" s="218">
        <f>Saldo_relativo_per_capita!M504*Saldo_relativo_per_capita!M$543/1000000</f>
        <v>25.865336722373684</v>
      </c>
      <c r="N504" s="218">
        <f>Saldo_relativo_per_capita!N504*Saldo_relativo_per_capita!N$543/1000000</f>
        <v>-23.218487123672116</v>
      </c>
      <c r="O504" s="218">
        <f>Saldo_relativo_per_capita!O504*Saldo_relativo_per_capita!O$543/1000000</f>
        <v>6.2723024437522463</v>
      </c>
      <c r="P504" s="218">
        <f>Saldo_relativo_per_capita!P504*Saldo_relativo_per_capita!P$543/1000000</f>
        <v>12.294848998558388</v>
      </c>
      <c r="Q504" s="218">
        <f>Saldo_relativo_per_capita!Q504*Saldo_relativo_per_capita!Q$543/1000000</f>
        <v>-104.93259237394547</v>
      </c>
      <c r="R504" s="218">
        <f>Saldo_relativo_per_capita!R504*Saldo_relativo_per_capita!R$543/1000000</f>
        <v>10.52352664383222</v>
      </c>
      <c r="S504" s="218">
        <f>Saldo_relativo_per_capita!S504*Saldo_relativo_per_capita!S$543/1000000</f>
        <v>3.4588623308006325</v>
      </c>
      <c r="T504" s="218">
        <f>Saldo_relativo_per_capita!T504*Saldo_relativo_per_capita!T$543/1000000</f>
        <v>17.184166064377983</v>
      </c>
      <c r="U504" s="218">
        <f>Saldo_relativo_per_capita!U504*Saldo_relativo_per_capita!U$543/1000000</f>
        <v>2.1323931289811466</v>
      </c>
      <c r="V504" s="218">
        <f>Saldo_relativo_per_capita!V504*Saldo_relativo_per_capita!V$543/1000000</f>
        <v>1.7834571805004791</v>
      </c>
    </row>
    <row r="505" spans="1:22" s="115" customFormat="1">
      <c r="A505" s="355" t="str">
        <f>IF(B505="","",(IF(ISERROR(MATCH(B505,Tot_res!C:C,0)),"Eliminar!!!","")))</f>
        <v/>
      </c>
      <c r="B505" s="115" t="s">
        <v>454</v>
      </c>
      <c r="C505" s="333" t="str">
        <f>VLOOKUP(B505,Tot_res!C:D,2,FALSE)</f>
        <v>REF Canarias (bruto de comp IGTE e incl. Parte ccll), rec. Homog.</v>
      </c>
      <c r="D505" s="218">
        <f>Saldo_relativo_per_capita!D505*Saldo_relativo_per_capita!D$543/1000000</f>
        <v>0</v>
      </c>
      <c r="E505" s="218">
        <f>Saldo_relativo_per_capita!E505*Saldo_relativo_per_capita!E$543/1000000</f>
        <v>522.79938085989284</v>
      </c>
      <c r="F505" s="218">
        <f>Saldo_relativo_per_capita!F505*Saldo_relativo_per_capita!F$543/1000000</f>
        <v>82.249255230486796</v>
      </c>
      <c r="G505" s="218">
        <f>Saldo_relativo_per_capita!G505*Saldo_relativo_per_capita!G$543/1000000</f>
        <v>60.99797068842043</v>
      </c>
      <c r="H505" s="218">
        <f>Saldo_relativo_per_capita!H505*Saldo_relativo_per_capita!H$543/1000000</f>
        <v>68.283270356165374</v>
      </c>
      <c r="I505" s="218">
        <f>Saldo_relativo_per_capita!I505*Saldo_relativo_per_capita!I$543/1000000</f>
        <v>-2734.0171112573012</v>
      </c>
      <c r="J505" s="218">
        <f>Saldo_relativo_per_capita!J505*Saldo_relativo_per_capita!J$543/1000000</f>
        <v>34.833526250952303</v>
      </c>
      <c r="K505" s="218">
        <f>Saldo_relativo_per_capita!K505*Saldo_relativo_per_capita!K$543/1000000</f>
        <v>152.58880125588033</v>
      </c>
      <c r="L505" s="218">
        <f>Saldo_relativo_per_capita!L505*Saldo_relativo_per_capita!L$543/1000000</f>
        <v>129.56359906205549</v>
      </c>
      <c r="M505" s="218">
        <f>Saldo_relativo_per_capita!M505*Saldo_relativo_per_capita!M$543/1000000</f>
        <v>463.64955323367184</v>
      </c>
      <c r="N505" s="218">
        <f>Saldo_relativo_per_capita!N505*Saldo_relativo_per_capita!N$543/1000000</f>
        <v>313.0280224602198</v>
      </c>
      <c r="O505" s="218">
        <f>Saldo_relativo_per_capita!O505*Saldo_relativo_per_capita!O$543/1000000</f>
        <v>68.667346145432489</v>
      </c>
      <c r="P505" s="218">
        <f>Saldo_relativo_per_capita!P505*Saldo_relativo_per_capita!P$543/1000000</f>
        <v>164.18899289922436</v>
      </c>
      <c r="Q505" s="218">
        <f>Saldo_relativo_per_capita!Q505*Saldo_relativo_per_capita!Q$543/1000000</f>
        <v>387.43681903025907</v>
      </c>
      <c r="R505" s="218">
        <f>Saldo_relativo_per_capita!R505*Saldo_relativo_per_capita!R$543/1000000</f>
        <v>91.423609768948268</v>
      </c>
      <c r="S505" s="218">
        <f>Saldo_relativo_per_capita!S505*Saldo_relativo_per_capita!S$543/1000000</f>
        <v>38.457856852012256</v>
      </c>
      <c r="T505" s="218">
        <f>Saldo_relativo_per_capita!T505*Saldo_relativo_per_capita!T$543/1000000</f>
        <v>125.63298284482518</v>
      </c>
      <c r="U505" s="218">
        <f>Saldo_relativo_per_capita!U505*Saldo_relativo_per_capita!U$543/1000000</f>
        <v>19.793657818869644</v>
      </c>
      <c r="V505" s="218">
        <f>Saldo_relativo_per_capita!V505*Saldo_relativo_per_capita!V$543/1000000</f>
        <v>10.422466499984576</v>
      </c>
    </row>
    <row r="506" spans="1:22" s="115" customFormat="1">
      <c r="A506" s="355" t="str">
        <f>IF(B506="","",(IF(ISERROR(MATCH(B506,Tot_res!C:C,0)),"Eliminar!!!","")))</f>
        <v/>
      </c>
      <c r="B506" s="115" t="s">
        <v>456</v>
      </c>
      <c r="C506" s="333" t="str">
        <f>VLOOKUP(B506,Tot_res!C:D,2,FALSE)</f>
        <v>IPSI, Ceuta y Melilla</v>
      </c>
      <c r="D506" s="218">
        <f>Saldo_relativo_per_capita!D506*Saldo_relativo_per_capita!D$543/1000000</f>
        <v>0</v>
      </c>
      <c r="E506" s="218">
        <f>Saldo_relativo_per_capita!E506*Saldo_relativo_per_capita!E$543/1000000</f>
        <v>37.963674380713606</v>
      </c>
      <c r="F506" s="218">
        <f>Saldo_relativo_per_capita!F506*Saldo_relativo_per_capita!F$543/1000000</f>
        <v>6.0239641380333051</v>
      </c>
      <c r="G506" s="218">
        <f>Saldo_relativo_per_capita!G506*Saldo_relativo_per_capita!G$543/1000000</f>
        <v>4.8008979193327814</v>
      </c>
      <c r="H506" s="218">
        <f>Saldo_relativo_per_capita!H506*Saldo_relativo_per_capita!H$543/1000000</f>
        <v>4.9929296886977284</v>
      </c>
      <c r="I506" s="218">
        <f>Saldo_relativo_per_capita!I506*Saldo_relativo_per_capita!I$543/1000000</f>
        <v>9.5198664912522517</v>
      </c>
      <c r="J506" s="218">
        <f>Saldo_relativo_per_capita!J506*Saldo_relativo_per_capita!J$543/1000000</f>
        <v>2.6609772067981861</v>
      </c>
      <c r="K506" s="218">
        <f>Saldo_relativo_per_capita!K506*Saldo_relativo_per_capita!K$543/1000000</f>
        <v>11.303186721315448</v>
      </c>
      <c r="L506" s="218">
        <f>Saldo_relativo_per_capita!L506*Saldo_relativo_per_capita!L$543/1000000</f>
        <v>9.4209485477276242</v>
      </c>
      <c r="M506" s="218">
        <f>Saldo_relativo_per_capita!M506*Saldo_relativo_per_capita!M$543/1000000</f>
        <v>33.973930646598198</v>
      </c>
      <c r="N506" s="218">
        <f>Saldo_relativo_per_capita!N506*Saldo_relativo_per_capita!N$543/1000000</f>
        <v>22.80772335665873</v>
      </c>
      <c r="O506" s="218">
        <f>Saldo_relativo_per_capita!O506*Saldo_relativo_per_capita!O$543/1000000</f>
        <v>4.967053466943991</v>
      </c>
      <c r="P506" s="218">
        <f>Saldo_relativo_per_capita!P506*Saldo_relativo_per_capita!P$543/1000000</f>
        <v>12.43013224311124</v>
      </c>
      <c r="Q506" s="218">
        <f>Saldo_relativo_per_capita!Q506*Saldo_relativo_per_capita!Q$543/1000000</f>
        <v>29.189620106697969</v>
      </c>
      <c r="R506" s="218">
        <f>Saldo_relativo_per_capita!R506*Saldo_relativo_per_capita!R$543/1000000</f>
        <v>6.6242834666148527</v>
      </c>
      <c r="S506" s="218">
        <f>Saldo_relativo_per_capita!S506*Saldo_relativo_per_capita!S$543/1000000</f>
        <v>2.897025601459907</v>
      </c>
      <c r="T506" s="218">
        <f>Saldo_relativo_per_capita!T506*Saldo_relativo_per_capita!T$543/1000000</f>
        <v>9.8741385645710693</v>
      </c>
      <c r="U506" s="218">
        <f>Saldo_relativo_per_capita!U506*Saldo_relativo_per_capita!U$543/1000000</f>
        <v>1.4448962155554002</v>
      </c>
      <c r="V506" s="218">
        <f>Saldo_relativo_per_capita!V506*Saldo_relativo_per_capita!V$543/1000000</f>
        <v>-210.89524876208228</v>
      </c>
    </row>
    <row r="507" spans="1:22" s="115" customFormat="1">
      <c r="A507" s="356"/>
      <c r="D507" s="218"/>
      <c r="E507" s="218"/>
      <c r="F507" s="218"/>
      <c r="G507" s="218"/>
      <c r="H507" s="218"/>
      <c r="I507" s="218"/>
      <c r="J507" s="218"/>
      <c r="K507" s="218"/>
      <c r="L507" s="218"/>
      <c r="M507" s="218"/>
      <c r="N507" s="218"/>
      <c r="O507" s="218"/>
      <c r="P507" s="218"/>
      <c r="Q507" s="218"/>
      <c r="R507" s="218"/>
      <c r="S507" s="218"/>
      <c r="T507" s="218"/>
      <c r="U507" s="218"/>
      <c r="V507" s="218"/>
    </row>
    <row r="508" spans="1:22" s="115" customFormat="1">
      <c r="A508" s="356"/>
      <c r="C508" s="112" t="s">
        <v>435</v>
      </c>
      <c r="D508" s="219">
        <f>Saldo_relativo_per_capita!D508*Saldo_relativo_per_capita!D$543/1000000</f>
        <v>0</v>
      </c>
      <c r="E508" s="219">
        <f>Saldo_relativo_per_capita!E508*Saldo_relativo_per_capita!E$543/1000000</f>
        <v>-618.7314646097891</v>
      </c>
      <c r="F508" s="219">
        <f>Saldo_relativo_per_capita!F508*Saldo_relativo_per_capita!F$543/1000000</f>
        <v>-97.474978503342271</v>
      </c>
      <c r="G508" s="219">
        <f>Saldo_relativo_per_capita!G508*Saldo_relativo_per_capita!G$543/1000000</f>
        <v>-169.35110670764669</v>
      </c>
      <c r="H508" s="219">
        <f>Saldo_relativo_per_capita!H508*Saldo_relativo_per_capita!H$543/1000000</f>
        <v>-158.71591309386952</v>
      </c>
      <c r="I508" s="219">
        <f>Saldo_relativo_per_capita!I508*Saldo_relativo_per_capita!I$543/1000000</f>
        <v>1657.7229789165394</v>
      </c>
      <c r="J508" s="219">
        <f>Saldo_relativo_per_capita!J508*Saldo_relativo_per_capita!J$543/1000000</f>
        <v>-71.285227272086217</v>
      </c>
      <c r="K508" s="219">
        <f>Saldo_relativo_per_capita!K508*Saldo_relativo_per_capita!K$543/1000000</f>
        <v>-116.2994495606731</v>
      </c>
      <c r="L508" s="219">
        <f>Saldo_relativo_per_capita!L508*Saldo_relativo_per_capita!L$543/1000000</f>
        <v>130.21054880021165</v>
      </c>
      <c r="M508" s="219">
        <f>Saldo_relativo_per_capita!M508*Saldo_relativo_per_capita!M$543/1000000</f>
        <v>-1232.1357637798128</v>
      </c>
      <c r="N508" s="219">
        <f>Saldo_relativo_per_capita!N508*Saldo_relativo_per_capita!N$543/1000000</f>
        <v>-338.43994258332981</v>
      </c>
      <c r="O508" s="219">
        <f>Saldo_relativo_per_capita!O508*Saldo_relativo_per_capita!O$543/1000000</f>
        <v>-216.62480595659653</v>
      </c>
      <c r="P508" s="219">
        <f>Saldo_relativo_per_capita!P508*Saldo_relativo_per_capita!P$543/1000000</f>
        <v>-105.22804284051699</v>
      </c>
      <c r="Q508" s="219">
        <f>Saldo_relativo_per_capita!Q508*Saldo_relativo_per_capita!Q$543/1000000</f>
        <v>284.02728756867225</v>
      </c>
      <c r="R508" s="219">
        <f>Saldo_relativo_per_capita!R508*Saldo_relativo_per_capita!R$543/1000000</f>
        <v>-109.91120184946347</v>
      </c>
      <c r="S508" s="219">
        <f>Saldo_relativo_per_capita!S508*Saldo_relativo_per_capita!S$543/1000000</f>
        <v>275.47719590671193</v>
      </c>
      <c r="T508" s="219">
        <f>Saldo_relativo_per_capita!T508*Saldo_relativo_per_capita!T$543/1000000</f>
        <v>830.17056874614821</v>
      </c>
      <c r="U508" s="219">
        <f>Saldo_relativo_per_capita!U508*Saldo_relativo_per_capita!U$543/1000000</f>
        <v>-15.537805296550031</v>
      </c>
      <c r="V508" s="219">
        <f>Saldo_relativo_per_capita!V508*Saldo_relativo_per_capita!V$543/1000000</f>
        <v>72.127122115393533</v>
      </c>
    </row>
    <row r="509" spans="1:22" s="115" customFormat="1">
      <c r="A509" s="355" t="str">
        <f>IF(B509="","",(IF(ISERROR(MATCH(B509,Tot_res!C:C,0)),"Eliminar!!!","")))</f>
        <v/>
      </c>
      <c r="B509" s="115" t="s">
        <v>458</v>
      </c>
      <c r="C509" s="333" t="str">
        <f>VLOOKUP(B509,Tot_res!C:D,2,FALSE)</f>
        <v>IRPF, sobreesfuerzo fiscal</v>
      </c>
      <c r="D509" s="218">
        <f>Saldo_relativo_per_capita!D509*Saldo_relativo_per_capita!D$543/1000000</f>
        <v>0</v>
      </c>
      <c r="E509" s="218">
        <f>Saldo_relativo_per_capita!E509*Saldo_relativo_per_capita!E$543/1000000</f>
        <v>-280.73199331130019</v>
      </c>
      <c r="F509" s="218">
        <f>Saldo_relativo_per_capita!F509*Saldo_relativo_per_capita!F$543/1000000</f>
        <v>-41.776174917825792</v>
      </c>
      <c r="G509" s="218">
        <f>Saldo_relativo_per_capita!G509*Saldo_relativo_per_capita!G$543/1000000</f>
        <v>-33.235475677539455</v>
      </c>
      <c r="H509" s="218">
        <f>Saldo_relativo_per_capita!H509*Saldo_relativo_per_capita!H$543/1000000</f>
        <v>-30.408571862048337</v>
      </c>
      <c r="I509" s="218">
        <f>Saldo_relativo_per_capita!I509*Saldo_relativo_per_capita!I$543/1000000</f>
        <v>-36.741426573405882</v>
      </c>
      <c r="J509" s="218">
        <f>Saldo_relativo_per_capita!J509*Saldo_relativo_per_capita!J$543/1000000</f>
        <v>-18.054555136783573</v>
      </c>
      <c r="K509" s="218">
        <f>Saldo_relativo_per_capita!K509*Saldo_relativo_per_capita!K$543/1000000</f>
        <v>-46.093635870207699</v>
      </c>
      <c r="L509" s="218">
        <f>Saldo_relativo_per_capita!L509*Saldo_relativo_per_capita!L$543/1000000</f>
        <v>-58.282217451725316</v>
      </c>
      <c r="M509" s="218">
        <f>Saldo_relativo_per_capita!M509*Saldo_relativo_per_capita!M$543/1000000</f>
        <v>-229.26879497402916</v>
      </c>
      <c r="N509" s="218">
        <f>Saldo_relativo_per_capita!N509*Saldo_relativo_per_capita!N$543/1000000</f>
        <v>-130.99788118437621</v>
      </c>
      <c r="O509" s="218">
        <f>Saldo_relativo_per_capita!O509*Saldo_relativo_per_capita!O$543/1000000</f>
        <v>-32.393293374506442</v>
      </c>
      <c r="P509" s="218">
        <f>Saldo_relativo_per_capita!P509*Saldo_relativo_per_capita!P$543/1000000</f>
        <v>-73.259779172437305</v>
      </c>
      <c r="Q509" s="218">
        <f>Saldo_relativo_per_capita!Q509*Saldo_relativo_per_capita!Q$543/1000000</f>
        <v>30.816056171808029</v>
      </c>
      <c r="R509" s="218">
        <f>Saldo_relativo_per_capita!R509*Saldo_relativo_per_capita!R$543/1000000</f>
        <v>-45.686345691666332</v>
      </c>
      <c r="S509" s="218">
        <f>Saldo_relativo_per_capita!S509*Saldo_relativo_per_capita!S$543/1000000</f>
        <v>270.88527582131786</v>
      </c>
      <c r="T509" s="218">
        <f>Saldo_relativo_per_capita!T509*Saldo_relativo_per_capita!T$543/1000000</f>
        <v>749.86690086048304</v>
      </c>
      <c r="U509" s="218">
        <f>Saldo_relativo_per_capita!U509*Saldo_relativo_per_capita!U$543/1000000</f>
        <v>-4.2981831695888202</v>
      </c>
      <c r="V509" s="218">
        <f>Saldo_relativo_per_capita!V509*Saldo_relativo_per_capita!V$543/1000000</f>
        <v>9.6600955138315285</v>
      </c>
    </row>
    <row r="510" spans="1:22" s="115" customFormat="1">
      <c r="A510" s="355" t="str">
        <f>IF(B510="","",(IF(ISERROR(MATCH(B510,Tot_res!C:C,0)),"Eliminar!!!","")))</f>
        <v/>
      </c>
      <c r="B510" s="115" t="s">
        <v>460</v>
      </c>
      <c r="C510" s="333" t="str">
        <f>VLOOKUP(B510,Tot_res!C:D,2,FALSE)</f>
        <v>Sociedades, sobreesfuerzo fiscal</v>
      </c>
      <c r="D510" s="218">
        <f>Saldo_relativo_per_capita!D510*Saldo_relativo_per_capita!D$543/1000000</f>
        <v>0</v>
      </c>
      <c r="E510" s="218">
        <f>Saldo_relativo_per_capita!E510*Saldo_relativo_per_capita!E$543/1000000</f>
        <v>-18.619821883512675</v>
      </c>
      <c r="F510" s="218">
        <f>Saldo_relativo_per_capita!F510*Saldo_relativo_per_capita!F$543/1000000</f>
        <v>-2.2590548237381629</v>
      </c>
      <c r="G510" s="218">
        <f>Saldo_relativo_per_capita!G510*Saldo_relativo_per_capita!G$543/1000000</f>
        <v>-2.0492978881134909</v>
      </c>
      <c r="H510" s="218">
        <f>Saldo_relativo_per_capita!H510*Saldo_relativo_per_capita!H$543/1000000</f>
        <v>-2.1052191592773788</v>
      </c>
      <c r="I510" s="218">
        <f>Saldo_relativo_per_capita!I510*Saldo_relativo_per_capita!I$543/1000000</f>
        <v>-4.5324194757713618</v>
      </c>
      <c r="J510" s="218">
        <f>Saldo_relativo_per_capita!J510*Saldo_relativo_per_capita!J$543/1000000</f>
        <v>-1.0302568609050995</v>
      </c>
      <c r="K510" s="218">
        <f>Saldo_relativo_per_capita!K510*Saldo_relativo_per_capita!K$543/1000000</f>
        <v>-4.6568484301873587</v>
      </c>
      <c r="L510" s="218">
        <f>Saldo_relativo_per_capita!L510*Saldo_relativo_per_capita!L$543/1000000</f>
        <v>-4.6227315223959087</v>
      </c>
      <c r="M510" s="218">
        <f>Saldo_relativo_per_capita!M510*Saldo_relativo_per_capita!M$543/1000000</f>
        <v>-13.3735681424892</v>
      </c>
      <c r="N510" s="218">
        <f>Saldo_relativo_per_capita!N510*Saldo_relativo_per_capita!N$543/1000000</f>
        <v>-10.601173017787904</v>
      </c>
      <c r="O510" s="218">
        <f>Saldo_relativo_per_capita!O510*Saldo_relativo_per_capita!O$543/1000000</f>
        <v>-2.38277161828419</v>
      </c>
      <c r="P510" s="218">
        <f>Saldo_relativo_per_capita!P510*Saldo_relativo_per_capita!P$543/1000000</f>
        <v>-5.437924677593303</v>
      </c>
      <c r="Q510" s="218">
        <f>Saldo_relativo_per_capita!Q510*Saldo_relativo_per_capita!Q$543/1000000</f>
        <v>-8.7339138302406418</v>
      </c>
      <c r="R510" s="218">
        <f>Saldo_relativo_per_capita!R510*Saldo_relativo_per_capita!R$543/1000000</f>
        <v>-3.1916731700269594</v>
      </c>
      <c r="S510" s="218">
        <f>Saldo_relativo_per_capita!S510*Saldo_relativo_per_capita!S$543/1000000</f>
        <v>77.243825242877662</v>
      </c>
      <c r="T510" s="218">
        <f>Saldo_relativo_per_capita!T510*Saldo_relativo_per_capita!T$543/1000000</f>
        <v>7.1322000845445146</v>
      </c>
      <c r="U510" s="218">
        <f>Saldo_relativo_per_capita!U510*Saldo_relativo_per_capita!U$543/1000000</f>
        <v>-0.58445630652613878</v>
      </c>
      <c r="V510" s="218">
        <f>Saldo_relativo_per_capita!V510*Saldo_relativo_per_capita!V$543/1000000</f>
        <v>-0.1948945205723967</v>
      </c>
    </row>
    <row r="511" spans="1:22" s="115" customFormat="1">
      <c r="A511" s="355" t="str">
        <f>IF(B511="","",(IF(ISERROR(MATCH(B511,Tot_res!C:C,0)),"Eliminar!!!","")))</f>
        <v/>
      </c>
      <c r="B511" s="115" t="s">
        <v>461</v>
      </c>
      <c r="C511" s="333" t="str">
        <f>VLOOKUP(B511,Tot_res!C:D,2,FALSE)</f>
        <v>Sucesiones y donaciones, sobreesfuerzo fiscal</v>
      </c>
      <c r="D511" s="218">
        <f>Saldo_relativo_per_capita!D511*Saldo_relativo_per_capita!D$543/1000000</f>
        <v>0</v>
      </c>
      <c r="E511" s="218">
        <f>Saldo_relativo_per_capita!E511*Saldo_relativo_per_capita!E$543/1000000</f>
        <v>-108.41098794726487</v>
      </c>
      <c r="F511" s="218">
        <f>Saldo_relativo_per_capita!F511*Saldo_relativo_per_capita!F$543/1000000</f>
        <v>-30.561813323103337</v>
      </c>
      <c r="G511" s="218">
        <f>Saldo_relativo_per_capita!G511*Saldo_relativo_per_capita!G$543/1000000</f>
        <v>-47.755504237552984</v>
      </c>
      <c r="H511" s="218">
        <f>Saldo_relativo_per_capita!H511*Saldo_relativo_per_capita!H$543/1000000</f>
        <v>-22.613446989997016</v>
      </c>
      <c r="I511" s="218">
        <f>Saldo_relativo_per_capita!I511*Saldo_relativo_per_capita!I$543/1000000</f>
        <v>-1.1326947351268821</v>
      </c>
      <c r="J511" s="218">
        <f>Saldo_relativo_per_capita!J511*Saldo_relativo_per_capita!J$543/1000000</f>
        <v>-33.383509263299217</v>
      </c>
      <c r="K511" s="218">
        <f>Saldo_relativo_per_capita!K511*Saldo_relativo_per_capita!K$543/1000000</f>
        <v>22.744204938049261</v>
      </c>
      <c r="L511" s="218">
        <f>Saldo_relativo_per_capita!L511*Saldo_relativo_per_capita!L$543/1000000</f>
        <v>3.2869847969949353</v>
      </c>
      <c r="M511" s="218">
        <f>Saldo_relativo_per_capita!M511*Saldo_relativo_per_capita!M$543/1000000</f>
        <v>125.99154378570309</v>
      </c>
      <c r="N511" s="218">
        <f>Saldo_relativo_per_capita!N511*Saldo_relativo_per_capita!N$543/1000000</f>
        <v>77.732625400142226</v>
      </c>
      <c r="O511" s="218">
        <f>Saldo_relativo_per_capita!O511*Saldo_relativo_per_capita!O$543/1000000</f>
        <v>-17.293348184066176</v>
      </c>
      <c r="P511" s="218">
        <f>Saldo_relativo_per_capita!P511*Saldo_relativo_per_capita!P$543/1000000</f>
        <v>18.275508087756592</v>
      </c>
      <c r="Q511" s="218">
        <f>Saldo_relativo_per_capita!Q511*Saldo_relativo_per_capita!Q$543/1000000</f>
        <v>-19.433614222852253</v>
      </c>
      <c r="R511" s="218">
        <f>Saldo_relativo_per_capita!R511*Saldo_relativo_per_capita!R$543/1000000</f>
        <v>-2.1710682583583609</v>
      </c>
      <c r="S511" s="218">
        <f>Saldo_relativo_per_capita!S511*Saldo_relativo_per_capita!S$543/1000000</f>
        <v>-48.718650596809844</v>
      </c>
      <c r="T511" s="218">
        <f>Saldo_relativo_per_capita!T511*Saldo_relativo_per_capita!T$543/1000000</f>
        <v>76.272851504069166</v>
      </c>
      <c r="U511" s="218">
        <f>Saldo_relativo_per_capita!U511*Saldo_relativo_per_capita!U$543/1000000</f>
        <v>2.4795051107261039</v>
      </c>
      <c r="V511" s="218">
        <f>Saldo_relativo_per_capita!V511*Saldo_relativo_per_capita!V$543/1000000</f>
        <v>4.6914141349896195</v>
      </c>
    </row>
    <row r="512" spans="1:22" s="115" customFormat="1">
      <c r="A512" s="355" t="str">
        <f>IF(B512="","",(IF(ISERROR(MATCH(B512,Tot_res!C:C,0)),"Eliminar!!!","")))</f>
        <v/>
      </c>
      <c r="B512" s="102" t="s">
        <v>664</v>
      </c>
      <c r="C512" s="333" t="str">
        <f>VLOOKUP(B512,Tot_res!C:D,2,FALSE)</f>
        <v>Patrimonio, sobreesfuerzo fiscal</v>
      </c>
      <c r="D512" s="218">
        <f>Saldo_relativo_per_capita!D512*Saldo_relativo_per_capita!D$543/1000000</f>
        <v>0</v>
      </c>
      <c r="E512" s="218">
        <f>Saldo_relativo_per_capita!E512*Saldo_relativo_per_capita!E$543/1000000</f>
        <v>0.50939750412359286</v>
      </c>
      <c r="F512" s="218">
        <f>Saldo_relativo_per_capita!F512*Saldo_relativo_per_capita!F$543/1000000</f>
        <v>8.0829696990634539E-2</v>
      </c>
      <c r="G512" s="218">
        <f>Saldo_relativo_per_capita!G512*Saldo_relativo_per_capita!G$543/1000000</f>
        <v>6.4418564787360799E-2</v>
      </c>
      <c r="H512" s="218">
        <f>Saldo_relativo_per_capita!H512*Saldo_relativo_per_capita!H$543/1000000</f>
        <v>6.6995251728829142E-2</v>
      </c>
      <c r="I512" s="218">
        <f>Saldo_relativo_per_capita!I512*Saldo_relativo_per_capita!I$543/1000000</f>
        <v>0.12773779960290998</v>
      </c>
      <c r="J512" s="218">
        <f>Saldo_relativo_per_capita!J512*Saldo_relativo_per_capita!J$543/1000000</f>
        <v>3.5705056736062078E-2</v>
      </c>
      <c r="K512" s="218">
        <f>Saldo_relativo_per_capita!K512*Saldo_relativo_per_capita!K$543/1000000</f>
        <v>0.15166643372660799</v>
      </c>
      <c r="L512" s="218">
        <f>Saldo_relativo_per_capita!L512*Saldo_relativo_per_capita!L$543/1000000</f>
        <v>0.12641051623620608</v>
      </c>
      <c r="M512" s="218">
        <f>Saldo_relativo_per_capita!M512*Saldo_relativo_per_capita!M$543/1000000</f>
        <v>0.45586302587815669</v>
      </c>
      <c r="N512" s="218">
        <f>Saldo_relativo_per_capita!N512*Saldo_relativo_per_capita!N$543/1000000</f>
        <v>0.30603458548589901</v>
      </c>
      <c r="O512" s="218">
        <f>Saldo_relativo_per_capita!O512*Saldo_relativo_per_capita!O$543/1000000</f>
        <v>6.6648043957386507E-2</v>
      </c>
      <c r="P512" s="218">
        <f>Saldo_relativo_per_capita!P512*Saldo_relativo_per_capita!P$543/1000000</f>
        <v>0.16678781608620574</v>
      </c>
      <c r="Q512" s="218">
        <f>Saldo_relativo_per_capita!Q512*Saldo_relativo_per_capita!Q$543/1000000</f>
        <v>0.39166703095055605</v>
      </c>
      <c r="R512" s="218">
        <f>Saldo_relativo_per_capita!R512*Saldo_relativo_per_capita!R$543/1000000</f>
        <v>8.8884796309786462E-2</v>
      </c>
      <c r="S512" s="218">
        <f>Saldo_relativo_per_capita!S512*Saldo_relativo_per_capita!S$543/1000000</f>
        <v>3.8872359823935658E-2</v>
      </c>
      <c r="T512" s="218">
        <f>Saldo_relativo_per_capita!T512*Saldo_relativo_per_capita!T$543/1000000</f>
        <v>0.13249143087999671</v>
      </c>
      <c r="U512" s="218">
        <f>Saldo_relativo_per_capita!U512*Saldo_relativo_per_capita!U$543/1000000</f>
        <v>1.938765248433022E-2</v>
      </c>
      <c r="V512" s="218">
        <f>Saldo_relativo_per_capita!V512*Saldo_relativo_per_capita!V$543/1000000</f>
        <v>-2.8297975657884562</v>
      </c>
    </row>
    <row r="513" spans="1:22" s="115" customFormat="1">
      <c r="A513" s="355" t="str">
        <f>IF(B513="","",(IF(ISERROR(MATCH(B513,Tot_res!C:C,0)),"Eliminar!!!","")))</f>
        <v/>
      </c>
      <c r="B513" s="102" t="s">
        <v>1125</v>
      </c>
      <c r="C513" s="333" t="str">
        <f>VLOOKUP(B513,Tot_res!C:D,2,FALSE)</f>
        <v>IH, sobreesfuerzo fiscal</v>
      </c>
      <c r="D513" s="218">
        <f>Saldo_relativo_per_capita!D513*Saldo_relativo_per_capita!D$543/1000000</f>
        <v>0</v>
      </c>
      <c r="E513" s="218">
        <f>Saldo_relativo_per_capita!E513*Saldo_relativo_per_capita!E$543/1000000</f>
        <v>-29.90872593732411</v>
      </c>
      <c r="F513" s="218">
        <f>Saldo_relativo_per_capita!F513*Saldo_relativo_per_capita!F$543/1000000</f>
        <v>22.597434488779548</v>
      </c>
      <c r="G513" s="218">
        <f>Saldo_relativo_per_capita!G513*Saldo_relativo_per_capita!G$543/1000000</f>
        <v>-3.0223161449067004</v>
      </c>
      <c r="H513" s="218">
        <f>Saldo_relativo_per_capita!H513*Saldo_relativo_per_capita!H$543/1000000</f>
        <v>-10.49818677182847</v>
      </c>
      <c r="I513" s="218">
        <f>Saldo_relativo_per_capita!I513*Saldo_relativo_per_capita!I$543/1000000</f>
        <v>39.288295144213961</v>
      </c>
      <c r="J513" s="218">
        <f>Saldo_relativo_per_capita!J513*Saldo_relativo_per_capita!J$543/1000000</f>
        <v>9.7052334109238796</v>
      </c>
      <c r="K513" s="218">
        <f>Saldo_relativo_per_capita!K513*Saldo_relativo_per_capita!K$543/1000000</f>
        <v>-23.320904012106791</v>
      </c>
      <c r="L513" s="218">
        <f>Saldo_relativo_per_capita!L513*Saldo_relativo_per_capita!L$543/1000000</f>
        <v>-26.894145717256375</v>
      </c>
      <c r="M513" s="218">
        <f>Saldo_relativo_per_capita!M513*Saldo_relativo_per_capita!M$543/1000000</f>
        <v>-53.811047271903597</v>
      </c>
      <c r="N513" s="218">
        <f>Saldo_relativo_per_capita!N513*Saldo_relativo_per_capita!N$543/1000000</f>
        <v>-24.57767854792786</v>
      </c>
      <c r="O513" s="218">
        <f>Saldo_relativo_per_capita!O513*Saldo_relativo_per_capita!O$543/1000000</f>
        <v>-16.610571139979985</v>
      </c>
      <c r="P513" s="218">
        <f>Saldo_relativo_per_capita!P513*Saldo_relativo_per_capita!P$543/1000000</f>
        <v>25.193210746891744</v>
      </c>
      <c r="Q513" s="218">
        <f>Saldo_relativo_per_capita!Q513*Saldo_relativo_per_capita!Q$543/1000000</f>
        <v>62.414396352991758</v>
      </c>
      <c r="R513" s="218">
        <f>Saldo_relativo_per_capita!R513*Saldo_relativo_per_capita!R$543/1000000</f>
        <v>-16.378768230244681</v>
      </c>
      <c r="S513" s="218">
        <f>Saldo_relativo_per_capita!S513*Saldo_relativo_per_capita!S$543/1000000</f>
        <v>1.2701171059894552</v>
      </c>
      <c r="T513" s="218">
        <f>Saldo_relativo_per_capita!T513*Saldo_relativo_per_capita!T$543/1000000</f>
        <v>36.13963073391394</v>
      </c>
      <c r="U513" s="218">
        <f>Saldo_relativo_per_capita!U513*Saldo_relativo_per_capita!U$543/1000000</f>
        <v>5.4349616189922036</v>
      </c>
      <c r="V513" s="218">
        <f>Saldo_relativo_per_capita!V513*Saldo_relativo_per_capita!V$543/1000000</f>
        <v>2.9790641707822241</v>
      </c>
    </row>
    <row r="514" spans="1:22" s="115" customFormat="1">
      <c r="A514" s="355" t="str">
        <f>IF(B514="","",(IF(ISERROR(MATCH(B514,Tot_res!C:C,0)),"Eliminar!!!","")))</f>
        <v/>
      </c>
      <c r="B514" s="115" t="s">
        <v>463</v>
      </c>
      <c r="C514" s="333" t="str">
        <f>VLOOKUP(B514,Tot_res!C:D,2,FALSE)</f>
        <v>ITP y AJD, sobreesfuerzo fiscal</v>
      </c>
      <c r="D514" s="218">
        <f>Saldo_relativo_per_capita!D514*Saldo_relativo_per_capita!D$543/1000000</f>
        <v>0</v>
      </c>
      <c r="E514" s="218">
        <f>Saldo_relativo_per_capita!E514*Saldo_relativo_per_capita!E$543/1000000</f>
        <v>-11.028220352215456</v>
      </c>
      <c r="F514" s="218">
        <f>Saldo_relativo_per_capita!F514*Saldo_relativo_per_capita!F$543/1000000</f>
        <v>3.1347770663384535</v>
      </c>
      <c r="G514" s="218">
        <f>Saldo_relativo_per_capita!G514*Saldo_relativo_per_capita!G$543/1000000</f>
        <v>-0.33102129285042298</v>
      </c>
      <c r="H514" s="218">
        <f>Saldo_relativo_per_capita!H514*Saldo_relativo_per_capita!H$543/1000000</f>
        <v>-2.6987802503528675</v>
      </c>
      <c r="I514" s="218">
        <f>Saldo_relativo_per_capita!I514*Saldo_relativo_per_capita!I$543/1000000</f>
        <v>9.9873058415324234</v>
      </c>
      <c r="J514" s="218">
        <f>Saldo_relativo_per_capita!J514*Saldo_relativo_per_capita!J$543/1000000</f>
        <v>-0.61165333924521259</v>
      </c>
      <c r="K514" s="218">
        <f>Saldo_relativo_per_capita!K514*Saldo_relativo_per_capita!K$543/1000000</f>
        <v>-3.6979310347486831</v>
      </c>
      <c r="L514" s="218">
        <f>Saldo_relativo_per_capita!L514*Saldo_relativo_per_capita!L$543/1000000</f>
        <v>-1.2139215110845838</v>
      </c>
      <c r="M514" s="218">
        <f>Saldo_relativo_per_capita!M514*Saldo_relativo_per_capita!M$543/1000000</f>
        <v>-50.914510844756329</v>
      </c>
      <c r="N514" s="218">
        <f>Saldo_relativo_per_capita!N514*Saldo_relativo_per_capita!N$543/1000000</f>
        <v>-11.029690848258387</v>
      </c>
      <c r="O514" s="218">
        <f>Saldo_relativo_per_capita!O514*Saldo_relativo_per_capita!O$543/1000000</f>
        <v>-1.3809458314055244E-2</v>
      </c>
      <c r="P514" s="218">
        <f>Saldo_relativo_per_capita!P514*Saldo_relativo_per_capita!P$543/1000000</f>
        <v>-10.274394495608048</v>
      </c>
      <c r="Q514" s="218">
        <f>Saldo_relativo_per_capita!Q514*Saldo_relativo_per_capita!Q$543/1000000</f>
        <v>12.507651756873095</v>
      </c>
      <c r="R514" s="218">
        <f>Saldo_relativo_per_capita!R514*Saldo_relativo_per_capita!R$543/1000000</f>
        <v>1.5941379172790251</v>
      </c>
      <c r="S514" s="218">
        <f>Saldo_relativo_per_capita!S514*Saldo_relativo_per_capita!S$543/1000000</f>
        <v>10.29506104080615</v>
      </c>
      <c r="T514" s="218">
        <f>Saldo_relativo_per_capita!T514*Saldo_relativo_per_capita!T$543/1000000</f>
        <v>63.275282628335368</v>
      </c>
      <c r="U514" s="218">
        <f>Saldo_relativo_per_capita!U514*Saldo_relativo_per_capita!U$543/1000000</f>
        <v>0.71472347281911319</v>
      </c>
      <c r="V514" s="218">
        <f>Saldo_relativo_per_capita!V514*Saldo_relativo_per_capita!V$543/1000000</f>
        <v>-9.6950062965495398</v>
      </c>
    </row>
    <row r="515" spans="1:22" s="115" customFormat="1">
      <c r="A515" s="355" t="str">
        <f>IF(B515="","",(IF(ISERROR(MATCH(B515,Tot_res!C:C,0)),"Eliminar!!!","")))</f>
        <v/>
      </c>
      <c r="B515" s="115" t="s">
        <v>464</v>
      </c>
      <c r="C515" s="333" t="str">
        <f>VLOOKUP(B515,Tot_res!C:D,2,FALSE)</f>
        <v>IVMH, sobreesfuerzo fiscal</v>
      </c>
      <c r="D515" s="218">
        <f>Saldo_relativo_per_capita!D515*Saldo_relativo_per_capita!D$543/1000000</f>
        <v>0</v>
      </c>
      <c r="E515" s="218">
        <f>Saldo_relativo_per_capita!E515*Saldo_relativo_per_capita!E$543/1000000</f>
        <v>-8.8817652221215138</v>
      </c>
      <c r="F515" s="218">
        <f>Saldo_relativo_per_capita!F515*Saldo_relativo_per_capita!F$543/1000000</f>
        <v>6.130931387492355</v>
      </c>
      <c r="G515" s="218">
        <f>Saldo_relativo_per_capita!G515*Saldo_relativo_per_capita!G$543/1000000</f>
        <v>1.4899844042403012</v>
      </c>
      <c r="H515" s="218">
        <f>Saldo_relativo_per_capita!H515*Saldo_relativo_per_capita!H$543/1000000</f>
        <v>-1.3996540972934413</v>
      </c>
      <c r="I515" s="218">
        <f>Saldo_relativo_per_capita!I515*Saldo_relativo_per_capita!I$543/1000000</f>
        <v>10.664219063317406</v>
      </c>
      <c r="J515" s="218">
        <f>Saldo_relativo_per_capita!J515*Saldo_relativo_per_capita!J$543/1000000</f>
        <v>-1.0951864436929244</v>
      </c>
      <c r="K515" s="218">
        <f>Saldo_relativo_per_capita!K515*Saldo_relativo_per_capita!K$543/1000000</f>
        <v>-8.1937227970830868</v>
      </c>
      <c r="L515" s="218">
        <f>Saldo_relativo_per_capita!L515*Saldo_relativo_per_capita!L$543/1000000</f>
        <v>-6.3123359446424425</v>
      </c>
      <c r="M515" s="218">
        <f>Saldo_relativo_per_capita!M515*Saldo_relativo_per_capita!M$543/1000000</f>
        <v>-16.45161633540987</v>
      </c>
      <c r="N515" s="218">
        <f>Saldo_relativo_per_capita!N515*Saldo_relativo_per_capita!N$543/1000000</f>
        <v>-4.846305031048626</v>
      </c>
      <c r="O515" s="218">
        <f>Saldo_relativo_per_capita!O515*Saldo_relativo_per_capita!O$543/1000000</f>
        <v>-2.8384484744877065</v>
      </c>
      <c r="P515" s="218">
        <f>Saldo_relativo_per_capita!P515*Saldo_relativo_per_capita!P$543/1000000</f>
        <v>6.3845972353764653</v>
      </c>
      <c r="Q515" s="218">
        <f>Saldo_relativo_per_capita!Q515*Saldo_relativo_per_capita!Q$543/1000000</f>
        <v>15.060923580046952</v>
      </c>
      <c r="R515" s="218">
        <f>Saldo_relativo_per_capita!R515*Saldo_relativo_per_capita!R$543/1000000</f>
        <v>-1.4164530790501442</v>
      </c>
      <c r="S515" s="218">
        <f>Saldo_relativo_per_capita!S515*Saldo_relativo_per_capita!S$543/1000000</f>
        <v>-0.38202840501881558</v>
      </c>
      <c r="T515" s="218">
        <f>Saldo_relativo_per_capita!T515*Saldo_relativo_per_capita!T$543/1000000</f>
        <v>9.8038499110621107</v>
      </c>
      <c r="U515" s="218">
        <f>Saldo_relativo_per_capita!U515*Saldo_relativo_per_capita!U$543/1000000</f>
        <v>1.4745847417076063</v>
      </c>
      <c r="V515" s="218">
        <f>Saldo_relativo_per_capita!V515*Saldo_relativo_per_capita!V$543/1000000</f>
        <v>0.80842550660540646</v>
      </c>
    </row>
    <row r="516" spans="1:22" s="115" customFormat="1">
      <c r="A516" s="355" t="str">
        <f>IF(B516="","",(IF(ISERROR(MATCH(B516,Tot_res!C:C,0)),"Eliminar!!!","")))</f>
        <v/>
      </c>
      <c r="B516" s="115" t="s">
        <v>466</v>
      </c>
      <c r="C516" s="333" t="str">
        <f>VLOOKUP(B516,Tot_res!C:D,2,FALSE)</f>
        <v>Tasas sobre el juego, sobreesfuerzo fiscal</v>
      </c>
      <c r="D516" s="218">
        <f>Saldo_relativo_per_capita!D516*Saldo_relativo_per_capita!D$543/1000000</f>
        <v>0</v>
      </c>
      <c r="E516" s="218">
        <f>Saldo_relativo_per_capita!E516*Saldo_relativo_per_capita!E$543/1000000</f>
        <v>-9.7225981608995511</v>
      </c>
      <c r="F516" s="218">
        <f>Saldo_relativo_per_capita!F516*Saldo_relativo_per_capita!F$543/1000000</f>
        <v>-8.3615486565193695</v>
      </c>
      <c r="G516" s="218">
        <f>Saldo_relativo_per_capita!G516*Saldo_relativo_per_capita!G$543/1000000</f>
        <v>-3.7246057680301927</v>
      </c>
      <c r="H516" s="218">
        <f>Saldo_relativo_per_capita!H516*Saldo_relativo_per_capita!H$543/1000000</f>
        <v>7.0598495861028576</v>
      </c>
      <c r="I516" s="218">
        <f>Saldo_relativo_per_capita!I516*Saldo_relativo_per_capita!I$543/1000000</f>
        <v>-17.846446741399816</v>
      </c>
      <c r="J516" s="218">
        <f>Saldo_relativo_per_capita!J516*Saldo_relativo_per_capita!J$543/1000000</f>
        <v>-1.4059255714064958</v>
      </c>
      <c r="K516" s="218">
        <f>Saldo_relativo_per_capita!K516*Saldo_relativo_per_capita!K$543/1000000</f>
        <v>-2.5142575233900821</v>
      </c>
      <c r="L516" s="218">
        <f>Saldo_relativo_per_capita!L516*Saldo_relativo_per_capita!L$543/1000000</f>
        <v>6.149434508392055</v>
      </c>
      <c r="M516" s="218">
        <f>Saldo_relativo_per_capita!M516*Saldo_relativo_per_capita!M$543/1000000</f>
        <v>-44.309136130371954</v>
      </c>
      <c r="N516" s="218">
        <f>Saldo_relativo_per_capita!N516*Saldo_relativo_per_capita!N$543/1000000</f>
        <v>16.519391950181927</v>
      </c>
      <c r="O516" s="218">
        <f>Saldo_relativo_per_capita!O516*Saldo_relativo_per_capita!O$543/1000000</f>
        <v>-5.358290522658967</v>
      </c>
      <c r="P516" s="218">
        <f>Saldo_relativo_per_capita!P516*Saldo_relativo_per_capita!P$543/1000000</f>
        <v>0.41328483262291643</v>
      </c>
      <c r="Q516" s="218">
        <f>Saldo_relativo_per_capita!Q516*Saldo_relativo_per_capita!Q$543/1000000</f>
        <v>82.207276625799906</v>
      </c>
      <c r="R516" s="218">
        <f>Saldo_relativo_per_capita!R516*Saldo_relativo_per_capita!R$543/1000000</f>
        <v>-0.73300905138399075</v>
      </c>
      <c r="S516" s="218">
        <f>Saldo_relativo_per_capita!S516*Saldo_relativo_per_capita!S$543/1000000</f>
        <v>1.7204313187874043</v>
      </c>
      <c r="T516" s="218">
        <f>Saldo_relativo_per_capita!T516*Saldo_relativo_per_capita!T$543/1000000</f>
        <v>-17.423986300150084</v>
      </c>
      <c r="U516" s="218">
        <f>Saldo_relativo_per_capita!U516*Saldo_relativo_per_capita!U$543/1000000</f>
        <v>-1.3595268470518647</v>
      </c>
      <c r="V516" s="218">
        <f>Saldo_relativo_per_capita!V516*Saldo_relativo_per_capita!V$543/1000000</f>
        <v>-1.3103375486247077</v>
      </c>
    </row>
    <row r="517" spans="1:22" s="115" customFormat="1">
      <c r="A517" s="355" t="str">
        <f>IF(B517="","",(IF(ISERROR(MATCH(B517,Tot_res!C:C,0)),"Eliminar!!!","")))</f>
        <v/>
      </c>
      <c r="B517" s="115" t="s">
        <v>467</v>
      </c>
      <c r="C517" s="333" t="str">
        <f>VLOOKUP(B517,Tot_res!C:D,2,FALSE)</f>
        <v>Canarias, sobreesfuerzo fiscal consumo</v>
      </c>
      <c r="D517" s="218">
        <f>Saldo_relativo_per_capita!D517*Saldo_relativo_per_capita!D$543/1000000</f>
        <v>0</v>
      </c>
      <c r="E517" s="218">
        <f>Saldo_relativo_per_capita!E517*Saldo_relativo_per_capita!E$543/1000000</f>
        <v>-308.48826757194439</v>
      </c>
      <c r="F517" s="218">
        <f>Saldo_relativo_per_capita!F517*Saldo_relativo_per_capita!F$543/1000000</f>
        <v>-48.540794508412837</v>
      </c>
      <c r="G517" s="218">
        <f>Saldo_relativo_per_capita!G517*Saldo_relativo_per_capita!G$543/1000000</f>
        <v>-36.050746534341869</v>
      </c>
      <c r="H517" s="218">
        <f>Saldo_relativo_per_capita!H517*Saldo_relativo_per_capita!H$543/1000000</f>
        <v>-40.297264421913383</v>
      </c>
      <c r="I517" s="218">
        <f>Saldo_relativo_per_capita!I517*Saldo_relativo_per_capita!I$543/1000000</f>
        <v>1613.8208779244028</v>
      </c>
      <c r="J517" s="218">
        <f>Saldo_relativo_per_capita!J517*Saldo_relativo_per_capita!J$543/1000000</f>
        <v>-20.574636953061809</v>
      </c>
      <c r="K517" s="218">
        <f>Saldo_relativo_per_capita!K517*Saldo_relativo_per_capita!K$543/1000000</f>
        <v>-90.072671037331261</v>
      </c>
      <c r="L517" s="218">
        <f>Saldo_relativo_per_capita!L517*Saldo_relativo_per_capita!L$543/1000000</f>
        <v>-76.453548857654752</v>
      </c>
      <c r="M517" s="218">
        <f>Saldo_relativo_per_capita!M517*Saldo_relativo_per_capita!M$543/1000000</f>
        <v>-273.63315204709625</v>
      </c>
      <c r="N517" s="218">
        <f>Saldo_relativo_per_capita!N517*Saldo_relativo_per_capita!N$543/1000000</f>
        <v>-184.72039616152946</v>
      </c>
      <c r="O517" s="218">
        <f>Saldo_relativo_per_capita!O517*Saldo_relativo_per_capita!O$543/1000000</f>
        <v>-40.515548769069717</v>
      </c>
      <c r="P517" s="218">
        <f>Saldo_relativo_per_capita!P517*Saldo_relativo_per_capita!P$543/1000000</f>
        <v>-96.961778972773672</v>
      </c>
      <c r="Q517" s="218">
        <f>Saldo_relativo_per_capita!Q517*Saldo_relativo_per_capita!Q$543/1000000</f>
        <v>-228.77873136726186</v>
      </c>
      <c r="R517" s="218">
        <f>Saldo_relativo_per_capita!R517*Saldo_relativo_per_capita!R$543/1000000</f>
        <v>-53.9440775235798</v>
      </c>
      <c r="S517" s="218">
        <f>Saldo_relativo_per_capita!S517*Saldo_relativo_per_capita!S$543/1000000</f>
        <v>-22.709032993207796</v>
      </c>
      <c r="T517" s="218">
        <f>Saldo_relativo_per_capita!T517*Saldo_relativo_per_capita!T$543/1000000</f>
        <v>-74.248880846852899</v>
      </c>
      <c r="U517" s="218">
        <f>Saldo_relativo_per_capita!U517*Saldo_relativo_per_capita!U$543/1000000</f>
        <v>-11.680818320412722</v>
      </c>
      <c r="V517" s="218">
        <f>Saldo_relativo_per_capita!V517*Saldo_relativo_per_capita!V$543/1000000</f>
        <v>-6.1505310379583911</v>
      </c>
    </row>
    <row r="518" spans="1:22" s="115" customFormat="1">
      <c r="A518" s="355" t="str">
        <f>IF(B518="","",(IF(ISERROR(MATCH(B518,Tot_res!C:C,0)),"Eliminar!!!","")))</f>
        <v/>
      </c>
      <c r="B518" s="115" t="s">
        <v>468</v>
      </c>
      <c r="C518" s="333" t="str">
        <f>VLOOKUP(B518,Tot_res!C:D,2,FALSE)</f>
        <v>Ceuta y Melilla, sobreesfuerzo fiscal consumo</v>
      </c>
      <c r="D518" s="218">
        <f>Saldo_relativo_per_capita!D518*Saldo_relativo_per_capita!D$543/1000000</f>
        <v>0</v>
      </c>
      <c r="E518" s="218">
        <f>Saldo_relativo_per_capita!E518*Saldo_relativo_per_capita!E$543/1000000</f>
        <v>-11.560382057822988</v>
      </c>
      <c r="F518" s="218">
        <f>Saldo_relativo_per_capita!F518*Saldo_relativo_per_capita!F$543/1000000</f>
        <v>-1.8343674071145144</v>
      </c>
      <c r="G518" s="218">
        <f>Saldo_relativo_per_capita!G518*Saldo_relativo_per_capita!G$543/1000000</f>
        <v>-1.4619294647698735</v>
      </c>
      <c r="H518" s="218">
        <f>Saldo_relativo_per_capita!H518*Saldo_relativo_per_capita!H$543/1000000</f>
        <v>-1.5204053804264022</v>
      </c>
      <c r="I518" s="218">
        <f>Saldo_relativo_per_capita!I518*Saldo_relativo_per_capita!I$543/1000000</f>
        <v>-2.8989104867639561</v>
      </c>
      <c r="J518" s="218">
        <f>Saldo_relativo_per_capita!J518*Saldo_relativo_per_capita!J$543/1000000</f>
        <v>-0.81029862518717155</v>
      </c>
      <c r="K518" s="218">
        <f>Saldo_relativo_per_capita!K518*Saldo_relativo_per_capita!K$543/1000000</f>
        <v>-3.4419523162831944</v>
      </c>
      <c r="L518" s="218">
        <f>Saldo_relativo_per_capita!L518*Saldo_relativo_per_capita!L$543/1000000</f>
        <v>-2.8687888181380181</v>
      </c>
      <c r="M518" s="218">
        <f>Saldo_relativo_per_capita!M518*Saldo_relativo_per_capita!M$543/1000000</f>
        <v>-10.345458512313625</v>
      </c>
      <c r="N518" s="218">
        <f>Saldo_relativo_per_capita!N518*Saldo_relativo_per_capita!N$543/1000000</f>
        <v>-6.945218032057932</v>
      </c>
      <c r="O518" s="218">
        <f>Saldo_relativo_per_capita!O518*Saldo_relativo_per_capita!O$543/1000000</f>
        <v>-1.5125257688090894</v>
      </c>
      <c r="P518" s="218">
        <f>Saldo_relativo_per_capita!P518*Saldo_relativo_per_capita!P$543/1000000</f>
        <v>-3.7851203842542569</v>
      </c>
      <c r="Q518" s="218">
        <f>Saldo_relativo_per_capita!Q518*Saldo_relativo_per_capita!Q$543/1000000</f>
        <v>-8.8885800982311913</v>
      </c>
      <c r="R518" s="218">
        <f>Saldo_relativo_per_capita!R518*Saldo_relativo_per_capita!R$543/1000000</f>
        <v>-2.0171716511268931</v>
      </c>
      <c r="S518" s="218">
        <f>Saldo_relativo_per_capita!S518*Saldo_relativo_per_capita!S$543/1000000</f>
        <v>-0.88217811712095462</v>
      </c>
      <c r="T518" s="218">
        <f>Saldo_relativo_per_capita!T518*Saldo_relativo_per_capita!T$543/1000000</f>
        <v>-3.0067904690573251</v>
      </c>
      <c r="U518" s="218">
        <f>Saldo_relativo_per_capita!U518*Saldo_relativo_per_capita!U$543/1000000</f>
        <v>-0.43998776615281376</v>
      </c>
      <c r="V518" s="218">
        <f>Saldo_relativo_per_capita!V518*Saldo_relativo_per_capita!V$543/1000000</f>
        <v>64.220065355630197</v>
      </c>
    </row>
    <row r="519" spans="1:22" s="115" customFormat="1">
      <c r="A519" s="355" t="str">
        <f>IF(B519="","",(IF(ISERROR(MATCH(B519,Tot_res!C:C,0)),"Eliminar!!!","")))</f>
        <v/>
      </c>
      <c r="B519" s="115" t="s">
        <v>469</v>
      </c>
      <c r="C519" s="333" t="str">
        <f>VLOOKUP(B519,Tot_res!C:D,2,FALSE)</f>
        <v>Impuesto de matriculación, sobreesfuerzo fiscal</v>
      </c>
      <c r="D519" s="218">
        <f>Saldo_relativo_per_capita!D519*Saldo_relativo_per_capita!D$543/1000000</f>
        <v>0</v>
      </c>
      <c r="E519" s="218">
        <f>Saldo_relativo_per_capita!E519*Saldo_relativo_per_capita!E$543/1000000</f>
        <v>-0.42509537782018941</v>
      </c>
      <c r="F519" s="218">
        <f>Saldo_relativo_per_capita!F519*Saldo_relativo_per_capita!F$543/1000000</f>
        <v>5.2638658504932739E-2</v>
      </c>
      <c r="G519" s="218">
        <f>Saldo_relativo_per_capita!G519*Saldo_relativo_per_capita!G$543/1000000</f>
        <v>3.0111372168374036E-3</v>
      </c>
      <c r="H519" s="218">
        <f>Saldo_relativo_per_capita!H519*Saldo_relativo_per_capita!H$543/1000000</f>
        <v>-9.1635612209208656E-2</v>
      </c>
      <c r="I519" s="218">
        <f>Saldo_relativo_per_capita!I519*Saldo_relativo_per_capita!I$543/1000000</f>
        <v>8.8443598879553095E-2</v>
      </c>
      <c r="J519" s="218">
        <f>Saldo_relativo_per_capita!J519*Saldo_relativo_per_capita!J$543/1000000</f>
        <v>-5.7224573189580234E-2</v>
      </c>
      <c r="K519" s="218">
        <f>Saldo_relativo_per_capita!K519*Saldo_relativo_per_capita!K$543/1000000</f>
        <v>9.9104902332946082E-2</v>
      </c>
      <c r="L519" s="218">
        <f>Saldo_relativo_per_capita!L519*Saldo_relativo_per_capita!L$543/1000000</f>
        <v>8.3277154090629135E-2</v>
      </c>
      <c r="M519" s="218">
        <f>Saldo_relativo_per_capita!M519*Saldo_relativo_per_capita!M$543/1000000</f>
        <v>-0.28897704942894265</v>
      </c>
      <c r="N519" s="218">
        <f>Saldo_relativo_per_capita!N519*Saldo_relativo_per_capita!N$543/1000000</f>
        <v>0.20050658455864856</v>
      </c>
      <c r="O519" s="218">
        <f>Saldo_relativo_per_capita!O519*Saldo_relativo_per_capita!O$543/1000000</f>
        <v>-0.21352563614250525</v>
      </c>
      <c r="P519" s="218">
        <f>Saldo_relativo_per_capita!P519*Saldo_relativo_per_capita!P$543/1000000</f>
        <v>0.10912196990960135</v>
      </c>
      <c r="Q519" s="218">
        <f>Saldo_relativo_per_capita!Q519*Saldo_relativo_per_capita!Q$543/1000000</f>
        <v>0.25202717047034906</v>
      </c>
      <c r="R519" s="218">
        <f>Saldo_relativo_per_capita!R519*Saldo_relativo_per_capita!R$543/1000000</f>
        <v>5.8682249982026542E-2</v>
      </c>
      <c r="S519" s="218">
        <f>Saldo_relativo_per_capita!S519*Saldo_relativo_per_capita!S$543/1000000</f>
        <v>2.5213984346299931E-2</v>
      </c>
      <c r="T519" s="218">
        <f>Saldo_relativo_per_capita!T519*Saldo_relativo_per_capita!T$543/1000000</f>
        <v>8.4951809895439379E-2</v>
      </c>
      <c r="U519" s="218">
        <f>Saldo_relativo_per_capita!U519*Saldo_relativo_per_capita!U$543/1000000</f>
        <v>1.2647643305713996E-2</v>
      </c>
      <c r="V519" s="218">
        <f>Saldo_relativo_per_capita!V519*Saldo_relativo_per_capita!V$543/1000000</f>
        <v>6.8313852974489827E-3</v>
      </c>
    </row>
    <row r="520" spans="1:22" s="115" customFormat="1">
      <c r="A520" s="355" t="str">
        <f>IF(B520="","",(IF(ISERROR(MATCH(B520,Tot_res!C:C,0)),"Eliminar!!!","")))</f>
        <v/>
      </c>
      <c r="B520" s="115" t="s">
        <v>470</v>
      </c>
      <c r="C520" s="333" t="str">
        <f>VLOOKUP(B520,Tot_res!C:D,2,FALSE)</f>
        <v>Impuestos propios de las CCAA</v>
      </c>
      <c r="D520" s="218">
        <f>Saldo_relativo_per_capita!D520*Saldo_relativo_per_capita!D$543/1000000</f>
        <v>0</v>
      </c>
      <c r="E520" s="218">
        <f>Saldo_relativo_per_capita!E520*Saldo_relativo_per_capita!E$543/1000000</f>
        <v>168.53699570831321</v>
      </c>
      <c r="F520" s="218">
        <f>Saldo_relativo_per_capita!F520*Saldo_relativo_per_capita!F$543/1000000</f>
        <v>3.862163835265799</v>
      </c>
      <c r="G520" s="218">
        <f>Saldo_relativo_per_capita!G520*Saldo_relativo_per_capita!G$543/1000000</f>
        <v>-43.277623805786192</v>
      </c>
      <c r="H520" s="218">
        <f>Saldo_relativo_per_capita!H520*Saldo_relativo_per_capita!H$543/1000000</f>
        <v>-54.209593386354662</v>
      </c>
      <c r="I520" s="218">
        <f>Saldo_relativo_per_capita!I520*Saldo_relativo_per_capita!I$543/1000000</f>
        <v>46.897997557058389</v>
      </c>
      <c r="J520" s="218">
        <f>Saldo_relativo_per_capita!J520*Saldo_relativo_per_capita!J$543/1000000</f>
        <v>-4.0029189729750883</v>
      </c>
      <c r="K520" s="218">
        <f>Saldo_relativo_per_capita!K520*Saldo_relativo_per_capita!K$543/1000000</f>
        <v>42.697497186556255</v>
      </c>
      <c r="L520" s="218">
        <f>Saldo_relativo_per_capita!L520*Saldo_relativo_per_capita!L$543/1000000</f>
        <v>297.21213164739527</v>
      </c>
      <c r="M520" s="218">
        <f>Saldo_relativo_per_capita!M520*Saldo_relativo_per_capita!M$543/1000000</f>
        <v>-666.18690928359513</v>
      </c>
      <c r="N520" s="218">
        <f>Saldo_relativo_per_capita!N520*Saldo_relativo_per_capita!N$543/1000000</f>
        <v>-59.480158280712239</v>
      </c>
      <c r="O520" s="218">
        <f>Saldo_relativo_per_capita!O520*Saldo_relativo_per_capita!O$543/1000000</f>
        <v>-97.559321054235099</v>
      </c>
      <c r="P520" s="218">
        <f>Saldo_relativo_per_capita!P520*Saldo_relativo_per_capita!P$543/1000000</f>
        <v>33.948444173506047</v>
      </c>
      <c r="Q520" s="218">
        <f>Saldo_relativo_per_capita!Q520*Saldo_relativo_per_capita!Q$543/1000000</f>
        <v>346.21212839831753</v>
      </c>
      <c r="R520" s="218">
        <f>Saldo_relativo_per_capita!R520*Saldo_relativo_per_capita!R$543/1000000</f>
        <v>13.885659842402843</v>
      </c>
      <c r="S520" s="218">
        <f>Saldo_relativo_per_capita!S520*Saldo_relativo_per_capita!S$543/1000000</f>
        <v>-13.309710855079325</v>
      </c>
      <c r="T520" s="218">
        <f>Saldo_relativo_per_capita!T520*Saldo_relativo_per_capita!T$543/1000000</f>
        <v>-17.85793260097536</v>
      </c>
      <c r="U520" s="218">
        <f>Saldo_relativo_per_capita!U520*Saldo_relativo_per_capita!U$543/1000000</f>
        <v>-7.3106431268527459</v>
      </c>
      <c r="V520" s="218">
        <f>Saldo_relativo_per_capita!V520*Saldo_relativo_per_capita!V$543/1000000</f>
        <v>9.9417930177505802</v>
      </c>
    </row>
    <row r="521" spans="1:22">
      <c r="A521" s="356"/>
      <c r="D521" s="39"/>
      <c r="E521" s="39"/>
      <c r="F521" s="39"/>
      <c r="G521" s="39"/>
      <c r="H521" s="39"/>
      <c r="I521" s="39"/>
      <c r="J521" s="39"/>
      <c r="K521" s="39"/>
      <c r="L521" s="39"/>
      <c r="M521" s="39"/>
      <c r="N521" s="39"/>
      <c r="O521" s="39"/>
      <c r="P521" s="39"/>
      <c r="Q521" s="39"/>
      <c r="R521" s="39"/>
      <c r="S521" s="39"/>
      <c r="T521" s="39"/>
      <c r="U521" s="39"/>
      <c r="V521" s="39"/>
    </row>
    <row r="522" spans="1:22" s="115" customFormat="1">
      <c r="A522" s="356"/>
      <c r="C522" s="137" t="s">
        <v>436</v>
      </c>
      <c r="D522" s="216">
        <f>Saldo_relativo_per_capita!D522*Saldo_relativo_per_capita!D$543/1000000</f>
        <v>0</v>
      </c>
      <c r="E522" s="216">
        <f>Saldo_relativo_per_capita!E522*Saldo_relativo_per_capita!E$543/1000000</f>
        <v>733.5173431935151</v>
      </c>
      <c r="F522" s="216">
        <f>Saldo_relativo_per_capita!F522*Saldo_relativo_per_capita!F$543/1000000</f>
        <v>-33.876442434459413</v>
      </c>
      <c r="G522" s="216">
        <f>Saldo_relativo_per_capita!G522*Saldo_relativo_per_capita!G$543/1000000</f>
        <v>26.582336731919501</v>
      </c>
      <c r="H522" s="216">
        <f>Saldo_relativo_per_capita!H522*Saldo_relativo_per_capita!H$543/1000000</f>
        <v>-164.61920707553978</v>
      </c>
      <c r="I522" s="216">
        <f>Saldo_relativo_per_capita!I522*Saldo_relativo_per_capita!I$543/1000000</f>
        <v>248.39864082697463</v>
      </c>
      <c r="J522" s="216">
        <f>Saldo_relativo_per_capita!J522*Saldo_relativo_per_capita!J$543/1000000</f>
        <v>-22.550075549950133</v>
      </c>
      <c r="K522" s="216">
        <f>Saldo_relativo_per_capita!K522*Saldo_relativo_per_capita!K$543/1000000</f>
        <v>62.347185328045434</v>
      </c>
      <c r="L522" s="216">
        <f>Saldo_relativo_per_capita!L522*Saldo_relativo_per_capita!L$543/1000000</f>
        <v>107.56785456560327</v>
      </c>
      <c r="M522" s="216">
        <f>Saldo_relativo_per_capita!M522*Saldo_relativo_per_capita!M$543/1000000</f>
        <v>-953.37020856974721</v>
      </c>
      <c r="N522" s="216">
        <f>Saldo_relativo_per_capita!N522*Saldo_relativo_per_capita!N$543/1000000</f>
        <v>76.244320751600966</v>
      </c>
      <c r="O522" s="216">
        <f>Saldo_relativo_per_capita!O522*Saldo_relativo_per_capita!O$543/1000000</f>
        <v>170.73689858493648</v>
      </c>
      <c r="P522" s="216">
        <f>Saldo_relativo_per_capita!P522*Saldo_relativo_per_capita!P$543/1000000</f>
        <v>353.03406303667981</v>
      </c>
      <c r="Q522" s="216">
        <f>Saldo_relativo_per_capita!Q522*Saldo_relativo_per_capita!Q$543/1000000</f>
        <v>-752.51338297708537</v>
      </c>
      <c r="R522" s="216">
        <f>Saldo_relativo_per_capita!R522*Saldo_relativo_per_capita!R$543/1000000</f>
        <v>75.968128910018322</v>
      </c>
      <c r="S522" s="216">
        <f>Saldo_relativo_per_capita!S522*Saldo_relativo_per_capita!S$543/1000000</f>
        <v>19.420151271297129</v>
      </c>
      <c r="T522" s="216">
        <f>Saldo_relativo_per_capita!T522*Saldo_relativo_per_capita!T$543/1000000</f>
        <v>2.8396183657475786</v>
      </c>
      <c r="U522" s="216">
        <f>Saldo_relativo_per_capita!U522*Saldo_relativo_per_capita!U$543/1000000</f>
        <v>-11.171321959770387</v>
      </c>
      <c r="V522" s="216">
        <f>Saldo_relativo_per_capita!V522*Saldo_relativo_per_capita!V$543/1000000</f>
        <v>61.444097000217084</v>
      </c>
    </row>
    <row r="523" spans="1:22" s="115" customFormat="1">
      <c r="A523" s="355" t="str">
        <f>IF(B523="","",(IF(ISERROR(MATCH(B523,Tot_res!C:C,0)),"Eliminar!!!","")))</f>
        <v/>
      </c>
      <c r="B523" s="102" t="s">
        <v>625</v>
      </c>
      <c r="C523" s="333" t="str">
        <f>VLOOKUP(B523,Tot_res!C:D,2,FALSE)</f>
        <v>Impuestos y tasas municipales</v>
      </c>
      <c r="D523" s="218">
        <f>Saldo_relativo_per_capita!D523*Saldo_relativo_per_capita!D$543/1000000</f>
        <v>0</v>
      </c>
      <c r="E523" s="218">
        <f>Saldo_relativo_per_capita!E523*Saldo_relativo_per_capita!E$543/1000000</f>
        <v>733.5173431935151</v>
      </c>
      <c r="F523" s="218">
        <f>Saldo_relativo_per_capita!F523*Saldo_relativo_per_capita!F$543/1000000</f>
        <v>-33.876442434459413</v>
      </c>
      <c r="G523" s="218">
        <f>Saldo_relativo_per_capita!G523*Saldo_relativo_per_capita!G$543/1000000</f>
        <v>26.582336731919501</v>
      </c>
      <c r="H523" s="218">
        <f>Saldo_relativo_per_capita!H523*Saldo_relativo_per_capita!H$543/1000000</f>
        <v>-164.61920707553978</v>
      </c>
      <c r="I523" s="218">
        <f>Saldo_relativo_per_capita!I523*Saldo_relativo_per_capita!I$543/1000000</f>
        <v>248.39864082697463</v>
      </c>
      <c r="J523" s="218">
        <f>Saldo_relativo_per_capita!J523*Saldo_relativo_per_capita!J$543/1000000</f>
        <v>-22.550075549950133</v>
      </c>
      <c r="K523" s="218">
        <f>Saldo_relativo_per_capita!K523*Saldo_relativo_per_capita!K$543/1000000</f>
        <v>62.347185328045434</v>
      </c>
      <c r="L523" s="218">
        <f>Saldo_relativo_per_capita!L523*Saldo_relativo_per_capita!L$543/1000000</f>
        <v>107.56785456560327</v>
      </c>
      <c r="M523" s="218">
        <f>Saldo_relativo_per_capita!M523*Saldo_relativo_per_capita!M$543/1000000</f>
        <v>-953.37020856974721</v>
      </c>
      <c r="N523" s="218">
        <f>Saldo_relativo_per_capita!N523*Saldo_relativo_per_capita!N$543/1000000</f>
        <v>76.244320751600966</v>
      </c>
      <c r="O523" s="218">
        <f>Saldo_relativo_per_capita!O523*Saldo_relativo_per_capita!O$543/1000000</f>
        <v>170.73689858493648</v>
      </c>
      <c r="P523" s="218">
        <f>Saldo_relativo_per_capita!P523*Saldo_relativo_per_capita!P$543/1000000</f>
        <v>353.03406303667981</v>
      </c>
      <c r="Q523" s="218">
        <f>Saldo_relativo_per_capita!Q523*Saldo_relativo_per_capita!Q$543/1000000</f>
        <v>-752.51338297708537</v>
      </c>
      <c r="R523" s="218">
        <f>Saldo_relativo_per_capita!R523*Saldo_relativo_per_capita!R$543/1000000</f>
        <v>75.968128910018322</v>
      </c>
      <c r="S523" s="218">
        <f>Saldo_relativo_per_capita!S523*Saldo_relativo_per_capita!S$543/1000000</f>
        <v>19.420151271297129</v>
      </c>
      <c r="T523" s="218">
        <f>Saldo_relativo_per_capita!T523*Saldo_relativo_per_capita!T$543/1000000</f>
        <v>2.8396183657475786</v>
      </c>
      <c r="U523" s="218">
        <f>Saldo_relativo_per_capita!U523*Saldo_relativo_per_capita!U$543/1000000</f>
        <v>-11.171321959770387</v>
      </c>
      <c r="V523" s="218">
        <f>Saldo_relativo_per_capita!V523*Saldo_relativo_per_capita!V$543/1000000</f>
        <v>61.444097000217084</v>
      </c>
    </row>
    <row r="524" spans="1:22" s="115" customFormat="1">
      <c r="A524" s="356"/>
      <c r="D524" s="218"/>
      <c r="E524" s="218"/>
      <c r="F524" s="218"/>
      <c r="G524" s="218"/>
      <c r="H524" s="218"/>
      <c r="I524" s="218"/>
      <c r="J524" s="218"/>
      <c r="K524" s="218"/>
      <c r="L524" s="218"/>
      <c r="M524" s="218"/>
      <c r="N524" s="218"/>
      <c r="O524" s="218"/>
      <c r="P524" s="218"/>
      <c r="Q524" s="218"/>
      <c r="R524" s="218"/>
      <c r="S524" s="218"/>
      <c r="T524" s="218"/>
      <c r="U524" s="218"/>
      <c r="V524" s="218"/>
    </row>
    <row r="525" spans="1:22" s="115" customFormat="1">
      <c r="A525" s="356"/>
      <c r="C525" s="137" t="s">
        <v>94</v>
      </c>
      <c r="D525" s="216">
        <f>Saldo_relativo_per_capita!D525*Saldo_relativo_per_capita!D$543/1000000</f>
        <v>0</v>
      </c>
      <c r="E525" s="216">
        <f>Saldo_relativo_per_capita!E525*Saldo_relativo_per_capita!E$543/1000000</f>
        <v>7643.9481006364922</v>
      </c>
      <c r="F525" s="216">
        <f>Saldo_relativo_per_capita!F525*Saldo_relativo_per_capita!F$543/1000000</f>
        <v>-465.29785348707384</v>
      </c>
      <c r="G525" s="216">
        <f>Saldo_relativo_per_capita!G525*Saldo_relativo_per_capita!G$543/1000000</f>
        <v>-270.11275454555852</v>
      </c>
      <c r="H525" s="216">
        <f>Saldo_relativo_per_capita!H525*Saldo_relativo_per_capita!H$543/1000000</f>
        <v>-352.5740813291207</v>
      </c>
      <c r="I525" s="216">
        <f>Saldo_relativo_per_capita!I525*Saldo_relativo_per_capita!I$543/1000000</f>
        <v>3648.0813183641126</v>
      </c>
      <c r="J525" s="216">
        <f>Saldo_relativo_per_capita!J525*Saldo_relativo_per_capita!J$543/1000000</f>
        <v>-167.51930770329668</v>
      </c>
      <c r="K525" s="216">
        <f>Saldo_relativo_per_capita!K525*Saldo_relativo_per_capita!K$543/1000000</f>
        <v>322.31365379583298</v>
      </c>
      <c r="L525" s="216">
        <f>Saldo_relativo_per_capita!L525*Saldo_relativo_per_capita!L$543/1000000</f>
        <v>1873.8239707084654</v>
      </c>
      <c r="M525" s="216">
        <f>Saldo_relativo_per_capita!M525*Saldo_relativo_per_capita!M$543/1000000</f>
        <v>-6352.7849067549569</v>
      </c>
      <c r="N525" s="216">
        <f>Saldo_relativo_per_capita!N525*Saldo_relativo_per_capita!N$543/1000000</f>
        <v>2489.3862592759501</v>
      </c>
      <c r="O525" s="216">
        <f>Saldo_relativo_per_capita!O525*Saldo_relativo_per_capita!O$543/1000000</f>
        <v>1062.4684270605187</v>
      </c>
      <c r="P525" s="216">
        <f>Saldo_relativo_per_capita!P525*Saldo_relativo_per_capita!P$543/1000000</f>
        <v>1201.0157368245655</v>
      </c>
      <c r="Q525" s="216">
        <f>Saldo_relativo_per_capita!Q525*Saldo_relativo_per_capita!Q$543/1000000</f>
        <v>-10306.457839324192</v>
      </c>
      <c r="R525" s="216">
        <f>Saldo_relativo_per_capita!R525*Saldo_relativo_per_capita!R$543/1000000</f>
        <v>1277.8573466314965</v>
      </c>
      <c r="S525" s="216">
        <f>Saldo_relativo_per_capita!S525*Saldo_relativo_per_capita!S$543/1000000</f>
        <v>-132.3121247533158</v>
      </c>
      <c r="T525" s="216">
        <f>Saldo_relativo_per_capita!T525*Saldo_relativo_per_capita!T$543/1000000</f>
        <v>-1698.2947741451592</v>
      </c>
      <c r="U525" s="216">
        <f>Saldo_relativo_per_capita!U525*Saldo_relativo_per_capita!U$543/1000000</f>
        <v>-34.38582625067464</v>
      </c>
      <c r="V525" s="216">
        <f>Saldo_relativo_per_capita!V525*Saldo_relativo_per_capita!V$543/1000000</f>
        <v>260.84465499592977</v>
      </c>
    </row>
    <row r="526" spans="1:22" s="115" customFormat="1">
      <c r="A526" s="356"/>
      <c r="D526" s="218"/>
      <c r="E526" s="218"/>
      <c r="F526" s="218"/>
      <c r="G526" s="218"/>
      <c r="H526" s="218"/>
      <c r="I526" s="218"/>
      <c r="J526" s="218"/>
      <c r="K526" s="218"/>
      <c r="L526" s="218"/>
      <c r="M526" s="218"/>
      <c r="N526" s="218"/>
      <c r="O526" s="218"/>
      <c r="P526" s="218"/>
      <c r="Q526" s="218"/>
      <c r="R526" s="218"/>
      <c r="S526" s="218"/>
      <c r="T526" s="218"/>
      <c r="U526" s="218"/>
      <c r="V526" s="218"/>
    </row>
    <row r="527" spans="1:22" s="115" customFormat="1">
      <c r="A527" s="356"/>
      <c r="C527" s="154" t="s">
        <v>437</v>
      </c>
      <c r="D527" s="216">
        <f>Saldo_relativo_per_capita!D527*Saldo_relativo_per_capita!D$543/1000000</f>
        <v>0</v>
      </c>
      <c r="E527" s="216">
        <f>Saldo_relativo_per_capita!E527*Saldo_relativo_per_capita!E$543/1000000</f>
        <v>5160.242816334965</v>
      </c>
      <c r="F527" s="216">
        <f>Saldo_relativo_per_capita!F527*Saldo_relativo_per_capita!F$543/1000000</f>
        <v>-289.17297722547312</v>
      </c>
      <c r="G527" s="216">
        <f>Saldo_relativo_per_capita!G527*Saldo_relativo_per_capita!G$543/1000000</f>
        <v>-69.130378990596498</v>
      </c>
      <c r="H527" s="216">
        <f>Saldo_relativo_per_capita!H527*Saldo_relativo_per_capita!H$543/1000000</f>
        <v>-151.05595373882957</v>
      </c>
      <c r="I527" s="216">
        <f>Saldo_relativo_per_capita!I527*Saldo_relativo_per_capita!I$543/1000000</f>
        <v>785.03997660658365</v>
      </c>
      <c r="J527" s="216">
        <f>Saldo_relativo_per_capita!J527*Saldo_relativo_per_capita!J$543/1000000</f>
        <v>-47.281929650512623</v>
      </c>
      <c r="K527" s="216">
        <f>Saldo_relativo_per_capita!K527*Saldo_relativo_per_capita!K$543/1000000</f>
        <v>180.27568325464159</v>
      </c>
      <c r="L527" s="216">
        <f>Saldo_relativo_per_capita!L527*Saldo_relativo_per_capita!L$543/1000000</f>
        <v>834.70627565201482</v>
      </c>
      <c r="M527" s="216">
        <f>Saldo_relativo_per_capita!M527*Saldo_relativo_per_capita!M$543/1000000</f>
        <v>-3463.7709847728229</v>
      </c>
      <c r="N527" s="216">
        <f>Saldo_relativo_per_capita!N527*Saldo_relativo_per_capita!N$543/1000000</f>
        <v>1955.5580041260919</v>
      </c>
      <c r="O527" s="216">
        <f>Saldo_relativo_per_capita!O527*Saldo_relativo_per_capita!O$543/1000000</f>
        <v>730.83251774638939</v>
      </c>
      <c r="P527" s="216">
        <f>Saldo_relativo_per_capita!P527*Saldo_relativo_per_capita!P$543/1000000</f>
        <v>519.31115482022403</v>
      </c>
      <c r="Q527" s="216">
        <f>Saldo_relativo_per_capita!Q527*Saldo_relativo_per_capita!Q$543/1000000</f>
        <v>-4459.3117593985353</v>
      </c>
      <c r="R527" s="216">
        <f>Saldo_relativo_per_capita!R527*Saldo_relativo_per_capita!R$543/1000000</f>
        <v>749.02400576077264</v>
      </c>
      <c r="S527" s="216">
        <f>Saldo_relativo_per_capita!S527*Saldo_relativo_per_capita!S$543/1000000</f>
        <v>-423.91027639947623</v>
      </c>
      <c r="T527" s="216">
        <f>Saldo_relativo_per_capita!T527*Saldo_relativo_per_capita!T$543/1000000</f>
        <v>-2048.0440837399574</v>
      </c>
      <c r="U527" s="216">
        <f>Saldo_relativo_per_capita!U527*Saldo_relativo_per_capita!U$543/1000000</f>
        <v>-48.341370945045639</v>
      </c>
      <c r="V527" s="216">
        <f>Saldo_relativo_per_capita!V527*Saldo_relativo_per_capita!V$543/1000000</f>
        <v>85.029280559537213</v>
      </c>
    </row>
    <row r="528" spans="1:22" s="115" customFormat="1">
      <c r="A528" s="355" t="str">
        <f>IF(B528="","",(IF(ISERROR(MATCH(B528,Tot_res!C:C,0)),"Eliminar!!!","")))</f>
        <v/>
      </c>
      <c r="B528" s="102" t="s">
        <v>624</v>
      </c>
      <c r="C528" s="333" t="str">
        <f>VLOOKUP(B528,Tot_res!C:D,2,FALSE)</f>
        <v>Cotizaciones sociales</v>
      </c>
      <c r="D528" s="218">
        <f>Saldo_relativo_per_capita!D528*Saldo_relativo_per_capita!D$543/1000000</f>
        <v>0</v>
      </c>
      <c r="E528" s="218">
        <f>Saldo_relativo_per_capita!E528*Saldo_relativo_per_capita!E$543/1000000</f>
        <v>5160.242816334965</v>
      </c>
      <c r="F528" s="218">
        <f>Saldo_relativo_per_capita!F528*Saldo_relativo_per_capita!F$543/1000000</f>
        <v>-289.17297722547312</v>
      </c>
      <c r="G528" s="218">
        <f>Saldo_relativo_per_capita!G528*Saldo_relativo_per_capita!G$543/1000000</f>
        <v>-69.130378990596498</v>
      </c>
      <c r="H528" s="218">
        <f>Saldo_relativo_per_capita!H528*Saldo_relativo_per_capita!H$543/1000000</f>
        <v>-151.05595373882957</v>
      </c>
      <c r="I528" s="218">
        <f>Saldo_relativo_per_capita!I528*Saldo_relativo_per_capita!I$543/1000000</f>
        <v>785.03997660658365</v>
      </c>
      <c r="J528" s="218">
        <f>Saldo_relativo_per_capita!J528*Saldo_relativo_per_capita!J$543/1000000</f>
        <v>-47.281929650512623</v>
      </c>
      <c r="K528" s="218">
        <f>Saldo_relativo_per_capita!K528*Saldo_relativo_per_capita!K$543/1000000</f>
        <v>180.27568325464159</v>
      </c>
      <c r="L528" s="218">
        <f>Saldo_relativo_per_capita!L528*Saldo_relativo_per_capita!L$543/1000000</f>
        <v>834.70627565201482</v>
      </c>
      <c r="M528" s="218">
        <f>Saldo_relativo_per_capita!M528*Saldo_relativo_per_capita!M$543/1000000</f>
        <v>-3463.7709847728229</v>
      </c>
      <c r="N528" s="218">
        <f>Saldo_relativo_per_capita!N528*Saldo_relativo_per_capita!N$543/1000000</f>
        <v>1955.5580041260919</v>
      </c>
      <c r="O528" s="218">
        <f>Saldo_relativo_per_capita!O528*Saldo_relativo_per_capita!O$543/1000000</f>
        <v>730.83251774638939</v>
      </c>
      <c r="P528" s="218">
        <f>Saldo_relativo_per_capita!P528*Saldo_relativo_per_capita!P$543/1000000</f>
        <v>519.31115482022403</v>
      </c>
      <c r="Q528" s="218">
        <f>Saldo_relativo_per_capita!Q528*Saldo_relativo_per_capita!Q$543/1000000</f>
        <v>-4459.3117593985353</v>
      </c>
      <c r="R528" s="218">
        <f>Saldo_relativo_per_capita!R528*Saldo_relativo_per_capita!R$543/1000000</f>
        <v>749.02400576077264</v>
      </c>
      <c r="S528" s="218">
        <f>Saldo_relativo_per_capita!S528*Saldo_relativo_per_capita!S$543/1000000</f>
        <v>-423.91027639947623</v>
      </c>
      <c r="T528" s="218">
        <f>Saldo_relativo_per_capita!T528*Saldo_relativo_per_capita!T$543/1000000</f>
        <v>-2048.0440837399574</v>
      </c>
      <c r="U528" s="218">
        <f>Saldo_relativo_per_capita!U528*Saldo_relativo_per_capita!U$543/1000000</f>
        <v>-48.341370945045639</v>
      </c>
      <c r="V528" s="218">
        <f>Saldo_relativo_per_capita!V528*Saldo_relativo_per_capita!V$543/1000000</f>
        <v>85.029280559537213</v>
      </c>
    </row>
    <row r="529" spans="1:22">
      <c r="A529" s="356"/>
      <c r="C529" s="38"/>
      <c r="D529" s="39"/>
      <c r="E529" s="39"/>
      <c r="F529" s="39"/>
      <c r="G529" s="39"/>
      <c r="H529" s="39"/>
      <c r="I529" s="39"/>
      <c r="J529" s="39"/>
      <c r="K529" s="39"/>
      <c r="L529" s="39"/>
      <c r="M529" s="39"/>
      <c r="N529" s="39"/>
      <c r="O529" s="39"/>
      <c r="P529" s="39"/>
      <c r="Q529" s="39"/>
      <c r="R529" s="39"/>
      <c r="S529" s="39"/>
      <c r="T529" s="39"/>
      <c r="U529" s="39"/>
      <c r="V529" s="39"/>
    </row>
    <row r="530" spans="1:22" s="115" customFormat="1">
      <c r="A530" s="356"/>
      <c r="C530" s="154" t="s">
        <v>95</v>
      </c>
      <c r="D530" s="216">
        <f>Saldo_relativo_per_capita!D530*Saldo_relativo_per_capita!D$543/1000000</f>
        <v>0</v>
      </c>
      <c r="E530" s="216">
        <f>Saldo_relativo_per_capita!E530*Saldo_relativo_per_capita!E$543/1000000</f>
        <v>1.5745003055648152</v>
      </c>
      <c r="F530" s="216">
        <f>Saldo_relativo_per_capita!F530*Saldo_relativo_per_capita!F$543/1000000</f>
        <v>-4.2767592704948447E-2</v>
      </c>
      <c r="G530" s="216">
        <f>Saldo_relativo_per_capita!G530*Saldo_relativo_per_capita!G$543/1000000</f>
        <v>-3.1696177995407283E-2</v>
      </c>
      <c r="H530" s="216">
        <f>Saldo_relativo_per_capita!H530*Saldo_relativo_per_capita!H$543/1000000</f>
        <v>-0.20433782366243991</v>
      </c>
      <c r="I530" s="216">
        <f>Saldo_relativo_per_capita!I530*Saldo_relativo_per_capita!I$543/1000000</f>
        <v>0.35096989433597325</v>
      </c>
      <c r="J530" s="216">
        <f>Saldo_relativo_per_capita!J530*Saldo_relativo_per_capita!J$543/1000000</f>
        <v>-5.0936481532790207E-2</v>
      </c>
      <c r="K530" s="216">
        <f>Saldo_relativo_per_capita!K530*Saldo_relativo_per_capita!K$543/1000000</f>
        <v>2.6998971432872384E-2</v>
      </c>
      <c r="L530" s="216">
        <f>Saldo_relativo_per_capita!L530*Saldo_relativo_per_capita!L$543/1000000</f>
        <v>0.31952053755830595</v>
      </c>
      <c r="M530" s="216">
        <f>Saldo_relativo_per_capita!M530*Saldo_relativo_per_capita!M$543/1000000</f>
        <v>-1.255192562227285</v>
      </c>
      <c r="N530" s="216">
        <f>Saldo_relativo_per_capita!N530*Saldo_relativo_per_capita!N$543/1000000</f>
        <v>0.55159668768894798</v>
      </c>
      <c r="O530" s="216">
        <f>Saldo_relativo_per_capita!O530*Saldo_relativo_per_capita!O$543/1000000</f>
        <v>0.26619177758762425</v>
      </c>
      <c r="P530" s="216">
        <f>Saldo_relativo_per_capita!P530*Saldo_relativo_per_capita!P$543/1000000</f>
        <v>0.19765344873269527</v>
      </c>
      <c r="Q530" s="216">
        <f>Saldo_relativo_per_capita!Q530*Saldo_relativo_per_capita!Q$543/1000000</f>
        <v>-1.4298908457581943</v>
      </c>
      <c r="R530" s="216">
        <f>Saldo_relativo_per_capita!R530*Saldo_relativo_per_capita!R$543/1000000</f>
        <v>0.36203285499529192</v>
      </c>
      <c r="S530" s="216">
        <f>Saldo_relativo_per_capita!S530*Saldo_relativo_per_capita!S$543/1000000</f>
        <v>-6.5882235972291203E-2</v>
      </c>
      <c r="T530" s="216">
        <f>Saldo_relativo_per_capita!T530*Saldo_relativo_per_capita!T$543/1000000</f>
        <v>-0.6310595416015552</v>
      </c>
      <c r="U530" s="216">
        <f>Saldo_relativo_per_capita!U530*Saldo_relativo_per_capita!U$543/1000000</f>
        <v>7.1952184238722339E-3</v>
      </c>
      <c r="V530" s="216">
        <f>Saldo_relativo_per_capita!V530*Saldo_relativo_per_capita!V$543/1000000</f>
        <v>5.510356513546192E-2</v>
      </c>
    </row>
    <row r="531" spans="1:22" s="115" customFormat="1">
      <c r="A531" s="355" t="str">
        <f>IF(B531="","",(IF(ISERROR(MATCH(B531,Tot_res!C:C,0)),"Eliminar!!!","")))</f>
        <v/>
      </c>
      <c r="B531" s="102" t="s">
        <v>665</v>
      </c>
      <c r="C531" s="333" t="str">
        <f>VLOOKUP(B531,Tot_res!C:D,2,FALSE)</f>
        <v>Tasas, precios públicos e ingresos procedentes de la venta de bienes y servicios de la AC</v>
      </c>
      <c r="D531" s="218">
        <f>Saldo_relativo_per_capita!D531*Saldo_relativo_per_capita!D$543/1000000</f>
        <v>0</v>
      </c>
      <c r="E531" s="218">
        <f>Saldo_relativo_per_capita!E531*Saldo_relativo_per_capita!E$543/1000000</f>
        <v>0</v>
      </c>
      <c r="F531" s="218">
        <f>Saldo_relativo_per_capita!F531*Saldo_relativo_per_capita!F$543/1000000</f>
        <v>0</v>
      </c>
      <c r="G531" s="218">
        <f>Saldo_relativo_per_capita!G531*Saldo_relativo_per_capita!G$543/1000000</f>
        <v>0</v>
      </c>
      <c r="H531" s="218">
        <f>Saldo_relativo_per_capita!H531*Saldo_relativo_per_capita!H$543/1000000</f>
        <v>0</v>
      </c>
      <c r="I531" s="218">
        <f>Saldo_relativo_per_capita!I531*Saldo_relativo_per_capita!I$543/1000000</f>
        <v>0</v>
      </c>
      <c r="J531" s="218">
        <f>Saldo_relativo_per_capita!J531*Saldo_relativo_per_capita!J$543/1000000</f>
        <v>0</v>
      </c>
      <c r="K531" s="218">
        <f>Saldo_relativo_per_capita!K531*Saldo_relativo_per_capita!K$543/1000000</f>
        <v>0</v>
      </c>
      <c r="L531" s="218">
        <f>Saldo_relativo_per_capita!L531*Saldo_relativo_per_capita!L$543/1000000</f>
        <v>0</v>
      </c>
      <c r="M531" s="218">
        <f>Saldo_relativo_per_capita!M531*Saldo_relativo_per_capita!M$543/1000000</f>
        <v>0</v>
      </c>
      <c r="N531" s="218">
        <f>Saldo_relativo_per_capita!N531*Saldo_relativo_per_capita!N$543/1000000</f>
        <v>0</v>
      </c>
      <c r="O531" s="218">
        <f>Saldo_relativo_per_capita!O531*Saldo_relativo_per_capita!O$543/1000000</f>
        <v>0</v>
      </c>
      <c r="P531" s="218">
        <f>Saldo_relativo_per_capita!P531*Saldo_relativo_per_capita!P$543/1000000</f>
        <v>0</v>
      </c>
      <c r="Q531" s="218">
        <f>Saldo_relativo_per_capita!Q531*Saldo_relativo_per_capita!Q$543/1000000</f>
        <v>0</v>
      </c>
      <c r="R531" s="218">
        <f>Saldo_relativo_per_capita!R531*Saldo_relativo_per_capita!R$543/1000000</f>
        <v>0</v>
      </c>
      <c r="S531" s="218">
        <f>Saldo_relativo_per_capita!S531*Saldo_relativo_per_capita!S$543/1000000</f>
        <v>0</v>
      </c>
      <c r="T531" s="218">
        <f>Saldo_relativo_per_capita!T531*Saldo_relativo_per_capita!T$543/1000000</f>
        <v>0</v>
      </c>
      <c r="U531" s="218">
        <f>Saldo_relativo_per_capita!U531*Saldo_relativo_per_capita!U$543/1000000</f>
        <v>0</v>
      </c>
      <c r="V531" s="218">
        <f>Saldo_relativo_per_capita!V531*Saldo_relativo_per_capita!V$543/1000000</f>
        <v>0</v>
      </c>
    </row>
    <row r="532" spans="1:22" s="115" customFormat="1">
      <c r="A532" s="355" t="str">
        <f>IF(B532="","",(IF(ISERROR(MATCH(B532,Tot_res!C:C,0)),"Eliminar!!!","")))</f>
        <v/>
      </c>
      <c r="B532" s="102" t="s">
        <v>472</v>
      </c>
      <c r="C532" s="333" t="str">
        <f>VLOOKUP(B532,Tot_res!C:D,2,FALSE)</f>
        <v>Tasas, Comisión del Mercado de Telecomunicaciones, CMT</v>
      </c>
      <c r="D532" s="218">
        <f>Saldo_relativo_per_capita!D532*Saldo_relativo_per_capita!D$543/1000000</f>
        <v>0</v>
      </c>
      <c r="E532" s="218">
        <f>Saldo_relativo_per_capita!E532*Saldo_relativo_per_capita!E$543/1000000</f>
        <v>0.28952598344654501</v>
      </c>
      <c r="F532" s="218">
        <f>Saldo_relativo_per_capita!F532*Saldo_relativo_per_capita!F$543/1000000</f>
        <v>-5.0718866872509899E-3</v>
      </c>
      <c r="G532" s="218">
        <f>Saldo_relativo_per_capita!G532*Saldo_relativo_per_capita!G$543/1000000</f>
        <v>-8.9034801295644009E-3</v>
      </c>
      <c r="H532" s="218">
        <f>Saldo_relativo_per_capita!H532*Saldo_relativo_per_capita!H$543/1000000</f>
        <v>-7.7338360520611979E-2</v>
      </c>
      <c r="I532" s="218">
        <f>Saldo_relativo_per_capita!I532*Saldo_relativo_per_capita!I$543/1000000</f>
        <v>1.3040825490515898E-2</v>
      </c>
      <c r="J532" s="218">
        <f>Saldo_relativo_per_capita!J532*Saldo_relativo_per_capita!J$543/1000000</f>
        <v>-6.6768844848464522E-3</v>
      </c>
      <c r="K532" s="218">
        <f>Saldo_relativo_per_capita!K532*Saldo_relativo_per_capita!K$543/1000000</f>
        <v>3.2318562010918553E-2</v>
      </c>
      <c r="L532" s="218">
        <f>Saldo_relativo_per_capita!L532*Saldo_relativo_per_capita!L$543/1000000</f>
        <v>0.10021167123445139</v>
      </c>
      <c r="M532" s="218">
        <f>Saldo_relativo_per_capita!M532*Saldo_relativo_per_capita!M$543/1000000</f>
        <v>-0.27572838485211942</v>
      </c>
      <c r="N532" s="218">
        <f>Saldo_relativo_per_capita!N532*Saldo_relativo_per_capita!N$543/1000000</f>
        <v>0.10802673222587464</v>
      </c>
      <c r="O532" s="218">
        <f>Saldo_relativo_per_capita!O532*Saldo_relativo_per_capita!O$543/1000000</f>
        <v>5.7891712064871093E-2</v>
      </c>
      <c r="P532" s="218">
        <f>Saldo_relativo_per_capita!P532*Saldo_relativo_per_capita!P$543/1000000</f>
        <v>7.3868907427742811E-2</v>
      </c>
      <c r="Q532" s="218">
        <f>Saldo_relativo_per_capita!Q532*Saldo_relativo_per_capita!Q$543/1000000</f>
        <v>-0.27148045312821223</v>
      </c>
      <c r="R532" s="218">
        <f>Saldo_relativo_per_capita!R532*Saldo_relativo_per_capita!R$543/1000000</f>
        <v>9.0854807560480144E-2</v>
      </c>
      <c r="S532" s="218">
        <f>Saldo_relativo_per_capita!S532*Saldo_relativo_per_capita!S$543/1000000</f>
        <v>-1.8742913196390443E-3</v>
      </c>
      <c r="T532" s="218">
        <f>Saldo_relativo_per_capita!T532*Saldo_relativo_per_capita!T$543/1000000</f>
        <v>-0.13514595461507109</v>
      </c>
      <c r="U532" s="218">
        <f>Saldo_relativo_per_capita!U532*Saldo_relativo_per_capita!U$543/1000000</f>
        <v>5.1785920147234569E-3</v>
      </c>
      <c r="V532" s="218">
        <f>Saldo_relativo_per_capita!V532*Saldo_relativo_per_capita!V$543/1000000</f>
        <v>1.1301902261194981E-2</v>
      </c>
    </row>
    <row r="533" spans="1:22" s="115" customFormat="1">
      <c r="A533" s="355" t="str">
        <f>IF(B533="","",(IF(ISERROR(MATCH(B533,Tot_res!C:C,0)),"Eliminar!!!","")))</f>
        <v/>
      </c>
      <c r="B533" s="102" t="s">
        <v>473</v>
      </c>
      <c r="C533" s="333" t="str">
        <f>VLOOKUP(B533,Tot_res!C:D,2,FALSE)</f>
        <v>Tasas, Comisión Nacional de la Energía, CME</v>
      </c>
      <c r="D533" s="218">
        <f>Saldo_relativo_per_capita!D533*Saldo_relativo_per_capita!D$543/1000000</f>
        <v>0</v>
      </c>
      <c r="E533" s="218">
        <f>Saldo_relativo_per_capita!E533*Saldo_relativo_per_capita!E$543/1000000</f>
        <v>0.42801749059636623</v>
      </c>
      <c r="F533" s="218">
        <f>Saldo_relativo_per_capita!F533*Saldo_relativo_per_capita!F$543/1000000</f>
        <v>-1.3768546574445966E-2</v>
      </c>
      <c r="G533" s="218">
        <f>Saldo_relativo_per_capita!G533*Saldo_relativo_per_capita!G$543/1000000</f>
        <v>-4.6900752352555227E-3</v>
      </c>
      <c r="H533" s="218">
        <f>Saldo_relativo_per_capita!H533*Saldo_relativo_per_capita!H$543/1000000</f>
        <v>-6.1365677626924318E-2</v>
      </c>
      <c r="I533" s="218">
        <f>Saldo_relativo_per_capita!I533*Saldo_relativo_per_capita!I$543/1000000</f>
        <v>0.15664190933609762</v>
      </c>
      <c r="J533" s="218">
        <f>Saldo_relativo_per_capita!J533*Saldo_relativo_per_capita!J$543/1000000</f>
        <v>-2.8394001779831389E-2</v>
      </c>
      <c r="K533" s="218">
        <f>Saldo_relativo_per_capita!K533*Saldo_relativo_per_capita!K$543/1000000</f>
        <v>-4.2808541265366575E-2</v>
      </c>
      <c r="L533" s="218">
        <f>Saldo_relativo_per_capita!L533*Saldo_relativo_per_capita!L$543/1000000</f>
        <v>2.0317809264418816E-2</v>
      </c>
      <c r="M533" s="218">
        <f>Saldo_relativo_per_capita!M533*Saldo_relativo_per_capita!M$543/1000000</f>
        <v>-0.31893653193819027</v>
      </c>
      <c r="N533" s="218">
        <f>Saldo_relativo_per_capita!N533*Saldo_relativo_per_capita!N$543/1000000</f>
        <v>0.19038681642673447</v>
      </c>
      <c r="O533" s="218">
        <f>Saldo_relativo_per_capita!O533*Saldo_relativo_per_capita!O$543/1000000</f>
        <v>6.6787631110686307E-2</v>
      </c>
      <c r="P533" s="218">
        <f>Saldo_relativo_per_capita!P533*Saldo_relativo_per_capita!P$543/1000000</f>
        <v>2.3493399920428797E-2</v>
      </c>
      <c r="Q533" s="218">
        <f>Saldo_relativo_per_capita!Q533*Saldo_relativo_per_capita!Q$543/1000000</f>
        <v>-0.4178624644097253</v>
      </c>
      <c r="R533" s="218">
        <f>Saldo_relativo_per_capita!R533*Saldo_relativo_per_capita!R$543/1000000</f>
        <v>8.3781097476266539E-2</v>
      </c>
      <c r="S533" s="218">
        <f>Saldo_relativo_per_capita!S533*Saldo_relativo_per_capita!S$543/1000000</f>
        <v>-2.1770797577801024E-2</v>
      </c>
      <c r="T533" s="218">
        <f>Saldo_relativo_per_capita!T533*Saldo_relativo_per_capita!T$543/1000000</f>
        <v>-8.5091134392239684E-2</v>
      </c>
      <c r="U533" s="218">
        <f>Saldo_relativo_per_capita!U533*Saldo_relativo_per_capita!U$543/1000000</f>
        <v>4.568738787820177E-4</v>
      </c>
      <c r="V533" s="218">
        <f>Saldo_relativo_per_capita!V533*Saldo_relativo_per_capita!V$543/1000000</f>
        <v>2.4804742790005878E-2</v>
      </c>
    </row>
    <row r="534" spans="1:22" s="115" customFormat="1">
      <c r="A534" s="355" t="str">
        <f>IF(B534="","",(IF(ISERROR(MATCH(B534,Tot_res!C:C,0)),"Eliminar!!!","")))</f>
        <v/>
      </c>
      <c r="B534" s="102" t="s">
        <v>475</v>
      </c>
      <c r="C534" s="333" t="str">
        <f>VLOOKUP(B534,Tot_res!C:D,2,FALSE)</f>
        <v>Tasas, CNMV</v>
      </c>
      <c r="D534" s="218">
        <f>Saldo_relativo_per_capita!D534*Saldo_relativo_per_capita!D$543/1000000</f>
        <v>0</v>
      </c>
      <c r="E534" s="218">
        <f>Saldo_relativo_per_capita!E534*Saldo_relativo_per_capita!E$543/1000000</f>
        <v>0.85695683152170354</v>
      </c>
      <c r="F534" s="218">
        <f>Saldo_relativo_per_capita!F534*Saldo_relativo_per_capita!F$543/1000000</f>
        <v>-2.3927159443355786E-2</v>
      </c>
      <c r="G534" s="218">
        <f>Saldo_relativo_per_capita!G534*Saldo_relativo_per_capita!G$543/1000000</f>
        <v>-1.8102622630508731E-2</v>
      </c>
      <c r="H534" s="218">
        <f>Saldo_relativo_per_capita!H534*Saldo_relativo_per_capita!H$543/1000000</f>
        <v>-6.5633785514885593E-2</v>
      </c>
      <c r="I534" s="218">
        <f>Saldo_relativo_per_capita!I534*Saldo_relativo_per_capita!I$543/1000000</f>
        <v>0.18128715950927007</v>
      </c>
      <c r="J534" s="218">
        <f>Saldo_relativo_per_capita!J534*Saldo_relativo_per_capita!J$543/1000000</f>
        <v>-1.586559526813671E-2</v>
      </c>
      <c r="K534" s="218">
        <f>Saldo_relativo_per_capita!K534*Saldo_relativo_per_capita!K$543/1000000</f>
        <v>3.7488950687144196E-2</v>
      </c>
      <c r="L534" s="218">
        <f>Saldo_relativo_per_capita!L534*Saldo_relativo_per_capita!L$543/1000000</f>
        <v>0.19899105705947609</v>
      </c>
      <c r="M534" s="218">
        <f>Saldo_relativo_per_capita!M534*Saldo_relativo_per_capita!M$543/1000000</f>
        <v>-0.66052764543717613</v>
      </c>
      <c r="N534" s="218">
        <f>Saldo_relativo_per_capita!N534*Saldo_relativo_per_capita!N$543/1000000</f>
        <v>0.25318313903627904</v>
      </c>
      <c r="O534" s="218">
        <f>Saldo_relativo_per_capita!O534*Saldo_relativo_per_capita!O$543/1000000</f>
        <v>0.14151243441203737</v>
      </c>
      <c r="P534" s="218">
        <f>Saldo_relativo_per_capita!P534*Saldo_relativo_per_capita!P$543/1000000</f>
        <v>0.10029114138437367</v>
      </c>
      <c r="Q534" s="218">
        <f>Saldo_relativo_per_capita!Q534*Saldo_relativo_per_capita!Q$543/1000000</f>
        <v>-0.74054792822001059</v>
      </c>
      <c r="R534" s="218">
        <f>Saldo_relativo_per_capita!R534*Saldo_relativo_per_capita!R$543/1000000</f>
        <v>0.18739694995843478</v>
      </c>
      <c r="S534" s="218">
        <f>Saldo_relativo_per_capita!S534*Saldo_relativo_per_capita!S$543/1000000</f>
        <v>-4.223714707484319E-2</v>
      </c>
      <c r="T534" s="218">
        <f>Saldo_relativo_per_capita!T534*Saldo_relativo_per_capita!T$543/1000000</f>
        <v>-0.41082245259439237</v>
      </c>
      <c r="U534" s="218">
        <f>Saldo_relativo_per_capita!U534*Saldo_relativo_per_capita!U$543/1000000</f>
        <v>1.5597525303458367E-3</v>
      </c>
      <c r="V534" s="218">
        <f>Saldo_relativo_per_capita!V534*Saldo_relativo_per_capita!V$543/1000000</f>
        <v>1.8996920084247585E-2</v>
      </c>
    </row>
    <row r="535" spans="1:22" s="115" customFormat="1">
      <c r="A535" s="355" t="str">
        <f>IF(B535="","",(IF(ISERROR(MATCH(B535,Tot_res!C:C,0)),"Eliminar!!!","")))</f>
        <v/>
      </c>
      <c r="B535" s="102" t="s">
        <v>471</v>
      </c>
      <c r="C535" s="333" t="str">
        <f>VLOOKUP(B535,Tot_res!C:D,2,FALSE)</f>
        <v>Ingresos financieros, patrimoniales y similares de la Administración Central</v>
      </c>
      <c r="D535" s="218">
        <f>Saldo_relativo_per_capita!D535*Saldo_relativo_per_capita!D$543/1000000</f>
        <v>0</v>
      </c>
      <c r="E535" s="218">
        <f>Saldo_relativo_per_capita!E535*Saldo_relativo_per_capita!E$543/1000000</f>
        <v>0</v>
      </c>
      <c r="F535" s="218">
        <f>Saldo_relativo_per_capita!F535*Saldo_relativo_per_capita!F$543/1000000</f>
        <v>0</v>
      </c>
      <c r="G535" s="218">
        <f>Saldo_relativo_per_capita!G535*Saldo_relativo_per_capita!G$543/1000000</f>
        <v>0</v>
      </c>
      <c r="H535" s="218">
        <f>Saldo_relativo_per_capita!H535*Saldo_relativo_per_capita!H$543/1000000</f>
        <v>0</v>
      </c>
      <c r="I535" s="218">
        <f>Saldo_relativo_per_capita!I535*Saldo_relativo_per_capita!I$543/1000000</f>
        <v>0</v>
      </c>
      <c r="J535" s="218">
        <f>Saldo_relativo_per_capita!J535*Saldo_relativo_per_capita!J$543/1000000</f>
        <v>0</v>
      </c>
      <c r="K535" s="218">
        <f>Saldo_relativo_per_capita!K535*Saldo_relativo_per_capita!K$543/1000000</f>
        <v>0</v>
      </c>
      <c r="L535" s="218">
        <f>Saldo_relativo_per_capita!L535*Saldo_relativo_per_capita!L$543/1000000</f>
        <v>0</v>
      </c>
      <c r="M535" s="218">
        <f>Saldo_relativo_per_capita!M535*Saldo_relativo_per_capita!M$543/1000000</f>
        <v>0</v>
      </c>
      <c r="N535" s="218">
        <f>Saldo_relativo_per_capita!N535*Saldo_relativo_per_capita!N$543/1000000</f>
        <v>0</v>
      </c>
      <c r="O535" s="218">
        <f>Saldo_relativo_per_capita!O535*Saldo_relativo_per_capita!O$543/1000000</f>
        <v>0</v>
      </c>
      <c r="P535" s="218">
        <f>Saldo_relativo_per_capita!P535*Saldo_relativo_per_capita!P$543/1000000</f>
        <v>0</v>
      </c>
      <c r="Q535" s="218">
        <f>Saldo_relativo_per_capita!Q535*Saldo_relativo_per_capita!Q$543/1000000</f>
        <v>0</v>
      </c>
      <c r="R535" s="218">
        <f>Saldo_relativo_per_capita!R535*Saldo_relativo_per_capita!R$543/1000000</f>
        <v>0</v>
      </c>
      <c r="S535" s="218">
        <f>Saldo_relativo_per_capita!S535*Saldo_relativo_per_capita!S$543/1000000</f>
        <v>0</v>
      </c>
      <c r="T535" s="218">
        <f>Saldo_relativo_per_capita!T535*Saldo_relativo_per_capita!T$543/1000000</f>
        <v>0</v>
      </c>
      <c r="U535" s="218">
        <f>Saldo_relativo_per_capita!U535*Saldo_relativo_per_capita!U$543/1000000</f>
        <v>0</v>
      </c>
      <c r="V535" s="218">
        <f>Saldo_relativo_per_capita!V535*Saldo_relativo_per_capita!V$543/1000000</f>
        <v>0</v>
      </c>
    </row>
    <row r="536" spans="1:22" s="115" customFormat="1">
      <c r="A536" s="355" t="str">
        <f>IF(B536="","",(IF(ISERROR(MATCH(B536,Tot_res!C:C,0)),"Eliminar!!!","")))</f>
        <v/>
      </c>
      <c r="B536" s="102" t="s">
        <v>476</v>
      </c>
      <c r="C536" s="333" t="str">
        <f>VLOOKUP(B536,Tot_res!C:D,2,FALSE)</f>
        <v>Ingresos del Banco de España, BdE</v>
      </c>
      <c r="D536" s="218">
        <f>Saldo_relativo_per_capita!D536*Saldo_relativo_per_capita!D$543/1000000</f>
        <v>0</v>
      </c>
      <c r="E536" s="218">
        <f>Saldo_relativo_per_capita!E536*Saldo_relativo_per_capita!E$543/1000000</f>
        <v>0</v>
      </c>
      <c r="F536" s="218">
        <f>Saldo_relativo_per_capita!F536*Saldo_relativo_per_capita!F$543/1000000</f>
        <v>0</v>
      </c>
      <c r="G536" s="218">
        <f>Saldo_relativo_per_capita!G536*Saldo_relativo_per_capita!G$543/1000000</f>
        <v>0</v>
      </c>
      <c r="H536" s="218">
        <f>Saldo_relativo_per_capita!H536*Saldo_relativo_per_capita!H$543/1000000</f>
        <v>0</v>
      </c>
      <c r="I536" s="218">
        <f>Saldo_relativo_per_capita!I536*Saldo_relativo_per_capita!I$543/1000000</f>
        <v>0</v>
      </c>
      <c r="J536" s="218">
        <f>Saldo_relativo_per_capita!J536*Saldo_relativo_per_capita!J$543/1000000</f>
        <v>0</v>
      </c>
      <c r="K536" s="218">
        <f>Saldo_relativo_per_capita!K536*Saldo_relativo_per_capita!K$543/1000000</f>
        <v>0</v>
      </c>
      <c r="L536" s="218">
        <f>Saldo_relativo_per_capita!L536*Saldo_relativo_per_capita!L$543/1000000</f>
        <v>0</v>
      </c>
      <c r="M536" s="218">
        <f>Saldo_relativo_per_capita!M536*Saldo_relativo_per_capita!M$543/1000000</f>
        <v>0</v>
      </c>
      <c r="N536" s="218">
        <f>Saldo_relativo_per_capita!N536*Saldo_relativo_per_capita!N$543/1000000</f>
        <v>0</v>
      </c>
      <c r="O536" s="218">
        <f>Saldo_relativo_per_capita!O536*Saldo_relativo_per_capita!O$543/1000000</f>
        <v>0</v>
      </c>
      <c r="P536" s="218">
        <f>Saldo_relativo_per_capita!P536*Saldo_relativo_per_capita!P$543/1000000</f>
        <v>0</v>
      </c>
      <c r="Q536" s="218">
        <f>Saldo_relativo_per_capita!Q536*Saldo_relativo_per_capita!Q$543/1000000</f>
        <v>0</v>
      </c>
      <c r="R536" s="218">
        <f>Saldo_relativo_per_capita!R536*Saldo_relativo_per_capita!R$543/1000000</f>
        <v>0</v>
      </c>
      <c r="S536" s="218">
        <f>Saldo_relativo_per_capita!S536*Saldo_relativo_per_capita!S$543/1000000</f>
        <v>0</v>
      </c>
      <c r="T536" s="218">
        <f>Saldo_relativo_per_capita!T536*Saldo_relativo_per_capita!T$543/1000000</f>
        <v>0</v>
      </c>
      <c r="U536" s="218">
        <f>Saldo_relativo_per_capita!U536*Saldo_relativo_per_capita!U$543/1000000</f>
        <v>0</v>
      </c>
      <c r="V536" s="218">
        <f>Saldo_relativo_per_capita!V536*Saldo_relativo_per_capita!V$543/1000000</f>
        <v>0</v>
      </c>
    </row>
    <row r="537" spans="1:22">
      <c r="A537" s="353" t="s">
        <v>1114</v>
      </c>
      <c r="C537" s="30"/>
      <c r="D537" s="39"/>
      <c r="E537" s="39"/>
      <c r="F537" s="39"/>
      <c r="G537" s="39"/>
      <c r="H537" s="39"/>
      <c r="I537" s="39"/>
      <c r="J537" s="39"/>
      <c r="K537" s="39"/>
      <c r="L537" s="39"/>
      <c r="M537" s="39"/>
      <c r="N537" s="39"/>
      <c r="O537" s="39"/>
      <c r="P537" s="39"/>
      <c r="Q537" s="39"/>
      <c r="R537" s="39"/>
      <c r="S537" s="39"/>
      <c r="T537" s="39"/>
      <c r="U537" s="39"/>
      <c r="V537" s="39"/>
    </row>
    <row r="538" spans="1:22" s="115" customFormat="1">
      <c r="A538" s="353" t="str">
        <f>IF(B538="","",(IF(ISERROR(MATCH(B538,Tot_res!C:C,0)),"Eliminar!!!","")))</f>
        <v/>
      </c>
      <c r="D538" s="218"/>
      <c r="E538" s="218"/>
      <c r="F538" s="218"/>
      <c r="G538" s="218"/>
      <c r="H538" s="218"/>
      <c r="I538" s="218"/>
      <c r="J538" s="218"/>
      <c r="K538" s="218"/>
      <c r="L538" s="218"/>
      <c r="M538" s="218"/>
      <c r="N538" s="218"/>
      <c r="O538" s="218"/>
      <c r="P538" s="218"/>
      <c r="Q538" s="218"/>
      <c r="R538" s="218"/>
      <c r="S538" s="218"/>
      <c r="T538" s="218"/>
      <c r="U538" s="218"/>
      <c r="V538" s="218"/>
    </row>
    <row r="539" spans="1:22" s="115" customFormat="1">
      <c r="A539" s="353" t="str">
        <f>IF(B539="","",(IF(ISERROR(MATCH(B539,Tot_res!C:C,0)),"Eliminar!!!","")))</f>
        <v/>
      </c>
      <c r="C539" s="137" t="s">
        <v>96</v>
      </c>
      <c r="D539" s="216">
        <f>Saldo_relativo_per_capita!D539*Saldo_relativo_per_capita!D$543/1000000</f>
        <v>0</v>
      </c>
      <c r="E539" s="216">
        <f>Saldo_relativo_per_capita!E539*Saldo_relativo_per_capita!E$543/1000000</f>
        <v>12805.765417277025</v>
      </c>
      <c r="F539" s="216">
        <f>Saldo_relativo_per_capita!F539*Saldo_relativo_per_capita!F$543/1000000</f>
        <v>-754.51359830525166</v>
      </c>
      <c r="G539" s="216">
        <f>Saldo_relativo_per_capita!G539*Saldo_relativo_per_capita!G$543/1000000</f>
        <v>-339.27482971414884</v>
      </c>
      <c r="H539" s="216">
        <f>Saldo_relativo_per_capita!H539*Saldo_relativo_per_capita!H$543/1000000</f>
        <v>-503.83437289161276</v>
      </c>
      <c r="I539" s="216">
        <f>Saldo_relativo_per_capita!I539*Saldo_relativo_per_capita!I$543/1000000</f>
        <v>4433.472264865035</v>
      </c>
      <c r="J539" s="216">
        <f>Saldo_relativo_per_capita!J539*Saldo_relativo_per_capita!J$543/1000000</f>
        <v>-214.85217383534098</v>
      </c>
      <c r="K539" s="216">
        <f>Saldo_relativo_per_capita!K539*Saldo_relativo_per_capita!K$543/1000000</f>
        <v>502.61633602191063</v>
      </c>
      <c r="L539" s="216">
        <f>Saldo_relativo_per_capita!L539*Saldo_relativo_per_capita!L$543/1000000</f>
        <v>2708.8497668980394</v>
      </c>
      <c r="M539" s="216">
        <f>Saldo_relativo_per_capita!M539*Saldo_relativo_per_capita!M$543/1000000</f>
        <v>-9817.8110840900081</v>
      </c>
      <c r="N539" s="216">
        <f>Saldo_relativo_per_capita!N539*Saldo_relativo_per_capita!N$543/1000000</f>
        <v>4445.495860089738</v>
      </c>
      <c r="O539" s="216">
        <f>Saldo_relativo_per_capita!O539*Saldo_relativo_per_capita!O$543/1000000</f>
        <v>1793.5671365844969</v>
      </c>
      <c r="P539" s="216">
        <f>Saldo_relativo_per_capita!P539*Saldo_relativo_per_capita!P$543/1000000</f>
        <v>1720.5245450935197</v>
      </c>
      <c r="Q539" s="216">
        <f>Saldo_relativo_per_capita!Q539*Saldo_relativo_per_capita!Q$543/1000000</f>
        <v>-14767.199489568486</v>
      </c>
      <c r="R539" s="216">
        <f>Saldo_relativo_per_capita!R539*Saldo_relativo_per_capita!R$543/1000000</f>
        <v>2027.2433852472648</v>
      </c>
      <c r="S539" s="216">
        <f>Saldo_relativo_per_capita!S539*Saldo_relativo_per_capita!S$543/1000000</f>
        <v>-556.28828338876258</v>
      </c>
      <c r="T539" s="216">
        <f>Saldo_relativo_per_capita!T539*Saldo_relativo_per_capita!T$543/1000000</f>
        <v>-3746.9699174267189</v>
      </c>
      <c r="U539" s="216">
        <f>Saldo_relativo_per_capita!U539*Saldo_relativo_per_capita!U$543/1000000</f>
        <v>-82.720001977295837</v>
      </c>
      <c r="V539" s="216">
        <f>Saldo_relativo_per_capita!V539*Saldo_relativo_per_capita!V$543/1000000</f>
        <v>345.92903912060245</v>
      </c>
    </row>
    <row r="540" spans="1:22" s="115" customFormat="1">
      <c r="A540" s="353" t="str">
        <f>IF(B540="","",(IF(ISERROR(MATCH(B540,Tot_res!C:C,0)),"Eliminar!!!","")))</f>
        <v/>
      </c>
      <c r="C540" s="137" t="s">
        <v>97</v>
      </c>
      <c r="D540" s="216">
        <f>Saldo_relativo_per_capita!D540*Saldo_relativo_per_capita!D$543/1000000</f>
        <v>0</v>
      </c>
      <c r="E540" s="216">
        <f>Saldo_relativo_per_capita!E540*Saldo_relativo_per_capita!E$543/1000000</f>
        <v>13424.4968818868</v>
      </c>
      <c r="F540" s="216">
        <f>Saldo_relativo_per_capita!F540*Saldo_relativo_per_capita!F$543/1000000</f>
        <v>-657.03861980191061</v>
      </c>
      <c r="G540" s="216">
        <f>Saldo_relativo_per_capita!G540*Saldo_relativo_per_capita!G$543/1000000</f>
        <v>-169.92372300650257</v>
      </c>
      <c r="H540" s="216">
        <f>Saldo_relativo_per_capita!H540*Saldo_relativo_per_capita!H$543/1000000</f>
        <v>-345.11845979774392</v>
      </c>
      <c r="I540" s="216">
        <f>Saldo_relativo_per_capita!I540*Saldo_relativo_per_capita!I$543/1000000</f>
        <v>2775.7492859484937</v>
      </c>
      <c r="J540" s="216">
        <f>Saldo_relativo_per_capita!J540*Saldo_relativo_per_capita!J$543/1000000</f>
        <v>-143.56694656325598</v>
      </c>
      <c r="K540" s="216">
        <f>Saldo_relativo_per_capita!K540*Saldo_relativo_per_capita!K$543/1000000</f>
        <v>618.91578558257913</v>
      </c>
      <c r="L540" s="216">
        <f>Saldo_relativo_per_capita!L540*Saldo_relativo_per_capita!L$543/1000000</f>
        <v>2578.6392180978246</v>
      </c>
      <c r="M540" s="216">
        <f>Saldo_relativo_per_capita!M540*Saldo_relativo_per_capita!M$543/1000000</f>
        <v>-8585.6753203101907</v>
      </c>
      <c r="N540" s="216">
        <f>Saldo_relativo_per_capita!N540*Saldo_relativo_per_capita!N$543/1000000</f>
        <v>4783.9358026730588</v>
      </c>
      <c r="O540" s="216">
        <f>Saldo_relativo_per_capita!O540*Saldo_relativo_per_capita!O$543/1000000</f>
        <v>2010.1919425410922</v>
      </c>
      <c r="P540" s="216">
        <f>Saldo_relativo_per_capita!P540*Saldo_relativo_per_capita!P$543/1000000</f>
        <v>1825.752587934033</v>
      </c>
      <c r="Q540" s="216">
        <f>Saldo_relativo_per_capita!Q540*Saldo_relativo_per_capita!Q$543/1000000</f>
        <v>-15051.226777137161</v>
      </c>
      <c r="R540" s="216">
        <f>Saldo_relativo_per_capita!R540*Saldo_relativo_per_capita!R$543/1000000</f>
        <v>2137.1545870967266</v>
      </c>
      <c r="S540" s="216">
        <f>Saldo_relativo_per_capita!S540*Saldo_relativo_per_capita!S$543/1000000</f>
        <v>-831.76547929547701</v>
      </c>
      <c r="T540" s="216">
        <f>Saldo_relativo_per_capita!T540*Saldo_relativo_per_capita!T$543/1000000</f>
        <v>-4577.1404861728697</v>
      </c>
      <c r="U540" s="216">
        <f>Saldo_relativo_per_capita!U540*Saldo_relativo_per_capita!U$543/1000000</f>
        <v>-67.182196680745704</v>
      </c>
      <c r="V540" s="216">
        <f>Saldo_relativo_per_capita!V540*Saldo_relativo_per_capita!V$543/1000000</f>
        <v>273.80191700520891</v>
      </c>
    </row>
    <row r="541" spans="1:22" s="115" customFormat="1">
      <c r="A541" s="353"/>
      <c r="D541" s="216"/>
      <c r="E541" s="216"/>
      <c r="F541" s="216"/>
      <c r="G541" s="216"/>
      <c r="H541" s="216"/>
      <c r="I541" s="216"/>
      <c r="J541" s="216"/>
      <c r="K541" s="216"/>
      <c r="L541" s="216"/>
      <c r="M541" s="216"/>
      <c r="N541" s="216"/>
      <c r="O541" s="216"/>
      <c r="P541" s="216"/>
      <c r="Q541" s="216"/>
      <c r="R541" s="216"/>
      <c r="S541" s="216"/>
      <c r="T541" s="216"/>
      <c r="U541" s="216"/>
      <c r="V541" s="216"/>
    </row>
    <row r="542" spans="1:22" s="115" customFormat="1">
      <c r="A542" s="353"/>
      <c r="C542" s="137"/>
      <c r="D542" s="216"/>
      <c r="E542" s="216"/>
      <c r="F542" s="216"/>
      <c r="G542" s="216"/>
      <c r="H542" s="216"/>
      <c r="I542" s="216"/>
      <c r="J542" s="216"/>
      <c r="K542" s="216"/>
      <c r="L542" s="216"/>
      <c r="M542" s="216"/>
      <c r="N542" s="216"/>
      <c r="O542" s="216"/>
      <c r="P542" s="216"/>
      <c r="Q542" s="216"/>
      <c r="R542" s="216"/>
      <c r="S542" s="216"/>
      <c r="T542" s="216"/>
      <c r="U542" s="216"/>
      <c r="V542" s="216"/>
    </row>
    <row r="543" spans="1:22" s="115" customFormat="1">
      <c r="A543" s="353"/>
      <c r="C543" s="137" t="s">
        <v>111</v>
      </c>
      <c r="D543" s="216">
        <f t="shared" ref="D543:V543" si="0">D475+D539</f>
        <v>0</v>
      </c>
      <c r="E543" s="216">
        <f t="shared" si="0"/>
        <v>6153.8121017056064</v>
      </c>
      <c r="F543" s="216">
        <f t="shared" si="0"/>
        <v>763.13486154818725</v>
      </c>
      <c r="G543" s="216">
        <f t="shared" si="0"/>
        <v>2060.2399114898949</v>
      </c>
      <c r="H543" s="216">
        <f t="shared" si="0"/>
        <v>-1510.5759083782059</v>
      </c>
      <c r="I543" s="216">
        <f t="shared" si="0"/>
        <v>3569.400589450071</v>
      </c>
      <c r="J543" s="216">
        <f t="shared" si="0"/>
        <v>462.54933427084745</v>
      </c>
      <c r="K543" s="216">
        <f t="shared" si="0"/>
        <v>4611.5526805437758</v>
      </c>
      <c r="L543" s="216">
        <f t="shared" si="0"/>
        <v>2464.7844708199282</v>
      </c>
      <c r="M543" s="216">
        <f t="shared" si="0"/>
        <v>-8800.1018705661172</v>
      </c>
      <c r="N543" s="216">
        <f t="shared" si="0"/>
        <v>-1416.3607099741621</v>
      </c>
      <c r="O543" s="216">
        <f t="shared" si="0"/>
        <v>2730.051804448934</v>
      </c>
      <c r="P543" s="216">
        <f t="shared" si="0"/>
        <v>3654.8562780073007</v>
      </c>
      <c r="Q543" s="216">
        <f t="shared" si="0"/>
        <v>-17590.864751083551</v>
      </c>
      <c r="R543" s="216">
        <f t="shared" si="0"/>
        <v>174.50645544537974</v>
      </c>
      <c r="S543" s="216">
        <f t="shared" si="0"/>
        <v>-175.61224691678069</v>
      </c>
      <c r="T543" s="216">
        <f t="shared" si="0"/>
        <v>2126.4428357847464</v>
      </c>
      <c r="U543" s="216">
        <f t="shared" si="0"/>
        <v>67.962017138447223</v>
      </c>
      <c r="V543" s="216">
        <f t="shared" si="0"/>
        <v>654.22214626567063</v>
      </c>
    </row>
    <row r="544" spans="1:22" s="115" customFormat="1">
      <c r="A544" s="353"/>
    </row>
    <row r="545" spans="1:22" s="115" customFormat="1">
      <c r="A545" s="353"/>
      <c r="C545" s="115" t="s">
        <v>1030</v>
      </c>
      <c r="D545" s="218">
        <f t="shared" ref="D545:V545" si="1">D375+D486+D527</f>
        <v>0</v>
      </c>
      <c r="E545" s="218">
        <f t="shared" si="1"/>
        <v>8675.5524072275948</v>
      </c>
      <c r="F545" s="218">
        <f t="shared" si="1"/>
        <v>-55.001535830954992</v>
      </c>
      <c r="G545" s="218">
        <f t="shared" si="1"/>
        <v>1639.1474497126912</v>
      </c>
      <c r="H545" s="218">
        <f t="shared" si="1"/>
        <v>-949.66123214559605</v>
      </c>
      <c r="I545" s="218">
        <f t="shared" si="1"/>
        <v>763.62304723083366</v>
      </c>
      <c r="J545" s="218">
        <f t="shared" si="1"/>
        <v>200.76313337128323</v>
      </c>
      <c r="K545" s="218">
        <f t="shared" si="1"/>
        <v>1959.4566940086829</v>
      </c>
      <c r="L545" s="218">
        <f t="shared" si="1"/>
        <v>1534.2473747442889</v>
      </c>
      <c r="M545" s="218">
        <f t="shared" si="1"/>
        <v>-5500.3469241229923</v>
      </c>
      <c r="N545" s="218">
        <f t="shared" si="1"/>
        <v>2744.1622092784792</v>
      </c>
      <c r="O545" s="218">
        <f t="shared" si="1"/>
        <v>1509.1666883721552</v>
      </c>
      <c r="P545" s="218">
        <f t="shared" si="1"/>
        <v>2772.4522145642059</v>
      </c>
      <c r="Q545" s="218">
        <f t="shared" si="1"/>
        <v>-13651.015308539711</v>
      </c>
      <c r="R545" s="218">
        <f t="shared" si="1"/>
        <v>1151.0378211442719</v>
      </c>
      <c r="S545" s="218">
        <f t="shared" si="1"/>
        <v>-645.65125348516472</v>
      </c>
      <c r="T545" s="218">
        <f t="shared" si="1"/>
        <v>-2141.735902454715</v>
      </c>
      <c r="U545" s="218">
        <f t="shared" si="1"/>
        <v>-44.809125750137078</v>
      </c>
      <c r="V545" s="218">
        <f t="shared" si="1"/>
        <v>38.612242674752409</v>
      </c>
    </row>
  </sheetData>
  <pageMargins left="0.75" right="0.75" top="1" bottom="1" header="0.5" footer="0.5"/>
  <pageSetup paperSize="9" orientation="portrait"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F0"/>
  </sheetPr>
  <dimension ref="A1:AD519"/>
  <sheetViews>
    <sheetView zoomScaleNormal="100" workbookViewId="0">
      <selection activeCell="B12" sqref="B12"/>
    </sheetView>
  </sheetViews>
  <sheetFormatPr baseColWidth="10" defaultColWidth="11" defaultRowHeight="13.15"/>
  <cols>
    <col min="1" max="1" width="11" style="9"/>
    <col min="2" max="2" width="24.5" style="9" customWidth="1"/>
    <col min="3" max="3" width="27.5" style="9" customWidth="1"/>
    <col min="4" max="4" width="24.5" style="9" customWidth="1"/>
    <col min="5" max="5" width="19.19921875" style="9" customWidth="1"/>
    <col min="6" max="6" width="28.5" style="9" customWidth="1"/>
    <col min="7" max="7" width="19.8984375" style="9" customWidth="1"/>
    <col min="8" max="8" width="21.19921875" style="9" customWidth="1"/>
    <col min="9" max="9" width="21.59765625" style="9" customWidth="1"/>
    <col min="10" max="10" width="25.3984375" style="9" customWidth="1"/>
    <col min="11" max="11" width="19.09765625" style="9" customWidth="1"/>
    <col min="12" max="12" width="24.8984375" style="9" customWidth="1"/>
    <col min="13" max="13" width="22.5" style="9" customWidth="1"/>
    <col min="14" max="14" width="25.3984375" style="9" customWidth="1"/>
    <col min="15" max="15" width="25.5" style="9" customWidth="1"/>
    <col min="16" max="16" width="25.8984375" style="9" customWidth="1"/>
    <col min="17" max="17" width="34.8984375" style="9" customWidth="1"/>
    <col min="18" max="18" width="19" style="9" customWidth="1"/>
    <col min="19" max="19" width="20" style="9" customWidth="1"/>
    <col min="20" max="23" width="11" style="9"/>
    <col min="24" max="24" width="15.5" style="9" customWidth="1"/>
    <col min="25" max="25" width="14.09765625" style="9" customWidth="1"/>
    <col min="26" max="26" width="11" style="9" customWidth="1"/>
    <col min="27" max="27" width="12.8984375" style="9" customWidth="1"/>
    <col min="28" max="29" width="14.8984375" style="9" customWidth="1"/>
    <col min="30" max="30" width="17.69921875" style="9" customWidth="1"/>
    <col min="31" max="31" width="15.19921875" style="9" customWidth="1"/>
    <col min="32" max="32" width="17.69921875" style="9" customWidth="1"/>
    <col min="33" max="33" width="11" style="9"/>
    <col min="34" max="34" width="29.09765625" style="9" customWidth="1"/>
    <col min="35" max="35" width="13.69921875" style="9" customWidth="1"/>
    <col min="36" max="36" width="11" style="9"/>
    <col min="37" max="37" width="13" style="9" customWidth="1"/>
    <col min="38" max="38" width="15.69921875" style="9" customWidth="1"/>
    <col min="39" max="39" width="13.59765625" style="9" customWidth="1"/>
    <col min="40" max="40" width="14.09765625" style="9" customWidth="1"/>
    <col min="41" max="16384" width="11" style="9"/>
  </cols>
  <sheetData>
    <row r="1" spans="2:7" ht="28.2" thickBot="1">
      <c r="B1" s="331" t="s">
        <v>1048</v>
      </c>
      <c r="C1" s="332"/>
      <c r="E1" s="361"/>
    </row>
    <row r="6" spans="2:7" ht="17.55">
      <c r="B6" s="259" t="str">
        <f>" Cuadros 2: Clasificación del gasto público, años "&amp;(Resumen!C2-1)&amp;" y "&amp; (Resumen!C2) &amp; " obligaciones reconocidas, miles de euros"</f>
        <v xml:space="preserve"> Cuadros 2: Clasificación del gasto público, años 2012 y 2013 obligaciones reconocidas, miles de euros</v>
      </c>
    </row>
    <row r="7" spans="2:7">
      <c r="B7" s="209"/>
    </row>
    <row r="8" spans="2:7">
      <c r="B8" s="209"/>
    </row>
    <row r="9" spans="2:7">
      <c r="B9" s="209"/>
    </row>
    <row r="10" spans="2:7">
      <c r="B10" s="209"/>
    </row>
    <row r="11" spans="2:7" ht="17.55">
      <c r="B11" s="259" t="str">
        <f>" Cuadros 3: Clasificación de los ingresos públicos, años "&amp;(Resumen!C2-1)&amp;" y "&amp; (Resumen!C2) &amp; ", miles de euros"</f>
        <v xml:space="preserve"> Cuadros 3: Clasificación de los ingresos públicos, años 2012 y 2013, miles de euros</v>
      </c>
    </row>
    <row r="12" spans="2:7">
      <c r="B12" s="209"/>
    </row>
    <row r="13" spans="2:7" ht="17.55">
      <c r="B13" s="259"/>
    </row>
    <row r="15" spans="2:7" ht="13.5" customHeight="1"/>
    <row r="16" spans="2:7" ht="17.55">
      <c r="B16" s="259" t="str">
        <f>"Cuadro 4a: Gastos e ingresos totales y saldos fiscales absolutos, operaciones fiscales imputadas por población, millones de euros,  "&amp; (Resumen!C2)</f>
        <v>Cuadro 4a: Gastos e ingresos totales y saldos fiscales absolutos, operaciones fiscales imputadas por población, millones de euros,  2013</v>
      </c>
      <c r="C16" s="22"/>
      <c r="D16" s="22"/>
      <c r="E16" s="22"/>
      <c r="F16" s="22"/>
      <c r="G16" s="22"/>
    </row>
    <row r="17" spans="2:18" ht="26.95" thickBot="1">
      <c r="B17" s="257"/>
      <c r="C17" s="258" t="s">
        <v>492</v>
      </c>
      <c r="D17" s="258" t="s">
        <v>493</v>
      </c>
      <c r="E17" s="258" t="s">
        <v>1170</v>
      </c>
      <c r="F17" s="258" t="s">
        <v>494</v>
      </c>
      <c r="G17" s="22"/>
    </row>
    <row r="18" spans="2:18">
      <c r="B18" s="209" t="s">
        <v>9</v>
      </c>
      <c r="C18" s="64">
        <f>+Resumen!Z34/1000</f>
        <v>51164.62074543412</v>
      </c>
      <c r="D18" s="64">
        <f>+Resumen!O34/1000</f>
        <v>66476.313600416892</v>
      </c>
      <c r="E18" s="64">
        <f>+D18-C18</f>
        <v>15311.692854982772</v>
      </c>
      <c r="F18" s="89">
        <f>+E18*1000/Resumen!AD111</f>
        <v>0.11039126234264306</v>
      </c>
      <c r="G18" s="60"/>
      <c r="P18" s="64"/>
      <c r="Q18" s="48"/>
      <c r="R18" s="47"/>
    </row>
    <row r="19" spans="2:18">
      <c r="B19" s="209" t="s">
        <v>10</v>
      </c>
      <c r="C19" s="64">
        <f>+Resumen!Z35/1000</f>
        <v>10905.146234014588</v>
      </c>
      <c r="D19" s="64">
        <f>+Resumen!O35/1000</f>
        <v>13121.426665322299</v>
      </c>
      <c r="E19" s="64">
        <f t="shared" ref="E19:E36" si="0">+D19-C19</f>
        <v>2216.2804313077104</v>
      </c>
      <c r="F19" s="89">
        <f>+E19*1000/Resumen!AD112</f>
        <v>6.780411177628895E-2</v>
      </c>
      <c r="G19" s="60"/>
      <c r="P19" s="64"/>
      <c r="Q19" s="48"/>
      <c r="R19" s="47"/>
    </row>
    <row r="20" spans="2:18">
      <c r="B20" s="209" t="s">
        <v>11</v>
      </c>
      <c r="C20" s="64">
        <f>+Resumen!Z36/1000</f>
        <v>8428.9895066342506</v>
      </c>
      <c r="D20" s="64">
        <f>+Resumen!O36/1000</f>
        <v>11647.337830207718</v>
      </c>
      <c r="E20" s="64">
        <f t="shared" si="0"/>
        <v>3218.3483235734675</v>
      </c>
      <c r="F20" s="89">
        <f>+E20*1000/Resumen!AD113</f>
        <v>0.1551981532751068</v>
      </c>
      <c r="G20" s="60"/>
      <c r="P20" s="64"/>
      <c r="Q20" s="48"/>
      <c r="R20" s="47"/>
    </row>
    <row r="21" spans="2:18">
      <c r="B21" s="90" t="s">
        <v>31</v>
      </c>
      <c r="C21" s="69">
        <f>+Resumen!Z37/1000</f>
        <v>8917.1306483311928</v>
      </c>
      <c r="D21" s="69">
        <f>+Resumen!O37/1000</f>
        <v>8610.9864880511159</v>
      </c>
      <c r="E21" s="69">
        <f t="shared" si="0"/>
        <v>-306.1441602800769</v>
      </c>
      <c r="F21" s="89">
        <f>+E21*1000/Resumen!AD114</f>
        <v>-1.1838437872294588E-2</v>
      </c>
      <c r="G21" s="438"/>
      <c r="P21" s="69"/>
      <c r="Q21" s="439"/>
    </row>
    <row r="22" spans="2:18">
      <c r="B22" s="90" t="s">
        <v>12</v>
      </c>
      <c r="C22" s="69">
        <f>+Resumen!Z38/1000</f>
        <v>11607.902696780953</v>
      </c>
      <c r="D22" s="69">
        <f>+Resumen!O38/1000</f>
        <v>17473.756502000295</v>
      </c>
      <c r="E22" s="69">
        <f t="shared" si="0"/>
        <v>5865.8538052193417</v>
      </c>
      <c r="F22" s="89">
        <f>+E22*1000/Resumen!AD115</f>
        <v>0.14657110065741932</v>
      </c>
      <c r="G22" s="438"/>
      <c r="P22" s="69"/>
      <c r="Q22" s="439"/>
    </row>
    <row r="23" spans="2:18">
      <c r="B23" s="209" t="s">
        <v>13</v>
      </c>
      <c r="C23" s="64">
        <f>+Resumen!Z39/1000</f>
        <v>4698.7105533479917</v>
      </c>
      <c r="D23" s="64">
        <f>+Resumen!O39/1000</f>
        <v>5803.1606610441386</v>
      </c>
      <c r="E23" s="64">
        <f t="shared" si="0"/>
        <v>1104.4501076961469</v>
      </c>
      <c r="F23" s="89">
        <f>+E23*1000/Resumen!AD116</f>
        <v>9.385907395134141E-2</v>
      </c>
      <c r="G23" s="60"/>
      <c r="P23" s="64"/>
      <c r="Q23" s="48"/>
      <c r="R23" s="47"/>
    </row>
    <row r="24" spans="2:18">
      <c r="B24" s="209" t="s">
        <v>14</v>
      </c>
      <c r="C24" s="64">
        <f>+Resumen!Z40/1000</f>
        <v>18543.72812949467</v>
      </c>
      <c r="D24" s="64">
        <f>+Resumen!O40/1000</f>
        <v>25881.91983574929</v>
      </c>
      <c r="E24" s="64">
        <f t="shared" si="0"/>
        <v>7338.1917062546199</v>
      </c>
      <c r="F24" s="89">
        <f>+E24*1000/Resumen!AD117</f>
        <v>0.14070202141065544</v>
      </c>
      <c r="G24" s="60"/>
      <c r="P24" s="64"/>
      <c r="Q24" s="48"/>
      <c r="R24" s="47"/>
    </row>
    <row r="25" spans="2:18">
      <c r="B25" s="209" t="s">
        <v>15</v>
      </c>
      <c r="C25" s="64">
        <f>+Resumen!Z41/1000</f>
        <v>13165.844304425427</v>
      </c>
      <c r="D25" s="64">
        <f>+Resumen!O41/1000</f>
        <v>17903.22026672331</v>
      </c>
      <c r="E25" s="64">
        <f t="shared" si="0"/>
        <v>4737.3759622978832</v>
      </c>
      <c r="F25" s="89">
        <f>+E25*1000/Resumen!AD118</f>
        <v>0.1284935713659609</v>
      </c>
      <c r="G25" s="60"/>
      <c r="P25" s="64"/>
      <c r="Q25" s="48"/>
      <c r="R25" s="47"/>
    </row>
    <row r="26" spans="2:18">
      <c r="B26" s="209" t="s">
        <v>16</v>
      </c>
      <c r="C26" s="64">
        <f>+Resumen!Z42/1000</f>
        <v>67065.311448073509</v>
      </c>
      <c r="D26" s="64">
        <f>+Resumen!O42/1000</f>
        <v>66460.654582686213</v>
      </c>
      <c r="E26" s="64">
        <f t="shared" si="0"/>
        <v>-604.65686538729642</v>
      </c>
      <c r="F26" s="89">
        <f>+E26*1000/Resumen!AD119</f>
        <v>-3.109813137593169E-3</v>
      </c>
      <c r="G26" s="60"/>
      <c r="P26" s="64"/>
      <c r="Q26" s="48"/>
      <c r="R26" s="47"/>
    </row>
    <row r="27" spans="2:18">
      <c r="B27" s="209" t="s">
        <v>17</v>
      </c>
      <c r="C27" s="64">
        <f>+Resumen!Z43/1000</f>
        <v>33986.476134669545</v>
      </c>
      <c r="D27" s="64">
        <f>+Resumen!O43/1000</f>
        <v>38071.964604503068</v>
      </c>
      <c r="E27" s="64">
        <f t="shared" si="0"/>
        <v>4085.4884698335227</v>
      </c>
      <c r="F27" s="89">
        <f>+E27*1000/Resumen!AD120</f>
        <v>4.2571979801112263E-2</v>
      </c>
      <c r="G27" s="60"/>
      <c r="P27" s="64"/>
      <c r="Q27" s="48"/>
      <c r="R27" s="47"/>
    </row>
    <row r="28" spans="2:18">
      <c r="B28" s="209" t="s">
        <v>18</v>
      </c>
      <c r="C28" s="64">
        <f>+Resumen!Z44/1000</f>
        <v>6576.1266181554702</v>
      </c>
      <c r="D28" s="64">
        <f>+Resumen!O44/1000</f>
        <v>10504.368115447565</v>
      </c>
      <c r="E28" s="64">
        <f t="shared" si="0"/>
        <v>3928.2414972920951</v>
      </c>
      <c r="F28" s="89">
        <f>+E28*1000/Resumen!AD121</f>
        <v>0.23305532002158375</v>
      </c>
      <c r="G28" s="60"/>
      <c r="P28" s="64"/>
      <c r="Q28" s="48"/>
      <c r="R28" s="47"/>
    </row>
    <row r="29" spans="2:18">
      <c r="B29" s="209" t="s">
        <v>19</v>
      </c>
      <c r="C29" s="64">
        <f>+Resumen!Z45/1000</f>
        <v>19224.770466954949</v>
      </c>
      <c r="D29" s="64">
        <f>+Resumen!O45/1000</f>
        <v>25878.115976755587</v>
      </c>
      <c r="E29" s="64">
        <f t="shared" si="0"/>
        <v>6653.345509800638</v>
      </c>
      <c r="F29" s="89">
        <f>+E29*1000/Resumen!AD122</f>
        <v>0.12333563437409908</v>
      </c>
      <c r="G29" s="60"/>
      <c r="P29" s="64"/>
      <c r="Q29" s="48"/>
      <c r="R29" s="47"/>
    </row>
    <row r="30" spans="2:18">
      <c r="B30" s="209" t="s">
        <v>20</v>
      </c>
      <c r="C30" s="64">
        <f>+Resumen!Z46/1000</f>
        <v>63952.935607801614</v>
      </c>
      <c r="D30" s="64">
        <f>+Resumen!O46/1000</f>
        <v>53403.408781226324</v>
      </c>
      <c r="E30" s="64">
        <f t="shared" si="0"/>
        <v>-10549.526826575289</v>
      </c>
      <c r="F30" s="89">
        <f>+E30*1000/Resumen!AD123</f>
        <v>-5.4378852828981715E-2</v>
      </c>
      <c r="G30" s="60"/>
      <c r="P30" s="64"/>
      <c r="Q30" s="48"/>
      <c r="R30" s="47"/>
    </row>
    <row r="31" spans="2:18">
      <c r="B31" s="209" t="s">
        <v>60</v>
      </c>
      <c r="C31" s="64">
        <f>+Resumen!Z47/1000</f>
        <v>9134.9525381771946</v>
      </c>
      <c r="D31" s="64">
        <f>+Resumen!O47/1000</f>
        <v>10907.41807036524</v>
      </c>
      <c r="E31" s="64">
        <f t="shared" si="0"/>
        <v>1772.4655321880455</v>
      </c>
      <c r="F31" s="89">
        <f>+E31*1000/Resumen!AD124</f>
        <v>6.6442567526861979E-2</v>
      </c>
      <c r="G31" s="60"/>
      <c r="P31" s="64"/>
      <c r="Q31" s="48"/>
      <c r="R31" s="47"/>
    </row>
    <row r="32" spans="2:18">
      <c r="B32" s="209" t="s">
        <v>61</v>
      </c>
      <c r="C32" s="64">
        <f>+Resumen!Z48/1000</f>
        <v>5437.8981241580077</v>
      </c>
      <c r="D32" s="64">
        <f>+Resumen!O48/1000</f>
        <v>5961.1280054109639</v>
      </c>
      <c r="E32" s="64">
        <f t="shared" si="0"/>
        <v>523.22988125295615</v>
      </c>
      <c r="F32" s="89">
        <f>+E32*1000/Resumen!AD125</f>
        <v>2.9952594015363376E-2</v>
      </c>
      <c r="G32" s="60"/>
      <c r="P32" s="64"/>
      <c r="Q32" s="48"/>
      <c r="R32" s="47"/>
    </row>
    <row r="33" spans="2:18">
      <c r="B33" s="209" t="s">
        <v>62</v>
      </c>
      <c r="C33" s="64">
        <f>+Resumen!Z49/1000</f>
        <v>20385.308205372396</v>
      </c>
      <c r="D33" s="64">
        <f>+Resumen!O49/1000</f>
        <v>24893.664409416775</v>
      </c>
      <c r="E33" s="64">
        <f t="shared" si="0"/>
        <v>4508.3562040443794</v>
      </c>
      <c r="F33" s="89">
        <f>+E33*1000/Resumen!AD126</f>
        <v>7.2052182569464121E-2</v>
      </c>
      <c r="G33" s="60"/>
      <c r="P33" s="64"/>
      <c r="Q33" s="48"/>
      <c r="R33" s="47"/>
    </row>
    <row r="34" spans="2:18">
      <c r="B34" s="209" t="s">
        <v>63</v>
      </c>
      <c r="C34" s="64">
        <f>+Resumen!Z50/1000</f>
        <v>2517.4308244122199</v>
      </c>
      <c r="D34" s="64">
        <f>+Resumen!O50/1000</f>
        <v>2933.9414859790377</v>
      </c>
      <c r="E34" s="64">
        <f t="shared" si="0"/>
        <v>416.51066156681782</v>
      </c>
      <c r="F34" s="89">
        <f>+E34*1000/Resumen!AD127</f>
        <v>5.4925360021472802E-2</v>
      </c>
      <c r="G34" s="60"/>
      <c r="P34" s="64"/>
      <c r="Q34" s="48"/>
      <c r="R34" s="47"/>
    </row>
    <row r="35" spans="2:18">
      <c r="B35" s="209" t="s">
        <v>64</v>
      </c>
      <c r="C35" s="64">
        <f>+Resumen!Z51/1000</f>
        <v>935.29760810252662</v>
      </c>
      <c r="D35" s="64">
        <f>+Resumen!O51/1000</f>
        <v>1772.9377631847517</v>
      </c>
      <c r="E35" s="64">
        <f t="shared" si="0"/>
        <v>837.64015508222508</v>
      </c>
      <c r="F35" s="89">
        <f>+E35*1000/Resumen!AD128</f>
        <v>0.2818265224841352</v>
      </c>
      <c r="G35" s="60"/>
      <c r="P35" s="64"/>
      <c r="Q35" s="48"/>
      <c r="R35" s="47"/>
    </row>
    <row r="36" spans="2:18" ht="13.8" thickBot="1">
      <c r="B36" s="54" t="s">
        <v>495</v>
      </c>
      <c r="C36" s="253">
        <f>+Resumen!Z52/1000</f>
        <v>356648.58039434062</v>
      </c>
      <c r="D36" s="253">
        <f>+Resumen!O52/1000</f>
        <v>407705.72364449053</v>
      </c>
      <c r="E36" s="253">
        <f t="shared" si="0"/>
        <v>51057.143250149908</v>
      </c>
      <c r="F36" s="254">
        <f>+E36*1000/Resumen!AD129</f>
        <v>4.9508900901168565E-2</v>
      </c>
      <c r="G36" s="60"/>
      <c r="Q36" s="48"/>
      <c r="R36" s="47"/>
    </row>
    <row r="37" spans="2:18" ht="12.7" customHeight="1">
      <c r="B37" s="440" t="s">
        <v>1032</v>
      </c>
      <c r="C37" s="440"/>
      <c r="D37" s="440"/>
      <c r="E37" s="440"/>
      <c r="F37" s="440"/>
      <c r="G37" s="369"/>
    </row>
    <row r="38" spans="2:18">
      <c r="B38" s="440"/>
      <c r="C38" s="440"/>
      <c r="D38" s="440"/>
      <c r="E38" s="440"/>
      <c r="F38" s="440"/>
      <c r="G38" s="369"/>
    </row>
    <row r="39" spans="2:18">
      <c r="B39" s="260"/>
      <c r="C39" s="260"/>
      <c r="D39" s="260"/>
      <c r="E39" s="260"/>
      <c r="F39" s="260"/>
    </row>
    <row r="40" spans="2:18">
      <c r="B40" s="369"/>
      <c r="C40" s="369"/>
      <c r="D40" s="369"/>
      <c r="E40" s="369"/>
      <c r="F40" s="369"/>
    </row>
    <row r="41" spans="2:18">
      <c r="B41" s="260"/>
      <c r="C41" s="260"/>
      <c r="D41" s="260"/>
      <c r="E41" s="260"/>
      <c r="F41" s="260"/>
      <c r="G41" s="260"/>
      <c r="H41" s="260"/>
      <c r="I41" s="260"/>
    </row>
    <row r="42" spans="2:18" ht="17.55">
      <c r="B42" s="259" t="str">
        <f>"Cuadro 5: Saldos fiscales relativos, "&amp;(Resumen!C2)</f>
        <v>Cuadro 5: Saldos fiscales relativos, 2013</v>
      </c>
      <c r="C42" s="14"/>
      <c r="D42" s="14"/>
      <c r="E42" s="14"/>
      <c r="F42" s="14"/>
      <c r="G42" s="14"/>
      <c r="H42" s="14"/>
      <c r="I42" s="14"/>
      <c r="J42" s="14"/>
      <c r="K42" s="91" t="s">
        <v>1168</v>
      </c>
      <c r="L42" s="215"/>
      <c r="M42" s="215"/>
    </row>
    <row r="43" spans="2:18">
      <c r="B43" s="278"/>
      <c r="C43" s="451" t="s">
        <v>496</v>
      </c>
      <c r="D43" s="451"/>
      <c r="E43" s="451"/>
      <c r="F43" s="279"/>
      <c r="G43" s="451" t="s">
        <v>497</v>
      </c>
      <c r="H43" s="451"/>
      <c r="I43" s="451"/>
      <c r="K43" s="376"/>
      <c r="L43" s="376" t="s">
        <v>1161</v>
      </c>
      <c r="M43" s="376" t="s">
        <v>1159</v>
      </c>
      <c r="O43" s="376" t="s">
        <v>1163</v>
      </c>
      <c r="P43" s="376" t="s">
        <v>1164</v>
      </c>
    </row>
    <row r="44" spans="2:18" s="25" customFormat="1" ht="26.95" thickBot="1">
      <c r="B44" s="311"/>
      <c r="C44" s="312" t="s">
        <v>498</v>
      </c>
      <c r="D44" s="312" t="s">
        <v>499</v>
      </c>
      <c r="E44" s="312" t="s">
        <v>495</v>
      </c>
      <c r="F44" s="312" t="s">
        <v>500</v>
      </c>
      <c r="G44" s="312" t="s">
        <v>498</v>
      </c>
      <c r="H44" s="312" t="s">
        <v>499</v>
      </c>
      <c r="I44" s="312" t="s">
        <v>495</v>
      </c>
      <c r="K44" s="312"/>
      <c r="L44" s="312" t="s">
        <v>1162</v>
      </c>
      <c r="M44" s="312" t="s">
        <v>1160</v>
      </c>
      <c r="N44" s="373"/>
      <c r="O44" s="312" t="s">
        <v>1158</v>
      </c>
      <c r="P44" s="312" t="s">
        <v>1157</v>
      </c>
    </row>
    <row r="45" spans="2:18" ht="13.8" thickBot="1">
      <c r="B45" s="209" t="s">
        <v>9</v>
      </c>
      <c r="C45" s="64">
        <f>+Resumen!Z111</f>
        <v>12805.765417277025</v>
      </c>
      <c r="D45" s="64">
        <f>+Resumen!O111</f>
        <v>-6651.9533155714034</v>
      </c>
      <c r="E45" s="64">
        <f>+C45+D45</f>
        <v>6153.8121017056219</v>
      </c>
      <c r="F45" s="60">
        <f>+E45*1000/Resumen!AD111</f>
        <v>4.4366556497745353E-2</v>
      </c>
      <c r="G45" s="64">
        <f>+Resumen!Z86</f>
        <v>1520.639523075798</v>
      </c>
      <c r="H45" s="64">
        <f>+Resumen!O86</f>
        <v>-789.89601852817941</v>
      </c>
      <c r="I45" s="64">
        <f>+G45+H45</f>
        <v>730.74350454761861</v>
      </c>
      <c r="K45" s="209" t="s">
        <v>9</v>
      </c>
      <c r="L45" s="370">
        <f>Resumen!AC111</f>
        <v>6153.8121017056219</v>
      </c>
      <c r="M45" s="12">
        <f>Resumen!AD111</f>
        <v>138703847.84129798</v>
      </c>
      <c r="O45" s="377">
        <f>SUMIF(L45:L62,"&lt;0")*1000/SUMIF(L45:L62,"&lt;0",M45:M62)</f>
        <v>-5.5887399379383966E-2</v>
      </c>
      <c r="P45" s="377">
        <f>SUMIF(L45:L62,"&gt;0")*1000/SUMIF(L45:L62,"&gt;0",M45:M62)</f>
        <v>5.8572227333326579E-2</v>
      </c>
    </row>
    <row r="46" spans="2:18">
      <c r="B46" s="209" t="s">
        <v>10</v>
      </c>
      <c r="C46" s="64">
        <f>+Resumen!Z112</f>
        <v>-754.51359830525166</v>
      </c>
      <c r="D46" s="64">
        <f>+Resumen!O112</f>
        <v>1517.6484598534412</v>
      </c>
      <c r="E46" s="370">
        <f t="shared" ref="E46:E63" si="1">+C46+D46</f>
        <v>763.13486154818952</v>
      </c>
      <c r="F46" s="60">
        <f>+E46*1000/Resumen!AD112</f>
        <v>2.3347082220215705E-2</v>
      </c>
      <c r="G46" s="64">
        <f>+Resumen!Z87</f>
        <v>-564.64263203681276</v>
      </c>
      <c r="H46" s="64">
        <f>+Resumen!O87</f>
        <v>1135.7370136244735</v>
      </c>
      <c r="I46" s="64">
        <f t="shared" ref="I46:I63" si="2">+G46+H46</f>
        <v>571.09438158766079</v>
      </c>
      <c r="K46" s="209" t="s">
        <v>10</v>
      </c>
      <c r="L46" s="370">
        <f>Resumen!AC112</f>
        <v>763.13486154818952</v>
      </c>
      <c r="M46" s="12">
        <f>Resumen!AD112</f>
        <v>32686519.640874375</v>
      </c>
    </row>
    <row r="47" spans="2:18">
      <c r="B47" s="209" t="s">
        <v>11</v>
      </c>
      <c r="C47" s="64">
        <f>+Resumen!Z113</f>
        <v>-339.27482971414884</v>
      </c>
      <c r="D47" s="64">
        <f>+Resumen!O113</f>
        <v>2399.5147412040455</v>
      </c>
      <c r="E47" s="370">
        <f t="shared" si="1"/>
        <v>2060.2399114898967</v>
      </c>
      <c r="F47" s="60">
        <f>+E47*1000/Resumen!AD113</f>
        <v>9.9350784135097805E-2</v>
      </c>
      <c r="G47" s="64">
        <f>+Resumen!Z88</f>
        <v>-318.57973109251361</v>
      </c>
      <c r="H47" s="64">
        <f>+Resumen!O88</f>
        <v>2253.1490521986925</v>
      </c>
      <c r="I47" s="64">
        <f t="shared" si="2"/>
        <v>1934.5693211061789</v>
      </c>
      <c r="K47" s="209" t="s">
        <v>11</v>
      </c>
      <c r="L47" s="370">
        <f>Resumen!AC113</f>
        <v>2060.2399114898967</v>
      </c>
      <c r="M47" s="12">
        <f>Resumen!AD113</f>
        <v>20737027.185294982</v>
      </c>
    </row>
    <row r="48" spans="2:18">
      <c r="B48" s="209" t="s">
        <v>31</v>
      </c>
      <c r="C48" s="64">
        <f>+Resumen!Z114</f>
        <v>-503.83437289161276</v>
      </c>
      <c r="D48" s="64">
        <f>+Resumen!O114</f>
        <v>-1006.7415354865913</v>
      </c>
      <c r="E48" s="370">
        <f t="shared" si="1"/>
        <v>-1510.5759083782041</v>
      </c>
      <c r="F48" s="60">
        <f>+E48*1000/Resumen!AD114</f>
        <v>-5.8413196666433694E-2</v>
      </c>
      <c r="G48" s="64">
        <f>+Resumen!Z89</f>
        <v>-454.90563283513166</v>
      </c>
      <c r="H48" s="64">
        <f>+Resumen!O89</f>
        <v>-908.97409931271432</v>
      </c>
      <c r="I48" s="64">
        <f t="shared" si="2"/>
        <v>-1363.879732147846</v>
      </c>
      <c r="K48" s="209" t="s">
        <v>31</v>
      </c>
      <c r="L48" s="370">
        <f>Resumen!AC114</f>
        <v>-1510.5759083782041</v>
      </c>
      <c r="M48" s="12">
        <f>Resumen!AD114</f>
        <v>25860182.194860686</v>
      </c>
    </row>
    <row r="49" spans="2:13">
      <c r="B49" s="209" t="s">
        <v>12</v>
      </c>
      <c r="C49" s="64">
        <f>+Resumen!Z115</f>
        <v>4433.472264865035</v>
      </c>
      <c r="D49" s="64">
        <f>+Resumen!O115</f>
        <v>-864.07167541496005</v>
      </c>
      <c r="E49" s="370">
        <f t="shared" si="1"/>
        <v>3569.4005894500751</v>
      </c>
      <c r="F49" s="60">
        <f>+E49*1000/Resumen!AD115</f>
        <v>8.9189228108179197E-2</v>
      </c>
      <c r="G49" s="64">
        <f>+Resumen!Z90</f>
        <v>2099.4334382220195</v>
      </c>
      <c r="H49" s="64">
        <f>+Resumen!O90</f>
        <v>-409.17386193277889</v>
      </c>
      <c r="I49" s="64">
        <f t="shared" si="2"/>
        <v>1690.2595762892406</v>
      </c>
      <c r="K49" s="209" t="s">
        <v>12</v>
      </c>
      <c r="L49" s="370">
        <f>Resumen!AC115</f>
        <v>3569.4005894500751</v>
      </c>
      <c r="M49" s="12">
        <f>Resumen!AD115</f>
        <v>40020534.599993244</v>
      </c>
    </row>
    <row r="50" spans="2:13">
      <c r="B50" s="209" t="s">
        <v>13</v>
      </c>
      <c r="C50" s="64">
        <f>+Resumen!Z116</f>
        <v>-214.85217383534098</v>
      </c>
      <c r="D50" s="64">
        <f>+Resumen!O116</f>
        <v>677.40150810618843</v>
      </c>
      <c r="E50" s="370">
        <f t="shared" si="1"/>
        <v>462.54933427084745</v>
      </c>
      <c r="F50" s="60">
        <f>+E50*1000/Resumen!AD116</f>
        <v>3.9308658552293124E-2</v>
      </c>
      <c r="G50" s="64">
        <f>+Resumen!Z91</f>
        <v>-363.98842200772015</v>
      </c>
      <c r="H50" s="64">
        <f>+Resumen!O91</f>
        <v>1147.6090820946756</v>
      </c>
      <c r="I50" s="64">
        <f t="shared" si="2"/>
        <v>783.62066008695547</v>
      </c>
      <c r="K50" s="209" t="s">
        <v>13</v>
      </c>
      <c r="L50" s="370">
        <f>Resumen!AC116</f>
        <v>462.54933427084745</v>
      </c>
      <c r="M50" s="12">
        <f>Resumen!AD116</f>
        <v>11767110.639390262</v>
      </c>
    </row>
    <row r="51" spans="2:13">
      <c r="B51" s="209" t="s">
        <v>14</v>
      </c>
      <c r="C51" s="64">
        <f>+Resumen!Z117</f>
        <v>502.61633602191063</v>
      </c>
      <c r="D51" s="64">
        <f>+Resumen!O117</f>
        <v>4108.9363445218696</v>
      </c>
      <c r="E51" s="370">
        <f t="shared" si="1"/>
        <v>4611.5526805437803</v>
      </c>
      <c r="F51" s="60">
        <f>+E51*1000/Resumen!AD117</f>
        <v>8.8421618018127396E-2</v>
      </c>
      <c r="G51" s="64">
        <f>+Resumen!Z92</f>
        <v>200.45858936615332</v>
      </c>
      <c r="H51" s="64">
        <f>+Resumen!O92</f>
        <v>1638.7680311733166</v>
      </c>
      <c r="I51" s="64">
        <f t="shared" si="2"/>
        <v>1839.2266205394699</v>
      </c>
      <c r="K51" s="209" t="s">
        <v>14</v>
      </c>
      <c r="L51" s="370">
        <f>Resumen!AC117</f>
        <v>4611.5526805437803</v>
      </c>
      <c r="M51" s="12">
        <f>Resumen!AD117</f>
        <v>52154131.3527916</v>
      </c>
    </row>
    <row r="52" spans="2:13">
      <c r="B52" s="209" t="s">
        <v>501</v>
      </c>
      <c r="C52" s="64">
        <f>+Resumen!Z118</f>
        <v>2708.8497668980394</v>
      </c>
      <c r="D52" s="64">
        <f>+Resumen!O118</f>
        <v>-244.06529607810765</v>
      </c>
      <c r="E52" s="370">
        <f t="shared" si="1"/>
        <v>2464.7844708199318</v>
      </c>
      <c r="F52" s="60">
        <f>+E52*1000/Resumen!AD118</f>
        <v>6.6853245725803062E-2</v>
      </c>
      <c r="G52" s="64">
        <f>+Resumen!Z93</f>
        <v>1296.2216163751391</v>
      </c>
      <c r="H52" s="64">
        <f>+Resumen!O93</f>
        <v>-116.7885781077166</v>
      </c>
      <c r="I52" s="64">
        <f t="shared" si="2"/>
        <v>1179.4330382674225</v>
      </c>
      <c r="K52" s="209" t="s">
        <v>501</v>
      </c>
      <c r="L52" s="370">
        <f>Resumen!AC118</f>
        <v>2464.7844708199318</v>
      </c>
      <c r="M52" s="12">
        <f>Resumen!AD118</f>
        <v>36868583.478043601</v>
      </c>
    </row>
    <row r="53" spans="2:13">
      <c r="B53" s="209" t="s">
        <v>16</v>
      </c>
      <c r="C53" s="64">
        <f>+Resumen!Z119</f>
        <v>-9817.8110840900081</v>
      </c>
      <c r="D53" s="64">
        <f>+Resumen!O119</f>
        <v>1017.7092135239053</v>
      </c>
      <c r="E53" s="370">
        <f t="shared" si="1"/>
        <v>-8800.1018705661027</v>
      </c>
      <c r="F53" s="60">
        <f>+E53*1000/Resumen!AD119</f>
        <v>-4.5259839052213043E-2</v>
      </c>
      <c r="G53" s="64">
        <f>+Resumen!Z94</f>
        <v>-1302.7402967619364</v>
      </c>
      <c r="H53" s="64">
        <f>+Resumen!O94</f>
        <v>135.041384631244</v>
      </c>
      <c r="I53" s="64">
        <f t="shared" si="2"/>
        <v>-1167.6989121306924</v>
      </c>
      <c r="K53" s="209" t="s">
        <v>16</v>
      </c>
      <c r="L53" s="370">
        <f>Resumen!AC119</f>
        <v>-8800.1018705661027</v>
      </c>
      <c r="M53" s="12">
        <f>Resumen!AD119</f>
        <v>194435111.89719549</v>
      </c>
    </row>
    <row r="54" spans="2:13">
      <c r="B54" s="209" t="s">
        <v>17</v>
      </c>
      <c r="C54" s="64">
        <f>+Resumen!Z120</f>
        <v>4445.495860089738</v>
      </c>
      <c r="D54" s="64">
        <f>+Resumen!O120</f>
        <v>-5861.8565700638819</v>
      </c>
      <c r="E54" s="370">
        <f t="shared" si="1"/>
        <v>-1416.3607099741439</v>
      </c>
      <c r="F54" s="60">
        <f>+E54*1000/Resumen!AD120</f>
        <v>-1.4758891129257134E-2</v>
      </c>
      <c r="G54" s="64">
        <f>+Resumen!Z95</f>
        <v>878.6729269342386</v>
      </c>
      <c r="H54" s="64">
        <f>+Resumen!O95</f>
        <v>-1158.6232069019979</v>
      </c>
      <c r="I54" s="64">
        <f t="shared" si="2"/>
        <v>-279.95027996775934</v>
      </c>
      <c r="K54" s="209" t="s">
        <v>17</v>
      </c>
      <c r="L54" s="370">
        <f>Resumen!AC120</f>
        <v>-1416.3607099741439</v>
      </c>
      <c r="M54" s="12">
        <f>Resumen!AD120</f>
        <v>95966607.353477657</v>
      </c>
    </row>
    <row r="55" spans="2:13">
      <c r="B55" s="209" t="s">
        <v>18</v>
      </c>
      <c r="C55" s="64">
        <f>+Resumen!Z121</f>
        <v>1793.5671365844969</v>
      </c>
      <c r="D55" s="64">
        <f>+Resumen!O121</f>
        <v>936.4846678644393</v>
      </c>
      <c r="E55" s="370">
        <f t="shared" si="1"/>
        <v>2730.0518044489363</v>
      </c>
      <c r="F55" s="60">
        <f>+E55*1000/Resumen!AD121</f>
        <v>0.16196893632938439</v>
      </c>
      <c r="G55" s="64">
        <f>+Resumen!Z96</f>
        <v>1627.8252275643499</v>
      </c>
      <c r="H55" s="64">
        <f>+Resumen!O96</f>
        <v>849.94497082498128</v>
      </c>
      <c r="I55" s="64">
        <f t="shared" si="2"/>
        <v>2477.7701983893312</v>
      </c>
      <c r="K55" s="209" t="s">
        <v>18</v>
      </c>
      <c r="L55" s="370">
        <f>Resumen!AC121</f>
        <v>2730.0518044489363</v>
      </c>
      <c r="M55" s="12">
        <f>Resumen!AD121</f>
        <v>16855403.673807114</v>
      </c>
    </row>
    <row r="56" spans="2:13">
      <c r="B56" s="209" t="s">
        <v>19</v>
      </c>
      <c r="C56" s="64">
        <f>+Resumen!Z122</f>
        <v>1720.5245450935197</v>
      </c>
      <c r="D56" s="64">
        <f>+Resumen!O122</f>
        <v>1934.331732913786</v>
      </c>
      <c r="E56" s="370">
        <f t="shared" si="1"/>
        <v>3654.8562780073057</v>
      </c>
      <c r="F56" s="60">
        <f>+E56*1000/Resumen!AD122</f>
        <v>6.7751481856786477E-2</v>
      </c>
      <c r="G56" s="64">
        <f>+Resumen!Z97</f>
        <v>623.98492197344694</v>
      </c>
      <c r="H56" s="64">
        <f>+Resumen!O97</f>
        <v>701.52665875938692</v>
      </c>
      <c r="I56" s="64">
        <f t="shared" si="2"/>
        <v>1325.5115807328339</v>
      </c>
      <c r="K56" s="209" t="s">
        <v>19</v>
      </c>
      <c r="L56" s="370">
        <f>Resumen!AC122</f>
        <v>3654.8562780073057</v>
      </c>
      <c r="M56" s="12">
        <f>Resumen!AD122</f>
        <v>53945038.216772363</v>
      </c>
    </row>
    <row r="57" spans="2:13">
      <c r="B57" s="209" t="s">
        <v>20</v>
      </c>
      <c r="C57" s="64">
        <f>+Resumen!Z123</f>
        <v>-14767.199489568486</v>
      </c>
      <c r="D57" s="64">
        <f>+Resumen!O123</f>
        <v>-2823.6652615150551</v>
      </c>
      <c r="E57" s="370">
        <f t="shared" si="1"/>
        <v>-17590.86475108354</v>
      </c>
      <c r="F57" s="60">
        <f>+E57*1000/Resumen!AD123</f>
        <v>-9.0674308066973977E-2</v>
      </c>
      <c r="G57" s="64">
        <f>+Resumen!Z98</f>
        <v>-2280.6501548253564</v>
      </c>
      <c r="H57" s="64">
        <f>+Resumen!O98</f>
        <v>-436.08760214814902</v>
      </c>
      <c r="I57" s="64">
        <f t="shared" si="2"/>
        <v>-2716.7377569735054</v>
      </c>
      <c r="K57" s="209" t="s">
        <v>20</v>
      </c>
      <c r="L57" s="370">
        <f>Resumen!AC123</f>
        <v>-17590.86475108354</v>
      </c>
      <c r="M57" s="12">
        <f>Resumen!AD123</f>
        <v>194000540.24223217</v>
      </c>
    </row>
    <row r="58" spans="2:13">
      <c r="B58" s="209" t="s">
        <v>60</v>
      </c>
      <c r="C58" s="64">
        <f>+Resumen!Z124</f>
        <v>2027.2433852472648</v>
      </c>
      <c r="D58" s="64">
        <f>+Resumen!O124</f>
        <v>-1852.7369298018823</v>
      </c>
      <c r="E58" s="370">
        <f t="shared" si="1"/>
        <v>174.50645544538247</v>
      </c>
      <c r="F58" s="60">
        <f>+E58*1000/Resumen!AD124</f>
        <v>6.5415415641340941E-3</v>
      </c>
      <c r="G58" s="64">
        <f>+Resumen!Z99</f>
        <v>1379.608798388811</v>
      </c>
      <c r="H58" s="64">
        <f>+Resumen!O99</f>
        <v>-1260.8511578114167</v>
      </c>
      <c r="I58" s="64">
        <f t="shared" si="2"/>
        <v>118.75764057739434</v>
      </c>
      <c r="K58" s="209" t="s">
        <v>60</v>
      </c>
      <c r="L58" s="370">
        <f>Resumen!AC124</f>
        <v>174.50645544538247</v>
      </c>
      <c r="M58" s="12">
        <f>Resumen!AD124</f>
        <v>26676656.218492124</v>
      </c>
    </row>
    <row r="59" spans="2:13">
      <c r="B59" s="209" t="s">
        <v>61</v>
      </c>
      <c r="C59" s="64">
        <f>+Resumen!Z125</f>
        <v>-556.28828338876383</v>
      </c>
      <c r="D59" s="64">
        <f>+Resumen!O125</f>
        <v>380.67603647198308</v>
      </c>
      <c r="E59" s="370">
        <f t="shared" si="1"/>
        <v>-175.61224691678075</v>
      </c>
      <c r="F59" s="60">
        <f>+E59*1000/Resumen!AD125</f>
        <v>-1.0053023583874996E-2</v>
      </c>
      <c r="G59" s="64">
        <f>+Resumen!Z100</f>
        <v>-865.63847572335362</v>
      </c>
      <c r="H59" s="64">
        <f>+Resumen!O100</f>
        <v>592.36880192517674</v>
      </c>
      <c r="I59" s="64">
        <f t="shared" si="2"/>
        <v>-273.26967379817688</v>
      </c>
      <c r="K59" s="209" t="s">
        <v>61</v>
      </c>
      <c r="L59" s="370">
        <f>Resumen!AC125</f>
        <v>-175.61224691678075</v>
      </c>
      <c r="M59" s="12">
        <f>Resumen!AD125</f>
        <v>17468599.914404057</v>
      </c>
    </row>
    <row r="60" spans="2:13">
      <c r="B60" s="209" t="s">
        <v>62</v>
      </c>
      <c r="C60" s="64">
        <f>+Resumen!Z126</f>
        <v>-3746.9699174267189</v>
      </c>
      <c r="D60" s="64">
        <f>+Resumen!O126</f>
        <v>5873.4127532114735</v>
      </c>
      <c r="E60" s="370">
        <f t="shared" si="1"/>
        <v>2126.4428357847546</v>
      </c>
      <c r="F60" s="60">
        <f>+E60*1000/Resumen!AD126</f>
        <v>3.3984636637638663E-2</v>
      </c>
      <c r="G60" s="64">
        <f>+Resumen!Z101</f>
        <v>-1710.6846594031085</v>
      </c>
      <c r="H60" s="64">
        <f>+Resumen!O101</f>
        <v>2681.5152821300835</v>
      </c>
      <c r="I60" s="64">
        <f t="shared" si="2"/>
        <v>970.83062272697498</v>
      </c>
      <c r="K60" s="209" t="s">
        <v>62</v>
      </c>
      <c r="L60" s="370">
        <f>Resumen!AC126</f>
        <v>2126.4428357847546</v>
      </c>
      <c r="M60" s="12">
        <f>Resumen!AD126</f>
        <v>62570709.772711739</v>
      </c>
    </row>
    <row r="61" spans="2:13">
      <c r="B61" s="209" t="s">
        <v>63</v>
      </c>
      <c r="C61" s="64">
        <f>+Resumen!Z127</f>
        <v>-82.720001977295539</v>
      </c>
      <c r="D61" s="64">
        <f>+Resumen!O127</f>
        <v>150.68201911574306</v>
      </c>
      <c r="E61" s="370">
        <f t="shared" si="1"/>
        <v>67.962017138447521</v>
      </c>
      <c r="F61" s="60">
        <f>+E61*1000/Resumen!AD127</f>
        <v>8.9621673670312579E-3</v>
      </c>
      <c r="G61" s="64">
        <f>+Resumen!Z102</f>
        <v>-258.08505380348015</v>
      </c>
      <c r="H61" s="64">
        <f>+Resumen!O102</f>
        <v>470.12543618383279</v>
      </c>
      <c r="I61" s="64">
        <f t="shared" si="2"/>
        <v>212.04038238035264</v>
      </c>
      <c r="K61" s="209" t="s">
        <v>63</v>
      </c>
      <c r="L61" s="370">
        <f>Resumen!AC127</f>
        <v>67.962017138447521</v>
      </c>
      <c r="M61" s="12">
        <f>Resumen!AD127</f>
        <v>7583212.2248080857</v>
      </c>
    </row>
    <row r="62" spans="2:13">
      <c r="B62" s="209" t="s">
        <v>64</v>
      </c>
      <c r="C62" s="64">
        <f>+Resumen!Z128</f>
        <v>345.92903912060279</v>
      </c>
      <c r="D62" s="64">
        <f>+Resumen!O128</f>
        <v>308.29310714506846</v>
      </c>
      <c r="E62" s="370">
        <f t="shared" si="1"/>
        <v>654.2221462656712</v>
      </c>
      <c r="F62" s="60">
        <f>+E62*1000/Resumen!AD128</f>
        <v>0.22011498767756948</v>
      </c>
      <c r="G62" s="64">
        <f>+Resumen!Z103</f>
        <v>2050.9768691321151</v>
      </c>
      <c r="H62" s="64">
        <f>+Resumen!O103</f>
        <v>1827.8373890633738</v>
      </c>
      <c r="I62" s="64">
        <f t="shared" si="2"/>
        <v>3878.8142581954889</v>
      </c>
      <c r="K62" s="209" t="s">
        <v>64</v>
      </c>
      <c r="L62" s="370">
        <f>Resumen!AC128</f>
        <v>654.2221462656712</v>
      </c>
      <c r="M62" s="12">
        <f>Resumen!AD128</f>
        <v>2972183.5535524455</v>
      </c>
    </row>
    <row r="63" spans="2:13" ht="13.8" thickBot="1">
      <c r="B63" s="90" t="s">
        <v>502</v>
      </c>
      <c r="C63" s="64">
        <f>+Resumen!Z129</f>
        <v>0</v>
      </c>
      <c r="D63" s="64">
        <f>+Resumen!O129</f>
        <v>0</v>
      </c>
      <c r="E63" s="64">
        <f t="shared" si="1"/>
        <v>0</v>
      </c>
      <c r="F63" s="60"/>
      <c r="G63" s="64">
        <f>+Resumen!AD104</f>
        <v>0</v>
      </c>
      <c r="H63" s="64">
        <f>+Resumen!O104</f>
        <v>0</v>
      </c>
      <c r="I63" s="64">
        <f t="shared" si="2"/>
        <v>0</v>
      </c>
      <c r="K63" s="281" t="s">
        <v>495</v>
      </c>
      <c r="L63" s="375">
        <f>Resumen!AC129</f>
        <v>6.5824679040815681E-11</v>
      </c>
      <c r="M63" s="291">
        <f>Resumen!AD129</f>
        <v>1031272000</v>
      </c>
    </row>
    <row r="64" spans="2:13" ht="13.8" thickBot="1">
      <c r="B64" s="52" t="s">
        <v>503</v>
      </c>
      <c r="C64" s="54"/>
      <c r="D64" s="54"/>
      <c r="E64" s="280">
        <f>+SUMIF(E45:E63,"&gt;0")</f>
        <v>29493.515486918841</v>
      </c>
      <c r="F64" s="374">
        <f>+E64*1000/Resumen!AD129</f>
        <v>2.859916247790965E-2</v>
      </c>
      <c r="G64" s="281"/>
      <c r="H64" s="54"/>
      <c r="I64" s="54"/>
    </row>
    <row r="66" spans="1:14">
      <c r="H66" s="12">
        <f>+C36+D36</f>
        <v>764354.30403883115</v>
      </c>
      <c r="I66" s="9">
        <f>+D36/H66</f>
        <v>0.53339887208089565</v>
      </c>
    </row>
    <row r="68" spans="1:14" ht="18.2" thickBot="1">
      <c r="B68" s="259" t="str">
        <f>"Cuadro 6: Desglose aproximado por administraciones de los saldos relativos regionales, "&amp;(Resumen!C2)</f>
        <v>Cuadro 6: Desglose aproximado por administraciones de los saldos relativos regionales, 2013</v>
      </c>
      <c r="C68" s="261"/>
      <c r="D68" s="261"/>
      <c r="E68" s="261"/>
      <c r="F68" s="261"/>
      <c r="G68" s="261"/>
      <c r="H68" s="261"/>
      <c r="I68" s="14"/>
      <c r="N68" s="12"/>
    </row>
    <row r="69" spans="1:14">
      <c r="B69" s="263"/>
      <c r="C69" s="457" t="s">
        <v>504</v>
      </c>
      <c r="D69" s="457"/>
      <c r="E69" s="457"/>
      <c r="F69" s="457" t="s">
        <v>505</v>
      </c>
      <c r="G69" s="457"/>
      <c r="H69" s="457"/>
    </row>
    <row r="70" spans="1:14" ht="13.8" thickBot="1">
      <c r="B70" s="265"/>
      <c r="C70" s="266" t="s">
        <v>495</v>
      </c>
      <c r="D70" s="266" t="s">
        <v>506</v>
      </c>
      <c r="E70" s="266" t="s">
        <v>507</v>
      </c>
      <c r="F70" s="266" t="s">
        <v>495</v>
      </c>
      <c r="G70" s="266" t="s">
        <v>506</v>
      </c>
      <c r="H70" s="266" t="s">
        <v>507</v>
      </c>
      <c r="J70" s="211"/>
      <c r="K70" s="211"/>
    </row>
    <row r="71" spans="1:14">
      <c r="B71" s="49" t="s">
        <v>9</v>
      </c>
      <c r="C71" s="50">
        <f t="shared" ref="C71:C89" si="3">+E45</f>
        <v>6153.8121017056219</v>
      </c>
      <c r="D71" s="50">
        <f>+Resumen!H138</f>
        <v>1515.5889979805634</v>
      </c>
      <c r="E71" s="50">
        <f>+C71-D71</f>
        <v>4638.2231037250585</v>
      </c>
      <c r="F71" s="51">
        <f t="shared" ref="F71:F89" si="4">+F45</f>
        <v>4.4366556497745353E-2</v>
      </c>
      <c r="G71" s="51">
        <f>+D71*1000/Resumen!AD111</f>
        <v>1.0926798510410961E-2</v>
      </c>
      <c r="H71" s="51">
        <f>+E71*1000/Resumen!AD111</f>
        <v>3.3439757987334395E-2</v>
      </c>
      <c r="K71" s="12"/>
    </row>
    <row r="72" spans="1:14">
      <c r="B72" s="49" t="s">
        <v>10</v>
      </c>
      <c r="C72" s="50">
        <f t="shared" si="3"/>
        <v>763.13486154818952</v>
      </c>
      <c r="D72" s="50">
        <f>+Resumen!H139</f>
        <v>171.03070408890349</v>
      </c>
      <c r="E72" s="50">
        <f t="shared" ref="E72:E89" si="5">+C72-D72</f>
        <v>592.10415745928606</v>
      </c>
      <c r="F72" s="51">
        <f t="shared" si="4"/>
        <v>2.3347082220215705E-2</v>
      </c>
      <c r="G72" s="51">
        <f>+D72*1000/Resumen!AD112</f>
        <v>5.232453805667038E-3</v>
      </c>
      <c r="H72" s="51">
        <f>+E72*1000/Resumen!AD112</f>
        <v>1.8114628414548667E-2</v>
      </c>
      <c r="K72" s="12"/>
    </row>
    <row r="73" spans="1:14">
      <c r="B73" s="49" t="s">
        <v>11</v>
      </c>
      <c r="C73" s="50">
        <f t="shared" si="3"/>
        <v>2060.2399114898967</v>
      </c>
      <c r="D73" s="50">
        <f>+Resumen!H140</f>
        <v>-100.8297537344823</v>
      </c>
      <c r="E73" s="50">
        <f t="shared" si="5"/>
        <v>2161.0696652243792</v>
      </c>
      <c r="F73" s="51">
        <f t="shared" si="4"/>
        <v>9.9350784135097805E-2</v>
      </c>
      <c r="G73" s="51">
        <f>+D73*1000/Resumen!AD113</f>
        <v>-4.8623051333984155E-3</v>
      </c>
      <c r="H73" s="51">
        <f>+E73*1000/Resumen!AD113</f>
        <v>0.10421308926849622</v>
      </c>
      <c r="K73" s="12"/>
    </row>
    <row r="74" spans="1:14">
      <c r="B74" s="49" t="s">
        <v>31</v>
      </c>
      <c r="C74" s="50">
        <f t="shared" si="3"/>
        <v>-1510.5759083782041</v>
      </c>
      <c r="D74" s="50">
        <f>+Resumen!H141</f>
        <v>-186.03831654770337</v>
      </c>
      <c r="E74" s="50">
        <f t="shared" si="5"/>
        <v>-1324.5375918305008</v>
      </c>
      <c r="F74" s="51">
        <f t="shared" si="4"/>
        <v>-5.8413196666433694E-2</v>
      </c>
      <c r="G74" s="51">
        <f>+D74*1000/Resumen!AD114</f>
        <v>-7.194006412865708E-3</v>
      </c>
      <c r="H74" s="51">
        <f>+E74*1000/Resumen!AD114</f>
        <v>-5.1219190253567991E-2</v>
      </c>
      <c r="K74" s="12"/>
    </row>
    <row r="75" spans="1:14">
      <c r="B75" s="49" t="s">
        <v>12</v>
      </c>
      <c r="C75" s="50">
        <f t="shared" si="3"/>
        <v>3569.4005894500751</v>
      </c>
      <c r="D75" s="50">
        <f>+Resumen!H142</f>
        <v>215.03380127551</v>
      </c>
      <c r="E75" s="50">
        <f t="shared" si="5"/>
        <v>3354.366788174565</v>
      </c>
      <c r="F75" s="51">
        <f t="shared" si="4"/>
        <v>8.9189228108179197E-2</v>
      </c>
      <c r="G75" s="51">
        <f>+D75*1000/Resumen!AD115</f>
        <v>5.373086677246593E-3</v>
      </c>
      <c r="H75" s="51">
        <f>+E75*1000/Resumen!AD115</f>
        <v>8.3816141430932592E-2</v>
      </c>
      <c r="K75" s="12"/>
    </row>
    <row r="76" spans="1:14">
      <c r="B76" s="49" t="s">
        <v>13</v>
      </c>
      <c r="C76" s="50">
        <f t="shared" si="3"/>
        <v>462.54933427084745</v>
      </c>
      <c r="D76" s="50">
        <f>+Resumen!H143</f>
        <v>-77.019146251222608</v>
      </c>
      <c r="E76" s="50">
        <f t="shared" si="5"/>
        <v>539.5684805220701</v>
      </c>
      <c r="F76" s="51">
        <f t="shared" si="4"/>
        <v>3.9308658552293124E-2</v>
      </c>
      <c r="G76" s="51">
        <f>+D76*1000/Resumen!AD116</f>
        <v>-6.5452895457107328E-3</v>
      </c>
      <c r="H76" s="51">
        <f>+E76*1000/Resumen!AD116</f>
        <v>4.5853948098003861E-2</v>
      </c>
      <c r="K76" s="12"/>
    </row>
    <row r="77" spans="1:14">
      <c r="A77" s="211"/>
      <c r="B77" s="49" t="s">
        <v>14</v>
      </c>
      <c r="C77" s="50">
        <f t="shared" si="3"/>
        <v>4611.5526805437803</v>
      </c>
      <c r="D77" s="50">
        <f>+Resumen!H144</f>
        <v>703.78862581571752</v>
      </c>
      <c r="E77" s="50">
        <f t="shared" si="5"/>
        <v>3907.7640547280625</v>
      </c>
      <c r="F77" s="51">
        <f t="shared" si="4"/>
        <v>8.8421618018127396E-2</v>
      </c>
      <c r="G77" s="51">
        <f>+D77*1000/Resumen!AD117</f>
        <v>1.3494398383418701E-2</v>
      </c>
      <c r="H77" s="51">
        <f>+E77*1000/Resumen!AD117</f>
        <v>7.4927219634708678E-2</v>
      </c>
      <c r="I77" s="211"/>
      <c r="J77" s="211"/>
      <c r="K77" s="12"/>
      <c r="L77" s="211"/>
      <c r="M77" s="211"/>
      <c r="N77" s="211"/>
    </row>
    <row r="78" spans="1:14">
      <c r="A78" s="211"/>
      <c r="B78" s="49" t="s">
        <v>501</v>
      </c>
      <c r="C78" s="50">
        <f t="shared" si="3"/>
        <v>2464.7844708199318</v>
      </c>
      <c r="D78" s="50">
        <f>+Resumen!H145</f>
        <v>822.49358127826599</v>
      </c>
      <c r="E78" s="50">
        <f t="shared" si="5"/>
        <v>1642.2908895416658</v>
      </c>
      <c r="F78" s="51">
        <f t="shared" si="4"/>
        <v>6.6853245725803062E-2</v>
      </c>
      <c r="G78" s="51">
        <f>+D78*1000/Resumen!AD118</f>
        <v>2.2308792573169697E-2</v>
      </c>
      <c r="H78" s="51">
        <f>+E78*1000/Resumen!AD118</f>
        <v>4.4544453152633369E-2</v>
      </c>
      <c r="I78" s="211"/>
      <c r="J78" s="211"/>
      <c r="K78" s="12"/>
      <c r="L78" s="211"/>
      <c r="M78" s="211"/>
      <c r="N78" s="211"/>
    </row>
    <row r="79" spans="1:14">
      <c r="A79" s="211"/>
      <c r="B79" s="49" t="s">
        <v>16</v>
      </c>
      <c r="C79" s="50">
        <f t="shared" si="3"/>
        <v>-8800.1018705661027</v>
      </c>
      <c r="D79" s="50">
        <f>+Resumen!H146</f>
        <v>-1611.1089944441399</v>
      </c>
      <c r="E79" s="50">
        <f t="shared" si="5"/>
        <v>-7188.9928761219626</v>
      </c>
      <c r="F79" s="51">
        <f t="shared" si="4"/>
        <v>-4.5259839052213043E-2</v>
      </c>
      <c r="G79" s="51">
        <f>+D79*1000/Resumen!AD119</f>
        <v>-8.2861010993528182E-3</v>
      </c>
      <c r="H79" s="51">
        <f>+E79*1000/Resumen!AD119</f>
        <v>-3.6973737952860228E-2</v>
      </c>
      <c r="I79" s="211"/>
      <c r="J79" s="211"/>
      <c r="K79" s="12"/>
      <c r="L79" s="211"/>
      <c r="M79" s="211"/>
      <c r="N79" s="211"/>
    </row>
    <row r="80" spans="1:14">
      <c r="A80" s="211"/>
      <c r="B80" s="49" t="s">
        <v>17</v>
      </c>
      <c r="C80" s="50">
        <f t="shared" si="3"/>
        <v>-1416.3607099741439</v>
      </c>
      <c r="D80" s="50">
        <f>+Resumen!H147</f>
        <v>-597.67126933661632</v>
      </c>
      <c r="E80" s="50">
        <f t="shared" si="5"/>
        <v>-818.68944063752758</v>
      </c>
      <c r="F80" s="51">
        <f t="shared" si="4"/>
        <v>-1.4758891129257134E-2</v>
      </c>
      <c r="G80" s="51">
        <f>+D80*1000/Resumen!AD120</f>
        <v>-6.2279087051102027E-3</v>
      </c>
      <c r="H80" s="51">
        <f>+E80*1000/Resumen!AD120</f>
        <v>-8.5309824241469323E-3</v>
      </c>
      <c r="I80" s="211"/>
      <c r="J80" s="211"/>
      <c r="K80" s="12"/>
      <c r="L80" s="211"/>
      <c r="M80" s="211"/>
      <c r="N80" s="211"/>
    </row>
    <row r="81" spans="1:16">
      <c r="A81" s="211"/>
      <c r="B81" s="49" t="s">
        <v>18</v>
      </c>
      <c r="C81" s="50">
        <f t="shared" si="3"/>
        <v>2730.0518044489363</v>
      </c>
      <c r="D81" s="50">
        <f>+Resumen!H148</f>
        <v>765.37630906578818</v>
      </c>
      <c r="E81" s="50">
        <f t="shared" si="5"/>
        <v>1964.6754953831482</v>
      </c>
      <c r="F81" s="51">
        <f t="shared" si="4"/>
        <v>0.16196893632938439</v>
      </c>
      <c r="G81" s="51">
        <f>+D81*1000/Resumen!AD121</f>
        <v>4.5408364218245588E-2</v>
      </c>
      <c r="H81" s="51">
        <f>+E81*1000/Resumen!AD121</f>
        <v>0.11656057211113882</v>
      </c>
      <c r="I81" s="211"/>
      <c r="J81" s="211"/>
      <c r="K81" s="12"/>
      <c r="L81" s="211"/>
      <c r="M81" s="211"/>
      <c r="N81" s="211"/>
    </row>
    <row r="82" spans="1:16">
      <c r="A82" s="211"/>
      <c r="B82" s="49" t="s">
        <v>19</v>
      </c>
      <c r="C82" s="50">
        <f t="shared" si="3"/>
        <v>3654.8562780073057</v>
      </c>
      <c r="D82" s="50">
        <f>+Resumen!H149</f>
        <v>290.6953193844551</v>
      </c>
      <c r="E82" s="50">
        <f t="shared" si="5"/>
        <v>3364.1609586228506</v>
      </c>
      <c r="F82" s="51">
        <f t="shared" si="4"/>
        <v>6.7751481856786477E-2</v>
      </c>
      <c r="G82" s="51">
        <f>+D82*1000/Resumen!AD122</f>
        <v>5.3887313642512783E-3</v>
      </c>
      <c r="H82" s="51">
        <f>+E82*1000/Resumen!AD122</f>
        <v>6.2362750492535195E-2</v>
      </c>
      <c r="I82" s="211"/>
      <c r="J82" s="211"/>
      <c r="K82" s="12"/>
      <c r="L82" s="211"/>
      <c r="M82" s="211"/>
      <c r="N82" s="211"/>
    </row>
    <row r="83" spans="1:16">
      <c r="A83" s="211"/>
      <c r="B83" s="49" t="s">
        <v>20</v>
      </c>
      <c r="C83" s="50">
        <f t="shared" si="3"/>
        <v>-17590.86475108354</v>
      </c>
      <c r="D83" s="50">
        <f>+Resumen!H150</f>
        <v>-1864.9454016432373</v>
      </c>
      <c r="E83" s="50">
        <f t="shared" si="5"/>
        <v>-15725.919349440303</v>
      </c>
      <c r="F83" s="51">
        <f t="shared" si="4"/>
        <v>-9.0674308066973977E-2</v>
      </c>
      <c r="G83" s="51">
        <f>+D83*1000/Resumen!AD123</f>
        <v>-9.613093856927598E-3</v>
      </c>
      <c r="H83" s="51">
        <f>+E83*1000/Resumen!AD123</f>
        <v>-8.1061214210046362E-2</v>
      </c>
      <c r="I83" s="211"/>
      <c r="J83" s="211"/>
      <c r="K83" s="12"/>
      <c r="L83" s="211"/>
      <c r="M83" s="211"/>
      <c r="N83" s="211"/>
    </row>
    <row r="84" spans="1:16">
      <c r="A84" s="211"/>
      <c r="B84" s="49" t="s">
        <v>60</v>
      </c>
      <c r="C84" s="50">
        <f t="shared" si="3"/>
        <v>174.50645544538247</v>
      </c>
      <c r="D84" s="50">
        <f>+Resumen!H151</f>
        <v>29.26857346309923</v>
      </c>
      <c r="E84" s="50">
        <f t="shared" si="5"/>
        <v>145.23788198228323</v>
      </c>
      <c r="F84" s="51">
        <f t="shared" si="4"/>
        <v>6.5415415641340941E-3</v>
      </c>
      <c r="G84" s="51">
        <f>+D84*1000/Resumen!AD124</f>
        <v>1.0971604995535535E-3</v>
      </c>
      <c r="H84" s="51">
        <f>+E84*1000/Resumen!AD124</f>
        <v>5.4443810645805396E-3</v>
      </c>
      <c r="I84" s="211"/>
      <c r="J84" s="211"/>
      <c r="K84" s="12"/>
      <c r="L84" s="211"/>
      <c r="M84" s="211"/>
      <c r="N84" s="211"/>
    </row>
    <row r="85" spans="1:16">
      <c r="A85" s="211"/>
      <c r="B85" s="49" t="s">
        <v>61</v>
      </c>
      <c r="C85" s="50">
        <f t="shared" si="3"/>
        <v>-175.61224691678075</v>
      </c>
      <c r="D85" s="50">
        <f>+Resumen!H152</f>
        <v>16.073858404044913</v>
      </c>
      <c r="E85" s="50">
        <f t="shared" si="5"/>
        <v>-191.68610532082567</v>
      </c>
      <c r="F85" s="51">
        <f t="shared" si="4"/>
        <v>-1.0053023583874996E-2</v>
      </c>
      <c r="G85" s="51">
        <f>+D85*1000/Resumen!AD125</f>
        <v>9.2015722397940523E-4</v>
      </c>
      <c r="H85" s="51">
        <f>+E85*1000/Resumen!AD125</f>
        <v>-1.0973180807854404E-2</v>
      </c>
      <c r="I85" s="211"/>
      <c r="J85" s="211"/>
      <c r="K85" s="12"/>
      <c r="L85" s="211"/>
      <c r="M85" s="211"/>
      <c r="N85" s="211"/>
    </row>
    <row r="86" spans="1:16">
      <c r="A86" s="211"/>
      <c r="B86" s="209" t="s">
        <v>62</v>
      </c>
      <c r="C86" s="64">
        <f t="shared" si="3"/>
        <v>2126.4428357847546</v>
      </c>
      <c r="D86" s="64">
        <f>+Resumen!H153</f>
        <v>-90.95589298620142</v>
      </c>
      <c r="E86" s="64">
        <f t="shared" si="5"/>
        <v>2217.398728770956</v>
      </c>
      <c r="F86" s="60">
        <f t="shared" si="4"/>
        <v>3.3984636637638663E-2</v>
      </c>
      <c r="G86" s="51">
        <f>+D86*1000/Resumen!AD126</f>
        <v>-1.4536496919500981E-3</v>
      </c>
      <c r="H86" s="51">
        <f>+E86*1000/Resumen!AD126</f>
        <v>3.5438286329588752E-2</v>
      </c>
      <c r="I86" s="211"/>
      <c r="J86" s="211"/>
      <c r="K86" s="12"/>
      <c r="L86" s="211"/>
      <c r="M86" s="211"/>
      <c r="N86" s="211"/>
    </row>
    <row r="87" spans="1:16">
      <c r="A87" s="211"/>
      <c r="B87" s="209" t="s">
        <v>63</v>
      </c>
      <c r="C87" s="64">
        <f t="shared" si="3"/>
        <v>67.962017138447521</v>
      </c>
      <c r="D87" s="64">
        <f>+Resumen!H154</f>
        <v>-18.42525980583725</v>
      </c>
      <c r="E87" s="64">
        <f t="shared" si="5"/>
        <v>86.387276944284764</v>
      </c>
      <c r="F87" s="60">
        <f t="shared" si="4"/>
        <v>8.9621673670312579E-3</v>
      </c>
      <c r="G87" s="51">
        <f>+D87*1000/Resumen!AD127</f>
        <v>-2.4297433936452373E-3</v>
      </c>
      <c r="H87" s="51">
        <f>+E87*1000/Resumen!AD127</f>
        <v>1.1391910760676494E-2</v>
      </c>
      <c r="I87" s="211"/>
      <c r="J87" s="211"/>
      <c r="K87" s="61"/>
      <c r="L87" s="211"/>
      <c r="M87" s="211"/>
      <c r="N87" s="211"/>
    </row>
    <row r="88" spans="1:16">
      <c r="A88" s="211"/>
      <c r="B88" s="209" t="s">
        <v>64</v>
      </c>
      <c r="C88" s="64">
        <f t="shared" si="3"/>
        <v>654.2221462656712</v>
      </c>
      <c r="D88" s="64">
        <f>+Resumen!H155</f>
        <v>17.644263993092604</v>
      </c>
      <c r="E88" s="64">
        <f t="shared" si="5"/>
        <v>636.57788227257856</v>
      </c>
      <c r="F88" s="60">
        <f t="shared" si="4"/>
        <v>0.22011498767756948</v>
      </c>
      <c r="G88" s="51">
        <f>+D88*1000/Resumen!AD128</f>
        <v>5.9364651190548564E-3</v>
      </c>
      <c r="H88" s="51">
        <f>+E88*1000/Resumen!AD128</f>
        <v>0.21417852255851461</v>
      </c>
      <c r="I88" s="211"/>
      <c r="J88" s="211"/>
      <c r="K88" s="61"/>
      <c r="L88" s="211"/>
      <c r="M88" s="211"/>
      <c r="N88" s="211"/>
    </row>
    <row r="89" spans="1:16" ht="13.8" thickBot="1">
      <c r="A89" s="211"/>
      <c r="B89" s="52" t="s">
        <v>502</v>
      </c>
      <c r="C89" s="253">
        <f t="shared" si="3"/>
        <v>0</v>
      </c>
      <c r="D89" s="253">
        <f>+Resumen!H156</f>
        <v>1.7408297026122455E-13</v>
      </c>
      <c r="E89" s="253">
        <f t="shared" si="5"/>
        <v>-1.7408297026122455E-13</v>
      </c>
      <c r="F89" s="253">
        <f t="shared" si="4"/>
        <v>0</v>
      </c>
      <c r="G89" s="255">
        <f>+D89*1000/Resumen!AD129</f>
        <v>1.6880412758343535E-19</v>
      </c>
      <c r="H89" s="255">
        <f>+E89*1000/Resumen!AD129</f>
        <v>-1.6880412758343535E-19</v>
      </c>
      <c r="I89" s="211"/>
      <c r="J89" s="211"/>
      <c r="K89" s="61"/>
      <c r="L89" s="211"/>
      <c r="M89" s="211"/>
      <c r="N89" s="211"/>
    </row>
    <row r="90" spans="1:16">
      <c r="A90" s="211"/>
      <c r="B90" s="90"/>
      <c r="C90" s="64"/>
      <c r="D90" s="64"/>
      <c r="E90" s="64"/>
      <c r="F90" s="64"/>
      <c r="G90" s="64"/>
      <c r="H90" s="64"/>
      <c r="I90" s="211"/>
      <c r="J90" s="211"/>
      <c r="K90" s="61"/>
      <c r="L90" s="211"/>
      <c r="M90" s="211"/>
      <c r="N90" s="211"/>
    </row>
    <row r="91" spans="1:16">
      <c r="A91" s="211"/>
      <c r="B91" s="90"/>
      <c r="C91" s="64"/>
      <c r="D91" s="64"/>
      <c r="E91" s="64"/>
      <c r="F91" s="64"/>
      <c r="G91" s="64"/>
      <c r="H91" s="64"/>
      <c r="I91" s="211"/>
      <c r="J91" s="211"/>
      <c r="K91" s="61"/>
      <c r="L91" s="211"/>
      <c r="M91" s="211"/>
      <c r="N91" s="211"/>
    </row>
    <row r="92" spans="1:16">
      <c r="A92" s="211"/>
      <c r="B92" s="211"/>
      <c r="C92" s="211"/>
      <c r="D92" s="211"/>
      <c r="E92" s="211"/>
      <c r="F92" s="211"/>
      <c r="G92" s="211"/>
      <c r="H92" s="211"/>
      <c r="I92" s="211"/>
      <c r="J92" s="211"/>
      <c r="K92" s="211"/>
      <c r="L92" s="211"/>
      <c r="M92" s="211"/>
      <c r="N92" s="211"/>
    </row>
    <row r="93" spans="1:16" ht="18.2" thickBot="1">
      <c r="A93" s="211"/>
      <c r="B93" s="259" t="str">
        <f>"Cuadro 7: Saldos relativos regionales, "&amp;(Resumen!C2)&amp;" vs "&amp;(Resumen!C2-1)</f>
        <v>Cuadro 7: Saldos relativos regionales, 2013 vs 2012</v>
      </c>
      <c r="C93" s="211"/>
      <c r="D93" s="211"/>
      <c r="E93" s="211"/>
      <c r="F93" s="211"/>
      <c r="G93" s="211"/>
      <c r="H93" s="211"/>
      <c r="I93" s="211"/>
      <c r="J93" s="211"/>
      <c r="K93" s="211"/>
      <c r="L93" s="211"/>
      <c r="M93" s="211"/>
      <c r="N93" s="211"/>
    </row>
    <row r="94" spans="1:16">
      <c r="A94" s="211"/>
      <c r="B94" s="263"/>
      <c r="C94" s="457" t="s">
        <v>504</v>
      </c>
      <c r="D94" s="457"/>
      <c r="E94" s="457"/>
      <c r="F94" s="457" t="s">
        <v>508</v>
      </c>
      <c r="G94" s="457"/>
      <c r="H94" s="457"/>
      <c r="I94" s="211"/>
      <c r="J94" s="211"/>
      <c r="K94" s="211"/>
      <c r="L94" s="211"/>
      <c r="M94" s="211"/>
      <c r="N94" s="211"/>
    </row>
    <row r="95" spans="1:16" ht="13.8" thickBot="1">
      <c r="A95" s="211"/>
      <c r="B95" s="265"/>
      <c r="C95" s="262">
        <f>D95-1</f>
        <v>2012</v>
      </c>
      <c r="D95" s="266">
        <f>Resumen!C2</f>
        <v>2013</v>
      </c>
      <c r="E95" s="266" t="s">
        <v>509</v>
      </c>
      <c r="F95" s="262">
        <f>G95-1</f>
        <v>2012</v>
      </c>
      <c r="G95" s="266">
        <f>Resumen!C2</f>
        <v>2013</v>
      </c>
      <c r="H95" s="266" t="s">
        <v>509</v>
      </c>
      <c r="I95" s="211"/>
      <c r="J95" s="211"/>
      <c r="K95" s="211"/>
      <c r="L95" s="211"/>
      <c r="M95" s="211"/>
      <c r="N95" s="211"/>
    </row>
    <row r="96" spans="1:16">
      <c r="A96" s="211"/>
      <c r="B96" s="49" t="s">
        <v>9</v>
      </c>
      <c r="C96" s="407">
        <v>8140.7760112939432</v>
      </c>
      <c r="D96" s="50">
        <f t="shared" ref="D96:D114" si="6">+C71</f>
        <v>6153.8121017056219</v>
      </c>
      <c r="E96" s="50">
        <f>+D96-C96</f>
        <v>-1986.9639095883213</v>
      </c>
      <c r="F96" s="409">
        <v>5.7483910708838577E-2</v>
      </c>
      <c r="G96" s="60">
        <f t="shared" ref="G96:G113" si="7">+F71</f>
        <v>4.4366556497745353E-2</v>
      </c>
      <c r="H96" s="441">
        <f>+G96-F96</f>
        <v>-1.3117354211093224E-2</v>
      </c>
      <c r="I96" s="65"/>
      <c r="J96" s="62"/>
      <c r="K96" s="63"/>
      <c r="L96" s="211"/>
      <c r="M96" s="211"/>
      <c r="N96" s="211"/>
      <c r="O96" s="60"/>
      <c r="P96" s="60"/>
    </row>
    <row r="97" spans="1:14">
      <c r="A97" s="211"/>
      <c r="B97" s="49" t="s">
        <v>10</v>
      </c>
      <c r="C97" s="407">
        <v>441.37568329594819</v>
      </c>
      <c r="D97" s="50">
        <f t="shared" si="6"/>
        <v>763.13486154818952</v>
      </c>
      <c r="E97" s="50">
        <f t="shared" ref="E97:E114" si="8">+D97-C97</f>
        <v>321.75917825224133</v>
      </c>
      <c r="F97" s="409">
        <v>1.3372571904361521E-2</v>
      </c>
      <c r="G97" s="60">
        <f t="shared" si="7"/>
        <v>2.3347082220215705E-2</v>
      </c>
      <c r="H97" s="51">
        <f t="shared" ref="H97:H113" si="9">+G97-F97</f>
        <v>9.9745103158541838E-3</v>
      </c>
      <c r="I97" s="91"/>
      <c r="J97" s="62"/>
      <c r="K97" s="60"/>
      <c r="L97" s="211"/>
      <c r="M97" s="92"/>
      <c r="N97" s="211"/>
    </row>
    <row r="98" spans="1:14">
      <c r="A98" s="211"/>
      <c r="B98" s="49" t="s">
        <v>11</v>
      </c>
      <c r="C98" s="407">
        <v>1765.3579412216075</v>
      </c>
      <c r="D98" s="50">
        <f t="shared" si="6"/>
        <v>2060.2399114898967</v>
      </c>
      <c r="E98" s="50">
        <f t="shared" si="8"/>
        <v>294.88197026828925</v>
      </c>
      <c r="F98" s="409">
        <v>8.108970277355565E-2</v>
      </c>
      <c r="G98" s="60">
        <f t="shared" si="7"/>
        <v>9.9350784135097805E-2</v>
      </c>
      <c r="H98" s="51">
        <f t="shared" si="9"/>
        <v>1.8261081361542156E-2</v>
      </c>
      <c r="I98" s="91"/>
      <c r="J98" s="62"/>
      <c r="K98" s="60"/>
      <c r="L98" s="211"/>
      <c r="M98" s="211"/>
      <c r="N98" s="211"/>
    </row>
    <row r="99" spans="1:14">
      <c r="A99" s="211"/>
      <c r="B99" s="49" t="s">
        <v>31</v>
      </c>
      <c r="C99" s="407">
        <v>-1657.8206266761413</v>
      </c>
      <c r="D99" s="50">
        <f t="shared" si="6"/>
        <v>-1510.5759083782041</v>
      </c>
      <c r="E99" s="50">
        <f t="shared" si="8"/>
        <v>147.2447182979372</v>
      </c>
      <c r="F99" s="409">
        <v>-6.335760584592344E-2</v>
      </c>
      <c r="G99" s="60">
        <f t="shared" si="7"/>
        <v>-5.8413196666433694E-2</v>
      </c>
      <c r="H99" s="51">
        <f t="shared" si="9"/>
        <v>4.9444091794897463E-3</v>
      </c>
      <c r="I99" s="91"/>
      <c r="J99" s="62"/>
      <c r="K99" s="60"/>
      <c r="L99" s="211"/>
      <c r="M99" s="211"/>
      <c r="N99" s="211"/>
    </row>
    <row r="100" spans="1:14">
      <c r="A100" s="211"/>
      <c r="B100" s="49" t="s">
        <v>12</v>
      </c>
      <c r="C100" s="407">
        <v>2781.4403675081767</v>
      </c>
      <c r="D100" s="50">
        <f t="shared" si="6"/>
        <v>3569.4005894500751</v>
      </c>
      <c r="E100" s="50">
        <f t="shared" si="8"/>
        <v>787.96022194189845</v>
      </c>
      <c r="F100" s="409">
        <v>6.8555406366124644E-2</v>
      </c>
      <c r="G100" s="60">
        <f t="shared" si="7"/>
        <v>8.9189228108179197E-2</v>
      </c>
      <c r="H100" s="53">
        <f t="shared" si="9"/>
        <v>2.0633821742054553E-2</v>
      </c>
      <c r="I100" s="91"/>
      <c r="J100" s="62"/>
      <c r="K100" s="60"/>
      <c r="L100" s="211"/>
      <c r="M100" s="211"/>
      <c r="N100" s="211"/>
    </row>
    <row r="101" spans="1:14">
      <c r="A101" s="211"/>
      <c r="B101" s="49" t="s">
        <v>13</v>
      </c>
      <c r="C101" s="407">
        <v>248.29197459764384</v>
      </c>
      <c r="D101" s="50">
        <f t="shared" si="6"/>
        <v>462.54933427084745</v>
      </c>
      <c r="E101" s="50">
        <f t="shared" si="8"/>
        <v>214.25735967320361</v>
      </c>
      <c r="F101" s="409">
        <v>2.0078957784922895E-2</v>
      </c>
      <c r="G101" s="60">
        <f t="shared" si="7"/>
        <v>3.9308658552293124E-2</v>
      </c>
      <c r="H101" s="51">
        <f t="shared" si="9"/>
        <v>1.9229700767370229E-2</v>
      </c>
      <c r="I101" s="91"/>
      <c r="J101" s="62"/>
      <c r="K101" s="60"/>
      <c r="L101" s="211"/>
      <c r="M101" s="211"/>
      <c r="N101" s="211"/>
    </row>
    <row r="102" spans="1:14">
      <c r="A102" s="211"/>
      <c r="B102" s="49" t="s">
        <v>14</v>
      </c>
      <c r="C102" s="407">
        <v>3132.5596339133335</v>
      </c>
      <c r="D102" s="50">
        <f t="shared" si="6"/>
        <v>4611.5526805437803</v>
      </c>
      <c r="E102" s="50">
        <f t="shared" si="8"/>
        <v>1478.9930466304468</v>
      </c>
      <c r="F102" s="409">
        <v>5.7852974573660017E-2</v>
      </c>
      <c r="G102" s="60">
        <f t="shared" si="7"/>
        <v>8.8421618018127396E-2</v>
      </c>
      <c r="H102" s="53">
        <f t="shared" si="9"/>
        <v>3.0568643444467379E-2</v>
      </c>
      <c r="I102" s="91"/>
      <c r="J102" s="62"/>
      <c r="K102" s="60"/>
      <c r="L102" s="211"/>
      <c r="M102" s="211"/>
      <c r="N102" s="211"/>
    </row>
    <row r="103" spans="1:14">
      <c r="A103" s="211"/>
      <c r="B103" s="49" t="s">
        <v>15</v>
      </c>
      <c r="C103" s="407">
        <v>1954.6751543818436</v>
      </c>
      <c r="D103" s="50">
        <f t="shared" si="6"/>
        <v>2464.7844708199318</v>
      </c>
      <c r="E103" s="50">
        <f t="shared" si="8"/>
        <v>510.10931643808817</v>
      </c>
      <c r="F103" s="409">
        <v>5.1230217148742152E-2</v>
      </c>
      <c r="G103" s="60">
        <f t="shared" si="7"/>
        <v>6.6853245725803062E-2</v>
      </c>
      <c r="H103" s="51">
        <f t="shared" si="9"/>
        <v>1.562302857706091E-2</v>
      </c>
      <c r="I103" s="91"/>
      <c r="J103" s="62"/>
      <c r="K103" s="60"/>
      <c r="L103" s="211"/>
      <c r="M103" s="211"/>
      <c r="N103" s="211"/>
    </row>
    <row r="104" spans="1:14">
      <c r="A104" s="211"/>
      <c r="B104" s="49" t="s">
        <v>16</v>
      </c>
      <c r="C104" s="407">
        <v>-7666.4554010230568</v>
      </c>
      <c r="D104" s="50">
        <f t="shared" si="6"/>
        <v>-8800.1018705661027</v>
      </c>
      <c r="E104" s="50">
        <f t="shared" si="8"/>
        <v>-1133.6464695430459</v>
      </c>
      <c r="F104" s="409">
        <v>-3.8666334609643624E-2</v>
      </c>
      <c r="G104" s="60">
        <f t="shared" si="7"/>
        <v>-4.5259839052213043E-2</v>
      </c>
      <c r="H104" s="442">
        <f t="shared" si="9"/>
        <v>-6.5935044425694186E-3</v>
      </c>
      <c r="I104" s="91"/>
      <c r="J104" s="62"/>
      <c r="K104" s="60"/>
      <c r="L104" s="211"/>
      <c r="M104" s="211"/>
      <c r="N104" s="211"/>
    </row>
    <row r="105" spans="1:14">
      <c r="B105" s="49" t="s">
        <v>17</v>
      </c>
      <c r="C105" s="407">
        <v>-1753.383760232753</v>
      </c>
      <c r="D105" s="50">
        <f t="shared" si="6"/>
        <v>-1416.3607099741439</v>
      </c>
      <c r="E105" s="50">
        <f t="shared" si="8"/>
        <v>337.02305025860915</v>
      </c>
      <c r="F105" s="409">
        <v>-1.787291030301737E-2</v>
      </c>
      <c r="G105" s="60">
        <f t="shared" si="7"/>
        <v>-1.4758891129257134E-2</v>
      </c>
      <c r="H105" s="442">
        <f t="shared" si="9"/>
        <v>3.1140191737602362E-3</v>
      </c>
      <c r="I105" s="14"/>
      <c r="J105" s="62"/>
      <c r="K105" s="60"/>
    </row>
    <row r="106" spans="1:14">
      <c r="B106" s="49" t="s">
        <v>18</v>
      </c>
      <c r="C106" s="407">
        <v>2608.8043570148657</v>
      </c>
      <c r="D106" s="50">
        <f t="shared" si="6"/>
        <v>2730.0518044489363</v>
      </c>
      <c r="E106" s="50">
        <f t="shared" si="8"/>
        <v>121.24744743407064</v>
      </c>
      <c r="F106" s="409">
        <v>0.1533082425499985</v>
      </c>
      <c r="G106" s="60">
        <f t="shared" si="7"/>
        <v>0.16196893632938439</v>
      </c>
      <c r="H106" s="442">
        <f t="shared" si="9"/>
        <v>8.6606937793858862E-3</v>
      </c>
      <c r="I106" s="14"/>
      <c r="J106" s="62"/>
      <c r="K106" s="60"/>
    </row>
    <row r="107" spans="1:14">
      <c r="B107" s="49" t="s">
        <v>19</v>
      </c>
      <c r="C107" s="407">
        <v>3828.6891329458845</v>
      </c>
      <c r="D107" s="50">
        <f t="shared" si="6"/>
        <v>3654.8562780073057</v>
      </c>
      <c r="E107" s="50">
        <f t="shared" si="8"/>
        <v>-173.83285493857875</v>
      </c>
      <c r="F107" s="409">
        <v>6.997317013656959E-2</v>
      </c>
      <c r="G107" s="60">
        <f t="shared" si="7"/>
        <v>6.7751481856786477E-2</v>
      </c>
      <c r="H107" s="442">
        <f t="shared" si="9"/>
        <v>-2.2216882797831128E-3</v>
      </c>
      <c r="I107" s="14"/>
      <c r="J107" s="62"/>
      <c r="K107" s="60"/>
    </row>
    <row r="108" spans="1:14">
      <c r="B108" s="49" t="s">
        <v>20</v>
      </c>
      <c r="C108" s="407">
        <v>-17088.332646308663</v>
      </c>
      <c r="D108" s="50">
        <f t="shared" si="6"/>
        <v>-17590.86475108354</v>
      </c>
      <c r="E108" s="50">
        <f t="shared" si="8"/>
        <v>-502.53210477487664</v>
      </c>
      <c r="F108" s="409">
        <v>-8.6021255093581481E-2</v>
      </c>
      <c r="G108" s="60">
        <f t="shared" si="7"/>
        <v>-9.0674308066973977E-2</v>
      </c>
      <c r="H108" s="442">
        <f t="shared" si="9"/>
        <v>-4.6530529733924963E-3</v>
      </c>
      <c r="I108" s="14"/>
      <c r="J108" s="62"/>
      <c r="K108" s="60"/>
    </row>
    <row r="109" spans="1:14">
      <c r="B109" s="49" t="s">
        <v>60</v>
      </c>
      <c r="C109" s="407">
        <v>265.72411357877354</v>
      </c>
      <c r="D109" s="50">
        <f t="shared" si="6"/>
        <v>174.50645544538247</v>
      </c>
      <c r="E109" s="50">
        <f t="shared" si="8"/>
        <v>-91.217658133391069</v>
      </c>
      <c r="F109" s="409">
        <v>9.8434793063341564E-3</v>
      </c>
      <c r="G109" s="60">
        <f t="shared" si="7"/>
        <v>6.5415415641340941E-3</v>
      </c>
      <c r="H109" s="51">
        <f t="shared" si="9"/>
        <v>-3.3019377422000623E-3</v>
      </c>
      <c r="I109" s="14"/>
      <c r="J109" s="62"/>
      <c r="K109" s="60"/>
    </row>
    <row r="110" spans="1:14">
      <c r="B110" s="49" t="s">
        <v>61</v>
      </c>
      <c r="C110" s="407">
        <v>70.601455457450584</v>
      </c>
      <c r="D110" s="50">
        <f t="shared" si="6"/>
        <v>-175.61224691678075</v>
      </c>
      <c r="E110" s="50">
        <f t="shared" si="8"/>
        <v>-246.21370237423133</v>
      </c>
      <c r="F110" s="409">
        <v>3.9696082407734007E-3</v>
      </c>
      <c r="G110" s="60">
        <f t="shared" si="7"/>
        <v>-1.0053023583874996E-2</v>
      </c>
      <c r="H110" s="53">
        <f t="shared" si="9"/>
        <v>-1.4022631824648397E-2</v>
      </c>
      <c r="I110" s="14"/>
      <c r="J110" s="62"/>
      <c r="K110" s="60"/>
    </row>
    <row r="111" spans="1:14">
      <c r="B111" s="49" t="s">
        <v>62</v>
      </c>
      <c r="C111" s="407">
        <v>2219.3881420158141</v>
      </c>
      <c r="D111" s="50">
        <f t="shared" si="6"/>
        <v>2126.4428357847546</v>
      </c>
      <c r="E111" s="50">
        <f t="shared" si="8"/>
        <v>-92.945306231059476</v>
      </c>
      <c r="F111" s="409">
        <v>3.453654333315672E-2</v>
      </c>
      <c r="G111" s="60">
        <f t="shared" si="7"/>
        <v>3.3984636637638663E-2</v>
      </c>
      <c r="H111" s="51">
        <f t="shared" si="9"/>
        <v>-5.5190669551805766E-4</v>
      </c>
      <c r="I111" s="14"/>
      <c r="J111" s="62"/>
      <c r="K111" s="60"/>
    </row>
    <row r="112" spans="1:14">
      <c r="B112" s="49" t="s">
        <v>63</v>
      </c>
      <c r="C112" s="407">
        <v>8.1617650420256069</v>
      </c>
      <c r="D112" s="50">
        <f t="shared" si="6"/>
        <v>67.962017138447521</v>
      </c>
      <c r="E112" s="50">
        <f t="shared" si="8"/>
        <v>59.800252096421914</v>
      </c>
      <c r="F112" s="409">
        <v>1.0519885814353866E-3</v>
      </c>
      <c r="G112" s="60">
        <f t="shared" si="7"/>
        <v>8.9621673670312579E-3</v>
      </c>
      <c r="H112" s="51">
        <f t="shared" si="9"/>
        <v>7.9101787855958717E-3</v>
      </c>
      <c r="J112" s="62"/>
      <c r="K112" s="60"/>
    </row>
    <row r="113" spans="2:11">
      <c r="B113" s="49" t="s">
        <v>64</v>
      </c>
      <c r="C113" s="407">
        <v>700.14670197322971</v>
      </c>
      <c r="D113" s="50">
        <f t="shared" si="6"/>
        <v>654.2221462656712</v>
      </c>
      <c r="E113" s="50">
        <f t="shared" si="8"/>
        <v>-45.924555707558511</v>
      </c>
      <c r="F113" s="409">
        <v>0.23769884501657765</v>
      </c>
      <c r="G113" s="60">
        <f t="shared" si="7"/>
        <v>0.22011498767756948</v>
      </c>
      <c r="H113" s="51">
        <f t="shared" si="9"/>
        <v>-1.7583857339008163E-2</v>
      </c>
      <c r="J113" s="62"/>
      <c r="K113" s="60"/>
    </row>
    <row r="114" spans="2:11">
      <c r="B114" s="210" t="s">
        <v>84</v>
      </c>
      <c r="C114" s="408">
        <v>0</v>
      </c>
      <c r="D114" s="59">
        <f t="shared" si="6"/>
        <v>0</v>
      </c>
      <c r="E114" s="59">
        <f t="shared" si="8"/>
        <v>0</v>
      </c>
      <c r="F114" s="410">
        <v>0</v>
      </c>
      <c r="G114" s="66">
        <v>0</v>
      </c>
      <c r="H114" s="66">
        <v>0</v>
      </c>
      <c r="J114" s="64"/>
      <c r="K114" s="211"/>
    </row>
    <row r="115" spans="2:11">
      <c r="B115" s="209"/>
      <c r="C115" s="209"/>
      <c r="D115" s="209"/>
      <c r="E115" s="209"/>
      <c r="F115" s="209"/>
      <c r="G115" s="209"/>
      <c r="H115" s="267"/>
      <c r="J115" s="64"/>
      <c r="K115" s="211"/>
    </row>
    <row r="116" spans="2:11">
      <c r="B116" s="209"/>
      <c r="C116" s="209"/>
      <c r="D116" s="209"/>
      <c r="E116" s="209"/>
      <c r="F116" s="209"/>
      <c r="G116" s="209"/>
      <c r="H116" s="267"/>
      <c r="J116" s="64"/>
      <c r="K116" s="211"/>
    </row>
    <row r="117" spans="2:11">
      <c r="B117" s="209"/>
      <c r="C117" s="209"/>
      <c r="D117" s="209"/>
      <c r="E117" s="209"/>
      <c r="F117" s="209"/>
      <c r="G117" s="209"/>
      <c r="H117" s="267"/>
      <c r="J117" s="64"/>
      <c r="K117" s="211"/>
    </row>
    <row r="118" spans="2:11">
      <c r="J118" s="50"/>
    </row>
    <row r="119" spans="2:11" ht="18.2" thickBot="1">
      <c r="B119" s="259" t="str">
        <f>"Cuadro 8a: Componentes del saldo relativo total ligado a los ingresos tributarios, millones de euros, ejercicio "&amp;(Resumen!C2)</f>
        <v>Cuadro 8a: Componentes del saldo relativo total ligado a los ingresos tributarios, millones de euros, ejercicio 2013</v>
      </c>
    </row>
    <row r="120" spans="2:11" ht="26.95" thickBot="1">
      <c r="B120" s="268"/>
      <c r="C120" s="269" t="s">
        <v>510</v>
      </c>
      <c r="D120" s="269" t="s">
        <v>511</v>
      </c>
      <c r="E120" s="269" t="s">
        <v>512</v>
      </c>
      <c r="F120" s="269" t="s">
        <v>513</v>
      </c>
      <c r="G120" s="269" t="s">
        <v>514</v>
      </c>
      <c r="H120" s="269" t="s">
        <v>515</v>
      </c>
      <c r="I120" s="269" t="s">
        <v>516</v>
      </c>
      <c r="J120" s="271" t="str">
        <f>"Total ingresos tributarios, "&amp; (Resumen!C2-1)</f>
        <v>Total ingresos tributarios, 2012</v>
      </c>
    </row>
    <row r="121" spans="2:11">
      <c r="B121" s="49" t="s">
        <v>9</v>
      </c>
      <c r="C121" s="50">
        <f>+Resumen!T111</f>
        <v>7529.1622220527588</v>
      </c>
      <c r="D121" s="50">
        <f>+Resumen!U111</f>
        <v>5160.242816334965</v>
      </c>
      <c r="E121" s="67">
        <f>+Resumen!W111</f>
        <v>1.574500305565294</v>
      </c>
      <c r="F121" s="50">
        <f>+Resumen!AF111</f>
        <v>12690.979538693289</v>
      </c>
      <c r="G121" s="50">
        <f>+Resumen!V111</f>
        <v>733.5173431935151</v>
      </c>
      <c r="H121" s="50">
        <f>+Resumen!Y111</f>
        <v>-618.73146460978921</v>
      </c>
      <c r="I121" s="50">
        <f>+Resumen!Z111</f>
        <v>12805.765417277025</v>
      </c>
      <c r="J121" s="411">
        <v>12598.158262967239</v>
      </c>
    </row>
    <row r="122" spans="2:11">
      <c r="B122" s="49" t="s">
        <v>10</v>
      </c>
      <c r="C122" s="50">
        <f>+Resumen!T112</f>
        <v>-333.94643254927416</v>
      </c>
      <c r="D122" s="50">
        <f>+Resumen!U112</f>
        <v>-289.17297722547312</v>
      </c>
      <c r="E122" s="67">
        <f>+Resumen!W112</f>
        <v>-4.2767592704872494E-2</v>
      </c>
      <c r="F122" s="50">
        <f>+Resumen!AF112</f>
        <v>-623.16217736745216</v>
      </c>
      <c r="G122" s="50">
        <f>+Resumen!V112</f>
        <v>-33.876442434459413</v>
      </c>
      <c r="H122" s="50">
        <f>+Resumen!Y112</f>
        <v>-97.474978503342285</v>
      </c>
      <c r="I122" s="50">
        <f>+Resumen!Z112</f>
        <v>-754.51359830525166</v>
      </c>
      <c r="J122" s="411">
        <v>-910.9249961394687</v>
      </c>
    </row>
    <row r="123" spans="2:11">
      <c r="B123" s="49" t="s">
        <v>11</v>
      </c>
      <c r="C123" s="50">
        <f>+Resumen!T113</f>
        <v>-127.34398456983281</v>
      </c>
      <c r="D123" s="50">
        <f>+Resumen!U113</f>
        <v>-69.130378990596498</v>
      </c>
      <c r="E123" s="67">
        <f>+Resumen!W113</f>
        <v>-3.1696177995346742E-2</v>
      </c>
      <c r="F123" s="50">
        <f>+Resumen!AF113</f>
        <v>-196.50605973842465</v>
      </c>
      <c r="G123" s="50">
        <f>+Resumen!V113</f>
        <v>26.582336731919501</v>
      </c>
      <c r="H123" s="50">
        <f>+Resumen!Y113</f>
        <v>-169.35110670764669</v>
      </c>
      <c r="I123" s="50">
        <f>+Resumen!Z113</f>
        <v>-339.27482971414884</v>
      </c>
      <c r="J123" s="411">
        <v>-521.20589679584259</v>
      </c>
    </row>
    <row r="124" spans="2:11">
      <c r="B124" s="49" t="s">
        <v>31</v>
      </c>
      <c r="C124" s="50">
        <f>+Resumen!T114</f>
        <v>-29.238961159712773</v>
      </c>
      <c r="D124" s="50">
        <f>+Resumen!U114</f>
        <v>-151.05595373882957</v>
      </c>
      <c r="E124" s="67">
        <f>+Resumen!W114</f>
        <v>-0.20433782366237696</v>
      </c>
      <c r="F124" s="50">
        <f>+Resumen!AF114</f>
        <v>-180.49925272220472</v>
      </c>
      <c r="G124" s="50">
        <f>+Resumen!V114</f>
        <v>-164.61920707553978</v>
      </c>
      <c r="H124" s="50">
        <f>+Resumen!Y114</f>
        <v>-158.71591309386952</v>
      </c>
      <c r="I124" s="50">
        <f>+Resumen!Z114</f>
        <v>-503.83437289161276</v>
      </c>
      <c r="J124" s="411">
        <v>-381.89548145560985</v>
      </c>
    </row>
    <row r="125" spans="2:11">
      <c r="B125" s="49" t="s">
        <v>12</v>
      </c>
      <c r="C125" s="50">
        <f>+Resumen!T115</f>
        <v>1741.9596986205963</v>
      </c>
      <c r="D125" s="50">
        <f>+Resumen!U115</f>
        <v>785.03997660658365</v>
      </c>
      <c r="E125" s="67">
        <f>+Resumen!W115</f>
        <v>0.35096989433609332</v>
      </c>
      <c r="F125" s="50">
        <f>+Resumen!AF115</f>
        <v>2527.3506451215162</v>
      </c>
      <c r="G125" s="50">
        <f>+Resumen!V115</f>
        <v>248.39864082697463</v>
      </c>
      <c r="H125" s="50">
        <f>+Resumen!Y115</f>
        <v>1657.7229789165394</v>
      </c>
      <c r="I125" s="50">
        <f>+Resumen!Z115</f>
        <v>4433.472264865035</v>
      </c>
      <c r="J125" s="411">
        <v>4484.733384110561</v>
      </c>
    </row>
    <row r="126" spans="2:11">
      <c r="B126" s="49" t="s">
        <v>13</v>
      </c>
      <c r="C126" s="50">
        <f>+Resumen!T116</f>
        <v>-73.684004881260321</v>
      </c>
      <c r="D126" s="50">
        <f>+Resumen!U116</f>
        <v>-47.281929650512623</v>
      </c>
      <c r="E126" s="67">
        <f>+Resumen!W116</f>
        <v>-5.093648153275665E-2</v>
      </c>
      <c r="F126" s="50">
        <f>+Resumen!AF116</f>
        <v>-121.0168710133057</v>
      </c>
      <c r="G126" s="50">
        <f>+Resumen!V116</f>
        <v>-22.550075549950133</v>
      </c>
      <c r="H126" s="50">
        <f>+Resumen!Y116</f>
        <v>-71.285227272086217</v>
      </c>
      <c r="I126" s="50">
        <f>+Resumen!Z116</f>
        <v>-214.85217383534098</v>
      </c>
      <c r="J126" s="411">
        <v>-211.84581658626746</v>
      </c>
    </row>
    <row r="127" spans="2:11">
      <c r="B127" s="49" t="s">
        <v>14</v>
      </c>
      <c r="C127" s="50">
        <f>+Resumen!T117</f>
        <v>376.26591802845707</v>
      </c>
      <c r="D127" s="50">
        <f>+Resumen!U117</f>
        <v>180.27568325464159</v>
      </c>
      <c r="E127" s="67">
        <f>+Resumen!W117</f>
        <v>2.6998971433014909E-2</v>
      </c>
      <c r="F127" s="50">
        <f>+Resumen!AF117</f>
        <v>556.5686002545317</v>
      </c>
      <c r="G127" s="50">
        <f>+Resumen!V117</f>
        <v>62.347185328045434</v>
      </c>
      <c r="H127" s="50">
        <f>+Resumen!Y117</f>
        <v>-116.2994495606731</v>
      </c>
      <c r="I127" s="50">
        <f>+Resumen!Z117</f>
        <v>502.61633602191063</v>
      </c>
      <c r="J127" s="411">
        <v>164.70553518497329</v>
      </c>
    </row>
    <row r="128" spans="2:11">
      <c r="B128" s="49" t="s">
        <v>501</v>
      </c>
      <c r="C128" s="50">
        <f>+Resumen!T118</f>
        <v>1636.0455673426477</v>
      </c>
      <c r="D128" s="50">
        <f>+Resumen!U118</f>
        <v>834.70627565201482</v>
      </c>
      <c r="E128" s="67">
        <f>+Resumen!W118</f>
        <v>0.31952053755842474</v>
      </c>
      <c r="F128" s="50">
        <f>+Resumen!AF118</f>
        <v>2471.0713635322209</v>
      </c>
      <c r="G128" s="50">
        <f>+Resumen!V118</f>
        <v>107.56785456560327</v>
      </c>
      <c r="H128" s="50">
        <f>+Resumen!Y118</f>
        <v>130.21054880021165</v>
      </c>
      <c r="I128" s="50">
        <f>+Resumen!Z118</f>
        <v>2708.8497668980394</v>
      </c>
      <c r="J128" s="411">
        <v>2662.3066207381403</v>
      </c>
    </row>
    <row r="129" spans="2:10">
      <c r="B129" s="49" t="s">
        <v>16</v>
      </c>
      <c r="C129" s="50">
        <f>+Resumen!T119</f>
        <v>-4167.2789344054036</v>
      </c>
      <c r="D129" s="50">
        <f>+Resumen!U119</f>
        <v>-3463.7709847728229</v>
      </c>
      <c r="E129" s="67">
        <f>+Resumen!W119</f>
        <v>-1.2551925622268565</v>
      </c>
      <c r="F129" s="50">
        <f>+Resumen!AF119</f>
        <v>-7632.305111740453</v>
      </c>
      <c r="G129" s="50">
        <f>+Resumen!V119</f>
        <v>-953.37020856974721</v>
      </c>
      <c r="H129" s="50">
        <f>+Resumen!Y119</f>
        <v>-1232.1357637798128</v>
      </c>
      <c r="I129" s="50">
        <f>+Resumen!Z119</f>
        <v>-9817.8110840900081</v>
      </c>
      <c r="J129" s="411">
        <v>-8934.487885762117</v>
      </c>
    </row>
    <row r="130" spans="2:10">
      <c r="B130" s="49" t="s">
        <v>17</v>
      </c>
      <c r="C130" s="50">
        <f>+Resumen!T120</f>
        <v>2751.5818811076711</v>
      </c>
      <c r="D130" s="50">
        <f>+Resumen!U120</f>
        <v>1955.5580041260919</v>
      </c>
      <c r="E130" s="67">
        <f>+Resumen!W120</f>
        <v>0.55159668768923553</v>
      </c>
      <c r="F130" s="50">
        <f>+Resumen!AF120</f>
        <v>4707.6914819214517</v>
      </c>
      <c r="G130" s="50">
        <f>+Resumen!V120</f>
        <v>76.244320751600966</v>
      </c>
      <c r="H130" s="50">
        <f>+Resumen!Y120</f>
        <v>-338.43994258332987</v>
      </c>
      <c r="I130" s="50">
        <f>+Resumen!Z120</f>
        <v>4445.495860089738</v>
      </c>
      <c r="J130" s="411">
        <v>4712.3459657775584</v>
      </c>
    </row>
    <row r="131" spans="2:10">
      <c r="B131" s="49" t="s">
        <v>18</v>
      </c>
      <c r="C131" s="50">
        <f>+Resumen!T121</f>
        <v>1108.3563344321776</v>
      </c>
      <c r="D131" s="50">
        <f>+Resumen!U121</f>
        <v>730.83251774638939</v>
      </c>
      <c r="E131" s="67">
        <f>+Resumen!W121</f>
        <v>0.26619177758768692</v>
      </c>
      <c r="F131" s="50">
        <f>+Resumen!AF121</f>
        <v>1839.4550439561547</v>
      </c>
      <c r="G131" s="50">
        <f>+Resumen!V121</f>
        <v>170.73689858493648</v>
      </c>
      <c r="H131" s="50">
        <f>+Resumen!Y121</f>
        <v>-216.62480595659653</v>
      </c>
      <c r="I131" s="50">
        <f>+Resumen!Z121</f>
        <v>1793.5671365844969</v>
      </c>
      <c r="J131" s="411">
        <v>1692.1761910162941</v>
      </c>
    </row>
    <row r="132" spans="2:10">
      <c r="B132" s="49" t="s">
        <v>19</v>
      </c>
      <c r="C132" s="50">
        <f>+Resumen!T122</f>
        <v>953.2097166283977</v>
      </c>
      <c r="D132" s="50">
        <f>+Resumen!U122</f>
        <v>519.31115482022403</v>
      </c>
      <c r="E132" s="67">
        <f>+Resumen!W122</f>
        <v>0.19765344873285201</v>
      </c>
      <c r="F132" s="50">
        <f>+Resumen!AF122</f>
        <v>1472.7185248973544</v>
      </c>
      <c r="G132" s="50">
        <f>+Resumen!V122</f>
        <v>353.03406303667981</v>
      </c>
      <c r="H132" s="50">
        <f>+Resumen!Y122</f>
        <v>-105.22804284051699</v>
      </c>
      <c r="I132" s="50">
        <f>+Resumen!Z122</f>
        <v>1720.5245450935197</v>
      </c>
      <c r="J132" s="411">
        <v>1629.261904031976</v>
      </c>
    </row>
    <row r="133" spans="2:10">
      <c r="B133" s="49" t="s">
        <v>20</v>
      </c>
      <c r="C133" s="50">
        <f>+Resumen!T123</f>
        <v>-9837.9717439157848</v>
      </c>
      <c r="D133" s="50">
        <f>+Resumen!U123</f>
        <v>-4459.3117593985353</v>
      </c>
      <c r="E133" s="67">
        <f>+Resumen!W123</f>
        <v>-1.4298908457578263</v>
      </c>
      <c r="F133" s="50">
        <f>+Resumen!AF123</f>
        <v>-14298.713394160079</v>
      </c>
      <c r="G133" s="50">
        <f>+Resumen!V123</f>
        <v>-752.51338297708537</v>
      </c>
      <c r="H133" s="50">
        <f>+Resumen!Y123</f>
        <v>284.02728756867225</v>
      </c>
      <c r="I133" s="50">
        <f>+Resumen!Z123</f>
        <v>-14767.199489568486</v>
      </c>
      <c r="J133" s="411">
        <v>-14912.434266771021</v>
      </c>
    </row>
    <row r="134" spans="2:10">
      <c r="B134" s="49" t="s">
        <v>60</v>
      </c>
      <c r="C134" s="50">
        <f>+Resumen!T124</f>
        <v>1311.8004195709393</v>
      </c>
      <c r="D134" s="50">
        <f>+Resumen!U124</f>
        <v>749.02400576077264</v>
      </c>
      <c r="E134" s="67">
        <f>+Resumen!W124</f>
        <v>0.36203285499537546</v>
      </c>
      <c r="F134" s="50">
        <f>+Resumen!AF124</f>
        <v>2061.1864581867076</v>
      </c>
      <c r="G134" s="50">
        <f>+Resumen!V124</f>
        <v>75.968128910018322</v>
      </c>
      <c r="H134" s="50">
        <f>+Resumen!Y124</f>
        <v>-109.91120184946348</v>
      </c>
      <c r="I134" s="50">
        <f>+Resumen!Z124</f>
        <v>2027.2433852472648</v>
      </c>
      <c r="J134" s="411">
        <v>2189.5962959649628</v>
      </c>
    </row>
    <row r="135" spans="2:10">
      <c r="B135" s="49" t="s">
        <v>61</v>
      </c>
      <c r="C135" s="50">
        <f>+Resumen!T125</f>
        <v>-427.20947193132548</v>
      </c>
      <c r="D135" s="50">
        <f>+Resumen!U125</f>
        <v>-423.91027639947623</v>
      </c>
      <c r="E135" s="67">
        <f>+Resumen!W125</f>
        <v>-6.5882235972254677E-2</v>
      </c>
      <c r="F135" s="50">
        <f>+Resumen!AF125</f>
        <v>-851.18563056677397</v>
      </c>
      <c r="G135" s="50">
        <f>+Resumen!V125</f>
        <v>19.420151271297129</v>
      </c>
      <c r="H135" s="50">
        <f>+Resumen!Y125</f>
        <v>275.47719590671193</v>
      </c>
      <c r="I135" s="50">
        <f>+Resumen!Z125</f>
        <v>-556.28828338876383</v>
      </c>
      <c r="J135" s="411">
        <v>-604.68507441601389</v>
      </c>
    </row>
    <row r="136" spans="2:10">
      <c r="B136" s="49" t="s">
        <v>62</v>
      </c>
      <c r="C136" s="50">
        <f>+Resumen!T126</f>
        <v>-2531.3049612570571</v>
      </c>
      <c r="D136" s="50">
        <f>+Resumen!U126</f>
        <v>-2048.0440837399574</v>
      </c>
      <c r="E136" s="67">
        <f>+Resumen!W126</f>
        <v>-0.63105954160143063</v>
      </c>
      <c r="F136" s="50">
        <f>+Resumen!AF126</f>
        <v>-4579.9801045386157</v>
      </c>
      <c r="G136" s="50">
        <f>+Resumen!V126</f>
        <v>2.8396183657475786</v>
      </c>
      <c r="H136" s="50">
        <f>+Resumen!Y126</f>
        <v>830.17056874614821</v>
      </c>
      <c r="I136" s="50">
        <f>+Resumen!Z126</f>
        <v>-3746.9699174267189</v>
      </c>
      <c r="J136" s="411">
        <v>-3886.1440095964499</v>
      </c>
    </row>
    <row r="137" spans="2:10">
      <c r="B137" s="49" t="s">
        <v>63</v>
      </c>
      <c r="C137" s="50">
        <f>+Resumen!T127</f>
        <v>-7.6766989943542763</v>
      </c>
      <c r="D137" s="50">
        <f>+Resumen!U127</f>
        <v>-48.341370945045639</v>
      </c>
      <c r="E137" s="67">
        <f>+Resumen!W127</f>
        <v>7.1952184238904529E-3</v>
      </c>
      <c r="F137" s="50">
        <f>+Resumen!AF127</f>
        <v>-56.010874720976027</v>
      </c>
      <c r="G137" s="50">
        <f>+Resumen!V127</f>
        <v>-11.171321959770387</v>
      </c>
      <c r="H137" s="50">
        <f>+Resumen!Y127</f>
        <v>-15.537805296550031</v>
      </c>
      <c r="I137" s="50">
        <f>+Resumen!Z127</f>
        <v>-82.720001977295539</v>
      </c>
      <c r="J137" s="411">
        <v>-105.75066275089951</v>
      </c>
    </row>
    <row r="138" spans="2:10">
      <c r="B138" s="210" t="s">
        <v>64</v>
      </c>
      <c r="C138" s="59">
        <f>+Resumen!T128</f>
        <v>127.273435880319</v>
      </c>
      <c r="D138" s="59">
        <f>+Resumen!U128</f>
        <v>85.029280559537213</v>
      </c>
      <c r="E138" s="68">
        <f>+Resumen!W128</f>
        <v>5.5103565135471509E-2</v>
      </c>
      <c r="F138" s="59">
        <f>+Resumen!AF128</f>
        <v>212.35782000499171</v>
      </c>
      <c r="G138" s="59">
        <f>+Resumen!V128</f>
        <v>61.444097000217084</v>
      </c>
      <c r="H138" s="59">
        <f>+Resumen!Y128</f>
        <v>72.127122115393533</v>
      </c>
      <c r="I138" s="59">
        <f>+Resumen!Z128</f>
        <v>345.92903912060279</v>
      </c>
      <c r="J138" s="412">
        <v>336.08993048200392</v>
      </c>
    </row>
    <row r="139" spans="2:10">
      <c r="B139" s="209"/>
      <c r="C139" s="64"/>
      <c r="D139" s="64"/>
      <c r="E139" s="270"/>
      <c r="F139" s="64"/>
      <c r="G139" s="64"/>
      <c r="H139" s="64"/>
      <c r="I139" s="64"/>
    </row>
    <row r="140" spans="2:10">
      <c r="B140" s="209"/>
      <c r="C140" s="64"/>
      <c r="D140" s="64"/>
      <c r="E140" s="270"/>
      <c r="F140" s="64"/>
      <c r="G140" s="64"/>
      <c r="H140" s="64"/>
      <c r="I140" s="64"/>
    </row>
    <row r="142" spans="2:10" ht="18.2" thickBot="1">
      <c r="B142" s="259" t="str">
        <f>"Cuadro 8b: Componentes del saldo relativo per cápita ligado a los ingresos tributarios, euros, ejercicio "&amp;(Resumen!C2)</f>
        <v>Cuadro 8b: Componentes del saldo relativo per cápita ligado a los ingresos tributarios, euros, ejercicio 2013</v>
      </c>
    </row>
    <row r="143" spans="2:10" s="275" customFormat="1" ht="26.95" thickBot="1">
      <c r="B143" s="274"/>
      <c r="C143" s="269" t="s">
        <v>510</v>
      </c>
      <c r="D143" s="269" t="s">
        <v>511</v>
      </c>
      <c r="E143" s="269" t="s">
        <v>512</v>
      </c>
      <c r="F143" s="269" t="s">
        <v>513</v>
      </c>
      <c r="G143" s="269" t="s">
        <v>514</v>
      </c>
      <c r="H143" s="269" t="s">
        <v>515</v>
      </c>
      <c r="I143" s="269" t="s">
        <v>516</v>
      </c>
      <c r="J143" s="271" t="str">
        <f>"Total ingresos tributarios, "&amp;(Resumen!C2-1)</f>
        <v>Total ingresos tributarios, 2012</v>
      </c>
    </row>
    <row r="144" spans="2:10">
      <c r="B144" s="49" t="s">
        <v>9</v>
      </c>
      <c r="C144" s="50">
        <f>+Resumen!T86</f>
        <v>894.0614853881284</v>
      </c>
      <c r="D144" s="50">
        <f>+Resumen!U86</f>
        <v>612.76065268228581</v>
      </c>
      <c r="E144" s="383">
        <f>+Resumen!W86</f>
        <v>0.18696636364330743</v>
      </c>
      <c r="F144" s="50">
        <f>+Resumen!AD86</f>
        <v>1507.0091044340575</v>
      </c>
      <c r="G144" s="50">
        <f>+Resumen!V86</f>
        <v>87.102600006770331</v>
      </c>
      <c r="H144" s="50">
        <f>+Resumen!Y86</f>
        <v>-73.472181365031034</v>
      </c>
      <c r="I144" s="50">
        <f>+Resumen!Z86</f>
        <v>1520.639523075798</v>
      </c>
      <c r="J144" s="411">
        <v>1491.7638468465439</v>
      </c>
    </row>
    <row r="145" spans="2:10">
      <c r="B145" s="49" t="s">
        <v>10</v>
      </c>
      <c r="C145" s="50">
        <f>+Resumen!T87</f>
        <v>-249.90986651196272</v>
      </c>
      <c r="D145" s="50">
        <f>+Resumen!U87</f>
        <v>-216.40350994503206</v>
      </c>
      <c r="E145" s="383">
        <f>+Resumen!W87</f>
        <v>-3.2005262946881885E-2</v>
      </c>
      <c r="F145" s="50">
        <f>+Resumen!AD87</f>
        <v>-466.34538171994166</v>
      </c>
      <c r="G145" s="50">
        <f>+Resumen!V87</f>
        <v>-25.351542587438075</v>
      </c>
      <c r="H145" s="50">
        <f>+Resumen!Y87</f>
        <v>-72.945707729434631</v>
      </c>
      <c r="I145" s="50">
        <f>+Resumen!Z87</f>
        <v>-564.64263203681276</v>
      </c>
      <c r="J145" s="411">
        <v>-675.60576540121838</v>
      </c>
    </row>
    <row r="146" spans="2:10">
      <c r="B146" s="49" t="s">
        <v>11</v>
      </c>
      <c r="C146" s="50">
        <f>+Resumen!T88</f>
        <v>-119.57625148522675</v>
      </c>
      <c r="D146" s="50">
        <f>+Resumen!U88</f>
        <v>-64.913561573970583</v>
      </c>
      <c r="E146" s="383">
        <f>+Resumen!W88</f>
        <v>-2.9762773356708294E-2</v>
      </c>
      <c r="F146" s="50">
        <f>+Resumen!AD88</f>
        <v>-184.51957583255404</v>
      </c>
      <c r="G146" s="50">
        <f>+Resumen!V88</f>
        <v>24.960866371963562</v>
      </c>
      <c r="H146" s="50">
        <f>+Resumen!Y88</f>
        <v>-159.02102163192598</v>
      </c>
      <c r="I146" s="50">
        <f>+Resumen!Z88</f>
        <v>-318.57973109251361</v>
      </c>
      <c r="J146" s="411">
        <v>-485.85394884314337</v>
      </c>
    </row>
    <row r="147" spans="2:10">
      <c r="B147" s="49" t="s">
        <v>31</v>
      </c>
      <c r="C147" s="50">
        <f>+Resumen!T89</f>
        <v>-26.399485317891049</v>
      </c>
      <c r="D147" s="50">
        <f>+Resumen!U89</f>
        <v>-136.38649509897414</v>
      </c>
      <c r="E147" s="383">
        <f>+Resumen!W89</f>
        <v>-0.18449401626133977</v>
      </c>
      <c r="F147" s="50">
        <f>+Resumen!AD89</f>
        <v>-162.97047443312653</v>
      </c>
      <c r="G147" s="50">
        <f>+Resumen!V89</f>
        <v>-148.63258364396245</v>
      </c>
      <c r="H147" s="50">
        <f>+Resumen!Y89</f>
        <v>-143.30257475804382</v>
      </c>
      <c r="I147" s="50">
        <f>+Resumen!Z89</f>
        <v>-454.90563283513166</v>
      </c>
      <c r="J147" s="411">
        <v>-342.33629713565369</v>
      </c>
    </row>
    <row r="148" spans="2:10">
      <c r="B148" s="49" t="s">
        <v>12</v>
      </c>
      <c r="C148" s="50">
        <f>+Resumen!T90</f>
        <v>824.89033895660623</v>
      </c>
      <c r="D148" s="50">
        <f>+Resumen!U90</f>
        <v>371.74906681841321</v>
      </c>
      <c r="E148" s="383">
        <f>+Resumen!W90</f>
        <v>0.1661988364780882</v>
      </c>
      <c r="F148" s="50">
        <f>+Resumen!AD90</f>
        <v>1196.8056046114975</v>
      </c>
      <c r="G148" s="50">
        <f>+Resumen!V90</f>
        <v>117.6270835601872</v>
      </c>
      <c r="H148" s="50">
        <f>+Resumen!Y90</f>
        <v>785.0007500503325</v>
      </c>
      <c r="I148" s="50">
        <f>+Resumen!Z90</f>
        <v>2099.4334382220195</v>
      </c>
      <c r="J148" s="411">
        <v>2116.9266176325036</v>
      </c>
    </row>
    <row r="149" spans="2:10">
      <c r="B149" s="49" t="s">
        <v>13</v>
      </c>
      <c r="C149" s="50">
        <f>+Resumen!T91</f>
        <v>-124.83059484654586</v>
      </c>
      <c r="D149" s="50">
        <f>+Resumen!U91</f>
        <v>-80.101935464519102</v>
      </c>
      <c r="E149" s="383">
        <f>+Resumen!W91</f>
        <v>-8.6293236902236004E-2</v>
      </c>
      <c r="F149" s="50">
        <f>+Resumen!AD91</f>
        <v>-205.0188235479672</v>
      </c>
      <c r="G149" s="50">
        <f>+Resumen!V91</f>
        <v>-38.202854870212605</v>
      </c>
      <c r="H149" s="50">
        <f>+Resumen!Y91</f>
        <v>-120.76674358954214</v>
      </c>
      <c r="I149" s="50">
        <f>+Resumen!Z91</f>
        <v>-363.98842200772015</v>
      </c>
      <c r="J149" s="411">
        <v>-357.3198317456181</v>
      </c>
    </row>
    <row r="150" spans="2:10">
      <c r="B150" s="49" t="s">
        <v>14</v>
      </c>
      <c r="C150" s="50">
        <f>+Resumen!T92</f>
        <v>150.06622297938429</v>
      </c>
      <c r="D150" s="50">
        <f>+Resumen!U92</f>
        <v>71.899392383994382</v>
      </c>
      <c r="E150" s="383">
        <f>+Resumen!W92</f>
        <v>1.0768006011574016E-2</v>
      </c>
      <c r="F150" s="50">
        <f>+Resumen!AD92</f>
        <v>221.97638336939025</v>
      </c>
      <c r="G150" s="50">
        <f>+Resumen!V92</f>
        <v>24.865942322386616</v>
      </c>
      <c r="H150" s="50">
        <f>+Resumen!Y92</f>
        <v>-46.383736325626181</v>
      </c>
      <c r="I150" s="50">
        <f>+Resumen!Z92</f>
        <v>200.45858936615332</v>
      </c>
      <c r="J150" s="411">
        <v>65.02450187949762</v>
      </c>
    </row>
    <row r="151" spans="2:10">
      <c r="B151" s="49" t="s">
        <v>501</v>
      </c>
      <c r="C151" s="50">
        <f>+Resumen!T93</f>
        <v>782.8701523719792</v>
      </c>
      <c r="D151" s="50">
        <f>+Resumen!U93</f>
        <v>399.41835499541457</v>
      </c>
      <c r="E151" s="383">
        <f>+Resumen!W93</f>
        <v>0.15289494187538821</v>
      </c>
      <c r="F151" s="50">
        <f>+Resumen!AD93</f>
        <v>1182.4414023092691</v>
      </c>
      <c r="G151" s="50">
        <f>+Resumen!V93</f>
        <v>51.472687787591269</v>
      </c>
      <c r="H151" s="50">
        <f>+Resumen!Y93</f>
        <v>62.307526278277059</v>
      </c>
      <c r="I151" s="50">
        <f>+Resumen!Z93</f>
        <v>1296.2216163751391</v>
      </c>
      <c r="J151" s="411">
        <v>1260.8943839535996</v>
      </c>
    </row>
    <row r="152" spans="2:10">
      <c r="B152" s="49" t="s">
        <v>16</v>
      </c>
      <c r="C152" s="50">
        <f>+Resumen!T94</f>
        <v>-552.96258495895199</v>
      </c>
      <c r="D152" s="50">
        <f>+Resumen!U94</f>
        <v>-459.61304428955373</v>
      </c>
      <c r="E152" s="383">
        <f>+Resumen!W94</f>
        <v>-0.16655341165187565</v>
      </c>
      <c r="F152" s="50">
        <f>+Resumen!AD94</f>
        <v>-1012.7421826601576</v>
      </c>
      <c r="G152" s="50">
        <f>+Resumen!V94</f>
        <v>-126.50414413135547</v>
      </c>
      <c r="H152" s="50">
        <f>+Resumen!Y94</f>
        <v>-163.4939699704241</v>
      </c>
      <c r="I152" s="50">
        <f>+Resumen!Z94</f>
        <v>-1302.7402967619364</v>
      </c>
      <c r="J152" s="411">
        <v>-1181.4544115288681</v>
      </c>
    </row>
    <row r="153" spans="2:10">
      <c r="B153" s="49" t="s">
        <v>17</v>
      </c>
      <c r="C153" s="50">
        <f>+Resumen!T95</f>
        <v>543.86295280978857</v>
      </c>
      <c r="D153" s="50">
        <f>+Resumen!U95</f>
        <v>386.52513225835401</v>
      </c>
      <c r="E153" s="383">
        <f>+Resumen!W95</f>
        <v>0.10902565007660314</v>
      </c>
      <c r="F153" s="50">
        <f>+Resumen!AD95</f>
        <v>930.49711071821912</v>
      </c>
      <c r="G153" s="50">
        <f>+Resumen!V95</f>
        <v>15.070044509178729</v>
      </c>
      <c r="H153" s="50">
        <f>+Resumen!Y95</f>
        <v>-66.894228293162143</v>
      </c>
      <c r="I153" s="50">
        <f>+Resumen!Z95</f>
        <v>878.6729269342386</v>
      </c>
      <c r="J153" s="411">
        <v>920.10323178691215</v>
      </c>
    </row>
    <row r="154" spans="2:10">
      <c r="B154" s="49" t="s">
        <v>18</v>
      </c>
      <c r="C154" s="50">
        <f>+Resumen!T96</f>
        <v>1005.9341328896221</v>
      </c>
      <c r="D154" s="50">
        <f>+Resumen!U96</f>
        <v>663.29694899374431</v>
      </c>
      <c r="E154" s="383">
        <f>+Resumen!W96</f>
        <v>0.24159323734744476</v>
      </c>
      <c r="F154" s="50">
        <f>+Resumen!AD96</f>
        <v>1669.4726751207138</v>
      </c>
      <c r="G154" s="50">
        <f>+Resumen!V96</f>
        <v>154.95925695980321</v>
      </c>
      <c r="H154" s="50">
        <f>+Resumen!Y96</f>
        <v>-196.6067045161692</v>
      </c>
      <c r="I154" s="50">
        <f>+Resumen!Z96</f>
        <v>1627.8252275643499</v>
      </c>
      <c r="J154" s="411">
        <v>1529.9038765430068</v>
      </c>
    </row>
    <row r="155" spans="2:10">
      <c r="B155" s="49" t="s">
        <v>19</v>
      </c>
      <c r="C155" s="50">
        <f>+Resumen!T97</f>
        <v>345.70183398480503</v>
      </c>
      <c r="D155" s="50">
        <f>+Resumen!U97</f>
        <v>188.33926626883704</v>
      </c>
      <c r="E155" s="383">
        <f>+Resumen!W97</f>
        <v>7.1683238775676728E-2</v>
      </c>
      <c r="F155" s="50">
        <f>+Resumen!AD97</f>
        <v>534.11278349241775</v>
      </c>
      <c r="G155" s="50">
        <f>+Resumen!V97</f>
        <v>128.03533254211015</v>
      </c>
      <c r="H155" s="50">
        <f>+Resumen!Y97</f>
        <v>-38.163194061081825</v>
      </c>
      <c r="I155" s="50">
        <f>+Resumen!Z97</f>
        <v>623.98492197344694</v>
      </c>
      <c r="J155" s="411">
        <v>587.39255996442898</v>
      </c>
    </row>
    <row r="156" spans="2:10">
      <c r="B156" s="49" t="s">
        <v>20</v>
      </c>
      <c r="C156" s="50">
        <f>+Resumen!T98</f>
        <v>-1519.3789314472551</v>
      </c>
      <c r="D156" s="50">
        <f>+Resumen!U98</f>
        <v>-688.69727544961779</v>
      </c>
      <c r="E156" s="383">
        <f>+Resumen!W98</f>
        <v>-0.22083271652587655</v>
      </c>
      <c r="F156" s="50">
        <f>+Resumen!AD98</f>
        <v>-2208.2970396133987</v>
      </c>
      <c r="G156" s="50">
        <f>+Resumen!V98</f>
        <v>-116.21836385478343</v>
      </c>
      <c r="H156" s="50">
        <f>+Resumen!Y98</f>
        <v>43.865248642824888</v>
      </c>
      <c r="I156" s="50">
        <f>+Resumen!Z98</f>
        <v>-2280.6501548253564</v>
      </c>
      <c r="J156" s="411">
        <v>-2295.2604093917653</v>
      </c>
    </row>
    <row r="157" spans="2:10">
      <c r="B157" s="49" t="s">
        <v>60</v>
      </c>
      <c r="C157" s="50">
        <f>+Resumen!T99</f>
        <v>892.72527104556912</v>
      </c>
      <c r="D157" s="50">
        <f>+Resumen!U99</f>
        <v>509.73657927410295</v>
      </c>
      <c r="E157" s="383">
        <f>+Resumen!W99</f>
        <v>0.24637580060300479</v>
      </c>
      <c r="F157" s="50">
        <f>+Resumen!AD99</f>
        <v>1402.708226120275</v>
      </c>
      <c r="G157" s="50">
        <f>+Resumen!V99</f>
        <v>51.698922686884657</v>
      </c>
      <c r="H157" s="50">
        <f>+Resumen!Y99</f>
        <v>-74.798350418350665</v>
      </c>
      <c r="I157" s="50">
        <f>+Resumen!Z99</f>
        <v>1379.608798388811</v>
      </c>
      <c r="J157" s="411">
        <v>1486.2364040056791</v>
      </c>
    </row>
    <row r="158" spans="2:10">
      <c r="B158" s="49" t="s">
        <v>61</v>
      </c>
      <c r="C158" s="50">
        <f>+Resumen!T100</f>
        <v>-664.77933679356192</v>
      </c>
      <c r="D158" s="50">
        <f>+Resumen!U100</f>
        <v>-659.64546883951152</v>
      </c>
      <c r="E158" s="383">
        <f>+Resumen!W100</f>
        <v>-0.10251914344996749</v>
      </c>
      <c r="F158" s="50">
        <f>+Resumen!AD100</f>
        <v>-1324.5273247765235</v>
      </c>
      <c r="G158" s="50">
        <f>+Resumen!V100</f>
        <v>30.219637275830053</v>
      </c>
      <c r="H158" s="50">
        <f>+Resumen!Y100</f>
        <v>428.66921177733803</v>
      </c>
      <c r="I158" s="50">
        <f>+Resumen!Z100</f>
        <v>-865.63847572335362</v>
      </c>
      <c r="J158" s="411">
        <v>-938.1922471415055</v>
      </c>
    </row>
    <row r="159" spans="2:10">
      <c r="B159" s="49" t="s">
        <v>62</v>
      </c>
      <c r="C159" s="50">
        <f>+Resumen!T101</f>
        <v>-1155.6710251005416</v>
      </c>
      <c r="D159" s="50">
        <f>+Resumen!U101</f>
        <v>-935.03755649080722</v>
      </c>
      <c r="E159" s="383">
        <f>+Resumen!W101</f>
        <v>-0.28811116736397935</v>
      </c>
      <c r="F159" s="50">
        <f>+Resumen!AD101</f>
        <v>-2090.9966927587129</v>
      </c>
      <c r="G159" s="50">
        <f>+Resumen!V101</f>
        <v>1.2964319660670753</v>
      </c>
      <c r="H159" s="50">
        <f>+Resumen!Y101</f>
        <v>379.01560138953647</v>
      </c>
      <c r="I159" s="50">
        <f>+Resumen!Z101</f>
        <v>-1710.6846594031085</v>
      </c>
      <c r="J159" s="411">
        <v>-1772.562564599757</v>
      </c>
    </row>
    <row r="160" spans="2:10">
      <c r="B160" s="209" t="s">
        <v>63</v>
      </c>
      <c r="C160" s="64">
        <f>+Resumen!T102</f>
        <v>-23.951175358226465</v>
      </c>
      <c r="D160" s="64">
        <f>+Resumen!U102</f>
        <v>-150.82428702927837</v>
      </c>
      <c r="E160" s="384">
        <f>+Resumen!W102</f>
        <v>2.244896384996764E-2</v>
      </c>
      <c r="F160" s="64">
        <f>+Resumen!AD102</f>
        <v>-174.75301342365486</v>
      </c>
      <c r="G160" s="64">
        <f>+Resumen!V102</f>
        <v>-34.854341877732168</v>
      </c>
      <c r="H160" s="64">
        <f>+Resumen!Y102</f>
        <v>-48.477698502095947</v>
      </c>
      <c r="I160" s="64">
        <f>+Resumen!Z102</f>
        <v>-258.08505380348015</v>
      </c>
      <c r="J160" s="413">
        <v>-327.58601673667363</v>
      </c>
    </row>
    <row r="161" spans="2:10" ht="13.8" thickBot="1">
      <c r="B161" s="54" t="s">
        <v>64</v>
      </c>
      <c r="C161" s="253">
        <f>+Resumen!T103</f>
        <v>754.59080772486959</v>
      </c>
      <c r="D161" s="253">
        <f>+Resumen!U103</f>
        <v>504.12965638816013</v>
      </c>
      <c r="E161" s="385">
        <f>+Resumen!W103</f>
        <v>0.32670323886907227</v>
      </c>
      <c r="F161" s="253">
        <f>+Resumen!AD103</f>
        <v>1259.0471673518987</v>
      </c>
      <c r="G161" s="253">
        <f>+Resumen!V103</f>
        <v>364.29558504980025</v>
      </c>
      <c r="H161" s="253">
        <f>+Resumen!Y103</f>
        <v>427.63411673041333</v>
      </c>
      <c r="I161" s="253">
        <f>+Resumen!Z103</f>
        <v>2050.9768691321151</v>
      </c>
      <c r="J161" s="414">
        <v>2020.5058358477927</v>
      </c>
    </row>
    <row r="162" spans="2:10">
      <c r="B162" s="209"/>
      <c r="C162" s="64"/>
      <c r="D162" s="64"/>
      <c r="E162" s="64"/>
      <c r="F162" s="64"/>
      <c r="G162" s="64"/>
      <c r="H162" s="64"/>
      <c r="I162" s="64"/>
    </row>
    <row r="163" spans="2:10">
      <c r="B163" s="209"/>
      <c r="C163" s="64"/>
      <c r="D163" s="64"/>
      <c r="E163" s="64"/>
      <c r="F163" s="64"/>
      <c r="G163" s="64"/>
      <c r="H163" s="64"/>
      <c r="I163" s="64"/>
    </row>
    <row r="165" spans="2:10" ht="17.55">
      <c r="B165" s="259" t="str">
        <f>"Cuadro 9a: Componentes del saldo relativo total ligado al gasto público, millones de euros, ejercicio "&amp; (Resumen!C2)</f>
        <v>Cuadro 9a: Componentes del saldo relativo total ligado al gasto público, millones de euros, ejercicio 2013</v>
      </c>
    </row>
    <row r="166" spans="2:10" ht="43.55" customHeight="1" thickBot="1">
      <c r="B166" s="272"/>
      <c r="C166" s="276" t="s">
        <v>1036</v>
      </c>
      <c r="D166" s="258" t="s">
        <v>517</v>
      </c>
      <c r="E166" s="258" t="s">
        <v>518</v>
      </c>
      <c r="F166" s="258" t="s">
        <v>519</v>
      </c>
      <c r="G166" s="258" t="s">
        <v>520</v>
      </c>
      <c r="H166" s="258" t="s">
        <v>521</v>
      </c>
      <c r="I166" s="258" t="s">
        <v>522</v>
      </c>
      <c r="J166" s="256" t="str">
        <f>"Total gasto "&amp;(Resumen!C2-1)</f>
        <v>Total gasto 2012</v>
      </c>
    </row>
    <row r="167" spans="2:10">
      <c r="B167" s="82" t="s">
        <v>9</v>
      </c>
      <c r="C167" s="69">
        <f>+Resumen!I111</f>
        <v>-2750.8776208854383</v>
      </c>
      <c r="D167" s="69">
        <f>+Resumen!J111</f>
        <v>-4013.8526311601413</v>
      </c>
      <c r="E167" s="69">
        <f>+Resumen!K111</f>
        <v>-81.158803451127</v>
      </c>
      <c r="F167" s="69">
        <f>+Resumen!L111</f>
        <v>-139.92082146252005</v>
      </c>
      <c r="G167" s="69">
        <f>+Resumen!M111</f>
        <v>-6985.8098769591979</v>
      </c>
      <c r="H167" s="69">
        <f>+Resumen!N111</f>
        <v>333.85656138780001</v>
      </c>
      <c r="I167" s="69">
        <f>+Resumen!O111</f>
        <v>-6651.9533155714034</v>
      </c>
      <c r="J167" s="415">
        <v>-4457.3822516732962</v>
      </c>
    </row>
    <row r="168" spans="2:10">
      <c r="B168" s="209" t="s">
        <v>10</v>
      </c>
      <c r="C168" s="69">
        <f>+Resumen!I112</f>
        <v>450.17908615020411</v>
      </c>
      <c r="D168" s="69">
        <f>+Resumen!J112</f>
        <v>568.11787394379053</v>
      </c>
      <c r="E168" s="69">
        <f>+Resumen!K112</f>
        <v>332.71391509109139</v>
      </c>
      <c r="F168" s="69">
        <f>+Resumen!L112</f>
        <v>123.67710286654801</v>
      </c>
      <c r="G168" s="69">
        <f>+Resumen!M112</f>
        <v>1474.6879780516413</v>
      </c>
      <c r="H168" s="69">
        <f>+Resumen!N112</f>
        <v>42.960481801802878</v>
      </c>
      <c r="I168" s="69">
        <f>+Resumen!O112</f>
        <v>1517.6484598534412</v>
      </c>
      <c r="J168" s="415">
        <v>1352.3006794354169</v>
      </c>
    </row>
    <row r="169" spans="2:10">
      <c r="B169" s="209" t="s">
        <v>11</v>
      </c>
      <c r="C169" s="69">
        <f>+Resumen!I113</f>
        <v>207.48264365898675</v>
      </c>
      <c r="D169" s="69">
        <f>+Resumen!J113</f>
        <v>1835.6218132731192</v>
      </c>
      <c r="E169" s="69">
        <f>+Resumen!K113</f>
        <v>-30.200868554696171</v>
      </c>
      <c r="F169" s="69">
        <f>+Resumen!L113</f>
        <v>253.84417256337261</v>
      </c>
      <c r="G169" s="69">
        <f>+Resumen!M113</f>
        <v>2266.7477609407856</v>
      </c>
      <c r="H169" s="69">
        <f>+Resumen!N113</f>
        <v>132.76698026326028</v>
      </c>
      <c r="I169" s="69">
        <f>+Resumen!O113</f>
        <v>2399.5147412040455</v>
      </c>
      <c r="J169" s="415">
        <v>2286.5638380174501</v>
      </c>
    </row>
    <row r="170" spans="2:10">
      <c r="B170" s="209" t="s">
        <v>31</v>
      </c>
      <c r="C170" s="69">
        <f>+Resumen!I114</f>
        <v>-51.914128270094267</v>
      </c>
      <c r="D170" s="69">
        <f>+Resumen!J114</f>
        <v>-769.36631724705524</v>
      </c>
      <c r="E170" s="69">
        <f>+Resumen!K114</f>
        <v>-162.68274160732199</v>
      </c>
      <c r="F170" s="69">
        <f>+Resumen!L114</f>
        <v>-143.91154331457716</v>
      </c>
      <c r="G170" s="69">
        <f>+Resumen!M114</f>
        <v>-1127.8747304390458</v>
      </c>
      <c r="H170" s="69">
        <f>+Resumen!N114</f>
        <v>121.13319495245436</v>
      </c>
      <c r="I170" s="69">
        <f>+Resumen!O114</f>
        <v>-1006.7415354865913</v>
      </c>
      <c r="J170" s="415">
        <v>-1275.9251452205315</v>
      </c>
    </row>
    <row r="171" spans="2:10">
      <c r="B171" s="209" t="s">
        <v>12</v>
      </c>
      <c r="C171" s="69">
        <f>+Resumen!I115</f>
        <v>891.67794512507169</v>
      </c>
      <c r="D171" s="69">
        <f>+Resumen!J115</f>
        <v>-1763.3766279963493</v>
      </c>
      <c r="E171" s="69">
        <f>+Resumen!K115</f>
        <v>-24.993801111128612</v>
      </c>
      <c r="F171" s="69">
        <f>+Resumen!L115</f>
        <v>82.247966794106006</v>
      </c>
      <c r="G171" s="69">
        <f>+Resumen!M115</f>
        <v>-814.44451718829612</v>
      </c>
      <c r="H171" s="69">
        <f>+Resumen!N115</f>
        <v>-49.627158226662701</v>
      </c>
      <c r="I171" s="69">
        <f>+Resumen!O115</f>
        <v>-864.07167541496005</v>
      </c>
      <c r="J171" s="415">
        <v>-1703.2930166023841</v>
      </c>
    </row>
    <row r="172" spans="2:10">
      <c r="B172" s="209" t="s">
        <v>13</v>
      </c>
      <c r="C172" s="69">
        <f>+Resumen!I116</f>
        <v>241.69469498789951</v>
      </c>
      <c r="D172" s="69">
        <f>+Resumen!J116</f>
        <v>321.72906790305535</v>
      </c>
      <c r="E172" s="69">
        <f>+Resumen!K116</f>
        <v>-5.3726392372681673</v>
      </c>
      <c r="F172" s="69">
        <f>+Resumen!L116</f>
        <v>69.292483045919184</v>
      </c>
      <c r="G172" s="69">
        <f>+Resumen!M116</f>
        <v>627.34360669960643</v>
      </c>
      <c r="H172" s="69">
        <f>+Resumen!N116</f>
        <v>50.057901406582353</v>
      </c>
      <c r="I172" s="69">
        <f>+Resumen!O116</f>
        <v>677.40150810618843</v>
      </c>
      <c r="J172" s="415">
        <v>460.1377911839113</v>
      </c>
    </row>
    <row r="173" spans="2:10">
      <c r="B173" s="209" t="s">
        <v>14</v>
      </c>
      <c r="C173" s="69">
        <f>+Resumen!I117</f>
        <v>1221.6273915665386</v>
      </c>
      <c r="D173" s="69">
        <f>+Resumen!J117</f>
        <v>1402.9150927255807</v>
      </c>
      <c r="E173" s="69">
        <f>+Resumen!K117</f>
        <v>1098.2947156576884</v>
      </c>
      <c r="F173" s="69">
        <f>+Resumen!L117</f>
        <v>354.10125751015636</v>
      </c>
      <c r="G173" s="69">
        <f>+Resumen!M117</f>
        <v>4076.938457459969</v>
      </c>
      <c r="H173" s="69">
        <f>+Resumen!N117</f>
        <v>31.997887061901032</v>
      </c>
      <c r="I173" s="69">
        <f>+Resumen!O117</f>
        <v>4108.9363445218696</v>
      </c>
      <c r="J173" s="415">
        <v>2967.8540987283604</v>
      </c>
    </row>
    <row r="174" spans="2:10">
      <c r="B174" s="209" t="s">
        <v>523</v>
      </c>
      <c r="C174" s="69">
        <f>+Resumen!I118</f>
        <v>-106.75967767033544</v>
      </c>
      <c r="D174" s="69">
        <f>+Resumen!J118</f>
        <v>-936.50446825037659</v>
      </c>
      <c r="E174" s="69">
        <f>+Resumen!K118</f>
        <v>986.15210754139343</v>
      </c>
      <c r="F174" s="69">
        <f>+Resumen!L118</f>
        <v>12.382054865346747</v>
      </c>
      <c r="G174" s="69">
        <f>+Resumen!M118</f>
        <v>-44.729983513967696</v>
      </c>
      <c r="H174" s="69">
        <f>+Resumen!N118</f>
        <v>-199.33531256413963</v>
      </c>
      <c r="I174" s="69">
        <f>+Resumen!O118</f>
        <v>-244.06529607810765</v>
      </c>
      <c r="J174" s="415">
        <v>-707.63146635629664</v>
      </c>
    </row>
    <row r="175" spans="2:10">
      <c r="B175" s="209" t="s">
        <v>16</v>
      </c>
      <c r="C175" s="69">
        <f>+Resumen!I119</f>
        <v>-1159.8002778423065</v>
      </c>
      <c r="D175" s="69">
        <f>+Resumen!J119</f>
        <v>2130.7029950552233</v>
      </c>
      <c r="E175" s="69">
        <f>+Resumen!K119</f>
        <v>-876.29894059245885</v>
      </c>
      <c r="F175" s="69">
        <f>+Resumen!L119</f>
        <v>-64.575465425485788</v>
      </c>
      <c r="G175" s="69">
        <f>+Resumen!M119</f>
        <v>30.028311194995013</v>
      </c>
      <c r="H175" s="69">
        <f>+Resumen!N119</f>
        <v>987.68090232890904</v>
      </c>
      <c r="I175" s="69">
        <f>+Resumen!O119</f>
        <v>1017.7092135239053</v>
      </c>
      <c r="J175" s="415">
        <v>1268.0324847390598</v>
      </c>
    </row>
    <row r="176" spans="2:10">
      <c r="B176" s="209" t="s">
        <v>17</v>
      </c>
      <c r="C176" s="69">
        <f>+Resumen!I120</f>
        <v>-3030.0585544048567</v>
      </c>
      <c r="D176" s="69">
        <f>+Resumen!J120</f>
        <v>-1962.9776759552908</v>
      </c>
      <c r="E176" s="69">
        <f>+Resumen!K120</f>
        <v>-706.4925194891398</v>
      </c>
      <c r="F176" s="69">
        <f>+Resumen!L120</f>
        <v>-336.20705561830664</v>
      </c>
      <c r="G176" s="69">
        <f>+Resumen!M120</f>
        <v>-6035.7358054675879</v>
      </c>
      <c r="H176" s="69">
        <f>+Resumen!N120</f>
        <v>173.87923540369937</v>
      </c>
      <c r="I176" s="69">
        <f>+Resumen!O120</f>
        <v>-5861.8565700638819</v>
      </c>
      <c r="J176" s="415">
        <v>-6465.7297260103114</v>
      </c>
    </row>
    <row r="177" spans="2:10">
      <c r="B177" s="209" t="s">
        <v>18</v>
      </c>
      <c r="C177" s="69">
        <f>+Resumen!I121</f>
        <v>414.38226720740346</v>
      </c>
      <c r="D177" s="69">
        <f>+Resumen!J121</f>
        <v>-330.02216380641346</v>
      </c>
      <c r="E177" s="69">
        <f>+Resumen!K121</f>
        <v>559.63758159971144</v>
      </c>
      <c r="F177" s="69">
        <f>+Resumen!L121</f>
        <v>114.2033816700299</v>
      </c>
      <c r="G177" s="69">
        <f>+Resumen!M121</f>
        <v>758.20106667073173</v>
      </c>
      <c r="H177" s="69">
        <f>+Resumen!N121</f>
        <v>178.28360119370853</v>
      </c>
      <c r="I177" s="69">
        <f>+Resumen!O121</f>
        <v>936.4846678644393</v>
      </c>
      <c r="J177" s="415">
        <v>916.62816599857183</v>
      </c>
    </row>
    <row r="178" spans="2:10">
      <c r="B178" s="209" t="s">
        <v>19</v>
      </c>
      <c r="C178" s="69">
        <f>+Resumen!I122</f>
        <v>203.73334759363777</v>
      </c>
      <c r="D178" s="69">
        <f>+Resumen!J122</f>
        <v>1299.9313431155806</v>
      </c>
      <c r="E178" s="69">
        <f>+Resumen!K122</f>
        <v>113.10943384324197</v>
      </c>
      <c r="F178" s="69">
        <f>+Resumen!L122</f>
        <v>314.65673552781533</v>
      </c>
      <c r="G178" s="69">
        <f>+Resumen!M122</f>
        <v>1931.4308600802856</v>
      </c>
      <c r="H178" s="69">
        <f>+Resumen!N122</f>
        <v>2.9008728335028406</v>
      </c>
      <c r="I178" s="69">
        <f>+Resumen!O122</f>
        <v>1934.331732913786</v>
      </c>
      <c r="J178" s="415">
        <v>2199.4272289139085</v>
      </c>
    </row>
    <row r="179" spans="2:10">
      <c r="B179" s="209" t="s">
        <v>20</v>
      </c>
      <c r="C179" s="69">
        <f>+Resumen!I123</f>
        <v>-1422.1636975975835</v>
      </c>
      <c r="D179" s="69">
        <f>+Resumen!J123</f>
        <v>646.26819477460128</v>
      </c>
      <c r="E179" s="69">
        <f>+Resumen!K123</f>
        <v>-1056.4753130005815</v>
      </c>
      <c r="F179" s="69">
        <f>+Resumen!L123</f>
        <v>-452.65505680677222</v>
      </c>
      <c r="G179" s="69">
        <f>+Resumen!M123</f>
        <v>-2285.0258726303186</v>
      </c>
      <c r="H179" s="69">
        <f>+Resumen!N123</f>
        <v>-538.63938888473376</v>
      </c>
      <c r="I179" s="69">
        <f>+Resumen!O123</f>
        <v>-2823.6652615150551</v>
      </c>
      <c r="J179" s="415">
        <v>-2175.8983795376425</v>
      </c>
    </row>
    <row r="180" spans="2:10">
      <c r="B180" s="209" t="s">
        <v>60</v>
      </c>
      <c r="C180" s="69">
        <f>+Resumen!I124</f>
        <v>-842.04631338017464</v>
      </c>
      <c r="D180" s="69">
        <f>+Resumen!J124</f>
        <v>-909.78660418744221</v>
      </c>
      <c r="E180" s="69">
        <f>+Resumen!K124</f>
        <v>-61.703859017298356</v>
      </c>
      <c r="F180" s="69">
        <f>+Resumen!L124</f>
        <v>-99.010181069365657</v>
      </c>
      <c r="G180" s="69">
        <f>+Resumen!M124</f>
        <v>-1912.5469576542791</v>
      </c>
      <c r="H180" s="69">
        <f>+Resumen!N124</f>
        <v>59.810027852398882</v>
      </c>
      <c r="I180" s="69">
        <f>+Resumen!O124</f>
        <v>-1852.7369298018823</v>
      </c>
      <c r="J180" s="415">
        <v>-1923.8721823861893</v>
      </c>
    </row>
    <row r="181" spans="2:10">
      <c r="B181" s="209" t="s">
        <v>61</v>
      </c>
      <c r="C181" s="69">
        <f>+Resumen!I125</f>
        <v>630.46318440729328</v>
      </c>
      <c r="D181" s="69">
        <f>+Resumen!J125</f>
        <v>205.46849484563609</v>
      </c>
      <c r="E181" s="69">
        <f>+Resumen!K125</f>
        <v>35.375563282979073</v>
      </c>
      <c r="F181" s="69">
        <f>+Resumen!L125</f>
        <v>-108.82201784135569</v>
      </c>
      <c r="G181" s="69">
        <f>+Resumen!M125</f>
        <v>762.48522469455509</v>
      </c>
      <c r="H181" s="69">
        <f>+Resumen!N125</f>
        <v>-381.80918822257183</v>
      </c>
      <c r="I181" s="69">
        <f>+Resumen!O125</f>
        <v>380.67603647198308</v>
      </c>
      <c r="J181" s="415">
        <v>675.28652987346447</v>
      </c>
    </row>
    <row r="182" spans="2:10">
      <c r="B182" s="209" t="s">
        <v>62</v>
      </c>
      <c r="C182" s="69">
        <f>+Resumen!I126</f>
        <v>4620.1125124487644</v>
      </c>
      <c r="D182" s="69">
        <f>+Resumen!J126</f>
        <v>2437.6131425422968</v>
      </c>
      <c r="E182" s="69">
        <f>+Resumen!K126</f>
        <v>-164.76491598150545</v>
      </c>
      <c r="F182" s="69">
        <f>+Resumen!L126</f>
        <v>-80.089269981712832</v>
      </c>
      <c r="G182" s="69">
        <f>+Resumen!M126</f>
        <v>6812.8714690278503</v>
      </c>
      <c r="H182" s="69">
        <f>+Resumen!N126</f>
        <v>-939.45871581637732</v>
      </c>
      <c r="I182" s="69">
        <f>+Resumen!O126</f>
        <v>5873.4127532114735</v>
      </c>
      <c r="J182" s="415">
        <v>6105.532151612264</v>
      </c>
    </row>
    <row r="183" spans="2:10">
      <c r="B183" s="209" t="s">
        <v>63</v>
      </c>
      <c r="C183" s="69">
        <f>+Resumen!I127</f>
        <v>103.77938220249153</v>
      </c>
      <c r="D183" s="69">
        <f>+Resumen!J127</f>
        <v>11.208944189262404</v>
      </c>
      <c r="E183" s="69">
        <f>+Resumen!K127</f>
        <v>8.3564130812879629</v>
      </c>
      <c r="F183" s="69">
        <f>+Resumen!L127</f>
        <v>24.96836668774063</v>
      </c>
      <c r="G183" s="69">
        <f>+Resumen!M127</f>
        <v>148.31310616078309</v>
      </c>
      <c r="H183" s="69">
        <f>+Resumen!N127</f>
        <v>2.3689129549600509</v>
      </c>
      <c r="I183" s="69">
        <f>+Resumen!O127</f>
        <v>150.68201911574306</v>
      </c>
      <c r="J183" s="415">
        <v>113.91242779292511</v>
      </c>
    </row>
    <row r="184" spans="2:10" ht="13.8" thickBot="1">
      <c r="B184" s="54" t="s">
        <v>64</v>
      </c>
      <c r="C184" s="273">
        <f>+Resumen!I128</f>
        <v>378.48781470247081</v>
      </c>
      <c r="D184" s="273">
        <f>+Resumen!J128</f>
        <v>-173.69047376510403</v>
      </c>
      <c r="E184" s="273">
        <f>+Resumen!K128</f>
        <v>36.504671945133921</v>
      </c>
      <c r="F184" s="273">
        <f>+Resumen!L128</f>
        <v>75.817889989062508</v>
      </c>
      <c r="G184" s="273">
        <f>+Resumen!M128</f>
        <v>317.1199028715634</v>
      </c>
      <c r="H184" s="273">
        <f>+Resumen!N128</f>
        <v>-8.8267957264948596</v>
      </c>
      <c r="I184" s="273">
        <f>+Resumen!O128</f>
        <v>308.29310714506846</v>
      </c>
      <c r="J184" s="416">
        <v>364.05677149122573</v>
      </c>
    </row>
    <row r="185" spans="2:10">
      <c r="B185" s="209"/>
      <c r="C185" s="69"/>
      <c r="D185" s="69"/>
      <c r="E185" s="69"/>
      <c r="F185" s="69"/>
      <c r="G185" s="69"/>
      <c r="H185" s="69"/>
      <c r="I185" s="69"/>
    </row>
    <row r="186" spans="2:10">
      <c r="B186" s="209"/>
      <c r="C186" s="69"/>
      <c r="D186" s="69"/>
      <c r="E186" s="69"/>
      <c r="F186" s="69"/>
      <c r="G186" s="69"/>
      <c r="H186" s="69"/>
      <c r="I186" s="69"/>
    </row>
    <row r="188" spans="2:10" ht="17.55">
      <c r="B188" s="259" t="str">
        <f>"Cuadro 9b: Componentes del saldo relativo per cápita ligado al gasto público, euros, ejercicio "&amp; (Resumen!C2)</f>
        <v>Cuadro 9b: Componentes del saldo relativo per cápita ligado al gasto público, euros, ejercicio 2013</v>
      </c>
    </row>
    <row r="189" spans="2:10" s="275" customFormat="1" ht="26.95" thickBot="1">
      <c r="B189" s="277"/>
      <c r="C189" s="276" t="s">
        <v>1036</v>
      </c>
      <c r="D189" s="258" t="s">
        <v>517</v>
      </c>
      <c r="E189" s="258" t="s">
        <v>518</v>
      </c>
      <c r="F189" s="258" t="s">
        <v>519</v>
      </c>
      <c r="G189" s="258" t="s">
        <v>520</v>
      </c>
      <c r="H189" s="258" t="s">
        <v>521</v>
      </c>
      <c r="I189" s="258" t="s">
        <v>522</v>
      </c>
      <c r="J189" s="256" t="str">
        <f>"Total gasto "&amp;(Resumen!C2-1)</f>
        <v>Total gasto 2012</v>
      </c>
    </row>
    <row r="190" spans="2:10">
      <c r="B190" s="82" t="s">
        <v>9</v>
      </c>
      <c r="C190" s="69">
        <f>+Resumen!I86</f>
        <v>-326.65702495373353</v>
      </c>
      <c r="D190" s="69">
        <f>+Resumen!J86</f>
        <v>-476.63085741904433</v>
      </c>
      <c r="E190" s="69">
        <f>+Resumen!K86</f>
        <v>-9.6373219524090246</v>
      </c>
      <c r="F190" s="69">
        <f>+Resumen!L86</f>
        <v>-16.615104547369015</v>
      </c>
      <c r="G190" s="69">
        <f>+Resumen!M86</f>
        <v>-829.54030887255249</v>
      </c>
      <c r="H190" s="69">
        <f>+Resumen!N86</f>
        <v>39.644290344373694</v>
      </c>
      <c r="I190" s="69">
        <f>+Resumen!O86</f>
        <v>-789.89601852817941</v>
      </c>
      <c r="J190" s="415">
        <v>-527.80426756248289</v>
      </c>
    </row>
    <row r="191" spans="2:10">
      <c r="B191" s="209" t="s">
        <v>10</v>
      </c>
      <c r="C191" s="69">
        <f>+Resumen!I87</f>
        <v>336.89293958747339</v>
      </c>
      <c r="D191" s="69">
        <f>+Resumen!J87</f>
        <v>425.15280356948779</v>
      </c>
      <c r="E191" s="69">
        <f>+Resumen!K87</f>
        <v>248.98750818312305</v>
      </c>
      <c r="F191" s="69">
        <f>+Resumen!L87</f>
        <v>92.554150173186144</v>
      </c>
      <c r="G191" s="69">
        <f>+Resumen!M87</f>
        <v>1103.5874015132758</v>
      </c>
      <c r="H191" s="69">
        <f>+Resumen!N87</f>
        <v>32.14961211119995</v>
      </c>
      <c r="I191" s="69">
        <f>+Resumen!O87</f>
        <v>1135.7370136244735</v>
      </c>
      <c r="J191" s="415">
        <v>1002.9608798249192</v>
      </c>
    </row>
    <row r="192" spans="2:10">
      <c r="B192" s="209" t="s">
        <v>11</v>
      </c>
      <c r="C192" s="69">
        <f>+Resumen!I88</f>
        <v>194.82660968081609</v>
      </c>
      <c r="D192" s="69">
        <f>+Resumen!J88</f>
        <v>1723.6524859589808</v>
      </c>
      <c r="E192" s="69">
        <f>+Resumen!K88</f>
        <v>-28.358674856669495</v>
      </c>
      <c r="F192" s="69">
        <f>+Resumen!L88</f>
        <v>238.3601763289555</v>
      </c>
      <c r="G192" s="69">
        <f>+Resumen!M88</f>
        <v>2128.4805971120859</v>
      </c>
      <c r="H192" s="69">
        <f>+Resumen!N88</f>
        <v>124.66845508660677</v>
      </c>
      <c r="I192" s="69">
        <f>+Resumen!O88</f>
        <v>2253.1490521986925</v>
      </c>
      <c r="J192" s="415">
        <v>2131.4725654722733</v>
      </c>
    </row>
    <row r="193" spans="2:10">
      <c r="B193" s="209" t="s">
        <v>31</v>
      </c>
      <c r="C193" s="69">
        <f>+Resumen!I89</f>
        <v>-46.872604658261025</v>
      </c>
      <c r="D193" s="69">
        <f>+Resumen!J89</f>
        <v>-694.65104062004457</v>
      </c>
      <c r="E193" s="69">
        <f>+Resumen!K89</f>
        <v>-146.88417365711049</v>
      </c>
      <c r="F193" s="69">
        <f>+Resumen!L89</f>
        <v>-129.93589799773662</v>
      </c>
      <c r="G193" s="69">
        <f>+Resumen!M89</f>
        <v>-1018.3437169331501</v>
      </c>
      <c r="H193" s="69">
        <f>+Resumen!N89</f>
        <v>109.36961762043555</v>
      </c>
      <c r="I193" s="69">
        <f>+Resumen!O89</f>
        <v>-908.97409931271432</v>
      </c>
      <c r="J193" s="415">
        <v>-1143.7566319774314</v>
      </c>
    </row>
    <row r="194" spans="2:10">
      <c r="B194" s="209" t="s">
        <v>12</v>
      </c>
      <c r="C194" s="69">
        <f>+Resumen!I90</f>
        <v>422.24657836619235</v>
      </c>
      <c r="D194" s="69">
        <f>+Resumen!J90</f>
        <v>-835.03214542099477</v>
      </c>
      <c r="E194" s="69">
        <f>+Resumen!K90</f>
        <v>-11.835603938885015</v>
      </c>
      <c r="F194" s="69">
        <f>+Resumen!L90</f>
        <v>38.947831721369084</v>
      </c>
      <c r="G194" s="69">
        <f>+Resumen!M90</f>
        <v>-385.6733392723163</v>
      </c>
      <c r="H194" s="69">
        <f>+Resumen!N90</f>
        <v>-23.500522660462025</v>
      </c>
      <c r="I194" s="69">
        <f>+Resumen!O90</f>
        <v>-409.17386193277889</v>
      </c>
      <c r="J194" s="415">
        <v>-804.00461201290818</v>
      </c>
    </row>
    <row r="195" spans="2:10">
      <c r="B195" s="209" t="s">
        <v>13</v>
      </c>
      <c r="C195" s="69">
        <f>+Resumen!I91</f>
        <v>409.4632559021934</v>
      </c>
      <c r="D195" s="69">
        <f>+Resumen!J91</f>
        <v>545.0522266057942</v>
      </c>
      <c r="E195" s="69">
        <f>+Resumen!K91</f>
        <v>-9.1019720353805837</v>
      </c>
      <c r="F195" s="69">
        <f>+Resumen!L91</f>
        <v>117.39076738506856</v>
      </c>
      <c r="G195" s="69">
        <f>+Resumen!M91</f>
        <v>1062.8042778576764</v>
      </c>
      <c r="H195" s="69">
        <f>+Resumen!N91</f>
        <v>84.804804236999814</v>
      </c>
      <c r="I195" s="69">
        <f>+Resumen!O91</f>
        <v>1147.6090820946756</v>
      </c>
      <c r="J195" s="415">
        <v>776.11331096869799</v>
      </c>
    </row>
    <row r="196" spans="2:10">
      <c r="B196" s="209" t="s">
        <v>14</v>
      </c>
      <c r="C196" s="69">
        <f>+Resumen!I92</f>
        <v>487.22193469216336</v>
      </c>
      <c r="D196" s="69">
        <f>+Resumen!J92</f>
        <v>559.52495041067777</v>
      </c>
      <c r="E196" s="69">
        <f>+Resumen!K92</f>
        <v>438.03313507789187</v>
      </c>
      <c r="F196" s="69">
        <f>+Resumen!L92</f>
        <v>141.22628630632607</v>
      </c>
      <c r="G196" s="69">
        <f>+Resumen!M92</f>
        <v>1626.006306487061</v>
      </c>
      <c r="H196" s="69">
        <f>+Resumen!N92</f>
        <v>12.761724686255626</v>
      </c>
      <c r="I196" s="69">
        <f>+Resumen!O92</f>
        <v>1638.7680311733166</v>
      </c>
      <c r="J196" s="415">
        <v>1171.6863929564133</v>
      </c>
    </row>
    <row r="197" spans="2:10">
      <c r="B197" s="209" t="s">
        <v>523</v>
      </c>
      <c r="C197" s="69">
        <f>+Resumen!I93</f>
        <v>-51.085964103501283</v>
      </c>
      <c r="D197" s="69">
        <f>+Resumen!J93</f>
        <v>-448.13018071804163</v>
      </c>
      <c r="E197" s="69">
        <f>+Resumen!K93</f>
        <v>471.88725430603358</v>
      </c>
      <c r="F197" s="69">
        <f>+Resumen!L93</f>
        <v>5.924982392059519</v>
      </c>
      <c r="G197" s="69">
        <f>+Resumen!M93</f>
        <v>-21.403908123447764</v>
      </c>
      <c r="H197" s="69">
        <f>+Resumen!N93</f>
        <v>-95.384669984268683</v>
      </c>
      <c r="I197" s="69">
        <f>+Resumen!O93</f>
        <v>-116.7885781077166</v>
      </c>
      <c r="J197" s="415">
        <v>-335.14116476565869</v>
      </c>
    </row>
    <row r="198" spans="2:10">
      <c r="B198" s="209" t="s">
        <v>16</v>
      </c>
      <c r="C198" s="71">
        <f>+Resumen!I94</f>
        <v>-153.89566423714768</v>
      </c>
      <c r="D198" s="71">
        <f>+Resumen!J94</f>
        <v>282.72622362717493</v>
      </c>
      <c r="E198" s="71">
        <f>+Resumen!K94</f>
        <v>-116.27744027073035</v>
      </c>
      <c r="F198" s="71">
        <f>+Resumen!L94</f>
        <v>-8.5686167997532721</v>
      </c>
      <c r="G198" s="71">
        <f>+Resumen!M94</f>
        <v>3.9845023195466638</v>
      </c>
      <c r="H198" s="71">
        <f>+Resumen!N94</f>
        <v>131.05688231169717</v>
      </c>
      <c r="I198" s="71">
        <f>+Resumen!O94</f>
        <v>135.041384631244</v>
      </c>
      <c r="J198" s="415">
        <v>167.67861708607415</v>
      </c>
    </row>
    <row r="199" spans="2:10">
      <c r="B199" s="209" t="s">
        <v>17</v>
      </c>
      <c r="C199" s="69">
        <f>+Resumen!I95</f>
        <v>-598.90516211779777</v>
      </c>
      <c r="D199" s="69">
        <f>+Resumen!J95</f>
        <v>-387.99166489458548</v>
      </c>
      <c r="E199" s="69">
        <f>+Resumen!K95</f>
        <v>-139.64153144979781</v>
      </c>
      <c r="F199" s="69">
        <f>+Resumen!L95</f>
        <v>-66.45288780228816</v>
      </c>
      <c r="G199" s="69">
        <f>+Resumen!M95</f>
        <v>-1192.9912462644679</v>
      </c>
      <c r="H199" s="69">
        <f>+Resumen!N95</f>
        <v>34.368039362468757</v>
      </c>
      <c r="I199" s="69">
        <f>+Resumen!O95</f>
        <v>-1158.6232069019979</v>
      </c>
      <c r="J199" s="415">
        <v>-1262.4579901321313</v>
      </c>
    </row>
    <row r="200" spans="2:10">
      <c r="B200" s="209" t="s">
        <v>18</v>
      </c>
      <c r="C200" s="69">
        <f>+Resumen!I96</f>
        <v>376.08957850334946</v>
      </c>
      <c r="D200" s="69">
        <f>+Resumen!J96</f>
        <v>-299.52511558752303</v>
      </c>
      <c r="E200" s="69">
        <f>+Resumen!K96</f>
        <v>507.92198130699569</v>
      </c>
      <c r="F200" s="69">
        <f>+Resumen!L96</f>
        <v>103.64995096289033</v>
      </c>
      <c r="G200" s="69">
        <f>+Resumen!M96</f>
        <v>688.1363951857129</v>
      </c>
      <c r="H200" s="69">
        <f>+Resumen!N96</f>
        <v>161.80857563926941</v>
      </c>
      <c r="I200" s="69">
        <f>+Resumen!O96</f>
        <v>849.94497082498128</v>
      </c>
      <c r="J200" s="415">
        <v>828.72752373822914</v>
      </c>
    </row>
    <row r="201" spans="2:10">
      <c r="B201" s="209" t="s">
        <v>19</v>
      </c>
      <c r="C201" s="69">
        <f>+Resumen!I97</f>
        <v>73.888243770852569</v>
      </c>
      <c r="D201" s="69">
        <f>+Resumen!J97</f>
        <v>471.44782677931744</v>
      </c>
      <c r="E201" s="69">
        <f>+Resumen!K97</f>
        <v>41.021548604120483</v>
      </c>
      <c r="F201" s="69">
        <f>+Resumen!L97</f>
        <v>114.11697620162181</v>
      </c>
      <c r="G201" s="69">
        <f>+Resumen!M97</f>
        <v>700.47459535591588</v>
      </c>
      <c r="H201" s="69">
        <f>+Resumen!N97</f>
        <v>1.0520634034719762</v>
      </c>
      <c r="I201" s="69">
        <f>+Resumen!O97</f>
        <v>701.52665875938692</v>
      </c>
      <c r="J201" s="415">
        <v>792.95243278569615</v>
      </c>
    </row>
    <row r="202" spans="2:10">
      <c r="B202" s="209" t="s">
        <v>20</v>
      </c>
      <c r="C202" s="71">
        <f>+Resumen!I98</f>
        <v>-219.63933374124872</v>
      </c>
      <c r="D202" s="71">
        <f>+Resumen!J98</f>
        <v>99.809829176653693</v>
      </c>
      <c r="E202" s="71">
        <f>+Resumen!K98</f>
        <v>-163.16232389668559</v>
      </c>
      <c r="F202" s="71">
        <f>+Resumen!L98</f>
        <v>-69.908165466180208</v>
      </c>
      <c r="G202" s="71">
        <f>+Resumen!M98</f>
        <v>-352.89999392745813</v>
      </c>
      <c r="H202" s="71">
        <f>+Resumen!N98</f>
        <v>-83.187608220690478</v>
      </c>
      <c r="I202" s="71">
        <f>+Resumen!O98</f>
        <v>-436.08760214814902</v>
      </c>
      <c r="J202" s="415">
        <v>-334.90530895690245</v>
      </c>
    </row>
    <row r="203" spans="2:10">
      <c r="B203" s="209" t="s">
        <v>60</v>
      </c>
      <c r="C203" s="69">
        <f>+Resumen!I99</f>
        <v>-573.04145671115748</v>
      </c>
      <c r="D203" s="69">
        <f>+Resumen!J99</f>
        <v>-619.14105278492843</v>
      </c>
      <c r="E203" s="69">
        <f>+Resumen!K99</f>
        <v>-41.991596773381275</v>
      </c>
      <c r="F203" s="69">
        <f>+Resumen!L99</f>
        <v>-67.379831118159245</v>
      </c>
      <c r="G203" s="69">
        <f>+Resumen!M99</f>
        <v>-1301.5539373876254</v>
      </c>
      <c r="H203" s="69">
        <f>+Resumen!N99</f>
        <v>40.702779576210069</v>
      </c>
      <c r="I203" s="69">
        <f>+Resumen!O99</f>
        <v>-1260.8511578114167</v>
      </c>
      <c r="J203" s="415">
        <v>-1305.870346686941</v>
      </c>
    </row>
    <row r="204" spans="2:10">
      <c r="B204" s="209" t="s">
        <v>61</v>
      </c>
      <c r="C204" s="69">
        <f>+Resumen!I100</f>
        <v>981.06180958087816</v>
      </c>
      <c r="D204" s="69">
        <f>+Resumen!J100</f>
        <v>319.72888877662945</v>
      </c>
      <c r="E204" s="69">
        <f>+Resumen!K100</f>
        <v>55.047804515293819</v>
      </c>
      <c r="F204" s="69">
        <f>+Resumen!L100</f>
        <v>-169.33760509116888</v>
      </c>
      <c r="G204" s="69">
        <f>+Resumen!M100</f>
        <v>1186.500897781636</v>
      </c>
      <c r="H204" s="69">
        <f>+Resumen!N100</f>
        <v>-594.13209585645916</v>
      </c>
      <c r="I204" s="69">
        <f>+Resumen!O100</f>
        <v>592.36880192517674</v>
      </c>
      <c r="J204" s="415">
        <v>1047.7331320576031</v>
      </c>
    </row>
    <row r="205" spans="2:10">
      <c r="B205" s="209" t="s">
        <v>62</v>
      </c>
      <c r="C205" s="69">
        <f>+Resumen!I101</f>
        <v>2109.3192029655597</v>
      </c>
      <c r="D205" s="69">
        <f>+Resumen!J101</f>
        <v>1112.8958866502735</v>
      </c>
      <c r="E205" s="69">
        <f>+Resumen!K101</f>
        <v>-75.223666159288285</v>
      </c>
      <c r="F205" s="69">
        <f>+Resumen!L101</f>
        <v>-36.564874701369831</v>
      </c>
      <c r="G205" s="69">
        <f>+Resumen!M101</f>
        <v>3110.4265487551784</v>
      </c>
      <c r="H205" s="69">
        <f>+Resumen!N101</f>
        <v>-428.91126662509487</v>
      </c>
      <c r="I205" s="69">
        <f>+Resumen!O101</f>
        <v>2681.5152821300835</v>
      </c>
      <c r="J205" s="415">
        <v>2784.8781985904698</v>
      </c>
    </row>
    <row r="206" spans="2:10">
      <c r="B206" s="209" t="s">
        <v>63</v>
      </c>
      <c r="C206" s="69">
        <f>+Resumen!I102</f>
        <v>323.78997581230033</v>
      </c>
      <c r="D206" s="69">
        <f>+Resumen!J102</f>
        <v>34.971722618672175</v>
      </c>
      <c r="E206" s="69">
        <f>+Resumen!K102</f>
        <v>26.071872197008133</v>
      </c>
      <c r="F206" s="69">
        <f>+Resumen!L102</f>
        <v>77.900895865056441</v>
      </c>
      <c r="G206" s="69">
        <f>+Resumen!M102</f>
        <v>462.73446649303878</v>
      </c>
      <c r="H206" s="69">
        <f>+Resumen!N102</f>
        <v>7.3909696907941793</v>
      </c>
      <c r="I206" s="69">
        <f>+Resumen!O102</f>
        <v>470.12543618383279</v>
      </c>
      <c r="J206" s="415">
        <v>352.86888523231391</v>
      </c>
    </row>
    <row r="207" spans="2:10" ht="13.8" thickBot="1">
      <c r="B207" s="210" t="s">
        <v>64</v>
      </c>
      <c r="C207" s="70">
        <f>+Resumen!I103</f>
        <v>2244.0144232369444</v>
      </c>
      <c r="D207" s="70">
        <f>+Resumen!J103</f>
        <v>-1029.7925406506015</v>
      </c>
      <c r="E207" s="70">
        <f>+Resumen!K103</f>
        <v>216.4323583965537</v>
      </c>
      <c r="F207" s="70">
        <f>+Resumen!L103</f>
        <v>449.51629105574352</v>
      </c>
      <c r="G207" s="70">
        <f>+Resumen!M103</f>
        <v>1880.1705320386409</v>
      </c>
      <c r="H207" s="70">
        <f>+Resumen!N103</f>
        <v>-52.333142975266789</v>
      </c>
      <c r="I207" s="70">
        <f>+Resumen!O103</f>
        <v>1827.8373890633738</v>
      </c>
      <c r="J207" s="416">
        <v>2188.6369232276502</v>
      </c>
    </row>
    <row r="208" spans="2:10">
      <c r="B208" s="209"/>
      <c r="C208" s="69"/>
      <c r="D208" s="69"/>
      <c r="E208" s="69"/>
      <c r="F208" s="69"/>
      <c r="G208" s="69"/>
      <c r="H208" s="69"/>
      <c r="I208" s="69"/>
      <c r="J208" s="69"/>
    </row>
    <row r="209" spans="2:10">
      <c r="B209" s="209"/>
      <c r="C209" s="69"/>
      <c r="D209" s="69"/>
      <c r="E209" s="69"/>
      <c r="F209" s="69"/>
      <c r="G209" s="69"/>
      <c r="H209" s="69"/>
      <c r="I209" s="69"/>
      <c r="J209" s="69"/>
    </row>
    <row r="211" spans="2:10" ht="17.55">
      <c r="B211" s="259" t="str">
        <f>"Cuadro 10a: Componentes del saldo relativo total ligado al gasto territorializable, millones de euros, ejercicio "&amp;(Resumen!C2)</f>
        <v>Cuadro 10a: Componentes del saldo relativo total ligado al gasto territorializable, millones de euros, ejercicio 2013</v>
      </c>
    </row>
    <row r="212" spans="2:10" ht="26.95" thickBot="1">
      <c r="B212" s="277"/>
      <c r="C212" s="258" t="s">
        <v>524</v>
      </c>
      <c r="D212" s="258" t="s">
        <v>1171</v>
      </c>
      <c r="E212" s="258" t="s">
        <v>525</v>
      </c>
      <c r="F212" s="258" t="s">
        <v>526</v>
      </c>
      <c r="G212" s="258" t="s">
        <v>527</v>
      </c>
      <c r="H212" s="258" t="s">
        <v>528</v>
      </c>
      <c r="I212" s="256" t="str">
        <f>"Total, gasto territ. a igual esf fiscal, "&amp;(Resumen!C2-1)</f>
        <v>Total, gasto territ. a igual esf fiscal, 2012</v>
      </c>
    </row>
    <row r="213" spans="2:10">
      <c r="B213" s="209" t="s">
        <v>9</v>
      </c>
      <c r="C213" s="69">
        <f>+Resumen!D111</f>
        <v>-2160.1901922797024</v>
      </c>
      <c r="D213" s="69">
        <f>+Resumen!E111</f>
        <v>-946.66931379235496</v>
      </c>
      <c r="E213" s="69">
        <f>+Resumen!F111</f>
        <v>-251.70545680701849</v>
      </c>
      <c r="F213" s="69">
        <f>+Resumen!G111</f>
        <v>901.89582792746069</v>
      </c>
      <c r="G213" s="69">
        <f>+Resumen!H111</f>
        <v>-294.20848593381464</v>
      </c>
      <c r="H213" s="69">
        <f>+Resumen!I111</f>
        <v>-2750.8776208854383</v>
      </c>
      <c r="I213" s="413">
        <v>-2639.4699594820304</v>
      </c>
    </row>
    <row r="214" spans="2:10">
      <c r="B214" s="209" t="s">
        <v>10</v>
      </c>
      <c r="C214" s="69">
        <f>+Resumen!D112</f>
        <v>201.10233532371473</v>
      </c>
      <c r="D214" s="69">
        <f>+Resumen!E112</f>
        <v>98.439308300638757</v>
      </c>
      <c r="E214" s="69">
        <f>+Resumen!F112</f>
        <v>132.04122155077448</v>
      </c>
      <c r="F214" s="69">
        <f>+Resumen!G112</f>
        <v>-36.346192053823607</v>
      </c>
      <c r="G214" s="69">
        <f>+Resumen!H112</f>
        <v>54.942413028900958</v>
      </c>
      <c r="H214" s="69">
        <f>+Resumen!I112</f>
        <v>450.17908615020411</v>
      </c>
      <c r="I214" s="413">
        <v>300.80584427529311</v>
      </c>
    </row>
    <row r="215" spans="2:10">
      <c r="B215" s="209" t="s">
        <v>11</v>
      </c>
      <c r="C215" s="69">
        <f>+Resumen!D113</f>
        <v>136.18027721673056</v>
      </c>
      <c r="D215" s="69">
        <f>+Resumen!E113</f>
        <v>-52.938085156695536</v>
      </c>
      <c r="E215" s="69">
        <f>+Resumen!F113</f>
        <v>104.88221472207672</v>
      </c>
      <c r="F215" s="69">
        <f>+Resumen!G113</f>
        <v>34.942367943970169</v>
      </c>
      <c r="G215" s="69">
        <f>+Resumen!H113</f>
        <v>-15.584131067094026</v>
      </c>
      <c r="H215" s="69">
        <f>+Resumen!I113</f>
        <v>207.48264365898675</v>
      </c>
      <c r="I215" s="413">
        <v>170.53789676182024</v>
      </c>
    </row>
    <row r="216" spans="2:10">
      <c r="B216" s="209" t="s">
        <v>31</v>
      </c>
      <c r="C216" s="69">
        <f>+Resumen!D114</f>
        <v>-112.51416209562896</v>
      </c>
      <c r="D216" s="69">
        <f>+Resumen!E114</f>
        <v>65.047837065319342</v>
      </c>
      <c r="E216" s="69">
        <f>+Resumen!F114</f>
        <v>-124.24011850359213</v>
      </c>
      <c r="F216" s="69">
        <f>+Resumen!G114</f>
        <v>128.32938792219122</v>
      </c>
      <c r="G216" s="69">
        <f>+Resumen!H114</f>
        <v>-8.5370726583822627</v>
      </c>
      <c r="H216" s="69">
        <f>+Resumen!I114</f>
        <v>-51.914128270094267</v>
      </c>
      <c r="I216" s="413">
        <v>-217.09494093792227</v>
      </c>
    </row>
    <row r="217" spans="2:10">
      <c r="B217" s="209" t="s">
        <v>12</v>
      </c>
      <c r="C217" s="69">
        <f>+Resumen!D115</f>
        <v>-53.516839584152805</v>
      </c>
      <c r="D217" s="69">
        <f>+Resumen!E115</f>
        <v>307.69073883538408</v>
      </c>
      <c r="E217" s="69">
        <f>+Resumen!F115</f>
        <v>-2.4106457005123367</v>
      </c>
      <c r="F217" s="69">
        <f>+Resumen!G115</f>
        <v>701.73179411011802</v>
      </c>
      <c r="G217" s="69">
        <f>+Resumen!H115</f>
        <v>-61.817102535762601</v>
      </c>
      <c r="H217" s="69">
        <f>+Resumen!I115</f>
        <v>891.67794512507169</v>
      </c>
      <c r="I217" s="413">
        <v>51.249915334069058</v>
      </c>
    </row>
    <row r="218" spans="2:10">
      <c r="B218" s="209" t="s">
        <v>13</v>
      </c>
      <c r="C218" s="69">
        <f>+Resumen!D116</f>
        <v>231.45855973164799</v>
      </c>
      <c r="D218" s="69">
        <f>+Resumen!E116</f>
        <v>-5.9802021009721633</v>
      </c>
      <c r="E218" s="69">
        <f>+Resumen!F116</f>
        <v>60.798302260733983</v>
      </c>
      <c r="F218" s="69">
        <f>+Resumen!G116</f>
        <v>-36.16900394247503</v>
      </c>
      <c r="G218" s="69">
        <f>+Resumen!H116</f>
        <v>-8.4129609610344378</v>
      </c>
      <c r="H218" s="69">
        <f>+Resumen!I116</f>
        <v>241.69469498789951</v>
      </c>
      <c r="I218" s="413">
        <v>140.70707773851333</v>
      </c>
    </row>
    <row r="219" spans="2:10">
      <c r="B219" s="209" t="s">
        <v>14</v>
      </c>
      <c r="C219" s="69">
        <f>+Resumen!D117</f>
        <v>667.01101043837184</v>
      </c>
      <c r="D219" s="69">
        <f>+Resumen!E117</f>
        <v>-17.136260203075125</v>
      </c>
      <c r="E219" s="69">
        <f>+Resumen!F117</f>
        <v>443.48108028167036</v>
      </c>
      <c r="F219" s="69">
        <f>+Resumen!G117</f>
        <v>18.11805751518898</v>
      </c>
      <c r="G219" s="69">
        <f>+Resumen!H117</f>
        <v>110.15350353438572</v>
      </c>
      <c r="H219" s="69">
        <f>+Resumen!I117</f>
        <v>1221.6273915665386</v>
      </c>
      <c r="I219" s="413">
        <v>989.9905470351797</v>
      </c>
    </row>
    <row r="220" spans="2:10">
      <c r="B220" s="209" t="s">
        <v>501</v>
      </c>
      <c r="C220" s="69">
        <f>+Resumen!D118</f>
        <v>29.705259336647103</v>
      </c>
      <c r="D220" s="69">
        <f>+Resumen!E118</f>
        <v>-179.50383465852136</v>
      </c>
      <c r="E220" s="69">
        <f>+Resumen!F118</f>
        <v>109.86267206644359</v>
      </c>
      <c r="F220" s="69">
        <f>+Resumen!G118</f>
        <v>-22.364704233170652</v>
      </c>
      <c r="G220" s="69">
        <f>+Resumen!H118</f>
        <v>-44.459070181731896</v>
      </c>
      <c r="H220" s="69">
        <f>+Resumen!I118</f>
        <v>-106.75967767033544</v>
      </c>
      <c r="I220" s="413">
        <v>-101.50665452347583</v>
      </c>
    </row>
    <row r="221" spans="2:10">
      <c r="B221" s="209" t="s">
        <v>16</v>
      </c>
      <c r="C221" s="69">
        <f>+Resumen!D119</f>
        <v>-1365.7960091984526</v>
      </c>
      <c r="D221" s="69">
        <f>+Resumen!E119</f>
        <v>1062.8306136973288</v>
      </c>
      <c r="E221" s="69">
        <f>+Resumen!F119</f>
        <v>-217.23493570545932</v>
      </c>
      <c r="F221" s="69">
        <f>+Resumen!G119</f>
        <v>-812.72955872188152</v>
      </c>
      <c r="G221" s="69">
        <f>+Resumen!H119</f>
        <v>173.12961208616446</v>
      </c>
      <c r="H221" s="69">
        <f>+Resumen!I119</f>
        <v>-1159.8002778423065</v>
      </c>
      <c r="I221" s="413">
        <v>-843.61617095833049</v>
      </c>
    </row>
    <row r="222" spans="2:10">
      <c r="B222" s="209" t="s">
        <v>17</v>
      </c>
      <c r="C222" s="69">
        <f>+Resumen!D120</f>
        <v>-1672.4981433021801</v>
      </c>
      <c r="D222" s="69">
        <f>+Resumen!E120</f>
        <v>-338.02999245766978</v>
      </c>
      <c r="E222" s="69">
        <f>+Resumen!F120</f>
        <v>-391.53464033105053</v>
      </c>
      <c r="F222" s="69">
        <f>+Resumen!G120</f>
        <v>-299.15818579688721</v>
      </c>
      <c r="G222" s="69">
        <f>+Resumen!H120</f>
        <v>-328.83759251706294</v>
      </c>
      <c r="H222" s="69">
        <f>+Resumen!I120</f>
        <v>-3030.0585544048567</v>
      </c>
      <c r="I222" s="413">
        <v>-3505.933171510108</v>
      </c>
    </row>
    <row r="223" spans="2:10">
      <c r="B223" s="209" t="s">
        <v>18</v>
      </c>
      <c r="C223" s="69">
        <f>+Resumen!D121</f>
        <v>263.10197249479785</v>
      </c>
      <c r="D223" s="69">
        <f>+Resumen!E121</f>
        <v>-160.98760099713442</v>
      </c>
      <c r="E223" s="69">
        <f>+Resumen!F121</f>
        <v>103.95484820940543</v>
      </c>
      <c r="F223" s="69">
        <f>+Resumen!G121</f>
        <v>225.38158566643415</v>
      </c>
      <c r="G223" s="69">
        <f>+Resumen!H121</f>
        <v>-17.068538166097973</v>
      </c>
      <c r="H223" s="69">
        <f>+Resumen!I121</f>
        <v>414.38226720740346</v>
      </c>
      <c r="I223" s="413">
        <v>321.33807454625435</v>
      </c>
    </row>
    <row r="224" spans="2:10">
      <c r="B224" s="209" t="s">
        <v>19</v>
      </c>
      <c r="C224" s="69">
        <f>+Resumen!D122</f>
        <v>486.99147915500367</v>
      </c>
      <c r="D224" s="69">
        <f>+Resumen!E122</f>
        <v>-451.73079468222414</v>
      </c>
      <c r="E224" s="69">
        <f>+Resumen!F122</f>
        <v>108.22676549293072</v>
      </c>
      <c r="F224" s="69">
        <f>+Resumen!G122</f>
        <v>99.403151232209197</v>
      </c>
      <c r="G224" s="69">
        <f>+Resumen!H122</f>
        <v>-39.157253604278623</v>
      </c>
      <c r="H224" s="69">
        <f>+Resumen!I122</f>
        <v>203.73334759363777</v>
      </c>
      <c r="I224" s="413">
        <v>572.95191158595208</v>
      </c>
    </row>
    <row r="225" spans="2:9">
      <c r="B225" s="209" t="s">
        <v>20</v>
      </c>
      <c r="C225" s="69">
        <f>+Resumen!D123</f>
        <v>-1811.5809831463712</v>
      </c>
      <c r="D225" s="69">
        <f>+Resumen!E123</f>
        <v>965.70752804855624</v>
      </c>
      <c r="E225" s="69">
        <f>+Resumen!F123</f>
        <v>-121.47308626292181</v>
      </c>
      <c r="F225" s="69">
        <f>+Resumen!G123</f>
        <v>-627.77396839987387</v>
      </c>
      <c r="G225" s="69">
        <f>+Resumen!H123</f>
        <v>172.95681216303456</v>
      </c>
      <c r="H225" s="69">
        <f>+Resumen!I123</f>
        <v>-1422.1636975975835</v>
      </c>
      <c r="I225" s="413">
        <v>-435.19900979983578</v>
      </c>
    </row>
    <row r="226" spans="2:9">
      <c r="B226" s="209" t="s">
        <v>60</v>
      </c>
      <c r="C226" s="69">
        <f>+Resumen!D124</f>
        <v>-403.53684517467923</v>
      </c>
      <c r="D226" s="69">
        <f>+Resumen!E124</f>
        <v>-191.11014972570726</v>
      </c>
      <c r="E226" s="69">
        <f>+Resumen!F124</f>
        <v>-98.648816513435335</v>
      </c>
      <c r="F226" s="69">
        <f>+Resumen!G124</f>
        <v>-69.191265203006353</v>
      </c>
      <c r="G226" s="69">
        <f>+Resumen!H124</f>
        <v>-79.559236763345254</v>
      </c>
      <c r="H226" s="69">
        <f>+Resumen!I124</f>
        <v>-842.04631338017464</v>
      </c>
      <c r="I226" s="413">
        <v>-952.90167770249604</v>
      </c>
    </row>
    <row r="227" spans="2:9">
      <c r="B227" s="209" t="s">
        <v>61</v>
      </c>
      <c r="C227" s="69">
        <f>+Resumen!D125</f>
        <v>713.98602621105181</v>
      </c>
      <c r="D227" s="69">
        <f>+Resumen!E125</f>
        <v>-28.15290917730669</v>
      </c>
      <c r="E227" s="69">
        <f>+Resumen!F125</f>
        <v>-39.801060625118609</v>
      </c>
      <c r="F227" s="69">
        <f>+Resumen!G125</f>
        <v>-54.506735360314039</v>
      </c>
      <c r="G227" s="69">
        <f>+Resumen!H125</f>
        <v>38.937863358980984</v>
      </c>
      <c r="H227" s="69">
        <f>+Resumen!I125</f>
        <v>630.46318440729328</v>
      </c>
      <c r="I227" s="413">
        <v>854.70804587560906</v>
      </c>
    </row>
    <row r="228" spans="2:9">
      <c r="B228" s="209" t="s">
        <v>62</v>
      </c>
      <c r="C228" s="69">
        <f>+Resumen!D126</f>
        <v>4413.6368035385676</v>
      </c>
      <c r="D228" s="69">
        <f>+Resumen!E126</f>
        <v>-32.470834461162376</v>
      </c>
      <c r="E228" s="69">
        <f>+Resumen!F126</f>
        <v>193.90900236356629</v>
      </c>
      <c r="F228" s="69">
        <f>+Resumen!G126</f>
        <v>-182.09340978466025</v>
      </c>
      <c r="G228" s="69">
        <f>+Resumen!H126</f>
        <v>227.13095079245767</v>
      </c>
      <c r="H228" s="69">
        <f>+Resumen!I126</f>
        <v>4620.1125124487644</v>
      </c>
      <c r="I228" s="413">
        <v>4823.7172441346456</v>
      </c>
    </row>
    <row r="229" spans="2:9">
      <c r="B229" s="209" t="s">
        <v>63</v>
      </c>
      <c r="C229" s="69">
        <f>+Resumen!D127</f>
        <v>104.682373894224</v>
      </c>
      <c r="D229" s="69">
        <f>+Resumen!E127</f>
        <v>-7.6187753306867565</v>
      </c>
      <c r="E229" s="69">
        <f>+Resumen!F127</f>
        <v>-7.2188280859638168</v>
      </c>
      <c r="F229" s="69">
        <f>+Resumen!G127</f>
        <v>-23.417009525416713</v>
      </c>
      <c r="G229" s="69">
        <f>+Resumen!H127</f>
        <v>37.351621250335427</v>
      </c>
      <c r="H229" s="69">
        <f>+Resumen!I127</f>
        <v>103.77938220249153</v>
      </c>
      <c r="I229" s="413">
        <v>66.858643919976146</v>
      </c>
    </row>
    <row r="230" spans="2:9" ht="13.8" thickBot="1">
      <c r="B230" s="54" t="s">
        <v>64</v>
      </c>
      <c r="C230" s="273">
        <f>+Resumen!D128</f>
        <v>331.77707744043215</v>
      </c>
      <c r="D230" s="273">
        <f>+Resumen!E128</f>
        <v>-87.38727320371936</v>
      </c>
      <c r="E230" s="273">
        <f>+Resumen!F128</f>
        <v>-2.8885184125293044</v>
      </c>
      <c r="F230" s="273">
        <f>+Resumen!G128</f>
        <v>53.947860703937195</v>
      </c>
      <c r="G230" s="273">
        <f>+Resumen!H128</f>
        <v>83.038668174350178</v>
      </c>
      <c r="H230" s="273">
        <f>+Resumen!I128</f>
        <v>378.48781470247081</v>
      </c>
      <c r="I230" s="414">
        <v>402.85638370686996</v>
      </c>
    </row>
    <row r="231" spans="2:9">
      <c r="B231" s="209"/>
      <c r="C231" s="69"/>
      <c r="D231" s="69"/>
      <c r="E231" s="69"/>
      <c r="F231" s="69"/>
      <c r="G231" s="69"/>
      <c r="H231" s="69"/>
    </row>
    <row r="232" spans="2:9">
      <c r="B232" s="209"/>
      <c r="C232" s="69"/>
      <c r="D232" s="69"/>
      <c r="E232" s="69"/>
      <c r="F232" s="69"/>
      <c r="G232" s="69"/>
      <c r="H232" s="69"/>
    </row>
    <row r="234" spans="2:9" ht="17.55">
      <c r="B234" s="259" t="str">
        <f>"Cuadro 10b: Componentes del saldo relativo per cápita ligado al gasto territorializable, euros, ejercicio "&amp;(Resumen!C2)</f>
        <v>Cuadro 10b: Componentes del saldo relativo per cápita ligado al gasto territorializable, euros, ejercicio 2013</v>
      </c>
    </row>
    <row r="235" spans="2:9" ht="26.95" thickBot="1">
      <c r="B235" s="272"/>
      <c r="C235" s="258" t="s">
        <v>524</v>
      </c>
      <c r="D235" s="258" t="s">
        <v>1171</v>
      </c>
      <c r="E235" s="258" t="s">
        <v>525</v>
      </c>
      <c r="F235" s="258" t="s">
        <v>526</v>
      </c>
      <c r="G235" s="258" t="s">
        <v>527</v>
      </c>
      <c r="H235" s="258" t="s">
        <v>528</v>
      </c>
      <c r="I235" s="256" t="str">
        <f>"Total, gasto territ. a igual esf fiscal "&amp;(Resumen!C2-1)</f>
        <v>Total, gasto territ. a igual esf fiscal 2012</v>
      </c>
    </row>
    <row r="236" spans="2:9">
      <c r="B236" s="209" t="s">
        <v>9</v>
      </c>
      <c r="C236" s="430">
        <f>+Resumen!D86</f>
        <v>-256.51497405296891</v>
      </c>
      <c r="D236" s="430">
        <f>+Resumen!E86</f>
        <v>-112.4136454892049</v>
      </c>
      <c r="E236" s="430">
        <f>+Resumen!F86</f>
        <v>-29.889136129122363</v>
      </c>
      <c r="F236" s="430">
        <f>+Resumen!G86</f>
        <v>107.09695179901929</v>
      </c>
      <c r="G236" s="430">
        <f>+Resumen!H86</f>
        <v>-34.936221081455585</v>
      </c>
      <c r="H236" s="430">
        <f>SUM(C236:G236)</f>
        <v>-326.65702495373245</v>
      </c>
      <c r="I236" s="431">
        <v>-312.54297479077792</v>
      </c>
    </row>
    <row r="237" spans="2:9">
      <c r="B237" s="209" t="s">
        <v>10</v>
      </c>
      <c r="C237" s="69">
        <f>+Resumen!D87</f>
        <v>150.495567185249</v>
      </c>
      <c r="D237" s="69">
        <f>+Resumen!E87</f>
        <v>73.667366976027438</v>
      </c>
      <c r="E237" s="69">
        <f>+Resumen!F87</f>
        <v>98.813464782144649</v>
      </c>
      <c r="F237" s="69">
        <f>+Resumen!G87</f>
        <v>-27.199787507982947</v>
      </c>
      <c r="G237" s="69">
        <f>+Resumen!H87</f>
        <v>41.116328152036147</v>
      </c>
      <c r="H237" s="69">
        <f t="shared" ref="H237:H253" si="10">SUM(C237:G237)</f>
        <v>336.8929395874743</v>
      </c>
      <c r="I237" s="413">
        <v>223.09867828860772</v>
      </c>
    </row>
    <row r="238" spans="2:9">
      <c r="B238" s="209" t="s">
        <v>11</v>
      </c>
      <c r="C238" s="69">
        <f>+Resumen!D88</f>
        <v>127.87354762616133</v>
      </c>
      <c r="D238" s="69">
        <f>+Resumen!E88</f>
        <v>-49.708965878730282</v>
      </c>
      <c r="E238" s="69">
        <f>+Resumen!F88</f>
        <v>98.484605506097864</v>
      </c>
      <c r="F238" s="69">
        <f>+Resumen!G88</f>
        <v>32.81095209068333</v>
      </c>
      <c r="G238" s="69">
        <f>+Resumen!H88</f>
        <v>-14.633529663395052</v>
      </c>
      <c r="H238" s="69">
        <f t="shared" si="10"/>
        <v>194.82660968081717</v>
      </c>
      <c r="I238" s="413">
        <v>158.97078501702001</v>
      </c>
    </row>
    <row r="239" spans="2:9">
      <c r="B239" s="209" t="s">
        <v>31</v>
      </c>
      <c r="C239" s="69">
        <f>+Resumen!D89</f>
        <v>-101.58760272205063</v>
      </c>
      <c r="D239" s="69">
        <f>+Resumen!E89</f>
        <v>58.730862912208067</v>
      </c>
      <c r="E239" s="69">
        <f>+Resumen!F89</f>
        <v>-112.17481929035964</v>
      </c>
      <c r="F239" s="69">
        <f>+Resumen!G89</f>
        <v>115.86696852191146</v>
      </c>
      <c r="G239" s="69">
        <f>+Resumen!H89</f>
        <v>-7.7080140799689616</v>
      </c>
      <c r="H239" s="69">
        <f t="shared" si="10"/>
        <v>-46.872604658259704</v>
      </c>
      <c r="I239" s="413">
        <v>-194.60685401225516</v>
      </c>
    </row>
    <row r="240" spans="2:9">
      <c r="B240" s="209" t="s">
        <v>12</v>
      </c>
      <c r="C240" s="69">
        <f>+Resumen!D90</f>
        <v>-25.342448496033285</v>
      </c>
      <c r="D240" s="69">
        <f>+Resumen!E90</f>
        <v>145.70435702543159</v>
      </c>
      <c r="E240" s="69">
        <f>+Resumen!F90</f>
        <v>-1.1415409613520637</v>
      </c>
      <c r="F240" s="69">
        <f>+Resumen!G90</f>
        <v>332.29917888370056</v>
      </c>
      <c r="G240" s="69">
        <f>+Resumen!H90</f>
        <v>-29.272968085553146</v>
      </c>
      <c r="H240" s="69">
        <f t="shared" si="10"/>
        <v>422.24657836619366</v>
      </c>
      <c r="I240" s="413">
        <v>24.191473746576094</v>
      </c>
    </row>
    <row r="241" spans="2:9">
      <c r="B241" s="209" t="s">
        <v>13</v>
      </c>
      <c r="C241" s="69">
        <f>+Resumen!D91</f>
        <v>392.12186878531929</v>
      </c>
      <c r="D241" s="69">
        <f>+Resumen!E91</f>
        <v>-10.131265079441619</v>
      </c>
      <c r="E241" s="69">
        <f>+Resumen!F91</f>
        <v>103.00048496410804</v>
      </c>
      <c r="F241" s="69">
        <f>+Resumen!G91</f>
        <v>-61.275147631049805</v>
      </c>
      <c r="G241" s="69">
        <f>+Resumen!H91</f>
        <v>-14.252685136741093</v>
      </c>
      <c r="H241" s="69">
        <f t="shared" si="10"/>
        <v>409.46325590219487</v>
      </c>
      <c r="I241" s="413">
        <v>237.33029121426824</v>
      </c>
    </row>
    <row r="242" spans="2:9">
      <c r="B242" s="209" t="s">
        <v>14</v>
      </c>
      <c r="C242" s="69">
        <f>+Resumen!D92</f>
        <v>266.02415532777241</v>
      </c>
      <c r="D242" s="69">
        <f>+Resumen!E92</f>
        <v>-6.8344586141148511</v>
      </c>
      <c r="E242" s="69">
        <f>+Resumen!F92</f>
        <v>176.87366166301052</v>
      </c>
      <c r="F242" s="69">
        <f>+Resumen!G92</f>
        <v>7.2260290628343</v>
      </c>
      <c r="G242" s="69">
        <f>+Resumen!H92</f>
        <v>43.932547252662232</v>
      </c>
      <c r="H242" s="69">
        <f t="shared" si="10"/>
        <v>487.22193469216461</v>
      </c>
      <c r="I242" s="413">
        <v>390.84079423365353</v>
      </c>
    </row>
    <row r="243" spans="2:9">
      <c r="B243" s="209" t="s">
        <v>501</v>
      </c>
      <c r="C243" s="69">
        <f>+Resumen!D93</f>
        <v>14.214372366719999</v>
      </c>
      <c r="D243" s="69">
        <f>+Resumen!E93</f>
        <v>-85.895036908247334</v>
      </c>
      <c r="E243" s="69">
        <f>+Resumen!F93</f>
        <v>52.570789308972962</v>
      </c>
      <c r="F243" s="69">
        <f>+Resumen!G93</f>
        <v>-10.70181647765169</v>
      </c>
      <c r="G243" s="69">
        <f>+Resumen!H93</f>
        <v>-21.274272393294154</v>
      </c>
      <c r="H243" s="69">
        <f t="shared" si="10"/>
        <v>-51.085964103500217</v>
      </c>
      <c r="I243" s="413">
        <v>-48.074541687118369</v>
      </c>
    </row>
    <row r="244" spans="2:9">
      <c r="B244" s="209" t="s">
        <v>16</v>
      </c>
      <c r="C244" s="69">
        <f>+Resumen!D94</f>
        <v>-181.22955138369093</v>
      </c>
      <c r="D244" s="69">
        <f>+Resumen!E94</f>
        <v>141.02861190102681</v>
      </c>
      <c r="E244" s="69">
        <f>+Resumen!F94</f>
        <v>-28.825234279217241</v>
      </c>
      <c r="F244" s="69">
        <f>+Resumen!G94</f>
        <v>-107.84232222927085</v>
      </c>
      <c r="G244" s="69">
        <f>+Resumen!H94</f>
        <v>22.972831754005369</v>
      </c>
      <c r="H244" s="69">
        <f t="shared" si="10"/>
        <v>-153.89566423714683</v>
      </c>
      <c r="I244" s="413">
        <v>-111.55581154283367</v>
      </c>
    </row>
    <row r="245" spans="2:9">
      <c r="B245" s="209" t="s">
        <v>17</v>
      </c>
      <c r="C245" s="69">
        <f>+Resumen!D95</f>
        <v>-330.57703462527593</v>
      </c>
      <c r="D245" s="69">
        <f>+Resumen!E95</f>
        <v>-66.813199744683516</v>
      </c>
      <c r="E245" s="69">
        <f>+Resumen!F95</f>
        <v>-77.388642177002012</v>
      </c>
      <c r="F245" s="69">
        <f>+Resumen!G95</f>
        <v>-59.130006416242942</v>
      </c>
      <c r="G245" s="69">
        <f>+Resumen!H95</f>
        <v>-64.996279154592116</v>
      </c>
      <c r="H245" s="69">
        <f t="shared" si="10"/>
        <v>-598.90516211779652</v>
      </c>
      <c r="I245" s="413">
        <v>-684.54660692619814</v>
      </c>
    </row>
    <row r="246" spans="2:9">
      <c r="B246" s="209" t="s">
        <v>18</v>
      </c>
      <c r="C246" s="69">
        <f>+Resumen!D96</f>
        <v>238.78895833504066</v>
      </c>
      <c r="D246" s="69">
        <f>+Resumen!E96</f>
        <v>-146.11088310150535</v>
      </c>
      <c r="E246" s="69">
        <f>+Resumen!F96</f>
        <v>94.348475165050331</v>
      </c>
      <c r="F246" s="69">
        <f>+Resumen!G96</f>
        <v>204.55427817156203</v>
      </c>
      <c r="G246" s="69">
        <f>+Resumen!H96</f>
        <v>-15.491250066796852</v>
      </c>
      <c r="H246" s="69">
        <f t="shared" si="10"/>
        <v>376.08957850335082</v>
      </c>
      <c r="I246" s="413">
        <v>290.52315505864874</v>
      </c>
    </row>
    <row r="247" spans="2:9">
      <c r="B247" s="209" t="s">
        <v>19</v>
      </c>
      <c r="C247" s="69">
        <f>+Resumen!D97</f>
        <v>176.61784656826921</v>
      </c>
      <c r="D247" s="69">
        <f>+Resumen!E97</f>
        <v>-163.82980729720975</v>
      </c>
      <c r="E247" s="69">
        <f>+Resumen!F97</f>
        <v>39.250744788342558</v>
      </c>
      <c r="F247" s="69">
        <f>+Resumen!G97</f>
        <v>36.050672884863346</v>
      </c>
      <c r="G247" s="69">
        <f>+Resumen!H97</f>
        <v>-14.201213173411702</v>
      </c>
      <c r="H247" s="69">
        <f t="shared" si="10"/>
        <v>73.888243770853663</v>
      </c>
      <c r="I247" s="413">
        <v>206.56451197325788</v>
      </c>
    </row>
    <row r="248" spans="2:9">
      <c r="B248" s="209" t="s">
        <v>20</v>
      </c>
      <c r="C248" s="69">
        <f>+Resumen!D98</f>
        <v>-279.78104126039489</v>
      </c>
      <c r="D248" s="69">
        <f>+Resumen!E98</f>
        <v>149.14412342812534</v>
      </c>
      <c r="E248" s="69">
        <f>+Resumen!F98</f>
        <v>-18.760335240838671</v>
      </c>
      <c r="F248" s="69">
        <f>+Resumen!G98</f>
        <v>-96.953576014048792</v>
      </c>
      <c r="G248" s="69">
        <f>+Resumen!H98</f>
        <v>26.711495345909441</v>
      </c>
      <c r="H248" s="69">
        <f t="shared" si="10"/>
        <v>-219.63933374124758</v>
      </c>
      <c r="I248" s="413">
        <v>-66.984037584384637</v>
      </c>
    </row>
    <row r="249" spans="2:9">
      <c r="B249" s="209" t="s">
        <v>60</v>
      </c>
      <c r="C249" s="69">
        <f>+Resumen!D99</f>
        <v>-274.62069237885157</v>
      </c>
      <c r="D249" s="69">
        <f>+Resumen!E99</f>
        <v>-130.05702519080126</v>
      </c>
      <c r="E249" s="69">
        <f>+Resumen!F99</f>
        <v>-67.133910118038912</v>
      </c>
      <c r="F249" s="69">
        <f>+Resumen!G99</f>
        <v>-47.087034018896645</v>
      </c>
      <c r="G249" s="69">
        <f>+Resumen!H99</f>
        <v>-54.142795004568256</v>
      </c>
      <c r="H249" s="69">
        <f t="shared" si="10"/>
        <v>-573.04145671115668</v>
      </c>
      <c r="I249" s="413">
        <v>-646.80286747351965</v>
      </c>
    </row>
    <row r="250" spans="2:9">
      <c r="B250" s="209" t="s">
        <v>61</v>
      </c>
      <c r="C250" s="69">
        <f>+Resumen!D100</f>
        <v>1111.0314451566123</v>
      </c>
      <c r="D250" s="69">
        <f>+Resumen!E100</f>
        <v>-43.808654820059473</v>
      </c>
      <c r="E250" s="69">
        <f>+Resumen!F100</f>
        <v>-61.93430722973298</v>
      </c>
      <c r="F250" s="69">
        <f>+Resumen!G100</f>
        <v>-84.817762161969526</v>
      </c>
      <c r="G250" s="69">
        <f>+Resumen!H100</f>
        <v>60.591088636028132</v>
      </c>
      <c r="H250" s="69">
        <f t="shared" si="10"/>
        <v>981.06180958087839</v>
      </c>
      <c r="I250" s="413">
        <v>1326.1125437640308</v>
      </c>
    </row>
    <row r="251" spans="2:9">
      <c r="B251" s="209" t="s">
        <v>62</v>
      </c>
      <c r="C251" s="69">
        <f>+Resumen!D101</f>
        <v>2015.0524125840047</v>
      </c>
      <c r="D251" s="69">
        <f>+Resumen!E101</f>
        <v>-14.824607513496176</v>
      </c>
      <c r="E251" s="69">
        <f>+Resumen!F101</f>
        <v>88.529441915382421</v>
      </c>
      <c r="F251" s="69">
        <f>+Resumen!G101</f>
        <v>-83.135015642439953</v>
      </c>
      <c r="G251" s="69">
        <f>+Resumen!H101</f>
        <v>103.69697162211037</v>
      </c>
      <c r="H251" s="69">
        <f t="shared" si="10"/>
        <v>2109.3192029655611</v>
      </c>
      <c r="I251" s="413">
        <v>2200.2119808357984</v>
      </c>
    </row>
    <row r="252" spans="2:9">
      <c r="B252" s="209" t="s">
        <v>63</v>
      </c>
      <c r="C252" s="69">
        <f>+Resumen!D102</f>
        <v>326.60729512775242</v>
      </c>
      <c r="D252" s="69">
        <f>+Resumen!E102</f>
        <v>-23.770454474561234</v>
      </c>
      <c r="E252" s="69">
        <f>+Resumen!F102</f>
        <v>-22.522625609648912</v>
      </c>
      <c r="F252" s="69">
        <f>+Resumen!G102</f>
        <v>-73.060686881300882</v>
      </c>
      <c r="G252" s="69">
        <f>+Resumen!H102</f>
        <v>116.53644765006084</v>
      </c>
      <c r="H252" s="69">
        <f t="shared" si="10"/>
        <v>323.78997581230226</v>
      </c>
      <c r="I252" s="413">
        <v>207.10940505168924</v>
      </c>
    </row>
    <row r="253" spans="2:9">
      <c r="B253" s="210" t="s">
        <v>64</v>
      </c>
      <c r="C253" s="70">
        <f>+Resumen!D103</f>
        <v>1967.0713776109051</v>
      </c>
      <c r="D253" s="70">
        <f>+Resumen!E103</f>
        <v>-518.10994663235431</v>
      </c>
      <c r="E253" s="70">
        <f>+Resumen!F103</f>
        <v>-17.125721694889023</v>
      </c>
      <c r="F253" s="70">
        <f>+Resumen!G103</f>
        <v>319.85118891496597</v>
      </c>
      <c r="G253" s="70">
        <f>+Resumen!H103</f>
        <v>492.32752503831648</v>
      </c>
      <c r="H253" s="70">
        <f t="shared" si="10"/>
        <v>2244.0144232369439</v>
      </c>
      <c r="I253" s="412">
        <v>2421.8924771739125</v>
      </c>
    </row>
    <row r="254" spans="2:9">
      <c r="B254" s="209"/>
      <c r="C254" s="69"/>
      <c r="D254" s="69"/>
      <c r="E254" s="69"/>
      <c r="F254" s="69"/>
      <c r="G254" s="69"/>
      <c r="H254" s="69"/>
    </row>
    <row r="255" spans="2:9">
      <c r="B255" s="209"/>
      <c r="C255" s="69"/>
      <c r="D255" s="69"/>
      <c r="E255" s="69"/>
      <c r="F255" s="69"/>
      <c r="G255" s="69"/>
      <c r="H255" s="69"/>
    </row>
    <row r="257" spans="2:9" ht="17.55">
      <c r="B257" s="259" t="str">
        <f>"Cuadro 11a: Componentes del saldo relativo total ligado a otro gasto territorializable, millones de euros, ejercicio "&amp;(Resumen!C2)</f>
        <v>Cuadro 11a: Componentes del saldo relativo total ligado a otro gasto territorializable, millones de euros, ejercicio 2013</v>
      </c>
    </row>
    <row r="258" spans="2:9" ht="26.95" thickBot="1">
      <c r="B258" s="277"/>
      <c r="C258" s="258" t="s">
        <v>529</v>
      </c>
      <c r="D258" s="258" t="s">
        <v>530</v>
      </c>
      <c r="E258" s="258" t="s">
        <v>531</v>
      </c>
      <c r="F258" s="258" t="s">
        <v>532</v>
      </c>
      <c r="G258" s="258" t="s">
        <v>533</v>
      </c>
      <c r="H258" s="258" t="s">
        <v>534</v>
      </c>
      <c r="I258" s="256" t="str">
        <f>"Total otro gasto territoria-lizable, "&amp;(Resumen!C2-1)</f>
        <v>Total otro gasto territoria-lizable, 2012</v>
      </c>
    </row>
    <row r="259" spans="2:9">
      <c r="B259" s="209" t="s">
        <v>9</v>
      </c>
      <c r="C259" s="72">
        <f t="array" ref="C259:C276">TRANSPOSE(Saldo_relativo_total!E290:V290)</f>
        <v>5.293294044801943</v>
      </c>
      <c r="D259" s="73">
        <f t="array" ref="D259:D276">TRANSPOSE(Saldo_relativo_total!E314:V314)</f>
        <v>14.496578055313883</v>
      </c>
      <c r="E259" s="73">
        <f t="array" ref="E259:E276">TRANSPOSE(Saldo_relativo_total!E329:V329)</f>
        <v>-216.0808170057004</v>
      </c>
      <c r="F259" s="73">
        <f t="array" ref="F259:F276">TRANSPOSE(Saldo_relativo_total!E349:V349)</f>
        <v>-5.5918857691464403</v>
      </c>
      <c r="G259" s="73">
        <f t="array" ref="G259:G276">TRANSPOSE(Saldo_relativo_total!E354:V354)</f>
        <v>-92.325655259084272</v>
      </c>
      <c r="H259" s="72">
        <f>+SUM(C259:G259)</f>
        <v>-294.20848593381527</v>
      </c>
      <c r="I259" s="417">
        <v>-311.85749695455127</v>
      </c>
    </row>
    <row r="260" spans="2:9">
      <c r="B260" s="209" t="s">
        <v>10</v>
      </c>
      <c r="C260" s="72">
        <v>31.232255356285354</v>
      </c>
      <c r="D260" s="73">
        <v>2.1653765072349316</v>
      </c>
      <c r="E260" s="73">
        <v>6.6545675757216811</v>
      </c>
      <c r="F260" s="73">
        <v>25.993265818747137</v>
      </c>
      <c r="G260" s="73">
        <v>-11.103052229088243</v>
      </c>
      <c r="H260" s="72">
        <f t="shared" ref="H260:H276" si="11">+SUM(C260:G260)</f>
        <v>54.942413028900866</v>
      </c>
      <c r="I260" s="417">
        <v>44.307587545889135</v>
      </c>
    </row>
    <row r="261" spans="2:9">
      <c r="B261" s="209" t="s">
        <v>11</v>
      </c>
      <c r="C261" s="72">
        <v>0.87037058429748726</v>
      </c>
      <c r="D261" s="73">
        <v>1.2253538496106973</v>
      </c>
      <c r="E261" s="73">
        <v>-11.549370685952821</v>
      </c>
      <c r="F261" s="73">
        <v>4.7169156246385482</v>
      </c>
      <c r="G261" s="73">
        <v>-10.847400439687904</v>
      </c>
      <c r="H261" s="72">
        <f t="shared" si="11"/>
        <v>-15.584131067093992</v>
      </c>
      <c r="I261" s="417">
        <v>-11.639142524949575</v>
      </c>
    </row>
    <row r="262" spans="2:9">
      <c r="B262" s="209" t="s">
        <v>31</v>
      </c>
      <c r="C262" s="72">
        <v>-14.524402665312605</v>
      </c>
      <c r="D262" s="73">
        <v>-3.2046215725963023</v>
      </c>
      <c r="E262" s="73">
        <v>-1.057604944584589</v>
      </c>
      <c r="F262" s="73">
        <v>-4.1711761726908039</v>
      </c>
      <c r="G262" s="73">
        <v>14.420732696801931</v>
      </c>
      <c r="H262" s="72">
        <f t="shared" si="11"/>
        <v>-8.5370726583823711</v>
      </c>
      <c r="I262" s="417">
        <v>-3.7814748434741023</v>
      </c>
    </row>
    <row r="263" spans="2:9">
      <c r="B263" s="209" t="s">
        <v>12</v>
      </c>
      <c r="C263" s="72">
        <v>-6.8825246230847466</v>
      </c>
      <c r="D263" s="73">
        <v>6.1764219937277218</v>
      </c>
      <c r="E263" s="73">
        <v>-37.154224910658655</v>
      </c>
      <c r="F263" s="73">
        <v>-2.489761608259303</v>
      </c>
      <c r="G263" s="73">
        <v>-21.46701338748775</v>
      </c>
      <c r="H263" s="72">
        <f t="shared" si="11"/>
        <v>-61.817102535762729</v>
      </c>
      <c r="I263" s="417">
        <v>-60.439996761565951</v>
      </c>
    </row>
    <row r="264" spans="2:9">
      <c r="B264" s="209" t="s">
        <v>13</v>
      </c>
      <c r="C264" s="72">
        <v>6.7306707297608437</v>
      </c>
      <c r="D264" s="73">
        <v>0.88009968258491089</v>
      </c>
      <c r="E264" s="73">
        <v>-15.976558038895032</v>
      </c>
      <c r="F264" s="73">
        <v>0.31823648851543584</v>
      </c>
      <c r="G264" s="73">
        <v>-0.36540982300063618</v>
      </c>
      <c r="H264" s="72">
        <f t="shared" si="11"/>
        <v>-8.4129609610344787</v>
      </c>
      <c r="I264" s="417">
        <v>-6.2085384269140045</v>
      </c>
    </row>
    <row r="265" spans="2:9">
      <c r="B265" s="209" t="s">
        <v>14</v>
      </c>
      <c r="C265" s="72">
        <v>30.360327579552923</v>
      </c>
      <c r="D265" s="73">
        <v>-0.94276241877553835</v>
      </c>
      <c r="E265" s="73">
        <v>84.56393976380744</v>
      </c>
      <c r="F265" s="73">
        <v>0.29795295075092426</v>
      </c>
      <c r="G265" s="73">
        <v>-4.1259543409503276</v>
      </c>
      <c r="H265" s="72">
        <f t="shared" si="11"/>
        <v>110.15350353438542</v>
      </c>
      <c r="I265" s="417">
        <v>133.59449804926271</v>
      </c>
    </row>
    <row r="266" spans="2:9">
      <c r="B266" s="209" t="s">
        <v>501</v>
      </c>
      <c r="C266" s="72">
        <v>-6.3668194155124418</v>
      </c>
      <c r="D266" s="73">
        <v>3.8058697135777333</v>
      </c>
      <c r="E266" s="73">
        <v>-37.035405190428627</v>
      </c>
      <c r="F266" s="73">
        <v>8.4765162175636313</v>
      </c>
      <c r="G266" s="73">
        <v>-13.339231506932327</v>
      </c>
      <c r="H266" s="72">
        <f t="shared" si="11"/>
        <v>-44.459070181732031</v>
      </c>
      <c r="I266" s="417">
        <v>-82.433260213598956</v>
      </c>
    </row>
    <row r="267" spans="2:9">
      <c r="B267" s="209" t="s">
        <v>16</v>
      </c>
      <c r="C267" s="72">
        <v>-119.62046937547399</v>
      </c>
      <c r="D267" s="73">
        <v>-43.407368469745613</v>
      </c>
      <c r="E267" s="73">
        <v>356.72958037795598</v>
      </c>
      <c r="F267" s="73">
        <v>-19.614792518631578</v>
      </c>
      <c r="G267" s="73">
        <v>-0.95733792794058636</v>
      </c>
      <c r="H267" s="72">
        <f t="shared" si="11"/>
        <v>173.1296120861642</v>
      </c>
      <c r="I267" s="417">
        <v>37.88540307064239</v>
      </c>
    </row>
    <row r="268" spans="2:9">
      <c r="B268" s="209" t="s">
        <v>17</v>
      </c>
      <c r="C268" s="72">
        <v>-43.696827722447892</v>
      </c>
      <c r="D268" s="73">
        <v>-4.5501748823135451</v>
      </c>
      <c r="E268" s="73">
        <v>-267.35668000322238</v>
      </c>
      <c r="F268" s="73">
        <v>7.5350363059926553E-2</v>
      </c>
      <c r="G268" s="73">
        <v>-13.309260272139616</v>
      </c>
      <c r="H268" s="72">
        <f t="shared" si="11"/>
        <v>-328.83759251706351</v>
      </c>
      <c r="I268" s="417">
        <v>-379.2240186809625</v>
      </c>
    </row>
    <row r="269" spans="2:9">
      <c r="B269" s="209" t="s">
        <v>18</v>
      </c>
      <c r="C269" s="72">
        <v>5.6678639153483914</v>
      </c>
      <c r="D269" s="73">
        <v>1.5414693537217856</v>
      </c>
      <c r="E269" s="73">
        <v>-18.38901412467284</v>
      </c>
      <c r="F269" s="73">
        <v>1.0107781611225819</v>
      </c>
      <c r="G269" s="73">
        <v>-6.8996354716180104</v>
      </c>
      <c r="H269" s="72">
        <f t="shared" si="11"/>
        <v>-17.068538166098094</v>
      </c>
      <c r="I269" s="417">
        <v>-0.58467611499579331</v>
      </c>
    </row>
    <row r="270" spans="2:9">
      <c r="B270" s="209" t="s">
        <v>19</v>
      </c>
      <c r="C270" s="72">
        <v>71.108302109983939</v>
      </c>
      <c r="D270" s="73">
        <v>0.57884343741739164</v>
      </c>
      <c r="E270" s="73">
        <v>-97.779905632748694</v>
      </c>
      <c r="F270" s="73">
        <v>-21.004016188065709</v>
      </c>
      <c r="G270" s="73">
        <v>7.9395226691342335</v>
      </c>
      <c r="H270" s="72">
        <f t="shared" si="11"/>
        <v>-39.157253604278836</v>
      </c>
      <c r="I270" s="417">
        <v>-46.074176972313246</v>
      </c>
    </row>
    <row r="271" spans="2:9">
      <c r="B271" s="209" t="s">
        <v>20</v>
      </c>
      <c r="C271" s="72">
        <v>60.08325405888754</v>
      </c>
      <c r="D271" s="73">
        <v>16.842961846200932</v>
      </c>
      <c r="E271" s="73">
        <v>-78.60367494745185</v>
      </c>
      <c r="F271" s="73">
        <v>10.403217833457685</v>
      </c>
      <c r="G271" s="73">
        <v>164.23105337193996</v>
      </c>
      <c r="H271" s="72">
        <f t="shared" si="11"/>
        <v>172.95681216303427</v>
      </c>
      <c r="I271" s="417">
        <v>385.94584639530524</v>
      </c>
    </row>
    <row r="272" spans="2:9">
      <c r="B272" s="209" t="s">
        <v>60</v>
      </c>
      <c r="C272" s="72">
        <v>6.7887890671790441</v>
      </c>
      <c r="D272" s="73">
        <v>6.8465809325545086</v>
      </c>
      <c r="E272" s="73">
        <v>-77.860129406851456</v>
      </c>
      <c r="F272" s="73">
        <v>-3.367859633864946</v>
      </c>
      <c r="G272" s="73">
        <v>-11.966617722362521</v>
      </c>
      <c r="H272" s="72">
        <f t="shared" si="11"/>
        <v>-79.559236763345382</v>
      </c>
      <c r="I272" s="417">
        <v>-71.396196791818795</v>
      </c>
    </row>
    <row r="273" spans="2:9">
      <c r="B273" s="209" t="s">
        <v>61</v>
      </c>
      <c r="C273" s="72">
        <v>-8.3159927643476497</v>
      </c>
      <c r="D273" s="73">
        <v>1.2512988784775236</v>
      </c>
      <c r="E273" s="73">
        <v>45.687165552099266</v>
      </c>
      <c r="F273" s="73">
        <v>-0.18097677832311168</v>
      </c>
      <c r="G273" s="73">
        <v>0.49636847107491527</v>
      </c>
      <c r="H273" s="72">
        <f t="shared" si="11"/>
        <v>38.937863358980941</v>
      </c>
      <c r="I273" s="417">
        <v>33.692445162638471</v>
      </c>
    </row>
    <row r="274" spans="2:9">
      <c r="B274" s="209" t="s">
        <v>62</v>
      </c>
      <c r="C274" s="72">
        <v>-41.617136914174438</v>
      </c>
      <c r="D274" s="73">
        <v>-3.2592904898184041</v>
      </c>
      <c r="E274" s="73">
        <v>271.01529082486542</v>
      </c>
      <c r="F274" s="73">
        <v>-0.50285424997037487</v>
      </c>
      <c r="G274" s="73">
        <v>1.4949416215550824</v>
      </c>
      <c r="H274" s="72">
        <f t="shared" si="11"/>
        <v>227.1309507924573</v>
      </c>
      <c r="I274" s="417">
        <v>203.34485035685998</v>
      </c>
    </row>
    <row r="275" spans="2:9">
      <c r="B275" s="209" t="s">
        <v>63</v>
      </c>
      <c r="C275" s="72">
        <v>0.17208306992965927</v>
      </c>
      <c r="D275" s="73">
        <v>-0.21892224198544988</v>
      </c>
      <c r="E275" s="73">
        <v>31.268844663866279</v>
      </c>
      <c r="F275" s="73">
        <v>7.5142038962476185</v>
      </c>
      <c r="G275" s="73">
        <v>-1.3845881377227198</v>
      </c>
      <c r="H275" s="72">
        <f t="shared" si="11"/>
        <v>37.351621250335384</v>
      </c>
      <c r="I275" s="417">
        <v>36.011056038352386</v>
      </c>
    </row>
    <row r="276" spans="2:9">
      <c r="B276" s="210" t="s">
        <v>64</v>
      </c>
      <c r="C276" s="74">
        <v>22.716962964326939</v>
      </c>
      <c r="D276" s="75">
        <v>-0.22771417518735138</v>
      </c>
      <c r="E276" s="75">
        <v>62.923996132853013</v>
      </c>
      <c r="F276" s="75">
        <v>-1.8831144351511242</v>
      </c>
      <c r="G276" s="75">
        <v>-0.49146231249133721</v>
      </c>
      <c r="H276" s="74">
        <f t="shared" si="11"/>
        <v>83.038668174350136</v>
      </c>
      <c r="I276" s="418">
        <v>98.857291666195536</v>
      </c>
    </row>
    <row r="277" spans="2:9">
      <c r="B277" s="209"/>
      <c r="C277" s="72"/>
      <c r="D277" s="73"/>
      <c r="E277" s="73"/>
      <c r="F277" s="73"/>
      <c r="G277" s="73"/>
      <c r="H277" s="72"/>
    </row>
    <row r="278" spans="2:9">
      <c r="B278" s="209"/>
      <c r="C278" s="72"/>
      <c r="D278" s="73"/>
      <c r="E278" s="73"/>
      <c r="F278" s="73"/>
      <c r="G278" s="73"/>
      <c r="H278" s="72"/>
    </row>
    <row r="280" spans="2:9" ht="17.55">
      <c r="B280" s="259" t="str">
        <f>"Cuadro 11b: Componentes del saldo relativo per cápita ligado a otro gasto territorializable, euros, ejercicio "&amp; (Resumen!C2)</f>
        <v>Cuadro 11b: Componentes del saldo relativo per cápita ligado a otro gasto territorializable, euros, ejercicio 2013</v>
      </c>
    </row>
    <row r="281" spans="2:9" s="25" customFormat="1" ht="26.95" thickBot="1">
      <c r="B281" s="282"/>
      <c r="C281" s="283" t="s">
        <v>529</v>
      </c>
      <c r="D281" s="283" t="s">
        <v>530</v>
      </c>
      <c r="E281" s="283" t="s">
        <v>531</v>
      </c>
      <c r="F281" s="283" t="s">
        <v>532</v>
      </c>
      <c r="G281" s="283" t="s">
        <v>533</v>
      </c>
      <c r="H281" s="283" t="s">
        <v>534</v>
      </c>
      <c r="I281" s="258" t="str">
        <f>"Total otro gasto territorializable "&amp; (Resumen!C2-1)</f>
        <v>Total otro gasto territorializable 2012</v>
      </c>
    </row>
    <row r="282" spans="2:9">
      <c r="B282" s="209" t="s">
        <v>9</v>
      </c>
      <c r="C282" s="73">
        <f t="array" ref="C282:C299">TRANSPOSE(Saldo_relativo_per_capita!E290:V290)</f>
        <v>0.62856001726596844</v>
      </c>
      <c r="D282" s="73">
        <f t="array" ref="D282:D299">TRANSPOSE(Saldo_relativo_per_capita!E314:V314)</f>
        <v>1.7214175663816711</v>
      </c>
      <c r="E282" s="73">
        <f t="array" ref="E282:E299">TRANSPOSE(Saldo_relativo_per_capita!E329:V329)</f>
        <v>-25.658835673662168</v>
      </c>
      <c r="F282" s="73">
        <f t="array" ref="F282:F299">+TRANSPOSE(Saldo_relativo_per_capita!E349:V349)</f>
        <v>-0.6640167324646562</v>
      </c>
      <c r="G282" s="73">
        <f t="array" ref="G282:G299">+TRANSPOSE(Saldo_relativo_per_capita!E354:V354)</f>
        <v>-10.963346258976479</v>
      </c>
      <c r="H282" s="72">
        <f>+SUM(C282:G282)</f>
        <v>-34.936221081455663</v>
      </c>
      <c r="I282" s="417">
        <v>-36.92744047297618</v>
      </c>
    </row>
    <row r="283" spans="2:9">
      <c r="B283" s="209" t="s">
        <v>10</v>
      </c>
      <c r="C283" s="73">
        <v>23.372756844183783</v>
      </c>
      <c r="D283" s="73">
        <v>1.6204663416830325</v>
      </c>
      <c r="E283" s="73">
        <v>4.979966642698173</v>
      </c>
      <c r="F283" s="73">
        <v>19.452142492986724</v>
      </c>
      <c r="G283" s="73">
        <v>-8.3090041695156422</v>
      </c>
      <c r="H283" s="72">
        <f t="shared" ref="H283:H299" si="12">+SUM(C283:G283)</f>
        <v>41.116328152036075</v>
      </c>
      <c r="I283" s="417">
        <v>32.861609598907918</v>
      </c>
    </row>
    <row r="284" spans="2:9">
      <c r="B284" s="209" t="s">
        <v>11</v>
      </c>
      <c r="C284" s="73">
        <v>0.81727968717852661</v>
      </c>
      <c r="D284" s="73">
        <v>1.1506096701339601</v>
      </c>
      <c r="E284" s="73">
        <v>-10.844881745334987</v>
      </c>
      <c r="F284" s="73">
        <v>4.4291930307636278</v>
      </c>
      <c r="G284" s="73">
        <v>-10.185730306136147</v>
      </c>
      <c r="H284" s="72">
        <f t="shared" si="12"/>
        <v>-14.63352966339502</v>
      </c>
      <c r="I284" s="417">
        <v>-10.849691823632515</v>
      </c>
    </row>
    <row r="285" spans="2:9">
      <c r="B285" s="209" t="s">
        <v>31</v>
      </c>
      <c r="C285" s="73">
        <v>-13.113898021875698</v>
      </c>
      <c r="D285" s="73">
        <v>-2.893411968128353</v>
      </c>
      <c r="E285" s="73">
        <v>-0.95489802302415683</v>
      </c>
      <c r="F285" s="73">
        <v>-3.766101795744154</v>
      </c>
      <c r="G285" s="73">
        <v>13.020295728803305</v>
      </c>
      <c r="H285" s="72">
        <f t="shared" si="12"/>
        <v>-7.7080140799690611</v>
      </c>
      <c r="I285" s="417">
        <v>-3.3897654161614401</v>
      </c>
    </row>
    <row r="286" spans="2:9">
      <c r="B286" s="209" t="s">
        <v>12</v>
      </c>
      <c r="C286" s="73">
        <v>-3.2591615487483807</v>
      </c>
      <c r="D286" s="73">
        <v>2.924792597658584</v>
      </c>
      <c r="E286" s="73">
        <v>-17.594070175384957</v>
      </c>
      <c r="F286" s="73">
        <v>-1.1790056328998233</v>
      </c>
      <c r="G286" s="73">
        <v>-10.165523326178633</v>
      </c>
      <c r="H286" s="72">
        <f t="shared" si="12"/>
        <v>-29.27296808555321</v>
      </c>
      <c r="I286" s="417">
        <v>-28.529463617056575</v>
      </c>
    </row>
    <row r="287" spans="2:9">
      <c r="B287" s="209" t="s">
        <v>13</v>
      </c>
      <c r="C287" s="73">
        <v>11.40265967174598</v>
      </c>
      <c r="D287" s="73">
        <v>1.491006997765286</v>
      </c>
      <c r="E287" s="73">
        <v>-27.066433845574636</v>
      </c>
      <c r="F287" s="73">
        <v>0.53913532831548139</v>
      </c>
      <c r="G287" s="73">
        <v>-0.61905328899327117</v>
      </c>
      <c r="H287" s="72">
        <f t="shared" si="12"/>
        <v>-14.25268513674116</v>
      </c>
      <c r="I287" s="417">
        <v>-10.471926903440785</v>
      </c>
    </row>
    <row r="288" spans="2:9">
      <c r="B288" s="209" t="s">
        <v>14</v>
      </c>
      <c r="C288" s="73">
        <v>12.108616459744738</v>
      </c>
      <c r="D288" s="73">
        <v>-0.37600215319489472</v>
      </c>
      <c r="E288" s="73">
        <v>33.726655624576097</v>
      </c>
      <c r="F288" s="73">
        <v>0.11883264415506289</v>
      </c>
      <c r="G288" s="73">
        <v>-1.6455553226188897</v>
      </c>
      <c r="H288" s="72">
        <f t="shared" si="12"/>
        <v>43.932547252662111</v>
      </c>
      <c r="I288" s="417">
        <v>52.742099284877973</v>
      </c>
    </row>
    <row r="289" spans="2:10">
      <c r="B289" s="209" t="s">
        <v>501</v>
      </c>
      <c r="C289" s="73">
        <v>-3.0466100611384661</v>
      </c>
      <c r="D289" s="73">
        <v>1.8211606461646213</v>
      </c>
      <c r="E289" s="73">
        <v>-17.721947287618832</v>
      </c>
      <c r="F289" s="73">
        <v>4.0561287993990014</v>
      </c>
      <c r="G289" s="73">
        <v>-6.3830044901005465</v>
      </c>
      <c r="H289" s="72">
        <f t="shared" si="12"/>
        <v>-21.274272393294222</v>
      </c>
      <c r="I289" s="417">
        <v>-39.041196098402352</v>
      </c>
    </row>
    <row r="290" spans="2:10">
      <c r="B290" s="209" t="s">
        <v>16</v>
      </c>
      <c r="C290" s="73">
        <v>-15.872622159693051</v>
      </c>
      <c r="D290" s="73">
        <v>-5.7597897940376281</v>
      </c>
      <c r="E290" s="73">
        <v>47.334991010209876</v>
      </c>
      <c r="F290" s="73">
        <v>-2.6027166756197939</v>
      </c>
      <c r="G290" s="73">
        <v>-0.12703062685406863</v>
      </c>
      <c r="H290" s="72">
        <f t="shared" si="12"/>
        <v>22.97283175400533</v>
      </c>
      <c r="I290" s="417">
        <v>5.0097864771509197</v>
      </c>
    </row>
    <row r="291" spans="2:10">
      <c r="B291" s="209" t="s">
        <v>17</v>
      </c>
      <c r="C291" s="73">
        <v>-8.6368811761415998</v>
      </c>
      <c r="D291" s="73">
        <v>-0.89936322240200894</v>
      </c>
      <c r="E291" s="73">
        <v>-52.844290928911107</v>
      </c>
      <c r="F291" s="73">
        <v>1.4893349614791163E-2</v>
      </c>
      <c r="G291" s="73">
        <v>-2.6306371767522982</v>
      </c>
      <c r="H291" s="72">
        <f t="shared" si="12"/>
        <v>-64.99627915459223</v>
      </c>
      <c r="I291" s="417">
        <v>-74.044912596310141</v>
      </c>
    </row>
    <row r="292" spans="2:10">
      <c r="B292" s="209" t="s">
        <v>18</v>
      </c>
      <c r="C292" s="73">
        <v>5.1441017621316689</v>
      </c>
      <c r="D292" s="73">
        <v>1.3990235716985797</v>
      </c>
      <c r="E292" s="73">
        <v>-16.689702042145655</v>
      </c>
      <c r="F292" s="73">
        <v>0.91737306989228884</v>
      </c>
      <c r="G292" s="73">
        <v>-6.2620464283738428</v>
      </c>
      <c r="H292" s="72">
        <f t="shared" si="12"/>
        <v>-15.49125006679696</v>
      </c>
      <c r="I292" s="417">
        <v>-0.52860822626097104</v>
      </c>
    </row>
    <row r="293" spans="2:10">
      <c r="B293" s="209" t="s">
        <v>19</v>
      </c>
      <c r="C293" s="73">
        <v>25.788942372426803</v>
      </c>
      <c r="D293" s="73">
        <v>0.20992991826925689</v>
      </c>
      <c r="E293" s="73">
        <v>-35.461968247308732</v>
      </c>
      <c r="F293" s="73">
        <v>-7.6175544485050075</v>
      </c>
      <c r="G293" s="73">
        <v>2.8794372317059</v>
      </c>
      <c r="H293" s="72">
        <f t="shared" si="12"/>
        <v>-14.20121317341178</v>
      </c>
      <c r="I293" s="417">
        <v>-16.610975002267079</v>
      </c>
    </row>
    <row r="294" spans="2:10">
      <c r="B294" s="209" t="s">
        <v>20</v>
      </c>
      <c r="C294" s="73">
        <v>9.2792734850375638</v>
      </c>
      <c r="D294" s="73">
        <v>2.6012314365625322</v>
      </c>
      <c r="E294" s="73">
        <v>-12.13957213521644</v>
      </c>
      <c r="F294" s="73">
        <v>1.6066756854823581</v>
      </c>
      <c r="G294" s="73">
        <v>25.363886874043381</v>
      </c>
      <c r="H294" s="72">
        <f t="shared" si="12"/>
        <v>26.711495345909395</v>
      </c>
      <c r="I294" s="417">
        <v>59.40319370756572</v>
      </c>
    </row>
    <row r="295" spans="2:10">
      <c r="B295" s="209" t="s">
        <v>60</v>
      </c>
      <c r="C295" s="73">
        <v>4.6200042854467682</v>
      </c>
      <c r="D295" s="73">
        <v>4.6593336360948001</v>
      </c>
      <c r="E295" s="73">
        <v>-52.986494051518122</v>
      </c>
      <c r="F295" s="73">
        <v>-2.2919442314776042</v>
      </c>
      <c r="G295" s="73">
        <v>-8.1436946431141806</v>
      </c>
      <c r="H295" s="72">
        <f t="shared" si="12"/>
        <v>-54.142795004568335</v>
      </c>
      <c r="I295" s="417">
        <v>-48.46173103923288</v>
      </c>
    </row>
    <row r="296" spans="2:10">
      <c r="B296" s="209" t="s">
        <v>61</v>
      </c>
      <c r="C296" s="73">
        <v>-12.940490597436408</v>
      </c>
      <c r="D296" s="73">
        <v>1.9471423112513175</v>
      </c>
      <c r="E296" s="73">
        <v>71.093656885455346</v>
      </c>
      <c r="F296" s="73">
        <v>-0.28161740451301043</v>
      </c>
      <c r="G296" s="73">
        <v>0.77239744127082588</v>
      </c>
      <c r="H296" s="72">
        <f t="shared" si="12"/>
        <v>60.591088636028076</v>
      </c>
      <c r="I296" s="417">
        <v>52.275129941574448</v>
      </c>
    </row>
    <row r="297" spans="2:10">
      <c r="B297" s="209" t="s">
        <v>62</v>
      </c>
      <c r="C297" s="73">
        <v>-19.000365430275544</v>
      </c>
      <c r="D297" s="73">
        <v>-1.4880338952120322</v>
      </c>
      <c r="E297" s="73">
        <v>123.7324319903181</v>
      </c>
      <c r="F297" s="73">
        <v>-0.22957885179146231</v>
      </c>
      <c r="G297" s="73">
        <v>0.68251780907112192</v>
      </c>
      <c r="H297" s="72">
        <f t="shared" si="12"/>
        <v>103.6969716221102</v>
      </c>
      <c r="I297" s="417">
        <v>92.750414950304162</v>
      </c>
    </row>
    <row r="298" spans="2:10">
      <c r="B298" s="209" t="s">
        <v>63</v>
      </c>
      <c r="C298" s="73">
        <v>0.53689636484358516</v>
      </c>
      <c r="D298" s="73">
        <v>-0.6830338158974083</v>
      </c>
      <c r="E298" s="73">
        <v>97.558284145853861</v>
      </c>
      <c r="F298" s="73">
        <v>23.444193308719633</v>
      </c>
      <c r="G298" s="73">
        <v>-4.3198923534589539</v>
      </c>
      <c r="H298" s="72">
        <f t="shared" si="12"/>
        <v>116.53644765006072</v>
      </c>
      <c r="I298" s="417">
        <v>111.55219361483061</v>
      </c>
    </row>
    <row r="299" spans="2:10">
      <c r="B299" s="210" t="s">
        <v>64</v>
      </c>
      <c r="C299" s="75">
        <v>134.68648279776801</v>
      </c>
      <c r="D299" s="75">
        <v>-1.3500933812033367</v>
      </c>
      <c r="E299" s="75">
        <v>373.06975127013538</v>
      </c>
      <c r="F299" s="75">
        <v>-11.164787316618538</v>
      </c>
      <c r="G299" s="75">
        <v>-2.9138283317651634</v>
      </c>
      <c r="H299" s="74">
        <f t="shared" si="12"/>
        <v>492.32752503831637</v>
      </c>
      <c r="I299" s="418">
        <v>594.31038127561715</v>
      </c>
    </row>
    <row r="300" spans="2:10">
      <c r="B300" s="215"/>
      <c r="C300" s="215"/>
      <c r="D300" s="215"/>
      <c r="E300" s="215"/>
      <c r="F300" s="215"/>
      <c r="G300" s="215"/>
      <c r="H300" s="215"/>
      <c r="I300" s="215"/>
    </row>
    <row r="301" spans="2:10">
      <c r="B301" s="211"/>
      <c r="C301" s="211"/>
      <c r="D301" s="211"/>
      <c r="E301" s="211"/>
      <c r="F301" s="211"/>
      <c r="G301" s="211"/>
      <c r="H301" s="211"/>
      <c r="I301" s="211"/>
    </row>
    <row r="302" spans="2:10" ht="17.55">
      <c r="B302" s="259" t="str">
        <f>"Cuadro 12: Pesos de distintas partidas en los saldos fiscales relativos agregados, "&amp;(Resumen!C2)</f>
        <v>Cuadro 12: Pesos de distintas partidas en los saldos fiscales relativos agregados, 2013</v>
      </c>
    </row>
    <row r="303" spans="2:10" ht="18.2" thickBot="1">
      <c r="B303" s="259" t="s">
        <v>542</v>
      </c>
    </row>
    <row r="304" spans="2:10">
      <c r="B304" s="452"/>
      <c r="C304" s="264" t="s">
        <v>535</v>
      </c>
      <c r="D304" s="264" t="s">
        <v>535</v>
      </c>
      <c r="E304" s="457" t="s">
        <v>20</v>
      </c>
      <c r="F304" s="457" t="s">
        <v>31</v>
      </c>
      <c r="G304" s="457" t="s">
        <v>16</v>
      </c>
      <c r="H304" s="457" t="s">
        <v>18</v>
      </c>
      <c r="I304" s="457" t="s">
        <v>11</v>
      </c>
      <c r="J304" s="457" t="s">
        <v>12</v>
      </c>
    </row>
    <row r="305" spans="2:10" ht="13.8" thickBot="1">
      <c r="B305" s="453"/>
      <c r="C305" s="266">
        <f>Resumen!C2</f>
        <v>2013</v>
      </c>
      <c r="D305" s="262">
        <f>C305-1</f>
        <v>2012</v>
      </c>
      <c r="E305" s="458"/>
      <c r="F305" s="458"/>
      <c r="G305" s="458"/>
      <c r="H305" s="458"/>
      <c r="I305" s="458"/>
      <c r="J305" s="458"/>
    </row>
    <row r="306" spans="2:10">
      <c r="B306" s="215" t="s">
        <v>1193</v>
      </c>
      <c r="C306" s="61"/>
      <c r="D306" s="215"/>
      <c r="E306" s="61">
        <f t="shared" ref="E306:J306" si="13">VLOOKUP(E304,$B$45:$E$64,4,FALSE)</f>
        <v>-17590.86475108354</v>
      </c>
      <c r="F306" s="61">
        <f t="shared" si="13"/>
        <v>-1510.5759083782041</v>
      </c>
      <c r="G306" s="61">
        <f t="shared" si="13"/>
        <v>-8800.1018705661027</v>
      </c>
      <c r="H306" s="61">
        <f t="shared" si="13"/>
        <v>2730.0518044489363</v>
      </c>
      <c r="I306" s="61">
        <f t="shared" si="13"/>
        <v>2060.2399114898967</v>
      </c>
      <c r="J306" s="61">
        <f t="shared" si="13"/>
        <v>3569.4005894500751</v>
      </c>
    </row>
    <row r="307" spans="2:10">
      <c r="B307" s="56" t="s">
        <v>536</v>
      </c>
      <c r="C307" s="76">
        <f>+D345</f>
        <v>0.71878977530677157</v>
      </c>
      <c r="D307" s="419">
        <v>0.69290907159676562</v>
      </c>
      <c r="E307" s="76">
        <f>+D363</f>
        <v>0.83948115675546164</v>
      </c>
      <c r="F307" s="77">
        <f>+$D354</f>
        <v>0.33353793748275995</v>
      </c>
      <c r="G307" s="77">
        <f>+$D359</f>
        <v>1.115647435506157</v>
      </c>
      <c r="H307" s="77">
        <f>+$D361</f>
        <v>0.65697183242518364</v>
      </c>
      <c r="I307" s="77">
        <f>+$D353</f>
        <v>-0.16467734064466144</v>
      </c>
      <c r="J307" s="77">
        <f>+$D355</f>
        <v>1.2420775291988406</v>
      </c>
    </row>
    <row r="308" spans="2:10">
      <c r="B308" s="56" t="s">
        <v>499</v>
      </c>
      <c r="C308" s="76">
        <f>+E345</f>
        <v>0.28121022469322837</v>
      </c>
      <c r="D308" s="419">
        <v>0.30709092840323438</v>
      </c>
      <c r="E308" s="76">
        <f>+E363</f>
        <v>0.16051884324453841</v>
      </c>
      <c r="F308" s="77">
        <f>+$E354</f>
        <v>0.66646206251724005</v>
      </c>
      <c r="G308" s="77">
        <f>+$E359</f>
        <v>-0.11564743550615704</v>
      </c>
      <c r="H308" s="77">
        <f>+$E361</f>
        <v>0.3430281675748163</v>
      </c>
      <c r="I308" s="77">
        <f>+$E353</f>
        <v>1.1646773406446613</v>
      </c>
      <c r="J308" s="77">
        <f>+$E355</f>
        <v>-0.24207752919884079</v>
      </c>
    </row>
    <row r="309" spans="2:10">
      <c r="B309" s="49" t="s">
        <v>537</v>
      </c>
      <c r="C309" s="78">
        <f>+F346</f>
        <v>0.17066373372614863</v>
      </c>
      <c r="D309" s="420">
        <v>0.17758448614527053</v>
      </c>
      <c r="E309" s="78">
        <f>+F363</f>
        <v>8.0846718891973909E-2</v>
      </c>
      <c r="F309" s="79">
        <f>+$F354</f>
        <v>3.4367109909644131E-2</v>
      </c>
      <c r="G309" s="79">
        <f>+$F359</f>
        <v>0.13179396044510763</v>
      </c>
      <c r="H309" s="79">
        <f>+$F361</f>
        <v>0.15178549598660343</v>
      </c>
      <c r="I309" s="79">
        <f>+$F353</f>
        <v>0.10070800128755016</v>
      </c>
      <c r="J309" s="79">
        <f>+$F355</f>
        <v>0.24981167643681298</v>
      </c>
    </row>
    <row r="310" spans="2:10">
      <c r="B310" s="57" t="s">
        <v>538</v>
      </c>
      <c r="C310" s="80">
        <f>+J345</f>
        <v>0.14404533340272274</v>
      </c>
      <c r="D310" s="421">
        <v>0.146694852026236</v>
      </c>
      <c r="E310" s="80">
        <f>+J363</f>
        <v>0.10298419144145735</v>
      </c>
      <c r="F310" s="79">
        <f>+$J354</f>
        <v>7.4484282101670254E-2</v>
      </c>
      <c r="G310" s="79">
        <f>+$J359</f>
        <v>0.1552022953014511</v>
      </c>
      <c r="H310" s="79">
        <f>+$J361</f>
        <v>9.6372520135347847E-2</v>
      </c>
      <c r="I310" s="79">
        <f>+$J353</f>
        <v>6.6099232646284159E-2</v>
      </c>
      <c r="J310" s="79">
        <f>+$J355</f>
        <v>-1.4993228762927378E-2</v>
      </c>
    </row>
    <row r="311" spans="2:10">
      <c r="B311" s="57" t="s">
        <v>539</v>
      </c>
      <c r="C311" s="80">
        <f>+K345</f>
        <v>3.0321371551139197E-2</v>
      </c>
      <c r="D311" s="421">
        <v>1.888434367679066E-2</v>
      </c>
      <c r="E311" s="80">
        <f>+K363</f>
        <v>6.9054641702841505E-3</v>
      </c>
      <c r="F311" s="79">
        <f>+$K354</f>
        <v>8.2246855530073784E-2</v>
      </c>
      <c r="G311" s="79">
        <f>+$K359</f>
        <v>2.4685502384017833E-2</v>
      </c>
      <c r="H311" s="79">
        <f>+$K361</f>
        <v>3.8077976410557095E-2</v>
      </c>
      <c r="I311" s="79">
        <f>+$K353</f>
        <v>5.0907767652277648E-2</v>
      </c>
      <c r="J311" s="79">
        <f>+$K355</f>
        <v>-6.7536429159489116E-4</v>
      </c>
    </row>
    <row r="312" spans="2:10">
      <c r="B312" s="57" t="s">
        <v>526</v>
      </c>
      <c r="C312" s="80">
        <f>+L345</f>
        <v>5.6481536122596612E-2</v>
      </c>
      <c r="D312" s="421">
        <v>6.7129709109841632E-2</v>
      </c>
      <c r="E312" s="80">
        <f>+L363</f>
        <v>3.5687499010598957E-2</v>
      </c>
      <c r="F312" s="79">
        <f>+$L354</f>
        <v>-8.4953948497675416E-2</v>
      </c>
      <c r="G312" s="79">
        <f>+$L359</f>
        <v>9.2354562557989947E-2</v>
      </c>
      <c r="H312" s="79">
        <f>+$L361</f>
        <v>8.2555790809225191E-2</v>
      </c>
      <c r="I312" s="79">
        <f>+$L353</f>
        <v>1.6960339302766452E-2</v>
      </c>
      <c r="J312" s="79">
        <f>+$L355</f>
        <v>0.19659653673622307</v>
      </c>
    </row>
    <row r="313" spans="2:10">
      <c r="B313" s="57" t="s">
        <v>540</v>
      </c>
      <c r="C313" s="80">
        <f>+M345</f>
        <v>-1.6155965691464879E-3</v>
      </c>
      <c r="D313" s="421">
        <v>-1.4494698184992626E-3</v>
      </c>
      <c r="E313" s="80">
        <f>+M363</f>
        <v>-9.8321949836139219E-3</v>
      </c>
      <c r="F313" s="79">
        <f>+M$354</f>
        <v>5.6515350278212098E-3</v>
      </c>
      <c r="G313" s="79">
        <f>+N$359</f>
        <v>0</v>
      </c>
      <c r="H313" s="79">
        <f>+O$361</f>
        <v>0</v>
      </c>
      <c r="I313" s="79">
        <f>+P$353</f>
        <v>0</v>
      </c>
      <c r="J313" s="79">
        <f>+Q$355</f>
        <v>0</v>
      </c>
    </row>
    <row r="314" spans="2:10">
      <c r="B314" s="49" t="s">
        <v>517</v>
      </c>
      <c r="C314" s="78">
        <f>+G345</f>
        <v>-8.4796840032189229E-3</v>
      </c>
      <c r="D314" s="420">
        <v>3.8582345896723542E-3</v>
      </c>
      <c r="E314" s="78">
        <f>+G363</f>
        <v>-3.6738853030792204E-2</v>
      </c>
      <c r="F314" s="81">
        <f>+$G354</f>
        <v>0.5093198646819862</v>
      </c>
      <c r="G314" s="81">
        <f>+$G359</f>
        <v>-0.24212253748809809</v>
      </c>
      <c r="H314" s="81">
        <f>+$G361</f>
        <v>-0.12088494557817696</v>
      </c>
      <c r="I314" s="81">
        <f>+$G353</f>
        <v>0.89097478552663256</v>
      </c>
      <c r="J314" s="81">
        <f>+$G355</f>
        <v>-0.49402598105919698</v>
      </c>
    </row>
    <row r="315" spans="2:10">
      <c r="B315" s="209" t="s">
        <v>518</v>
      </c>
      <c r="C315" s="392">
        <f>+H345</f>
        <v>9.3802787010371105E-2</v>
      </c>
      <c r="D315" s="422">
        <v>9.9897326079804061E-2</v>
      </c>
      <c r="E315" s="392">
        <f>+H363</f>
        <v>6.0058179512494182E-2</v>
      </c>
      <c r="F315" s="393">
        <f>+$H354</f>
        <v>0.10769584017924837</v>
      </c>
      <c r="G315" s="393">
        <f>+$H359</f>
        <v>9.9578272329259671E-2</v>
      </c>
      <c r="H315" s="393">
        <f>+$H361</f>
        <v>0.20499156121789228</v>
      </c>
      <c r="I315" s="393">
        <f>+$H353</f>
        <v>-1.4658908599074712E-2</v>
      </c>
      <c r="J315" s="393">
        <f>+$H355</f>
        <v>-7.0022404279871872E-3</v>
      </c>
    </row>
    <row r="316" spans="2:10">
      <c r="B316" s="210" t="s">
        <v>541</v>
      </c>
      <c r="C316" s="394">
        <f>+I345</f>
        <v>3.7505570995669077E-2</v>
      </c>
      <c r="D316" s="423">
        <v>4.3083776124341222E-2</v>
      </c>
      <c r="E316" s="394">
        <f>+I363</f>
        <v>2.5732393672055841E-2</v>
      </c>
      <c r="F316" s="395">
        <f>+$I354</f>
        <v>9.5269322459329148E-2</v>
      </c>
      <c r="G316" s="395">
        <f>+$I359</f>
        <v>7.3380361244990569E-3</v>
      </c>
      <c r="H316" s="395">
        <f>+$I361</f>
        <v>4.1831946735927217E-2</v>
      </c>
      <c r="I316" s="395">
        <f>+$I353</f>
        <v>0.12321097710402133</v>
      </c>
      <c r="J316" s="395">
        <f>+$I355</f>
        <v>2.304251504782142E-2</v>
      </c>
    </row>
    <row r="317" spans="2:10">
      <c r="B317" s="454" t="s">
        <v>1194</v>
      </c>
      <c r="C317" s="455"/>
      <c r="D317" s="455"/>
      <c r="E317" s="455"/>
      <c r="F317" s="455"/>
      <c r="G317" s="455"/>
      <c r="H317" s="455"/>
      <c r="I317" s="455"/>
      <c r="J317" s="455"/>
    </row>
    <row r="318" spans="2:10">
      <c r="B318" s="456" t="s">
        <v>1033</v>
      </c>
      <c r="C318" s="456"/>
      <c r="D318" s="456"/>
      <c r="E318" s="456"/>
      <c r="F318" s="456"/>
      <c r="G318" s="456"/>
      <c r="H318" s="456"/>
      <c r="I318" s="456"/>
      <c r="J318" s="456"/>
    </row>
    <row r="319" spans="2:10">
      <c r="B319" s="246"/>
      <c r="C319" s="246"/>
      <c r="D319" s="246"/>
      <c r="E319" s="246"/>
      <c r="F319" s="246"/>
      <c r="G319" s="246"/>
      <c r="H319" s="246"/>
      <c r="I319" s="246"/>
      <c r="J319" s="246"/>
    </row>
    <row r="321" spans="2:13" ht="14.4">
      <c r="B321" s="313" t="s">
        <v>571</v>
      </c>
      <c r="F321" s="9" t="s">
        <v>549</v>
      </c>
      <c r="J321" s="93" t="s">
        <v>550</v>
      </c>
      <c r="K321" s="94" t="s">
        <v>551</v>
      </c>
      <c r="L321" s="94" t="s">
        <v>552</v>
      </c>
      <c r="M321" s="94" t="s">
        <v>553</v>
      </c>
    </row>
    <row r="322" spans="2:13" ht="40.1" thickBot="1">
      <c r="B322" s="285"/>
      <c r="C322" s="286" t="s">
        <v>495</v>
      </c>
      <c r="D322" s="286" t="s">
        <v>554</v>
      </c>
      <c r="E322" s="286" t="s">
        <v>555</v>
      </c>
      <c r="F322" s="287" t="s">
        <v>569</v>
      </c>
      <c r="G322" s="288" t="s">
        <v>68</v>
      </c>
      <c r="H322" s="289" t="s">
        <v>65</v>
      </c>
      <c r="I322" s="289" t="s">
        <v>570</v>
      </c>
      <c r="J322" s="290" t="s">
        <v>99</v>
      </c>
      <c r="K322" s="290" t="s">
        <v>1</v>
      </c>
      <c r="L322" s="290" t="s">
        <v>55</v>
      </c>
      <c r="M322" s="290" t="s">
        <v>22</v>
      </c>
    </row>
    <row r="323" spans="2:13">
      <c r="B323" s="9" t="s">
        <v>9</v>
      </c>
      <c r="C323" s="12">
        <f t="shared" ref="C323:C340" si="14">+E45</f>
        <v>6153.8121017056219</v>
      </c>
      <c r="D323" s="12">
        <f t="shared" ref="D323:E340" si="15">+C45</f>
        <v>12805.765417277025</v>
      </c>
      <c r="E323" s="12">
        <f t="shared" si="15"/>
        <v>-6651.9533155714034</v>
      </c>
      <c r="F323" s="12">
        <f t="shared" ref="F323:F340" si="16">+H213</f>
        <v>-2750.8776208854383</v>
      </c>
      <c r="G323" s="12">
        <f>+Resumen!J111</f>
        <v>-4013.8526311601413</v>
      </c>
      <c r="H323" s="12">
        <f>+Resumen!K111</f>
        <v>-81.158803451127</v>
      </c>
      <c r="I323" s="12">
        <f>+Resumen!L111</f>
        <v>-139.92082146252005</v>
      </c>
      <c r="J323" s="12">
        <f>+Resumen!D111</f>
        <v>-2160.1901922797024</v>
      </c>
      <c r="K323" s="12">
        <f>+Resumen!F111</f>
        <v>-251.70545680701849</v>
      </c>
      <c r="L323" s="12">
        <f>+Resumen!G111</f>
        <v>901.89582792746069</v>
      </c>
      <c r="M323" s="12">
        <f>+Resumen!H111</f>
        <v>-294.20848593381464</v>
      </c>
    </row>
    <row r="324" spans="2:13">
      <c r="B324" s="9" t="s">
        <v>10</v>
      </c>
      <c r="C324" s="12">
        <f t="shared" si="14"/>
        <v>763.13486154818952</v>
      </c>
      <c r="D324" s="12">
        <f t="shared" si="15"/>
        <v>-754.51359830525166</v>
      </c>
      <c r="E324" s="12">
        <f t="shared" si="15"/>
        <v>1517.6484598534412</v>
      </c>
      <c r="F324" s="12">
        <f t="shared" si="16"/>
        <v>450.17908615020411</v>
      </c>
      <c r="G324" s="12">
        <f>+Resumen!J112</f>
        <v>568.11787394379053</v>
      </c>
      <c r="H324" s="12">
        <f>+Resumen!K112</f>
        <v>332.71391509109139</v>
      </c>
      <c r="I324" s="12">
        <f>+Resumen!L112</f>
        <v>123.67710286654801</v>
      </c>
      <c r="J324" s="12">
        <f>+Resumen!D112</f>
        <v>201.10233532371473</v>
      </c>
      <c r="K324" s="12">
        <f>+Resumen!F112</f>
        <v>132.04122155077448</v>
      </c>
      <c r="L324" s="12">
        <f>+Resumen!G112</f>
        <v>-36.346192053823607</v>
      </c>
      <c r="M324" s="12">
        <f>+Resumen!H112</f>
        <v>54.942413028900958</v>
      </c>
    </row>
    <row r="325" spans="2:13">
      <c r="B325" s="9" t="s">
        <v>11</v>
      </c>
      <c r="C325" s="12">
        <f t="shared" si="14"/>
        <v>2060.2399114898967</v>
      </c>
      <c r="D325" s="12">
        <f t="shared" si="15"/>
        <v>-339.27482971414884</v>
      </c>
      <c r="E325" s="12">
        <f t="shared" si="15"/>
        <v>2399.5147412040455</v>
      </c>
      <c r="F325" s="12">
        <f t="shared" si="16"/>
        <v>207.48264365898675</v>
      </c>
      <c r="G325" s="12">
        <f>+Resumen!J113</f>
        <v>1835.6218132731192</v>
      </c>
      <c r="H325" s="12">
        <f>+Resumen!K113</f>
        <v>-30.200868554696171</v>
      </c>
      <c r="I325" s="12">
        <f>+Resumen!L113</f>
        <v>253.84417256337261</v>
      </c>
      <c r="J325" s="12">
        <f>+Resumen!D113</f>
        <v>136.18027721673056</v>
      </c>
      <c r="K325" s="12">
        <f>+Resumen!F113</f>
        <v>104.88221472207672</v>
      </c>
      <c r="L325" s="12">
        <f>+Resumen!G113</f>
        <v>34.942367943970169</v>
      </c>
      <c r="M325" s="12">
        <f>+Resumen!H113</f>
        <v>-15.584131067094026</v>
      </c>
    </row>
    <row r="326" spans="2:13">
      <c r="B326" s="9" t="s">
        <v>31</v>
      </c>
      <c r="C326" s="12">
        <f t="shared" si="14"/>
        <v>-1510.5759083782041</v>
      </c>
      <c r="D326" s="12">
        <f t="shared" si="15"/>
        <v>-503.83437289161276</v>
      </c>
      <c r="E326" s="12">
        <f t="shared" si="15"/>
        <v>-1006.7415354865913</v>
      </c>
      <c r="F326" s="12">
        <f t="shared" si="16"/>
        <v>-51.914128270094267</v>
      </c>
      <c r="G326" s="12">
        <f>+Resumen!J114</f>
        <v>-769.36631724705524</v>
      </c>
      <c r="H326" s="12">
        <f>+Resumen!K114</f>
        <v>-162.68274160732199</v>
      </c>
      <c r="I326" s="12">
        <f>+Resumen!L114</f>
        <v>-143.91154331457716</v>
      </c>
      <c r="J326" s="12">
        <f>+Resumen!D114</f>
        <v>-112.51416209562896</v>
      </c>
      <c r="K326" s="12">
        <f>+Resumen!F114</f>
        <v>-124.24011850359213</v>
      </c>
      <c r="L326" s="12">
        <f>+Resumen!G114</f>
        <v>128.32938792219122</v>
      </c>
      <c r="M326" s="12">
        <f>+Resumen!H114</f>
        <v>-8.5370726583822627</v>
      </c>
    </row>
    <row r="327" spans="2:13">
      <c r="B327" s="9" t="s">
        <v>12</v>
      </c>
      <c r="C327" s="12">
        <f t="shared" si="14"/>
        <v>3569.4005894500751</v>
      </c>
      <c r="D327" s="12">
        <f t="shared" si="15"/>
        <v>4433.472264865035</v>
      </c>
      <c r="E327" s="12">
        <f t="shared" si="15"/>
        <v>-864.07167541496005</v>
      </c>
      <c r="F327" s="12">
        <f t="shared" si="16"/>
        <v>891.67794512507169</v>
      </c>
      <c r="G327" s="12">
        <f>+Resumen!J115</f>
        <v>-1763.3766279963493</v>
      </c>
      <c r="H327" s="12">
        <f>+Resumen!K115</f>
        <v>-24.993801111128612</v>
      </c>
      <c r="I327" s="12">
        <f>+Resumen!L115</f>
        <v>82.247966794106006</v>
      </c>
      <c r="J327" s="12">
        <f>+Resumen!D115</f>
        <v>-53.516839584152805</v>
      </c>
      <c r="K327" s="12">
        <f>+Resumen!F115</f>
        <v>-2.4106457005123367</v>
      </c>
      <c r="L327" s="12">
        <f>+Resumen!G115</f>
        <v>701.73179411011802</v>
      </c>
      <c r="M327" s="12">
        <f>+Resumen!H115</f>
        <v>-61.817102535762601</v>
      </c>
    </row>
    <row r="328" spans="2:13">
      <c r="B328" s="9" t="s">
        <v>13</v>
      </c>
      <c r="C328" s="12">
        <f t="shared" si="14"/>
        <v>462.54933427084745</v>
      </c>
      <c r="D328" s="12">
        <f t="shared" si="15"/>
        <v>-214.85217383534098</v>
      </c>
      <c r="E328" s="12">
        <f t="shared" si="15"/>
        <v>677.40150810618843</v>
      </c>
      <c r="F328" s="12">
        <f t="shared" si="16"/>
        <v>241.69469498789951</v>
      </c>
      <c r="G328" s="12">
        <f>+Resumen!J116</f>
        <v>321.72906790305535</v>
      </c>
      <c r="H328" s="12">
        <f>+Resumen!K116</f>
        <v>-5.3726392372681673</v>
      </c>
      <c r="I328" s="12">
        <f>+Resumen!L116</f>
        <v>69.292483045919184</v>
      </c>
      <c r="J328" s="12">
        <f>+Resumen!D116</f>
        <v>231.45855973164799</v>
      </c>
      <c r="K328" s="12">
        <f>+Resumen!F116</f>
        <v>60.798302260733983</v>
      </c>
      <c r="L328" s="12">
        <f>+Resumen!G116</f>
        <v>-36.16900394247503</v>
      </c>
      <c r="M328" s="12">
        <f>+Resumen!H116</f>
        <v>-8.4129609610344378</v>
      </c>
    </row>
    <row r="329" spans="2:13">
      <c r="B329" s="9" t="s">
        <v>14</v>
      </c>
      <c r="C329" s="12">
        <f t="shared" si="14"/>
        <v>4611.5526805437803</v>
      </c>
      <c r="D329" s="12">
        <f t="shared" si="15"/>
        <v>502.61633602191063</v>
      </c>
      <c r="E329" s="12">
        <f t="shared" si="15"/>
        <v>4108.9363445218696</v>
      </c>
      <c r="F329" s="12">
        <f t="shared" si="16"/>
        <v>1221.6273915665386</v>
      </c>
      <c r="G329" s="12">
        <f>+Resumen!J117</f>
        <v>1402.9150927255807</v>
      </c>
      <c r="H329" s="12">
        <f>+Resumen!K117</f>
        <v>1098.2947156576884</v>
      </c>
      <c r="I329" s="12">
        <f>+Resumen!L117</f>
        <v>354.10125751015636</v>
      </c>
      <c r="J329" s="12">
        <f>+Resumen!D117</f>
        <v>667.01101043837184</v>
      </c>
      <c r="K329" s="12">
        <f>+Resumen!F117</f>
        <v>443.48108028167036</v>
      </c>
      <c r="L329" s="12">
        <f>+Resumen!G117</f>
        <v>18.11805751518898</v>
      </c>
      <c r="M329" s="12">
        <f>+Resumen!H117</f>
        <v>110.15350353438572</v>
      </c>
    </row>
    <row r="330" spans="2:13">
      <c r="B330" s="9" t="s">
        <v>15</v>
      </c>
      <c r="C330" s="12">
        <f t="shared" si="14"/>
        <v>2464.7844708199318</v>
      </c>
      <c r="D330" s="12">
        <f t="shared" si="15"/>
        <v>2708.8497668980394</v>
      </c>
      <c r="E330" s="12">
        <f t="shared" si="15"/>
        <v>-244.06529607810765</v>
      </c>
      <c r="F330" s="12">
        <f t="shared" si="16"/>
        <v>-106.75967767033544</v>
      </c>
      <c r="G330" s="12">
        <f>+Resumen!J118</f>
        <v>-936.50446825037659</v>
      </c>
      <c r="H330" s="12">
        <f>+Resumen!K118</f>
        <v>986.15210754139343</v>
      </c>
      <c r="I330" s="12">
        <f>+Resumen!L118</f>
        <v>12.382054865346747</v>
      </c>
      <c r="J330" s="12">
        <f>+Resumen!D118</f>
        <v>29.705259336647103</v>
      </c>
      <c r="K330" s="12">
        <f>+Resumen!F118</f>
        <v>109.86267206644359</v>
      </c>
      <c r="L330" s="12">
        <f>+Resumen!G118</f>
        <v>-22.364704233170652</v>
      </c>
      <c r="M330" s="12">
        <f>+Resumen!H118</f>
        <v>-44.459070181731896</v>
      </c>
    </row>
    <row r="331" spans="2:13">
      <c r="B331" s="9" t="s">
        <v>16</v>
      </c>
      <c r="C331" s="12">
        <f t="shared" si="14"/>
        <v>-8800.1018705661027</v>
      </c>
      <c r="D331" s="12">
        <f t="shared" si="15"/>
        <v>-9817.8110840900081</v>
      </c>
      <c r="E331" s="12">
        <f t="shared" si="15"/>
        <v>1017.7092135239053</v>
      </c>
      <c r="F331" s="12">
        <f t="shared" si="16"/>
        <v>-1159.8002778423065</v>
      </c>
      <c r="G331" s="12">
        <f>+Resumen!J119</f>
        <v>2130.7029950552233</v>
      </c>
      <c r="H331" s="12">
        <f>+Resumen!K119</f>
        <v>-876.29894059245885</v>
      </c>
      <c r="I331" s="12">
        <f>+Resumen!L119</f>
        <v>-64.575465425485788</v>
      </c>
      <c r="J331" s="12">
        <f>+Resumen!D119</f>
        <v>-1365.7960091984526</v>
      </c>
      <c r="K331" s="12">
        <f>+Resumen!F119</f>
        <v>-217.23493570545932</v>
      </c>
      <c r="L331" s="12">
        <f>+Resumen!G119</f>
        <v>-812.72955872188152</v>
      </c>
      <c r="M331" s="12">
        <f>+Resumen!H119</f>
        <v>173.12961208616446</v>
      </c>
    </row>
    <row r="332" spans="2:13">
      <c r="B332" s="9" t="s">
        <v>17</v>
      </c>
      <c r="C332" s="12">
        <f t="shared" si="14"/>
        <v>-1416.3607099741439</v>
      </c>
      <c r="D332" s="12">
        <f t="shared" si="15"/>
        <v>4445.495860089738</v>
      </c>
      <c r="E332" s="12">
        <f t="shared" si="15"/>
        <v>-5861.8565700638819</v>
      </c>
      <c r="F332" s="12">
        <f t="shared" si="16"/>
        <v>-3030.0585544048567</v>
      </c>
      <c r="G332" s="12">
        <f>+Resumen!J120</f>
        <v>-1962.9776759552908</v>
      </c>
      <c r="H332" s="12">
        <f>+Resumen!K120</f>
        <v>-706.4925194891398</v>
      </c>
      <c r="I332" s="12">
        <f>+Resumen!L120</f>
        <v>-336.20705561830664</v>
      </c>
      <c r="J332" s="12">
        <f>+Resumen!D120</f>
        <v>-1672.4981433021801</v>
      </c>
      <c r="K332" s="12">
        <f>+Resumen!F120</f>
        <v>-391.53464033105053</v>
      </c>
      <c r="L332" s="12">
        <f>+Resumen!G120</f>
        <v>-299.15818579688721</v>
      </c>
      <c r="M332" s="12">
        <f>+Resumen!H120</f>
        <v>-328.83759251706294</v>
      </c>
    </row>
    <row r="333" spans="2:13">
      <c r="B333" s="9" t="s">
        <v>18</v>
      </c>
      <c r="C333" s="12">
        <f t="shared" si="14"/>
        <v>2730.0518044489363</v>
      </c>
      <c r="D333" s="12">
        <f t="shared" si="15"/>
        <v>1793.5671365844969</v>
      </c>
      <c r="E333" s="12">
        <f t="shared" si="15"/>
        <v>936.4846678644393</v>
      </c>
      <c r="F333" s="12">
        <f t="shared" si="16"/>
        <v>414.38226720740346</v>
      </c>
      <c r="G333" s="12">
        <f>+Resumen!J121</f>
        <v>-330.02216380641346</v>
      </c>
      <c r="H333" s="12">
        <f>+Resumen!K121</f>
        <v>559.63758159971144</v>
      </c>
      <c r="I333" s="12">
        <f>+Resumen!L121</f>
        <v>114.2033816700299</v>
      </c>
      <c r="J333" s="12">
        <f>+Resumen!D121</f>
        <v>263.10197249479785</v>
      </c>
      <c r="K333" s="12">
        <f>+Resumen!F121</f>
        <v>103.95484820940543</v>
      </c>
      <c r="L333" s="12">
        <f>+Resumen!G121</f>
        <v>225.38158566643415</v>
      </c>
      <c r="M333" s="12">
        <f>+Resumen!H121</f>
        <v>-17.068538166097973</v>
      </c>
    </row>
    <row r="334" spans="2:13">
      <c r="B334" s="9" t="s">
        <v>19</v>
      </c>
      <c r="C334" s="12">
        <f t="shared" si="14"/>
        <v>3654.8562780073057</v>
      </c>
      <c r="D334" s="12">
        <f t="shared" si="15"/>
        <v>1720.5245450935197</v>
      </c>
      <c r="E334" s="12">
        <f t="shared" si="15"/>
        <v>1934.331732913786</v>
      </c>
      <c r="F334" s="12">
        <f t="shared" si="16"/>
        <v>203.73334759363777</v>
      </c>
      <c r="G334" s="12">
        <f>+Resumen!J122</f>
        <v>1299.9313431155806</v>
      </c>
      <c r="H334" s="12">
        <f>+Resumen!K122</f>
        <v>113.10943384324197</v>
      </c>
      <c r="I334" s="12">
        <f>+Resumen!L122</f>
        <v>314.65673552781533</v>
      </c>
      <c r="J334" s="12">
        <f>+Resumen!D122</f>
        <v>486.99147915500367</v>
      </c>
      <c r="K334" s="12">
        <f>+Resumen!F122</f>
        <v>108.22676549293072</v>
      </c>
      <c r="L334" s="12">
        <f>+Resumen!G122</f>
        <v>99.403151232209197</v>
      </c>
      <c r="M334" s="12">
        <f>+Resumen!H122</f>
        <v>-39.157253604278623</v>
      </c>
    </row>
    <row r="335" spans="2:13">
      <c r="B335" s="9" t="s">
        <v>20</v>
      </c>
      <c r="C335" s="12">
        <f t="shared" si="14"/>
        <v>-17590.86475108354</v>
      </c>
      <c r="D335" s="12">
        <f t="shared" si="15"/>
        <v>-14767.199489568486</v>
      </c>
      <c r="E335" s="12">
        <f t="shared" si="15"/>
        <v>-2823.6652615150551</v>
      </c>
      <c r="F335" s="12">
        <f t="shared" si="16"/>
        <v>-1422.1636975975835</v>
      </c>
      <c r="G335" s="12">
        <f>+Resumen!J123</f>
        <v>646.26819477460128</v>
      </c>
      <c r="H335" s="12">
        <f>+Resumen!K123</f>
        <v>-1056.4753130005815</v>
      </c>
      <c r="I335" s="12">
        <f>+Resumen!L123</f>
        <v>-452.65505680677222</v>
      </c>
      <c r="J335" s="12">
        <f>+Resumen!D123</f>
        <v>-1811.5809831463712</v>
      </c>
      <c r="K335" s="12">
        <f>+Resumen!F123</f>
        <v>-121.47308626292181</v>
      </c>
      <c r="L335" s="12">
        <f>+Resumen!G123</f>
        <v>-627.77396839987387</v>
      </c>
      <c r="M335" s="12">
        <f>+Resumen!H123</f>
        <v>172.95681216303456</v>
      </c>
    </row>
    <row r="336" spans="2:13">
      <c r="B336" s="9" t="s">
        <v>60</v>
      </c>
      <c r="C336" s="12">
        <f t="shared" si="14"/>
        <v>174.50645544538247</v>
      </c>
      <c r="D336" s="12">
        <f t="shared" si="15"/>
        <v>2027.2433852472648</v>
      </c>
      <c r="E336" s="12">
        <f t="shared" si="15"/>
        <v>-1852.7369298018823</v>
      </c>
      <c r="F336" s="12">
        <f t="shared" si="16"/>
        <v>-842.04631338017464</v>
      </c>
      <c r="G336" s="12">
        <f>+Resumen!J124</f>
        <v>-909.78660418744221</v>
      </c>
      <c r="H336" s="12">
        <f>+Resumen!K124</f>
        <v>-61.703859017298356</v>
      </c>
      <c r="I336" s="12">
        <f>+Resumen!L124</f>
        <v>-99.010181069365657</v>
      </c>
      <c r="J336" s="12">
        <f>+Resumen!D124</f>
        <v>-403.53684517467923</v>
      </c>
      <c r="K336" s="12">
        <f>+Resumen!F124</f>
        <v>-98.648816513435335</v>
      </c>
      <c r="L336" s="12">
        <f>+Resumen!G124</f>
        <v>-69.191265203006353</v>
      </c>
      <c r="M336" s="12">
        <f>+Resumen!H124</f>
        <v>-79.559236763345254</v>
      </c>
    </row>
    <row r="337" spans="1:13">
      <c r="B337" s="9" t="s">
        <v>61</v>
      </c>
      <c r="C337" s="12">
        <f t="shared" si="14"/>
        <v>-175.61224691678075</v>
      </c>
      <c r="D337" s="12">
        <f t="shared" si="15"/>
        <v>-556.28828338876383</v>
      </c>
      <c r="E337" s="12">
        <f t="shared" si="15"/>
        <v>380.67603647198308</v>
      </c>
      <c r="F337" s="12">
        <f t="shared" si="16"/>
        <v>630.46318440729328</v>
      </c>
      <c r="G337" s="12">
        <f>+Resumen!J125</f>
        <v>205.46849484563609</v>
      </c>
      <c r="H337" s="12">
        <f>+Resumen!K125</f>
        <v>35.375563282979073</v>
      </c>
      <c r="I337" s="12">
        <f>+Resumen!L125</f>
        <v>-108.82201784135569</v>
      </c>
      <c r="J337" s="12">
        <f>+Resumen!D125</f>
        <v>713.98602621105181</v>
      </c>
      <c r="K337" s="12">
        <f>+Resumen!F125</f>
        <v>-39.801060625118609</v>
      </c>
      <c r="L337" s="12">
        <f>+Resumen!G125</f>
        <v>-54.506735360314039</v>
      </c>
      <c r="M337" s="12">
        <f>+Resumen!H125</f>
        <v>38.937863358980984</v>
      </c>
    </row>
    <row r="338" spans="1:13">
      <c r="B338" s="9" t="s">
        <v>62</v>
      </c>
      <c r="C338" s="12">
        <f t="shared" si="14"/>
        <v>2126.4428357847546</v>
      </c>
      <c r="D338" s="12">
        <f t="shared" si="15"/>
        <v>-3746.9699174267189</v>
      </c>
      <c r="E338" s="12">
        <f t="shared" si="15"/>
        <v>5873.4127532114735</v>
      </c>
      <c r="F338" s="12">
        <f t="shared" si="16"/>
        <v>4620.1125124487644</v>
      </c>
      <c r="G338" s="12">
        <f>+Resumen!J126</f>
        <v>2437.6131425422968</v>
      </c>
      <c r="H338" s="12">
        <f>+Resumen!K126</f>
        <v>-164.76491598150545</v>
      </c>
      <c r="I338" s="12">
        <f>+Resumen!L126</f>
        <v>-80.089269981712832</v>
      </c>
      <c r="J338" s="12">
        <f>+Resumen!D126</f>
        <v>4413.6368035385676</v>
      </c>
      <c r="K338" s="12">
        <f>+Resumen!F126</f>
        <v>193.90900236356629</v>
      </c>
      <c r="L338" s="12">
        <f>+Resumen!G126</f>
        <v>-182.09340978466025</v>
      </c>
      <c r="M338" s="12">
        <f>+Resumen!H126</f>
        <v>227.13095079245767</v>
      </c>
    </row>
    <row r="339" spans="1:13">
      <c r="B339" s="9" t="s">
        <v>63</v>
      </c>
      <c r="C339" s="12">
        <f t="shared" si="14"/>
        <v>67.962017138447521</v>
      </c>
      <c r="D339" s="12">
        <f t="shared" si="15"/>
        <v>-82.720001977295539</v>
      </c>
      <c r="E339" s="12">
        <f t="shared" si="15"/>
        <v>150.68201911574306</v>
      </c>
      <c r="F339" s="12">
        <f t="shared" si="16"/>
        <v>103.77938220249153</v>
      </c>
      <c r="G339" s="12">
        <f>+Resumen!J127</f>
        <v>11.208944189262404</v>
      </c>
      <c r="H339" s="12">
        <f>+Resumen!K127</f>
        <v>8.3564130812879629</v>
      </c>
      <c r="I339" s="12">
        <f>+Resumen!L127</f>
        <v>24.96836668774063</v>
      </c>
      <c r="J339" s="12">
        <f>+Resumen!D127</f>
        <v>104.682373894224</v>
      </c>
      <c r="K339" s="12">
        <f>+Resumen!F127</f>
        <v>-7.2188280859638168</v>
      </c>
      <c r="L339" s="12">
        <f>+Resumen!G127</f>
        <v>-23.417009525416713</v>
      </c>
      <c r="M339" s="12">
        <f>+Resumen!H127</f>
        <v>37.351621250335427</v>
      </c>
    </row>
    <row r="340" spans="1:13" ht="13.8" thickBot="1">
      <c r="B340" s="281" t="s">
        <v>64</v>
      </c>
      <c r="C340" s="291">
        <f t="shared" si="14"/>
        <v>654.2221462656712</v>
      </c>
      <c r="D340" s="291">
        <f t="shared" si="15"/>
        <v>345.92903912060279</v>
      </c>
      <c r="E340" s="291">
        <f t="shared" si="15"/>
        <v>308.29310714506846</v>
      </c>
      <c r="F340" s="291">
        <f t="shared" si="16"/>
        <v>378.48781470247081</v>
      </c>
      <c r="G340" s="291">
        <f>+Resumen!J128</f>
        <v>-173.69047376510403</v>
      </c>
      <c r="H340" s="291">
        <f>+Resumen!K128</f>
        <v>36.504671945133921</v>
      </c>
      <c r="I340" s="291">
        <f>+Resumen!L128</f>
        <v>75.817889989062508</v>
      </c>
      <c r="J340" s="291">
        <f>+Resumen!D128</f>
        <v>331.77707744043215</v>
      </c>
      <c r="K340" s="291">
        <f>+Resumen!F128</f>
        <v>-2.8885184125293044</v>
      </c>
      <c r="L340" s="291">
        <f>+Resumen!G128</f>
        <v>53.947860703937195</v>
      </c>
      <c r="M340" s="291">
        <f>+Resumen!H128</f>
        <v>83.038668174350178</v>
      </c>
    </row>
    <row r="341" spans="1:13">
      <c r="C341" s="12">
        <f>SUM(C323:C340)</f>
        <v>6.5824679040815681E-11</v>
      </c>
      <c r="D341" s="12"/>
      <c r="E341" s="12"/>
      <c r="F341" s="12"/>
      <c r="G341" s="12"/>
      <c r="H341" s="12"/>
      <c r="I341" s="12"/>
      <c r="J341" s="12"/>
    </row>
    <row r="342" spans="1:13">
      <c r="B342" s="88" t="s">
        <v>556</v>
      </c>
      <c r="C342" s="292">
        <f>C343</f>
        <v>29493.515486918775</v>
      </c>
      <c r="D342" s="292">
        <f>+D343</f>
        <v>21199.637369849133</v>
      </c>
      <c r="E342" s="292">
        <f t="shared" ref="E342:J342" si="17">E343</f>
        <v>8293.8781170696402</v>
      </c>
      <c r="F342" s="292">
        <f t="shared" si="17"/>
        <v>5033.4734737075469</v>
      </c>
      <c r="G342" s="292">
        <f t="shared" si="17"/>
        <v>-250.0956914731147</v>
      </c>
      <c r="H342" s="292">
        <f t="shared" si="17"/>
        <v>2766.5739514065235</v>
      </c>
      <c r="I342" s="292">
        <f t="shared" si="17"/>
        <v>1106.1711390064975</v>
      </c>
      <c r="J342" s="292">
        <f t="shared" si="17"/>
        <v>4248.4032715315816</v>
      </c>
      <c r="K342" s="292">
        <f>K343</f>
        <v>894.2838414281423</v>
      </c>
      <c r="L342" s="292">
        <f>L343</f>
        <v>1665.8390603567655</v>
      </c>
      <c r="M342" s="292">
        <f>M343</f>
        <v>-47.64962243273478</v>
      </c>
    </row>
    <row r="343" spans="1:13" ht="13.8" thickBot="1">
      <c r="B343" s="281" t="s">
        <v>557</v>
      </c>
      <c r="C343" s="291">
        <f>+SUMIF(C323:C340,"&lt;0")*(-1)</f>
        <v>29493.515486918775</v>
      </c>
      <c r="D343" s="291">
        <f>+SUMIF(C323:C340,"&lt;0",D323:D340)*(-1)</f>
        <v>21199.637369849133</v>
      </c>
      <c r="E343" s="291">
        <f>+SUMIF($C323:$C340,"&lt;0",E323:E340)*(-1)</f>
        <v>8293.8781170696402</v>
      </c>
      <c r="F343" s="291">
        <f t="shared" ref="F343:M343" si="18">+SUMIF($C323:$C340,"&lt;0",F323:F340)*(-1)</f>
        <v>5033.4734737075469</v>
      </c>
      <c r="G343" s="291">
        <f t="shared" si="18"/>
        <v>-250.0956914731147</v>
      </c>
      <c r="H343" s="291">
        <f t="shared" si="18"/>
        <v>2766.5739514065235</v>
      </c>
      <c r="I343" s="291">
        <f t="shared" si="18"/>
        <v>1106.1711390064975</v>
      </c>
      <c r="J343" s="291">
        <f t="shared" si="18"/>
        <v>4248.4032715315816</v>
      </c>
      <c r="K343" s="291">
        <f t="shared" si="18"/>
        <v>894.2838414281423</v>
      </c>
      <c r="L343" s="291">
        <f t="shared" si="18"/>
        <v>1665.8390603567655</v>
      </c>
      <c r="M343" s="291">
        <f t="shared" si="18"/>
        <v>-47.64962243273478</v>
      </c>
    </row>
    <row r="345" spans="1:13">
      <c r="B345" s="88" t="s">
        <v>558</v>
      </c>
      <c r="C345" s="293">
        <f>C342/$C342</f>
        <v>1</v>
      </c>
      <c r="D345" s="293">
        <f>D342/$C342</f>
        <v>0.71878977530677157</v>
      </c>
      <c r="E345" s="293">
        <f t="shared" ref="D345:M346" si="19">E342/$C342</f>
        <v>0.28121022469322837</v>
      </c>
      <c r="F345" s="293">
        <f t="shared" si="19"/>
        <v>0.17066373372614863</v>
      </c>
      <c r="G345" s="293">
        <f t="shared" si="19"/>
        <v>-8.4796840032189229E-3</v>
      </c>
      <c r="H345" s="293">
        <f t="shared" si="19"/>
        <v>9.3802787010371105E-2</v>
      </c>
      <c r="I345" s="293">
        <f t="shared" si="19"/>
        <v>3.7505570995669077E-2</v>
      </c>
      <c r="J345" s="293">
        <f t="shared" si="19"/>
        <v>0.14404533340272274</v>
      </c>
      <c r="K345" s="293">
        <f t="shared" si="19"/>
        <v>3.0321371551139197E-2</v>
      </c>
      <c r="L345" s="293">
        <f t="shared" si="19"/>
        <v>5.6481536122596612E-2</v>
      </c>
      <c r="M345" s="293">
        <f t="shared" si="19"/>
        <v>-1.6155965691464879E-3</v>
      </c>
    </row>
    <row r="346" spans="1:13" ht="13.8" thickBot="1">
      <c r="B346" s="281" t="s">
        <v>559</v>
      </c>
      <c r="C346" s="295">
        <f>C343/$C343</f>
        <v>1</v>
      </c>
      <c r="D346" s="295">
        <f t="shared" si="19"/>
        <v>0.71878977530677157</v>
      </c>
      <c r="E346" s="295">
        <f t="shared" si="19"/>
        <v>0.28121022469322837</v>
      </c>
      <c r="F346" s="295">
        <f t="shared" si="19"/>
        <v>0.17066373372614863</v>
      </c>
      <c r="G346" s="295">
        <f t="shared" si="19"/>
        <v>-8.4796840032189229E-3</v>
      </c>
      <c r="H346" s="295">
        <f t="shared" si="19"/>
        <v>9.3802787010371105E-2</v>
      </c>
      <c r="I346" s="295">
        <f t="shared" si="19"/>
        <v>3.7505570995669077E-2</v>
      </c>
      <c r="J346" s="295">
        <f t="shared" si="19"/>
        <v>0.14404533340272274</v>
      </c>
      <c r="K346" s="295">
        <f t="shared" si="19"/>
        <v>3.0321371551139197E-2</v>
      </c>
      <c r="L346" s="295">
        <f t="shared" si="19"/>
        <v>5.6481536122596612E-2</v>
      </c>
      <c r="M346" s="295">
        <f t="shared" si="19"/>
        <v>-1.6155965691464879E-3</v>
      </c>
    </row>
    <row r="348" spans="1:13">
      <c r="D348" s="28"/>
      <c r="E348" s="28"/>
      <c r="F348" s="28"/>
      <c r="G348" s="28"/>
      <c r="H348" s="28"/>
      <c r="I348" s="28"/>
      <c r="K348" s="28"/>
    </row>
    <row r="349" spans="1:13" ht="14.4">
      <c r="B349" s="296" t="str">
        <f>"Pesos de distintas partidas en los saldos fiscales relativos agregados, "&amp;(Resumen!C2)</f>
        <v>Pesos de distintas partidas en los saldos fiscales relativos agregados, 2013</v>
      </c>
    </row>
    <row r="350" spans="1:13" s="25" customFormat="1" ht="26.95" thickBot="1">
      <c r="A350" s="350"/>
      <c r="B350" s="351"/>
      <c r="C350" s="352" t="s">
        <v>84</v>
      </c>
      <c r="D350" s="352" t="s">
        <v>554</v>
      </c>
      <c r="E350" s="352" t="s">
        <v>555</v>
      </c>
      <c r="F350" s="352" t="s">
        <v>560</v>
      </c>
      <c r="G350" s="352" t="s">
        <v>561</v>
      </c>
      <c r="H350" s="352" t="s">
        <v>562</v>
      </c>
      <c r="I350" s="352" t="s">
        <v>563</v>
      </c>
      <c r="J350" s="352" t="s">
        <v>564</v>
      </c>
      <c r="K350" s="352" t="s">
        <v>565</v>
      </c>
      <c r="L350" s="352" t="s">
        <v>566</v>
      </c>
      <c r="M350" s="352" t="s">
        <v>567</v>
      </c>
    </row>
    <row r="351" spans="1:13">
      <c r="B351" s="9" t="s">
        <v>9</v>
      </c>
      <c r="C351" s="95">
        <f t="shared" ref="C351:M351" si="20">C323/$C323</f>
        <v>1</v>
      </c>
      <c r="D351" s="95">
        <f t="shared" si="20"/>
        <v>2.0809483951789356</v>
      </c>
      <c r="E351" s="95">
        <f t="shared" si="20"/>
        <v>-1.0809483951789354</v>
      </c>
      <c r="F351" s="95">
        <f t="shared" si="20"/>
        <v>-0.44702008696739232</v>
      </c>
      <c r="G351" s="95">
        <f t="shared" si="20"/>
        <v>-0.65225466179697644</v>
      </c>
      <c r="H351" s="95">
        <f t="shared" si="20"/>
        <v>-1.3188378538342536E-2</v>
      </c>
      <c r="I351" s="95">
        <f t="shared" si="20"/>
        <v>-2.2737259303666241E-2</v>
      </c>
      <c r="J351" s="95">
        <f t="shared" si="20"/>
        <v>-0.35103284867618451</v>
      </c>
      <c r="K351" s="95">
        <f t="shared" si="20"/>
        <v>-4.0902363063255461E-2</v>
      </c>
      <c r="L351" s="95">
        <f t="shared" si="20"/>
        <v>0.14655888301781048</v>
      </c>
      <c r="M351" s="95">
        <f t="shared" si="20"/>
        <v>-4.7809143514841855E-2</v>
      </c>
    </row>
    <row r="352" spans="1:13">
      <c r="B352" s="9" t="s">
        <v>10</v>
      </c>
      <c r="C352" s="95">
        <f t="shared" ref="C352:M352" si="21">C324/$C324</f>
        <v>1</v>
      </c>
      <c r="D352" s="95">
        <f t="shared" si="21"/>
        <v>-0.98870283133776948</v>
      </c>
      <c r="E352" s="95">
        <f t="shared" si="21"/>
        <v>1.9887028313377695</v>
      </c>
      <c r="F352" s="95">
        <f t="shared" si="21"/>
        <v>0.58990764127446005</v>
      </c>
      <c r="G352" s="95">
        <f t="shared" si="21"/>
        <v>0.74445278622344224</v>
      </c>
      <c r="H352" s="95">
        <f t="shared" si="21"/>
        <v>0.43598311629494546</v>
      </c>
      <c r="I352" s="95">
        <f t="shared" si="21"/>
        <v>0.16206454337001638</v>
      </c>
      <c r="J352" s="95">
        <f t="shared" si="21"/>
        <v>0.26352135835563023</v>
      </c>
      <c r="K352" s="95">
        <f t="shared" si="21"/>
        <v>0.17302475381992033</v>
      </c>
      <c r="L352" s="95">
        <f t="shared" si="21"/>
        <v>-4.7627482225208843E-2</v>
      </c>
      <c r="M352" s="95">
        <f t="shared" si="21"/>
        <v>7.1995679659343573E-2</v>
      </c>
    </row>
    <row r="353" spans="2:13">
      <c r="B353" s="3" t="s">
        <v>11</v>
      </c>
      <c r="C353" s="95">
        <f t="shared" ref="C353:M353" si="22">C325/$C325</f>
        <v>1</v>
      </c>
      <c r="D353" s="95">
        <f t="shared" si="22"/>
        <v>-0.16467734064466144</v>
      </c>
      <c r="E353" s="95">
        <f t="shared" si="22"/>
        <v>1.1646773406446613</v>
      </c>
      <c r="F353" s="95">
        <f t="shared" si="22"/>
        <v>0.10070800128755016</v>
      </c>
      <c r="G353" s="95">
        <f t="shared" si="22"/>
        <v>0.89097478552663256</v>
      </c>
      <c r="H353" s="95">
        <f t="shared" si="22"/>
        <v>-1.4658908599074712E-2</v>
      </c>
      <c r="I353" s="95">
        <f t="shared" si="22"/>
        <v>0.12321097710402133</v>
      </c>
      <c r="J353" s="95">
        <f t="shared" si="22"/>
        <v>6.6099232646284159E-2</v>
      </c>
      <c r="K353" s="95">
        <f t="shared" si="22"/>
        <v>5.0907767652277648E-2</v>
      </c>
      <c r="L353" s="95">
        <f t="shared" si="22"/>
        <v>1.6960339302766452E-2</v>
      </c>
      <c r="M353" s="95">
        <f t="shared" si="22"/>
        <v>-7.564231223840384E-3</v>
      </c>
    </row>
    <row r="354" spans="2:13" s="14" customFormat="1">
      <c r="B354" s="248" t="s">
        <v>31</v>
      </c>
      <c r="C354" s="96">
        <f t="shared" ref="C354:M354" si="23">C326/$C326</f>
        <v>1</v>
      </c>
      <c r="D354" s="96">
        <f t="shared" si="23"/>
        <v>0.33353793748275995</v>
      </c>
      <c r="E354" s="96">
        <f t="shared" si="23"/>
        <v>0.66646206251724005</v>
      </c>
      <c r="F354" s="96">
        <f t="shared" si="23"/>
        <v>3.4367109909644131E-2</v>
      </c>
      <c r="G354" s="96">
        <f t="shared" si="23"/>
        <v>0.5093198646819862</v>
      </c>
      <c r="H354" s="96">
        <f t="shared" si="23"/>
        <v>0.10769584017924837</v>
      </c>
      <c r="I354" s="96">
        <f t="shared" si="23"/>
        <v>9.5269322459329148E-2</v>
      </c>
      <c r="J354" s="96">
        <f t="shared" si="23"/>
        <v>7.4484282101670254E-2</v>
      </c>
      <c r="K354" s="96">
        <f t="shared" si="23"/>
        <v>8.2246855530073784E-2</v>
      </c>
      <c r="L354" s="96">
        <f t="shared" si="23"/>
        <v>-8.4953948497675416E-2</v>
      </c>
      <c r="M354" s="96">
        <f t="shared" si="23"/>
        <v>5.6515350278212098E-3</v>
      </c>
    </row>
    <row r="355" spans="2:13">
      <c r="B355" s="3" t="s">
        <v>12</v>
      </c>
      <c r="C355" s="95">
        <f t="shared" ref="C355:M355" si="24">C327/$C327</f>
        <v>1</v>
      </c>
      <c r="D355" s="95">
        <f t="shared" si="24"/>
        <v>1.2420775291988406</v>
      </c>
      <c r="E355" s="95">
        <f t="shared" si="24"/>
        <v>-0.24207752919884079</v>
      </c>
      <c r="F355" s="95">
        <f t="shared" si="24"/>
        <v>0.24981167643681298</v>
      </c>
      <c r="G355" s="95">
        <f t="shared" si="24"/>
        <v>-0.49402598105919698</v>
      </c>
      <c r="H355" s="95">
        <f t="shared" si="24"/>
        <v>-7.0022404279871872E-3</v>
      </c>
      <c r="I355" s="95">
        <f t="shared" si="24"/>
        <v>2.304251504782142E-2</v>
      </c>
      <c r="J355" s="95">
        <f t="shared" si="24"/>
        <v>-1.4993228762927378E-2</v>
      </c>
      <c r="K355" s="95">
        <f t="shared" si="24"/>
        <v>-6.7536429159489116E-4</v>
      </c>
      <c r="L355" s="95">
        <f t="shared" si="24"/>
        <v>0.19659653673622307</v>
      </c>
      <c r="M355" s="95">
        <f t="shared" si="24"/>
        <v>-1.7318622829410844E-2</v>
      </c>
    </row>
    <row r="356" spans="2:13">
      <c r="B356" s="9" t="s">
        <v>13</v>
      </c>
      <c r="C356" s="95">
        <f t="shared" ref="C356:M356" si="25">C328/$C328</f>
        <v>1</v>
      </c>
      <c r="D356" s="95">
        <f t="shared" si="25"/>
        <v>-0.46449569357618725</v>
      </c>
      <c r="E356" s="95">
        <f t="shared" si="25"/>
        <v>1.4644956935761873</v>
      </c>
      <c r="F356" s="95">
        <f t="shared" si="25"/>
        <v>0.5225273869843563</v>
      </c>
      <c r="G356" s="95">
        <f t="shared" si="25"/>
        <v>0.69555622301396658</v>
      </c>
      <c r="H356" s="95">
        <f t="shared" si="25"/>
        <v>-1.1615278283207298E-2</v>
      </c>
      <c r="I356" s="95">
        <f t="shared" si="25"/>
        <v>0.14980560539590945</v>
      </c>
      <c r="J356" s="95">
        <f t="shared" si="25"/>
        <v>0.50039756320591</v>
      </c>
      <c r="K356" s="95">
        <f t="shared" si="25"/>
        <v>0.13144176795016921</v>
      </c>
      <c r="L356" s="95">
        <f t="shared" si="25"/>
        <v>-7.8194910818520688E-2</v>
      </c>
      <c r="M356" s="95">
        <f t="shared" si="25"/>
        <v>-1.8188245745281297E-2</v>
      </c>
    </row>
    <row r="357" spans="2:13">
      <c r="B357" s="9" t="s">
        <v>14</v>
      </c>
      <c r="C357" s="95">
        <f t="shared" ref="C357:M357" si="26">C329/$C329</f>
        <v>1</v>
      </c>
      <c r="D357" s="95">
        <f t="shared" si="26"/>
        <v>0.10899069594118647</v>
      </c>
      <c r="E357" s="95">
        <f t="shared" si="26"/>
        <v>0.89100930405881351</v>
      </c>
      <c r="F357" s="95">
        <f t="shared" si="26"/>
        <v>0.26490587361619122</v>
      </c>
      <c r="G357" s="95">
        <f t="shared" si="26"/>
        <v>0.30421751412371445</v>
      </c>
      <c r="H357" s="95">
        <f t="shared" si="26"/>
        <v>0.23816158932574111</v>
      </c>
      <c r="I357" s="95">
        <f t="shared" si="26"/>
        <v>7.6785690642571569E-2</v>
      </c>
      <c r="J357" s="95">
        <f t="shared" si="26"/>
        <v>0.144639139275694</v>
      </c>
      <c r="K357" s="95">
        <f t="shared" si="26"/>
        <v>9.6167410632155337E-2</v>
      </c>
      <c r="L357" s="95">
        <f t="shared" si="26"/>
        <v>3.9288410585938604E-3</v>
      </c>
      <c r="M357" s="95">
        <f t="shared" si="26"/>
        <v>2.3886424197022672E-2</v>
      </c>
    </row>
    <row r="358" spans="2:13">
      <c r="B358" s="3" t="s">
        <v>15</v>
      </c>
      <c r="C358" s="95">
        <f t="shared" ref="C358:M358" si="27">C330/$C330</f>
        <v>1</v>
      </c>
      <c r="D358" s="95">
        <f t="shared" si="27"/>
        <v>1.0990209484713758</v>
      </c>
      <c r="E358" s="95">
        <f t="shared" si="27"/>
        <v>-9.9020948471375769E-2</v>
      </c>
      <c r="F358" s="95">
        <f t="shared" si="27"/>
        <v>-4.3314001258219915E-2</v>
      </c>
      <c r="G358" s="95">
        <f t="shared" si="27"/>
        <v>-0.37995389833774806</v>
      </c>
      <c r="H358" s="95">
        <f t="shared" si="27"/>
        <v>0.40009668967661965</v>
      </c>
      <c r="I358" s="95">
        <f t="shared" si="27"/>
        <v>5.0235852310558209E-3</v>
      </c>
      <c r="J358" s="95">
        <f t="shared" si="27"/>
        <v>1.2051868911185322E-2</v>
      </c>
      <c r="K358" s="95">
        <f t="shared" si="27"/>
        <v>4.4572932589881514E-2</v>
      </c>
      <c r="L358" s="95">
        <f t="shared" si="27"/>
        <v>-9.0736956914252379E-3</v>
      </c>
      <c r="M358" s="95">
        <f t="shared" si="27"/>
        <v>-1.8037711089173732E-2</v>
      </c>
    </row>
    <row r="359" spans="2:13">
      <c r="B359" s="3" t="s">
        <v>16</v>
      </c>
      <c r="C359" s="95">
        <f t="shared" ref="C359:M359" si="28">C331/$C331</f>
        <v>1</v>
      </c>
      <c r="D359" s="249">
        <f t="shared" si="28"/>
        <v>1.115647435506157</v>
      </c>
      <c r="E359" s="95">
        <f t="shared" si="28"/>
        <v>-0.11564743550615704</v>
      </c>
      <c r="F359" s="95">
        <f t="shared" si="28"/>
        <v>0.13179396044510763</v>
      </c>
      <c r="G359" s="95">
        <f t="shared" si="28"/>
        <v>-0.24212253748809809</v>
      </c>
      <c r="H359" s="95">
        <f t="shared" si="28"/>
        <v>9.9578272329259671E-2</v>
      </c>
      <c r="I359" s="95">
        <f t="shared" si="28"/>
        <v>7.3380361244990569E-3</v>
      </c>
      <c r="J359" s="95">
        <f t="shared" si="28"/>
        <v>0.1552022953014511</v>
      </c>
      <c r="K359" s="95">
        <f t="shared" si="28"/>
        <v>2.4685502384017833E-2</v>
      </c>
      <c r="L359" s="95">
        <f t="shared" si="28"/>
        <v>9.2354562557989947E-2</v>
      </c>
      <c r="M359" s="95">
        <f t="shared" si="28"/>
        <v>-1.9673591809798809E-2</v>
      </c>
    </row>
    <row r="360" spans="2:13">
      <c r="B360" s="9" t="s">
        <v>17</v>
      </c>
      <c r="C360" s="95">
        <f t="shared" ref="C360:M360" si="29">C332/$C332</f>
        <v>1</v>
      </c>
      <c r="D360" s="95">
        <f t="shared" si="29"/>
        <v>-3.1386749355472392</v>
      </c>
      <c r="E360" s="95">
        <f t="shared" si="29"/>
        <v>4.1386749355472388</v>
      </c>
      <c r="F360" s="95">
        <f t="shared" si="29"/>
        <v>2.1393268911421379</v>
      </c>
      <c r="G360" s="95">
        <f t="shared" si="29"/>
        <v>1.3859306193202194</v>
      </c>
      <c r="H360" s="95">
        <f t="shared" si="29"/>
        <v>0.49880832934290942</v>
      </c>
      <c r="I360" s="95">
        <f t="shared" si="29"/>
        <v>0.23737389299964712</v>
      </c>
      <c r="J360" s="95">
        <f t="shared" si="29"/>
        <v>1.180841950446869</v>
      </c>
      <c r="K360" s="95">
        <f t="shared" si="29"/>
        <v>0.27643709513673115</v>
      </c>
      <c r="L360" s="95">
        <f t="shared" si="29"/>
        <v>0.21121610031271515</v>
      </c>
      <c r="M360" s="95">
        <f t="shared" si="29"/>
        <v>0.23217079533579124</v>
      </c>
    </row>
    <row r="361" spans="2:13">
      <c r="B361" s="3" t="s">
        <v>18</v>
      </c>
      <c r="C361" s="95">
        <f t="shared" ref="C361:M361" si="30">C333/$C333</f>
        <v>1</v>
      </c>
      <c r="D361" s="95">
        <f t="shared" si="30"/>
        <v>0.65697183242518364</v>
      </c>
      <c r="E361" s="95">
        <f t="shared" si="30"/>
        <v>0.3430281675748163</v>
      </c>
      <c r="F361" s="95">
        <f t="shared" si="30"/>
        <v>0.15178549598660343</v>
      </c>
      <c r="G361" s="95">
        <f t="shared" si="30"/>
        <v>-0.12088494557817696</v>
      </c>
      <c r="H361" s="95">
        <f t="shared" si="30"/>
        <v>0.20499156121789228</v>
      </c>
      <c r="I361" s="95">
        <f t="shared" si="30"/>
        <v>4.1831946735927217E-2</v>
      </c>
      <c r="J361" s="95">
        <f t="shared" si="30"/>
        <v>9.6372520135347847E-2</v>
      </c>
      <c r="K361" s="95">
        <f t="shared" si="30"/>
        <v>3.8077976410557095E-2</v>
      </c>
      <c r="L361" s="95">
        <f t="shared" si="30"/>
        <v>8.2555790809225191E-2</v>
      </c>
      <c r="M361" s="95">
        <f t="shared" si="30"/>
        <v>-6.2520931428051325E-3</v>
      </c>
    </row>
    <row r="362" spans="2:13">
      <c r="B362" s="9" t="s">
        <v>19</v>
      </c>
      <c r="C362" s="95">
        <f t="shared" ref="C362:M362" si="31">C334/$C334</f>
        <v>1</v>
      </c>
      <c r="D362" s="95">
        <f t="shared" si="31"/>
        <v>0.47075026053598501</v>
      </c>
      <c r="E362" s="95">
        <f t="shared" si="31"/>
        <v>0.52924973946401499</v>
      </c>
      <c r="F362" s="95">
        <f t="shared" si="31"/>
        <v>5.5743189908610283E-2</v>
      </c>
      <c r="G362" s="95">
        <f t="shared" si="31"/>
        <v>0.35567235596588953</v>
      </c>
      <c r="H362" s="95">
        <f t="shared" si="31"/>
        <v>3.0947710454133453E-2</v>
      </c>
      <c r="I362" s="95">
        <f t="shared" si="31"/>
        <v>8.6092779467479341E-2</v>
      </c>
      <c r="J362" s="95">
        <f t="shared" si="31"/>
        <v>0.13324504224295253</v>
      </c>
      <c r="K362" s="95">
        <f t="shared" si="31"/>
        <v>2.9611770548728097E-2</v>
      </c>
      <c r="L362" s="95">
        <f t="shared" si="31"/>
        <v>2.7197554068092003E-2</v>
      </c>
      <c r="M362" s="95">
        <f t="shared" si="31"/>
        <v>-1.0713760166139247E-2</v>
      </c>
    </row>
    <row r="363" spans="2:13">
      <c r="B363" s="3" t="s">
        <v>20</v>
      </c>
      <c r="C363" s="95">
        <f t="shared" ref="C363:M363" si="32">C335/$C335</f>
        <v>1</v>
      </c>
      <c r="D363" s="249">
        <f t="shared" si="32"/>
        <v>0.83948115675546164</v>
      </c>
      <c r="E363" s="95">
        <f t="shared" si="32"/>
        <v>0.16051884324453841</v>
      </c>
      <c r="F363" s="95">
        <f t="shared" si="32"/>
        <v>8.0846718891973909E-2</v>
      </c>
      <c r="G363" s="95">
        <f t="shared" si="32"/>
        <v>-3.6738853030792204E-2</v>
      </c>
      <c r="H363" s="95">
        <f t="shared" si="32"/>
        <v>6.0058179512494182E-2</v>
      </c>
      <c r="I363" s="95">
        <f t="shared" si="32"/>
        <v>2.5732393672055841E-2</v>
      </c>
      <c r="J363" s="95">
        <f t="shared" si="32"/>
        <v>0.10298419144145735</v>
      </c>
      <c r="K363" s="95">
        <f t="shared" si="32"/>
        <v>6.9054641702841505E-3</v>
      </c>
      <c r="L363" s="95">
        <f t="shared" si="32"/>
        <v>3.5687499010598957E-2</v>
      </c>
      <c r="M363" s="95">
        <f t="shared" si="32"/>
        <v>-9.8321949836139219E-3</v>
      </c>
    </row>
    <row r="364" spans="2:13">
      <c r="B364" s="9" t="s">
        <v>60</v>
      </c>
      <c r="C364" s="95">
        <f t="shared" ref="C364:M364" si="33">C336/$C336</f>
        <v>1</v>
      </c>
      <c r="D364" s="95">
        <f t="shared" si="33"/>
        <v>11.617010843944149</v>
      </c>
      <c r="E364" s="95">
        <f t="shared" si="33"/>
        <v>-10.617010843944149</v>
      </c>
      <c r="F364" s="95">
        <f t="shared" si="33"/>
        <v>-4.8253017988994724</v>
      </c>
      <c r="G364" s="95">
        <f t="shared" si="33"/>
        <v>-5.2134839474301842</v>
      </c>
      <c r="H364" s="95">
        <f t="shared" si="33"/>
        <v>-0.35359069588466085</v>
      </c>
      <c r="I364" s="95">
        <f t="shared" si="33"/>
        <v>-0.56737259843292243</v>
      </c>
      <c r="J364" s="95">
        <f t="shared" si="33"/>
        <v>-2.3124465174927544</v>
      </c>
      <c r="K364" s="95">
        <f t="shared" si="33"/>
        <v>-0.56530181798524193</v>
      </c>
      <c r="L364" s="95">
        <f t="shared" si="33"/>
        <v>-0.39649688045301013</v>
      </c>
      <c r="M364" s="95">
        <f t="shared" si="33"/>
        <v>-0.45590999232831209</v>
      </c>
    </row>
    <row r="365" spans="2:13">
      <c r="B365" s="9" t="s">
        <v>61</v>
      </c>
      <c r="C365" s="95">
        <f t="shared" ref="C365:M365" si="34">C337/$C337</f>
        <v>1</v>
      </c>
      <c r="D365" s="95">
        <f t="shared" si="34"/>
        <v>3.1677077946185501</v>
      </c>
      <c r="E365" s="95">
        <f t="shared" si="34"/>
        <v>-2.1677077946185501</v>
      </c>
      <c r="F365" s="95">
        <f t="shared" si="34"/>
        <v>-3.590086656690052</v>
      </c>
      <c r="G365" s="95">
        <f t="shared" si="34"/>
        <v>-1.1700123337241033</v>
      </c>
      <c r="H365" s="95">
        <f t="shared" si="34"/>
        <v>-0.20144132259604233</v>
      </c>
      <c r="I365" s="95">
        <f t="shared" si="34"/>
        <v>0.61967214560453943</v>
      </c>
      <c r="J365" s="95">
        <f t="shared" si="34"/>
        <v>-4.065696093219489</v>
      </c>
      <c r="K365" s="95">
        <f t="shared" si="34"/>
        <v>0.22664171391178409</v>
      </c>
      <c r="L365" s="95">
        <f t="shared" si="34"/>
        <v>0.3103811739630194</v>
      </c>
      <c r="M365" s="95">
        <f t="shared" si="34"/>
        <v>-0.22172635475379393</v>
      </c>
    </row>
    <row r="366" spans="2:13">
      <c r="B366" s="9" t="s">
        <v>62</v>
      </c>
      <c r="C366" s="95">
        <f t="shared" ref="C366:M366" si="35">C338/$C338</f>
        <v>1</v>
      </c>
      <c r="D366" s="95">
        <f t="shared" si="35"/>
        <v>-1.7620835389369476</v>
      </c>
      <c r="E366" s="95">
        <f t="shared" si="35"/>
        <v>2.7620835389369476</v>
      </c>
      <c r="F366" s="95">
        <f t="shared" si="35"/>
        <v>2.1726953740299968</v>
      </c>
      <c r="G366" s="95">
        <f t="shared" si="35"/>
        <v>1.1463337276323753</v>
      </c>
      <c r="H366" s="95">
        <f t="shared" si="35"/>
        <v>-7.7483820965589076E-2</v>
      </c>
      <c r="I366" s="95">
        <f t="shared" si="35"/>
        <v>-3.7663495408357041E-2</v>
      </c>
      <c r="J366" s="95">
        <f t="shared" si="35"/>
        <v>2.0755962630473128</v>
      </c>
      <c r="K366" s="95">
        <f t="shared" si="35"/>
        <v>9.1189379324182487E-2</v>
      </c>
      <c r="L366" s="95">
        <f t="shared" si="35"/>
        <v>-8.5632873228618664E-2</v>
      </c>
      <c r="M366" s="95">
        <f t="shared" si="35"/>
        <v>0.10681262950980573</v>
      </c>
    </row>
    <row r="367" spans="2:13">
      <c r="B367" s="9" t="s">
        <v>63</v>
      </c>
      <c r="C367" s="95">
        <f t="shared" ref="C367:M367" si="36">C339/$C339</f>
        <v>1</v>
      </c>
      <c r="D367" s="95">
        <f t="shared" si="36"/>
        <v>-1.2171504828761053</v>
      </c>
      <c r="E367" s="95">
        <f t="shared" si="36"/>
        <v>2.2171504828761051</v>
      </c>
      <c r="F367" s="95">
        <f t="shared" si="36"/>
        <v>1.5270203353599607</v>
      </c>
      <c r="G367" s="95">
        <f t="shared" si="36"/>
        <v>0.16492953948715675</v>
      </c>
      <c r="H367" s="95">
        <f t="shared" si="36"/>
        <v>0.12295710800144227</v>
      </c>
      <c r="I367" s="95">
        <f t="shared" si="36"/>
        <v>0.367387075002156</v>
      </c>
      <c r="J367" s="95">
        <f t="shared" si="36"/>
        <v>1.5403070465223583</v>
      </c>
      <c r="K367" s="95">
        <f t="shared" si="36"/>
        <v>-0.10621856722201344</v>
      </c>
      <c r="L367" s="95">
        <f t="shared" si="36"/>
        <v>-0.34456024867115409</v>
      </c>
      <c r="M367" s="95">
        <f t="shared" si="36"/>
        <v>0.54959553619848112</v>
      </c>
    </row>
    <row r="368" spans="2:13">
      <c r="B368" s="297" t="s">
        <v>64</v>
      </c>
      <c r="C368" s="294">
        <f t="shared" ref="C368:M368" si="37">C340/$C340</f>
        <v>1</v>
      </c>
      <c r="D368" s="294">
        <f t="shared" si="37"/>
        <v>0.52876387798117352</v>
      </c>
      <c r="E368" s="294">
        <f t="shared" si="37"/>
        <v>0.47123612201882659</v>
      </c>
      <c r="F368" s="294">
        <f t="shared" si="37"/>
        <v>0.57853103393533212</v>
      </c>
      <c r="G368" s="294">
        <f t="shared" si="37"/>
        <v>-0.26549158379387933</v>
      </c>
      <c r="H368" s="294">
        <f t="shared" si="37"/>
        <v>5.5798587916205823E-2</v>
      </c>
      <c r="I368" s="294">
        <f t="shared" si="37"/>
        <v>0.11589013062586517</v>
      </c>
      <c r="J368" s="294">
        <f t="shared" si="37"/>
        <v>0.50713214056453193</v>
      </c>
      <c r="K368" s="294">
        <f t="shared" si="37"/>
        <v>-4.4151950969821101E-3</v>
      </c>
      <c r="L368" s="294">
        <f t="shared" si="37"/>
        <v>8.2461073829239742E-2</v>
      </c>
      <c r="M368" s="294">
        <f t="shared" si="37"/>
        <v>0.12692732682367686</v>
      </c>
    </row>
    <row r="369" spans="1:20" s="298" customFormat="1" ht="11.9" thickBot="1">
      <c r="B369" s="299" t="s">
        <v>568</v>
      </c>
      <c r="C369" s="300">
        <v>1</v>
      </c>
      <c r="D369" s="300">
        <f t="shared" ref="D369:M369" si="38">+D345</f>
        <v>0.71878977530677157</v>
      </c>
      <c r="E369" s="300">
        <f t="shared" si="38"/>
        <v>0.28121022469322837</v>
      </c>
      <c r="F369" s="300">
        <f t="shared" si="38"/>
        <v>0.17066373372614863</v>
      </c>
      <c r="G369" s="300">
        <f t="shared" si="38"/>
        <v>-8.4796840032189229E-3</v>
      </c>
      <c r="H369" s="300">
        <f t="shared" si="38"/>
        <v>9.3802787010371105E-2</v>
      </c>
      <c r="I369" s="300">
        <f t="shared" si="38"/>
        <v>3.7505570995669077E-2</v>
      </c>
      <c r="J369" s="300">
        <f t="shared" si="38"/>
        <v>0.14404533340272274</v>
      </c>
      <c r="K369" s="300">
        <f t="shared" si="38"/>
        <v>3.0321371551139197E-2</v>
      </c>
      <c r="L369" s="300">
        <f t="shared" si="38"/>
        <v>5.6481536122596612E-2</v>
      </c>
      <c r="M369" s="300">
        <f t="shared" si="38"/>
        <v>-1.6155965691464879E-3</v>
      </c>
    </row>
    <row r="370" spans="1:20">
      <c r="B370" s="250"/>
      <c r="C370" s="251"/>
      <c r="D370" s="251"/>
      <c r="E370" s="251"/>
      <c r="F370" s="251"/>
      <c r="G370" s="251"/>
      <c r="H370" s="251"/>
      <c r="I370" s="251"/>
      <c r="J370" s="251"/>
      <c r="K370" s="251"/>
      <c r="L370" s="251"/>
      <c r="M370" s="251"/>
    </row>
    <row r="371" spans="1:20">
      <c r="B371" s="250"/>
      <c r="C371" s="343"/>
      <c r="D371" s="343"/>
      <c r="E371" s="343"/>
      <c r="F371" s="343"/>
      <c r="G371" s="343"/>
      <c r="H371" s="343"/>
      <c r="I371" s="343"/>
      <c r="J371" s="343"/>
      <c r="K371" s="343"/>
      <c r="L371" s="343"/>
      <c r="M371" s="343"/>
      <c r="N371" s="343"/>
      <c r="O371" s="343"/>
      <c r="P371" s="343"/>
      <c r="Q371" s="343"/>
      <c r="R371" s="343"/>
      <c r="S371" s="343"/>
      <c r="T371" s="343"/>
    </row>
    <row r="373" spans="1:20" ht="17.55">
      <c r="B373" s="259" t="str">
        <f>"Cuadro 13: Financiación regional a competencias homogéneas, euros per cápita, "&amp;(Resumen!C2)</f>
        <v>Cuadro 13: Financiación regional a competencias homogéneas, euros per cápita, 2013</v>
      </c>
      <c r="C373" s="215"/>
      <c r="D373" s="215"/>
      <c r="E373" s="215"/>
      <c r="F373" s="215"/>
      <c r="G373" s="215"/>
      <c r="H373" s="215"/>
    </row>
    <row r="374" spans="1:20">
      <c r="B374" s="209"/>
      <c r="C374" s="301" t="s">
        <v>572</v>
      </c>
      <c r="D374" s="301" t="s">
        <v>573</v>
      </c>
      <c r="E374" s="301" t="s">
        <v>574</v>
      </c>
      <c r="F374" s="301" t="s">
        <v>575</v>
      </c>
      <c r="G374" s="301" t="s">
        <v>576</v>
      </c>
      <c r="H374" s="301" t="s">
        <v>577</v>
      </c>
    </row>
    <row r="375" spans="1:20" ht="12.7" customHeight="1">
      <c r="B375" s="49"/>
      <c r="C375" s="83"/>
      <c r="D375" s="84" t="s">
        <v>578</v>
      </c>
      <c r="E375" s="84" t="s">
        <v>580</v>
      </c>
      <c r="F375" s="84" t="s">
        <v>586</v>
      </c>
      <c r="G375" s="84" t="s">
        <v>580</v>
      </c>
      <c r="H375" s="84" t="s">
        <v>586</v>
      </c>
    </row>
    <row r="376" spans="1:20" ht="52.45" customHeight="1" thickBot="1">
      <c r="B376" s="302"/>
      <c r="C376" s="303" t="s">
        <v>596</v>
      </c>
      <c r="D376" s="303" t="s">
        <v>579</v>
      </c>
      <c r="E376" s="303" t="s">
        <v>581</v>
      </c>
      <c r="F376" s="303" t="s">
        <v>57</v>
      </c>
      <c r="G376" s="303" t="s">
        <v>1037</v>
      </c>
      <c r="H376" s="303" t="s">
        <v>587</v>
      </c>
    </row>
    <row r="377" spans="1:20">
      <c r="A377" s="309"/>
      <c r="B377" s="49" t="s">
        <v>9</v>
      </c>
      <c r="C377" s="307">
        <f>Gasto_o_ing_per_capita!E108</f>
        <v>1995.8989380421533</v>
      </c>
      <c r="D377" s="308">
        <f t="array" ref="D377:D394">TRANSPOSE(Gasto_o_ing_per_capita!E158:V158)</f>
        <v>0</v>
      </c>
      <c r="E377" s="307">
        <f>Gasto_o_ing_per_capita!E123</f>
        <v>-97.751316143532662</v>
      </c>
      <c r="F377" s="307">
        <f>+C377+D377+E377</f>
        <v>1898.1476218986206</v>
      </c>
      <c r="G377" s="307">
        <f>Gasto_o_ing_per_capita!E$191</f>
        <v>91.977433319640483</v>
      </c>
      <c r="H377" s="307">
        <f>+F377+G377</f>
        <v>1990.1250552182612</v>
      </c>
    </row>
    <row r="378" spans="1:20">
      <c r="A378" s="309"/>
      <c r="B378" s="49" t="s">
        <v>10</v>
      </c>
      <c r="C378" s="307">
        <f>Gasto_o_ing_per_capita!F108</f>
        <v>2369.5420642479849</v>
      </c>
      <c r="D378" s="308">
        <v>0</v>
      </c>
      <c r="E378" s="307">
        <f>Gasto_o_ing_per_capita!F123</f>
        <v>-64.383901111146017</v>
      </c>
      <c r="F378" s="307">
        <f t="shared" ref="F378:F397" si="39">+C378+D378+E378</f>
        <v>2305.158163136839</v>
      </c>
      <c r="G378" s="307">
        <f>Gasto_o_ing_per_capita!F$191</f>
        <v>84.482755086466739</v>
      </c>
      <c r="H378" s="307">
        <f t="shared" ref="H378:H397" si="40">+F378+G378</f>
        <v>2389.6409182233056</v>
      </c>
    </row>
    <row r="379" spans="1:20">
      <c r="A379" s="309"/>
      <c r="B379" s="49" t="s">
        <v>11</v>
      </c>
      <c r="C379" s="307">
        <f>Gasto_o_ing_per_capita!G108</f>
        <v>2353.0467102838347</v>
      </c>
      <c r="D379" s="308">
        <v>0</v>
      </c>
      <c r="E379" s="307">
        <f>Gasto_o_ing_per_capita!G123</f>
        <v>-70.510566706084077</v>
      </c>
      <c r="F379" s="307">
        <f t="shared" si="39"/>
        <v>2282.5361435777509</v>
      </c>
      <c r="G379" s="307">
        <f>Gasto_o_ing_per_capita!G$191</f>
        <v>177.00159806187355</v>
      </c>
      <c r="H379" s="307">
        <f t="shared" si="40"/>
        <v>2459.5377416396245</v>
      </c>
    </row>
    <row r="380" spans="1:20">
      <c r="A380" s="309"/>
      <c r="B380" s="49" t="s">
        <v>31</v>
      </c>
      <c r="C380" s="307">
        <f>Gasto_o_ing_per_capita!H108</f>
        <v>2104.2961722276796</v>
      </c>
      <c r="D380" s="308">
        <v>0</v>
      </c>
      <c r="E380" s="307">
        <f>Gasto_o_ing_per_capita!H123</f>
        <v>-51.221178998140324</v>
      </c>
      <c r="F380" s="307">
        <f t="shared" si="39"/>
        <v>2053.0749932295394</v>
      </c>
      <c r="G380" s="307">
        <f>Gasto_o_ing_per_capita!H$191</f>
        <v>161.70276059570233</v>
      </c>
      <c r="H380" s="307">
        <f t="shared" si="40"/>
        <v>2214.7777538252417</v>
      </c>
    </row>
    <row r="381" spans="1:20">
      <c r="A381" s="309"/>
      <c r="B381" s="49" t="s">
        <v>12</v>
      </c>
      <c r="C381" s="307">
        <f>Gasto_o_ing_per_capita!I108</f>
        <v>2254.5793979423047</v>
      </c>
      <c r="D381" s="308">
        <v>0</v>
      </c>
      <c r="E381" s="307">
        <f>Gasto_o_ing_per_capita!I123</f>
        <v>-125.2592504867483</v>
      </c>
      <c r="F381" s="307">
        <f t="shared" si="39"/>
        <v>2129.3201474555563</v>
      </c>
      <c r="G381" s="307">
        <f>Gasto_o_ing_per_capita!I$191</f>
        <v>28.832620314804764</v>
      </c>
      <c r="H381" s="307">
        <f t="shared" si="40"/>
        <v>2158.1527677703612</v>
      </c>
    </row>
    <row r="382" spans="1:20">
      <c r="A382" s="309"/>
      <c r="B382" s="49" t="s">
        <v>13</v>
      </c>
      <c r="C382" s="307">
        <f>Gasto_o_ing_per_capita!J108</f>
        <v>2763.1974312064967</v>
      </c>
      <c r="D382" s="308">
        <v>0</v>
      </c>
      <c r="E382" s="307">
        <f>Gasto_o_ing_per_capita!J123</f>
        <v>-216.41296646958781</v>
      </c>
      <c r="F382" s="307">
        <f t="shared" si="39"/>
        <v>2546.7844647369088</v>
      </c>
      <c r="G382" s="307">
        <f>Gasto_o_ing_per_capita!J$191</f>
        <v>137.1379472122666</v>
      </c>
      <c r="H382" s="307">
        <f t="shared" si="40"/>
        <v>2683.9224119491755</v>
      </c>
    </row>
    <row r="383" spans="1:20">
      <c r="A383" s="309"/>
      <c r="B383" s="49" t="s">
        <v>14</v>
      </c>
      <c r="C383" s="307">
        <f>Gasto_o_ing_per_capita!K108</f>
        <v>2426.9186332283671</v>
      </c>
      <c r="D383" s="308">
        <v>0</v>
      </c>
      <c r="E383" s="307">
        <f>Gasto_o_ing_per_capita!K123</f>
        <v>-6.2318819490051451</v>
      </c>
      <c r="F383" s="307">
        <f t="shared" si="39"/>
        <v>2420.6867512793619</v>
      </c>
      <c r="G383" s="307">
        <f>Gasto_o_ing_per_capita!K$191</f>
        <v>65.094867661522414</v>
      </c>
      <c r="H383" s="307">
        <f t="shared" si="40"/>
        <v>2485.7816189408845</v>
      </c>
    </row>
    <row r="384" spans="1:20">
      <c r="A384" s="309"/>
      <c r="B384" s="49" t="s">
        <v>582</v>
      </c>
      <c r="C384" s="307">
        <f>Gasto_o_ing_per_capita!L108</f>
        <v>2174.3077697484546</v>
      </c>
      <c r="D384" s="308">
        <v>0</v>
      </c>
      <c r="E384" s="307">
        <f>Gasto_o_ing_per_capita!L123</f>
        <v>-5.4308014301451868</v>
      </c>
      <c r="F384" s="307">
        <f t="shared" si="39"/>
        <v>2168.8769683183095</v>
      </c>
      <c r="G384" s="307">
        <f>Gasto_o_ing_per_capita!L$191</f>
        <v>-43.051527009001894</v>
      </c>
      <c r="H384" s="307">
        <f t="shared" si="40"/>
        <v>2125.8254413093077</v>
      </c>
    </row>
    <row r="385" spans="1:9">
      <c r="A385" s="309"/>
      <c r="B385" s="49" t="s">
        <v>16</v>
      </c>
      <c r="C385" s="307">
        <f>Gasto_o_ing_per_capita!M108</f>
        <v>2263.8639509823515</v>
      </c>
      <c r="D385" s="308">
        <v>0</v>
      </c>
      <c r="E385" s="307">
        <f>Gasto_o_ing_per_capita!M123</f>
        <v>-290.43090641445298</v>
      </c>
      <c r="F385" s="307">
        <f t="shared" si="39"/>
        <v>1973.4330445678986</v>
      </c>
      <c r="G385" s="307">
        <f>Gasto_o_ing_per_capita!M$191</f>
        <v>183.39002528696395</v>
      </c>
      <c r="H385" s="307">
        <f t="shared" si="40"/>
        <v>2156.8230698548628</v>
      </c>
    </row>
    <row r="386" spans="1:9">
      <c r="A386" s="309"/>
      <c r="B386" s="49" t="s">
        <v>17</v>
      </c>
      <c r="C386" s="307">
        <f>Gasto_o_ing_per_capita!N108</f>
        <v>1866.4719386005231</v>
      </c>
      <c r="D386" s="308">
        <v>0</v>
      </c>
      <c r="E386" s="307">
        <f>Gasto_o_ing_per_capita!N123</f>
        <v>-42.386377274209785</v>
      </c>
      <c r="F386" s="307">
        <f t="shared" si="39"/>
        <v>1824.0855613263134</v>
      </c>
      <c r="G386" s="307">
        <f>Gasto_o_ing_per_capita!N$191</f>
        <v>86.701182337735546</v>
      </c>
      <c r="H386" s="307">
        <f t="shared" si="40"/>
        <v>1910.786743664049</v>
      </c>
    </row>
    <row r="387" spans="1:9">
      <c r="A387" s="309"/>
      <c r="B387" s="49" t="s">
        <v>18</v>
      </c>
      <c r="C387" s="307">
        <f>Gasto_o_ing_per_capita!O108</f>
        <v>2400.3989054812755</v>
      </c>
      <c r="D387" s="308">
        <v>0</v>
      </c>
      <c r="E387" s="307">
        <f>Gasto_o_ing_per_capita!O123</f>
        <v>-6.9473511946453455</v>
      </c>
      <c r="F387" s="307">
        <f t="shared" si="39"/>
        <v>2393.4515542866302</v>
      </c>
      <c r="G387" s="307">
        <f>Gasto_o_ing_per_capita!O$191</f>
        <v>214.14171861453619</v>
      </c>
      <c r="H387" s="307">
        <f t="shared" si="40"/>
        <v>2607.5932729011665</v>
      </c>
    </row>
    <row r="388" spans="1:9">
      <c r="A388" s="309"/>
      <c r="B388" s="49" t="s">
        <v>19</v>
      </c>
      <c r="C388" s="307">
        <f>Gasto_o_ing_per_capita!P108</f>
        <v>2412.9489380460509</v>
      </c>
      <c r="D388" s="308">
        <v>0</v>
      </c>
      <c r="E388" s="307">
        <f>Gasto_o_ing_per_capita!P123</f>
        <v>-81.668495526192117</v>
      </c>
      <c r="F388" s="307">
        <f t="shared" si="39"/>
        <v>2331.2804425198588</v>
      </c>
      <c r="G388" s="307">
        <f>Gasto_o_ing_per_capita!P$191</f>
        <v>53.385206378738765</v>
      </c>
      <c r="H388" s="307">
        <f t="shared" si="40"/>
        <v>2384.6656488985977</v>
      </c>
    </row>
    <row r="389" spans="1:9">
      <c r="A389" s="309"/>
      <c r="B389" s="49" t="s">
        <v>20</v>
      </c>
      <c r="C389" s="307">
        <f>Gasto_o_ing_per_capita!Q108</f>
        <v>2029.9651022458663</v>
      </c>
      <c r="D389" s="308">
        <v>0</v>
      </c>
      <c r="E389" s="307">
        <f>Gasto_o_ing_per_capita!Q123</f>
        <v>-155.08354755467181</v>
      </c>
      <c r="F389" s="307">
        <f t="shared" si="39"/>
        <v>1874.8815546911944</v>
      </c>
      <c r="G389" s="307">
        <f>Gasto_o_ing_per_capita!Q$191</f>
        <v>-30.854465245423686</v>
      </c>
      <c r="H389" s="307">
        <f t="shared" si="40"/>
        <v>1844.0270894457708</v>
      </c>
    </row>
    <row r="390" spans="1:9">
      <c r="A390" s="309"/>
      <c r="B390" s="49" t="s">
        <v>60</v>
      </c>
      <c r="C390" s="307">
        <f>Gasto_o_ing_per_capita!R108</f>
        <v>1892.5816315943894</v>
      </c>
      <c r="D390" s="308">
        <v>0</v>
      </c>
      <c r="E390" s="307">
        <f>Gasto_o_ing_per_capita!R123</f>
        <v>-12.5397280216515</v>
      </c>
      <c r="F390" s="307">
        <f t="shared" si="39"/>
        <v>1880.041903572738</v>
      </c>
      <c r="G390" s="307">
        <f>Gasto_o_ing_per_capita!R$191</f>
        <v>93.035922551476858</v>
      </c>
      <c r="H390" s="307">
        <f t="shared" si="40"/>
        <v>1973.0778261242149</v>
      </c>
    </row>
    <row r="391" spans="1:9">
      <c r="B391" s="49" t="s">
        <v>61</v>
      </c>
      <c r="C391" s="307">
        <f>+Gasto_o_ing_per_capita!S146</f>
        <v>4992.3310213152217</v>
      </c>
      <c r="D391" s="307">
        <v>-893.39569132328143</v>
      </c>
      <c r="E391" s="307">
        <f>+Gasto_o_ing_per_capita!S163</f>
        <v>-833.24128888373889</v>
      </c>
      <c r="F391" s="307">
        <f t="shared" si="39"/>
        <v>3265.6940411082014</v>
      </c>
      <c r="G391" s="307">
        <f>Gasto_o_ing_per_capita!S$191</f>
        <v>-541.79895288119235</v>
      </c>
      <c r="H391" s="307">
        <f t="shared" si="40"/>
        <v>2723.8950882270092</v>
      </c>
    </row>
    <row r="392" spans="1:9">
      <c r="B392" s="49" t="s">
        <v>62</v>
      </c>
      <c r="C392" s="307">
        <f>+Gasto_o_ing_per_capita!T146</f>
        <v>5705.2774335950944</v>
      </c>
      <c r="D392" s="307">
        <v>-507.55070860213755</v>
      </c>
      <c r="E392" s="307">
        <f>+Gasto_o_ing_per_capita!T163</f>
        <v>-1028.0117164573624</v>
      </c>
      <c r="F392" s="307">
        <f t="shared" si="39"/>
        <v>4169.7150085355952</v>
      </c>
      <c r="G392" s="307">
        <f>Gasto_o_ing_per_capita!T$191</f>
        <v>-376.57812364982806</v>
      </c>
      <c r="H392" s="307">
        <f t="shared" si="40"/>
        <v>3793.1368848857674</v>
      </c>
    </row>
    <row r="393" spans="1:9">
      <c r="B393" s="49" t="s">
        <v>63</v>
      </c>
      <c r="C393" s="307">
        <f>+Gasto_o_ing_per_capita!U108</f>
        <v>2697.8669605303153</v>
      </c>
      <c r="D393" s="308">
        <v>0</v>
      </c>
      <c r="E393" s="307">
        <f>+Gasto_o_ing_per_capita!U123</f>
        <v>-216.59706945097369</v>
      </c>
      <c r="F393" s="307">
        <f t="shared" si="39"/>
        <v>2481.2698910793415</v>
      </c>
      <c r="G393" s="307">
        <f>Gasto_o_ing_per_capita!U$191</f>
        <v>59.724112666060968</v>
      </c>
      <c r="H393" s="307">
        <f t="shared" si="40"/>
        <v>2540.9940037454026</v>
      </c>
    </row>
    <row r="394" spans="1:9">
      <c r="B394" s="49" t="s">
        <v>64</v>
      </c>
      <c r="C394" s="307">
        <f>+Gasto_o_ing_per_capita!V108</f>
        <v>433.65454108872297</v>
      </c>
      <c r="D394" s="308">
        <v>0</v>
      </c>
      <c r="E394" s="307">
        <f>+Gasto_o_ing_per_capita!V126</f>
        <v>3688.0794324737712</v>
      </c>
      <c r="F394" s="307">
        <f t="shared" si="39"/>
        <v>4121.7339735624946</v>
      </c>
      <c r="G394" s="307">
        <f>Gasto_o_ing_per_capita!V$191</f>
        <v>0</v>
      </c>
      <c r="H394" s="307">
        <f t="shared" si="40"/>
        <v>4121.7339735624946</v>
      </c>
    </row>
    <row r="395" spans="1:9">
      <c r="B395" s="85" t="s">
        <v>583</v>
      </c>
      <c r="C395" s="444">
        <f t="shared" ref="C395:E397" si="41">C403</f>
        <v>2347.190383689619</v>
      </c>
      <c r="D395" s="444">
        <f t="shared" si="41"/>
        <v>-35.90652056518514</v>
      </c>
      <c r="E395" s="444">
        <f t="shared" si="41"/>
        <v>-156.62126717284434</v>
      </c>
      <c r="F395" s="444">
        <f t="shared" si="39"/>
        <v>2154.6625959515895</v>
      </c>
      <c r="G395" s="444">
        <f>F403</f>
        <v>52.333142975266789</v>
      </c>
      <c r="H395" s="444">
        <f t="shared" si="40"/>
        <v>2206.9957389268561</v>
      </c>
    </row>
    <row r="396" spans="1:9">
      <c r="B396" s="49" t="s">
        <v>584</v>
      </c>
      <c r="C396" s="443">
        <f t="shared" si="41"/>
        <v>2148.4952353217054</v>
      </c>
      <c r="D396" s="443">
        <f t="shared" si="41"/>
        <v>0</v>
      </c>
      <c r="E396" s="443">
        <f t="shared" si="41"/>
        <v>-118.05409298231413</v>
      </c>
      <c r="F396" s="443">
        <f t="shared" si="39"/>
        <v>2030.4411423393913</v>
      </c>
      <c r="G396" s="443">
        <f t="shared" ref="G396:G397" si="42">F404</f>
        <v>82.597695830085328</v>
      </c>
      <c r="H396" s="443">
        <f t="shared" si="40"/>
        <v>2113.0388381694765</v>
      </c>
    </row>
    <row r="397" spans="1:9" ht="13.8" thickBot="1">
      <c r="B397" s="54" t="s">
        <v>585</v>
      </c>
      <c r="C397" s="443">
        <f t="shared" si="41"/>
        <v>5543.551847580201</v>
      </c>
      <c r="D397" s="443">
        <f t="shared" si="41"/>
        <v>-595.0762292677606</v>
      </c>
      <c r="E397" s="443">
        <f t="shared" si="41"/>
        <v>-983.82976814376218</v>
      </c>
      <c r="F397" s="443">
        <f t="shared" si="39"/>
        <v>3964.645850168678</v>
      </c>
      <c r="G397" s="443">
        <f t="shared" si="42"/>
        <v>-414.05700701198998</v>
      </c>
      <c r="H397" s="443">
        <f t="shared" si="40"/>
        <v>3550.5888431566882</v>
      </c>
      <c r="I397" s="439">
        <f>(H397-H396)/H396</f>
        <v>0.68032351276257652</v>
      </c>
    </row>
    <row r="398" spans="1:9">
      <c r="B398" s="459" t="s">
        <v>1034</v>
      </c>
      <c r="C398" s="459"/>
      <c r="D398" s="459"/>
      <c r="E398" s="459"/>
      <c r="F398" s="459"/>
      <c r="G398" s="459"/>
      <c r="H398" s="459"/>
      <c r="I398" s="90"/>
    </row>
    <row r="399" spans="1:9">
      <c r="B399" s="310"/>
      <c r="C399" s="310"/>
      <c r="D399" s="310"/>
      <c r="E399" s="310"/>
      <c r="F399" s="310"/>
      <c r="G399" s="310"/>
      <c r="H399" s="310"/>
      <c r="I399" s="90"/>
    </row>
    <row r="400" spans="1:9">
      <c r="B400" s="310"/>
      <c r="C400" s="310"/>
      <c r="D400" s="310"/>
      <c r="E400" s="310"/>
      <c r="F400" s="310"/>
      <c r="G400" s="310"/>
      <c r="H400" s="310"/>
      <c r="I400" s="90"/>
    </row>
    <row r="401" spans="2:9" ht="14.4">
      <c r="B401" s="313" t="s">
        <v>1105</v>
      </c>
      <c r="C401" s="310"/>
      <c r="D401" s="310"/>
      <c r="E401" s="310"/>
      <c r="F401" s="310"/>
      <c r="G401" s="310"/>
      <c r="H401" s="310"/>
      <c r="I401" s="90"/>
    </row>
    <row r="402" spans="2:9" ht="25.55" customHeight="1" thickBot="1">
      <c r="B402" s="345"/>
      <c r="C402" s="346" t="s">
        <v>596</v>
      </c>
      <c r="D402" s="347" t="s">
        <v>579</v>
      </c>
      <c r="E402" s="347" t="s">
        <v>581</v>
      </c>
      <c r="F402" s="347" t="s">
        <v>1037</v>
      </c>
      <c r="G402" s="310"/>
      <c r="H402" s="310"/>
      <c r="I402" s="90"/>
    </row>
    <row r="403" spans="2:9">
      <c r="B403" s="310" t="s">
        <v>594</v>
      </c>
      <c r="C403" s="307">
        <f>(Gasto_o_ing_total!V108+Gasto_o_ing_total!V146)*1000/Gasto_o_ing_total!V479</f>
        <v>2347.190383689619</v>
      </c>
      <c r="D403" s="307">
        <f>+SUM(Gasto_o_ing_total!R158:S158)*1000/Gasto_o_ing_total!V479</f>
        <v>-35.90652056518514</v>
      </c>
      <c r="E403" s="307">
        <f>(+SUM(Gasto_o_ing_total!D123:U123)+SUM(Gasto_o_ing_total!R163:S163)+Gasto_o_ing_total!U126)*1000/Gasto_o_ing_total!V479</f>
        <v>-156.62126717284434</v>
      </c>
      <c r="F403" s="307">
        <f>(SUM(Gasto_o_ing_total!D191:U191)*1000/Gasto_o_ing_total!V479)</f>
        <v>52.333142975266789</v>
      </c>
      <c r="G403" s="310"/>
      <c r="H403" s="310"/>
      <c r="I403" s="90"/>
    </row>
    <row r="404" spans="2:9">
      <c r="B404" s="310" t="s">
        <v>1106</v>
      </c>
      <c r="C404" s="307">
        <f>(+SUM(Gasto_o_ing_total!D108:T108)*1000/(+SUM(Gasto_o_ing_total!D479:Q479)+Gasto_o_ing_total!T479))</f>
        <v>2148.4952353217054</v>
      </c>
      <c r="D404" s="307">
        <v>0</v>
      </c>
      <c r="E404" s="307">
        <f>(+SUM(Gasto_o_ing_total!D123:T123))*1000/(+SUM(Gasto_o_ing_total!D479:Q479)+Gasto_o_ing_total!T479)</f>
        <v>-118.05409298231413</v>
      </c>
      <c r="F404" s="307">
        <f>(+SUM(Gasto_o_ing_total!D191:Q191)+Gasto_o_ing_total!T191)*1000/(+SUM(Gasto_o_ing_total!D479:Q479)+Gasto_o_ing_total!T479)</f>
        <v>82.597695830085328</v>
      </c>
      <c r="G404" s="310"/>
      <c r="H404" s="310"/>
      <c r="I404" s="90"/>
    </row>
    <row r="405" spans="2:9" ht="13.8" thickBot="1">
      <c r="B405" s="87" t="s">
        <v>595</v>
      </c>
      <c r="C405" s="344">
        <f>+Gasto_o_ing_total!V146*1000/(+SUM(Gasto_o_ing_total!R479:S479))</f>
        <v>5543.551847580201</v>
      </c>
      <c r="D405" s="344">
        <f>+SUM(Gasto_o_ing_total!R158:S158)*1000/(SUM(Gasto_o_ing_total!R479:S479))</f>
        <v>-595.0762292677606</v>
      </c>
      <c r="E405" s="344">
        <f>+Gasto_o_ing_total!V163*1000/(+SUM(Gasto_o_ing_total!R479:S479))</f>
        <v>-983.82976814376218</v>
      </c>
      <c r="F405" s="344">
        <f>(+SUM(Gasto_o_ing_total!R191:S191)*1000/+SUM(Gasto_o_ing_total!R479:S479))</f>
        <v>-414.05700701198998</v>
      </c>
      <c r="G405" s="396"/>
      <c r="H405" s="310"/>
      <c r="I405" s="90"/>
    </row>
    <row r="406" spans="2:9">
      <c r="B406" s="310"/>
      <c r="D406" s="310"/>
      <c r="E406" s="310"/>
      <c r="F406" s="310"/>
      <c r="G406" s="310"/>
      <c r="H406" s="310"/>
      <c r="I406" s="90"/>
    </row>
    <row r="407" spans="2:9">
      <c r="B407" s="310"/>
      <c r="C407" s="310"/>
      <c r="D407" s="310"/>
      <c r="E407" s="310"/>
      <c r="F407" s="310"/>
      <c r="G407" s="310"/>
      <c r="H407" s="310"/>
      <c r="I407" s="90"/>
    </row>
    <row r="409" spans="2:9" ht="17.55">
      <c r="B409" s="259" t="str">
        <f>"Cuadro 14: Índices de financiación a competencias homogéneas per cápita y por habitante ajustado, "&amp;(Resumen!C2)</f>
        <v>Cuadro 14: Índices de financiación a competencias homogéneas per cápita y por habitante ajustado, 2013</v>
      </c>
    </row>
    <row r="410" spans="2:9" ht="34.450000000000003" customHeight="1" thickBot="1">
      <c r="B410" s="348"/>
      <c r="C410" s="349" t="s">
        <v>588</v>
      </c>
      <c r="D410" s="349" t="s">
        <v>589</v>
      </c>
      <c r="E410" s="349" t="s">
        <v>590</v>
      </c>
      <c r="F410" s="349" t="s">
        <v>591</v>
      </c>
    </row>
    <row r="411" spans="2:9" ht="13" customHeight="1">
      <c r="B411" s="8" t="s">
        <v>9</v>
      </c>
      <c r="C411" s="98">
        <f t="shared" ref="C411:F431" si="43">+C469</f>
        <v>93.484493705227663</v>
      </c>
      <c r="D411" s="98">
        <f t="shared" si="43"/>
        <v>94.183079802844702</v>
      </c>
      <c r="E411" s="98">
        <f t="shared" si="43"/>
        <v>96.602571284784332</v>
      </c>
      <c r="F411" s="98">
        <f t="shared" si="43"/>
        <v>97.324457991540257</v>
      </c>
    </row>
    <row r="412" spans="2:9" ht="13" customHeight="1">
      <c r="B412" s="8" t="s">
        <v>10</v>
      </c>
      <c r="C412" s="98">
        <f t="shared" si="43"/>
        <v>113.52991796063242</v>
      </c>
      <c r="D412" s="98">
        <f t="shared" si="43"/>
        <v>113.09025064079982</v>
      </c>
      <c r="E412" s="98">
        <f t="shared" si="43"/>
        <v>105.67430758860074</v>
      </c>
      <c r="F412" s="98">
        <f t="shared" si="43"/>
        <v>105.26506269150889</v>
      </c>
    </row>
    <row r="413" spans="2:9" ht="13" customHeight="1">
      <c r="B413" s="8" t="s">
        <v>11</v>
      </c>
      <c r="C413" s="98">
        <f t="shared" si="43"/>
        <v>112.41577487677905</v>
      </c>
      <c r="D413" s="98">
        <f t="shared" si="43"/>
        <v>116.39813226387827</v>
      </c>
      <c r="E413" s="98">
        <f t="shared" si="43"/>
        <v>106.0671075107015</v>
      </c>
      <c r="F413" s="98">
        <f t="shared" si="43"/>
        <v>109.82456174331688</v>
      </c>
    </row>
    <row r="414" spans="2:9" ht="13" customHeight="1">
      <c r="B414" s="8" t="s">
        <v>31</v>
      </c>
      <c r="C414" s="98">
        <f t="shared" si="43"/>
        <v>101.11472578141665</v>
      </c>
      <c r="D414" s="98">
        <f t="shared" si="43"/>
        <v>104.81481522336335</v>
      </c>
      <c r="E414" s="98">
        <f t="shared" si="43"/>
        <v>101.35273215111464</v>
      </c>
      <c r="F414" s="98">
        <f t="shared" si="43"/>
        <v>105.06153095610253</v>
      </c>
    </row>
    <row r="415" spans="2:9" ht="13" customHeight="1">
      <c r="B415" s="8" t="s">
        <v>12</v>
      </c>
      <c r="C415" s="98">
        <f t="shared" si="43"/>
        <v>104.8698286817731</v>
      </c>
      <c r="D415" s="98">
        <f t="shared" si="43"/>
        <v>102.13502604807616</v>
      </c>
      <c r="E415" s="98">
        <f t="shared" si="43"/>
        <v>102.55233039143701</v>
      </c>
      <c r="F415" s="98">
        <f t="shared" si="43"/>
        <v>99.877963638180304</v>
      </c>
    </row>
    <row r="416" spans="2:9" ht="13" customHeight="1">
      <c r="B416" s="8" t="s">
        <v>13</v>
      </c>
      <c r="C416" s="98">
        <f t="shared" si="43"/>
        <v>125.43010539092053</v>
      </c>
      <c r="D416" s="98">
        <f t="shared" si="43"/>
        <v>127.01718318979191</v>
      </c>
      <c r="E416" s="98">
        <f t="shared" si="43"/>
        <v>124.26311283470748</v>
      </c>
      <c r="F416" s="98">
        <f t="shared" si="43"/>
        <v>125.83542457744234</v>
      </c>
    </row>
    <row r="417" spans="2:6" ht="13" customHeight="1">
      <c r="B417" s="8" t="s">
        <v>14</v>
      </c>
      <c r="C417" s="98">
        <f t="shared" si="43"/>
        <v>119.21974495110683</v>
      </c>
      <c r="D417" s="98">
        <f t="shared" si="43"/>
        <v>117.64012918448363</v>
      </c>
      <c r="E417" s="98">
        <f t="shared" si="43"/>
        <v>109.33869198578306</v>
      </c>
      <c r="F417" s="98">
        <f t="shared" si="43"/>
        <v>107.88999637052628</v>
      </c>
    </row>
    <row r="418" spans="2:6" ht="13" customHeight="1">
      <c r="B418" s="8" t="s">
        <v>15</v>
      </c>
      <c r="C418" s="98">
        <f t="shared" si="43"/>
        <v>106.81801718317323</v>
      </c>
      <c r="D418" s="98">
        <f t="shared" si="43"/>
        <v>100.60512863790555</v>
      </c>
      <c r="E418" s="98">
        <f t="shared" si="43"/>
        <v>100.87342787446981</v>
      </c>
      <c r="F418" s="98">
        <f t="shared" si="43"/>
        <v>95.006296269803585</v>
      </c>
    </row>
    <row r="419" spans="2:6" ht="13" customHeight="1">
      <c r="B419" s="8" t="s">
        <v>16</v>
      </c>
      <c r="C419" s="98">
        <f t="shared" si="43"/>
        <v>97.192329460690004</v>
      </c>
      <c r="D419" s="98">
        <f t="shared" si="43"/>
        <v>102.07209781923913</v>
      </c>
      <c r="E419" s="98">
        <f t="shared" si="43"/>
        <v>98.840464632284139</v>
      </c>
      <c r="F419" s="98">
        <f t="shared" si="43"/>
        <v>103.80298147423299</v>
      </c>
    </row>
    <row r="420" spans="2:6" ht="13" customHeight="1">
      <c r="B420" s="8" t="s">
        <v>17</v>
      </c>
      <c r="C420" s="98">
        <f t="shared" si="43"/>
        <v>89.836908999227475</v>
      </c>
      <c r="D420" s="98">
        <f t="shared" si="43"/>
        <v>90.428377801108539</v>
      </c>
      <c r="E420" s="98">
        <f t="shared" si="43"/>
        <v>93.00441515964016</v>
      </c>
      <c r="F420" s="98">
        <f t="shared" si="43"/>
        <v>93.616738208339399</v>
      </c>
    </row>
    <row r="421" spans="2:6" ht="13" customHeight="1">
      <c r="B421" s="8" t="s">
        <v>18</v>
      </c>
      <c r="C421" s="98">
        <f t="shared" si="43"/>
        <v>117.87840112070391</v>
      </c>
      <c r="D421" s="98">
        <f t="shared" si="43"/>
        <v>123.40489089921894</v>
      </c>
      <c r="E421" s="98">
        <f t="shared" si="43"/>
        <v>110.41157142243466</v>
      </c>
      <c r="F421" s="98">
        <f t="shared" si="43"/>
        <v>115.587994033317</v>
      </c>
    </row>
    <row r="422" spans="2:6" ht="13" customHeight="1">
      <c r="B422" s="8" t="s">
        <v>19</v>
      </c>
      <c r="C422" s="98">
        <f t="shared" si="43"/>
        <v>114.81645017465776</v>
      </c>
      <c r="D422" s="98">
        <f t="shared" si="43"/>
        <v>112.85479499110534</v>
      </c>
      <c r="E422" s="98">
        <f t="shared" si="43"/>
        <v>106.57967737641424</v>
      </c>
      <c r="F422" s="98">
        <f t="shared" si="43"/>
        <v>104.75874861342996</v>
      </c>
    </row>
    <row r="423" spans="2:6" ht="13" customHeight="1">
      <c r="B423" s="8" t="s">
        <v>20</v>
      </c>
      <c r="C423" s="98">
        <f t="shared" si="43"/>
        <v>92.338631029266523</v>
      </c>
      <c r="D423" s="98">
        <f t="shared" si="43"/>
        <v>87.268963359104632</v>
      </c>
      <c r="E423" s="98">
        <f t="shared" si="43"/>
        <v>96.201482869871228</v>
      </c>
      <c r="F423" s="98">
        <f t="shared" si="43"/>
        <v>90.919733053021119</v>
      </c>
    </row>
    <row r="424" spans="2:6" ht="13" customHeight="1">
      <c r="B424" s="8" t="s">
        <v>60</v>
      </c>
      <c r="C424" s="98">
        <f t="shared" si="43"/>
        <v>92.592780178135612</v>
      </c>
      <c r="D424" s="98">
        <f t="shared" si="43"/>
        <v>93.376316160543922</v>
      </c>
      <c r="E424" s="98">
        <f t="shared" si="43"/>
        <v>94.632215420783609</v>
      </c>
      <c r="F424" s="98">
        <f t="shared" si="43"/>
        <v>95.433009453909648</v>
      </c>
    </row>
    <row r="425" spans="2:6" ht="13" customHeight="1">
      <c r="B425" s="8" t="s">
        <v>61</v>
      </c>
      <c r="C425" s="98">
        <f t="shared" si="43"/>
        <v>160.83667598192989</v>
      </c>
      <c r="D425" s="98">
        <f t="shared" si="43"/>
        <v>128.90889836112603</v>
      </c>
      <c r="E425" s="98">
        <f t="shared" si="43"/>
        <v>161.30599083443849</v>
      </c>
      <c r="F425" s="98">
        <f t="shared" si="43"/>
        <v>129.28504926235584</v>
      </c>
    </row>
    <row r="426" spans="2:6" ht="13" customHeight="1">
      <c r="B426" s="8" t="s">
        <v>62</v>
      </c>
      <c r="C426" s="98">
        <f t="shared" si="43"/>
        <v>205.36005312281151</v>
      </c>
      <c r="D426" s="98">
        <f t="shared" si="43"/>
        <v>179.51098751084746</v>
      </c>
      <c r="E426" s="98">
        <f t="shared" si="43"/>
        <v>202.25741338111618</v>
      </c>
      <c r="F426" s="98">
        <f t="shared" si="43"/>
        <v>176.79888301217437</v>
      </c>
    </row>
    <row r="427" spans="2:6" ht="13" customHeight="1">
      <c r="B427" s="8" t="s">
        <v>63</v>
      </c>
      <c r="C427" s="98">
        <f t="shared" si="43"/>
        <v>122.20348767266037</v>
      </c>
      <c r="D427" s="98">
        <f t="shared" si="43"/>
        <v>120.25306671346668</v>
      </c>
      <c r="E427" s="98">
        <f t="shared" si="43"/>
        <v>118.37690598423852</v>
      </c>
      <c r="F427" s="98">
        <f t="shared" si="43"/>
        <v>116.48755893765824</v>
      </c>
    </row>
    <row r="428" spans="2:6" ht="13" customHeight="1">
      <c r="B428" s="8" t="s">
        <v>64</v>
      </c>
      <c r="C428" s="98">
        <f t="shared" si="43"/>
        <v>202.9969688662633</v>
      </c>
      <c r="D428" s="98">
        <f t="shared" si="43"/>
        <v>195.06191268747088</v>
      </c>
      <c r="E428" s="98">
        <f t="shared" si="43"/>
        <v>220.23745068795171</v>
      </c>
      <c r="F428" s="98">
        <f t="shared" si="43"/>
        <v>211.62847217145844</v>
      </c>
    </row>
    <row r="429" spans="2:6" ht="13" customHeight="1">
      <c r="B429" s="86" t="s">
        <v>583</v>
      </c>
      <c r="C429" s="98">
        <f t="shared" si="43"/>
        <v>106.11795392744433</v>
      </c>
      <c r="D429" s="98">
        <f t="shared" si="43"/>
        <v>104.44652975895013</v>
      </c>
      <c r="E429" s="98">
        <f t="shared" si="43"/>
        <v>106.07609616366364</v>
      </c>
      <c r="F429" s="98">
        <f t="shared" si="43"/>
        <v>104.40533128113786</v>
      </c>
    </row>
    <row r="430" spans="2:6" ht="13" customHeight="1">
      <c r="B430" s="86" t="s">
        <v>592</v>
      </c>
      <c r="C430" s="99">
        <f t="shared" si="43"/>
        <v>100</v>
      </c>
      <c r="D430" s="99">
        <f t="shared" si="43"/>
        <v>100</v>
      </c>
      <c r="E430" s="99">
        <f t="shared" si="43"/>
        <v>100</v>
      </c>
      <c r="F430" s="99">
        <f t="shared" si="43"/>
        <v>100</v>
      </c>
    </row>
    <row r="431" spans="2:6" ht="13" customHeight="1" thickBot="1">
      <c r="B431" s="87" t="s">
        <v>593</v>
      </c>
      <c r="C431" s="98">
        <f t="shared" si="43"/>
        <v>195.26031892757916</v>
      </c>
      <c r="D431" s="98">
        <f t="shared" si="43"/>
        <v>168.03235127625754</v>
      </c>
      <c r="E431" s="98">
        <f t="shared" si="43"/>
        <v>193.09756604953981</v>
      </c>
      <c r="F431" s="98">
        <f t="shared" si="43"/>
        <v>166.17118228236058</v>
      </c>
    </row>
    <row r="432" spans="2:6" ht="13" customHeight="1">
      <c r="B432" s="449" t="s">
        <v>1035</v>
      </c>
      <c r="C432" s="449"/>
      <c r="D432" s="449"/>
      <c r="E432" s="449"/>
      <c r="F432" s="449"/>
    </row>
    <row r="433" spans="2:16">
      <c r="B433" s="450"/>
      <c r="C433" s="450"/>
      <c r="D433" s="450"/>
      <c r="E433" s="450"/>
      <c r="F433" s="450"/>
    </row>
    <row r="436" spans="2:16" ht="14.4">
      <c r="B436" s="313" t="s">
        <v>1039</v>
      </c>
      <c r="K436" s="55"/>
    </row>
    <row r="437" spans="2:16">
      <c r="C437" s="247" t="s">
        <v>613</v>
      </c>
      <c r="F437" s="247" t="s">
        <v>614</v>
      </c>
    </row>
    <row r="438" spans="2:16">
      <c r="C438" s="9" t="s">
        <v>615</v>
      </c>
      <c r="F438" s="9" t="s">
        <v>616</v>
      </c>
    </row>
    <row r="439" spans="2:16" ht="40.1" thickBot="1">
      <c r="B439" s="284"/>
      <c r="C439" s="321" t="s">
        <v>1040</v>
      </c>
      <c r="D439" s="321" t="s">
        <v>617</v>
      </c>
      <c r="E439" s="321" t="str">
        <f>"Poblacion ajustada "&amp;(Resumen!C2)</f>
        <v>Poblacion ajustada 2013</v>
      </c>
      <c r="F439" s="322" t="str">
        <f>"población media padrón "&amp;(Resumen!C2)</f>
        <v>población media padrón 2013</v>
      </c>
      <c r="H439" s="329"/>
      <c r="I439" s="330" t="s">
        <v>602</v>
      </c>
      <c r="J439" s="330" t="s">
        <v>603</v>
      </c>
      <c r="K439" s="330" t="s">
        <v>604</v>
      </c>
      <c r="L439" s="330" t="s">
        <v>605</v>
      </c>
      <c r="M439" s="330" t="s">
        <v>606</v>
      </c>
      <c r="N439" s="330" t="s">
        <v>607</v>
      </c>
      <c r="O439" s="3"/>
      <c r="P439" s="3"/>
    </row>
    <row r="440" spans="2:16">
      <c r="B440" s="325" t="s">
        <v>66</v>
      </c>
      <c r="C440" s="12">
        <f t="shared" ref="C440:C458" si="44">Q498*1000/E440</f>
        <v>1954.7705642640485</v>
      </c>
      <c r="D440" s="12">
        <f t="shared" ref="D440:D458" si="45">S498*1000/E440</f>
        <v>2049.4917425093699</v>
      </c>
      <c r="E440" s="326">
        <f>VLOOKUP(B440,Resumen!B$7:D$24,3,FALSE)</f>
        <v>8177366.4929735903</v>
      </c>
      <c r="F440" s="326">
        <f>VLOOKUP(B440,Resumen!B$7:D$24,2,FALSE)</f>
        <v>8421302.5</v>
      </c>
      <c r="G440" s="2"/>
      <c r="H440" s="9" t="s">
        <v>9</v>
      </c>
      <c r="I440" s="12">
        <f t="shared" ref="I440:I458" si="46">N498*1000/$F440</f>
        <v>1995.8989380421533</v>
      </c>
      <c r="J440" s="12">
        <f t="shared" ref="J440:J458" si="47">O498*1000/$F440</f>
        <v>0</v>
      </c>
      <c r="K440" s="12">
        <f t="shared" ref="K440:K458" si="48">P498*1000/$F440</f>
        <v>-97.751316143532662</v>
      </c>
      <c r="L440" s="12">
        <f t="shared" ref="L440:L458" si="49">Q498*1000/$F440</f>
        <v>1898.1476218986206</v>
      </c>
      <c r="M440" s="12">
        <f t="shared" ref="M440:M458" si="50">R498*1000/$F440</f>
        <v>91.977433319640483</v>
      </c>
      <c r="N440" s="12">
        <f t="shared" ref="N440:N458" si="51">S498*1000/$F440</f>
        <v>1990.125055218261</v>
      </c>
    </row>
    <row r="441" spans="2:16">
      <c r="B441" s="325" t="s">
        <v>67</v>
      </c>
      <c r="C441" s="12">
        <f t="shared" si="44"/>
        <v>2138.3387949811017</v>
      </c>
      <c r="D441" s="12">
        <f t="shared" si="45"/>
        <v>2216.707713694449</v>
      </c>
      <c r="E441" s="326">
        <f>VLOOKUP(B441,Resumen!B$7:D$24,3,FALSE)</f>
        <v>1440514.4512129</v>
      </c>
      <c r="F441" s="326">
        <f>VLOOKUP(B441,Resumen!B$7:D$24,2,FALSE)</f>
        <v>1336267.5</v>
      </c>
      <c r="G441" s="2"/>
      <c r="H441" s="9" t="s">
        <v>10</v>
      </c>
      <c r="I441" s="12">
        <f t="shared" si="46"/>
        <v>2369.5420642479849</v>
      </c>
      <c r="J441" s="12">
        <f t="shared" si="47"/>
        <v>0</v>
      </c>
      <c r="K441" s="12">
        <f t="shared" si="48"/>
        <v>-64.383901111146017</v>
      </c>
      <c r="L441" s="12">
        <f t="shared" si="49"/>
        <v>2305.1581631368385</v>
      </c>
      <c r="M441" s="12">
        <f t="shared" si="50"/>
        <v>84.482755086466739</v>
      </c>
      <c r="N441" s="12">
        <f t="shared" si="51"/>
        <v>2389.640918223306</v>
      </c>
    </row>
    <row r="442" spans="2:16">
      <c r="B442" s="325" t="s">
        <v>56</v>
      </c>
      <c r="C442" s="12">
        <f t="shared" si="44"/>
        <v>2146.2871727018583</v>
      </c>
      <c r="D442" s="12">
        <f t="shared" si="45"/>
        <v>2312.7232050673579</v>
      </c>
      <c r="E442" s="326">
        <f>VLOOKUP(B442,Resumen!B$7:D$24,3,FALSE)</f>
        <v>1132565.5129702899</v>
      </c>
      <c r="F442" s="326">
        <f>VLOOKUP(B442,Resumen!B$7:D$24,2,FALSE)</f>
        <v>1064960.5</v>
      </c>
      <c r="G442" s="2"/>
      <c r="H442" s="9" t="s">
        <v>11</v>
      </c>
      <c r="I442" s="12">
        <f t="shared" si="46"/>
        <v>2353.0467102838347</v>
      </c>
      <c r="J442" s="12">
        <f t="shared" si="47"/>
        <v>0</v>
      </c>
      <c r="K442" s="12">
        <f t="shared" si="48"/>
        <v>-70.510566706084077</v>
      </c>
      <c r="L442" s="12">
        <f t="shared" si="49"/>
        <v>2282.5361435777509</v>
      </c>
      <c r="M442" s="12">
        <f t="shared" si="50"/>
        <v>177.00159806187355</v>
      </c>
      <c r="N442" s="12">
        <f t="shared" si="51"/>
        <v>2459.5377416396245</v>
      </c>
    </row>
    <row r="443" spans="2:16">
      <c r="B443" s="325" t="s">
        <v>48</v>
      </c>
      <c r="C443" s="12">
        <f t="shared" si="44"/>
        <v>2050.890931595141</v>
      </c>
      <c r="D443" s="12">
        <f t="shared" si="45"/>
        <v>2212.4216727581593</v>
      </c>
      <c r="E443" s="326">
        <f>VLOOKUP(B443,Resumen!B$7:D$24,3,FALSE)</f>
        <v>1108737.4751726701</v>
      </c>
      <c r="F443" s="326">
        <f>VLOOKUP(B443,Resumen!B$7:D$24,2,FALSE)</f>
        <v>1107558</v>
      </c>
      <c r="G443" s="2"/>
      <c r="H443" s="9" t="s">
        <v>31</v>
      </c>
      <c r="I443" s="12">
        <f t="shared" si="46"/>
        <v>2104.2961722276796</v>
      </c>
      <c r="J443" s="12">
        <f t="shared" si="47"/>
        <v>0</v>
      </c>
      <c r="K443" s="12">
        <f t="shared" si="48"/>
        <v>-51.221178998140324</v>
      </c>
      <c r="L443" s="12">
        <f t="shared" si="49"/>
        <v>2053.0749932295389</v>
      </c>
      <c r="M443" s="12">
        <f t="shared" si="50"/>
        <v>161.70276059570233</v>
      </c>
      <c r="N443" s="12">
        <f t="shared" si="51"/>
        <v>2214.7777538252412</v>
      </c>
    </row>
    <row r="444" spans="2:16">
      <c r="B444" s="325" t="s">
        <v>49</v>
      </c>
      <c r="C444" s="12">
        <f t="shared" si="44"/>
        <v>2075.1650197269387</v>
      </c>
      <c r="D444" s="12">
        <f t="shared" si="45"/>
        <v>2103.2643382703941</v>
      </c>
      <c r="E444" s="326">
        <f>VLOOKUP(B444,Resumen!B$7:D$24,3,FALSE)</f>
        <v>2166856.7996681598</v>
      </c>
      <c r="F444" s="326">
        <f>VLOOKUP(B444,Resumen!B$7:D$24,2,FALSE)</f>
        <v>2111747</v>
      </c>
      <c r="G444" s="2"/>
      <c r="H444" s="9" t="s">
        <v>12</v>
      </c>
      <c r="I444" s="12">
        <f t="shared" si="46"/>
        <v>2254.5793979423047</v>
      </c>
      <c r="J444" s="12">
        <f t="shared" si="47"/>
        <v>0</v>
      </c>
      <c r="K444" s="12">
        <f t="shared" si="48"/>
        <v>-125.2592504867483</v>
      </c>
      <c r="L444" s="12">
        <f t="shared" si="49"/>
        <v>2129.3201474555563</v>
      </c>
      <c r="M444" s="12">
        <f t="shared" si="50"/>
        <v>28.832620314804764</v>
      </c>
      <c r="N444" s="12">
        <f t="shared" si="51"/>
        <v>2158.1527677703612</v>
      </c>
    </row>
    <row r="445" spans="2:16">
      <c r="B445" s="325" t="s">
        <v>50</v>
      </c>
      <c r="C445" s="12">
        <f t="shared" si="44"/>
        <v>2514.48664318698</v>
      </c>
      <c r="D445" s="12">
        <f t="shared" si="45"/>
        <v>2649.8854338243127</v>
      </c>
      <c r="E445" s="326">
        <f>VLOOKUP(B445,Resumen!B$7:D$24,3,FALSE)</f>
        <v>597853.86557625001</v>
      </c>
      <c r="F445" s="326">
        <f>VLOOKUP(B445,Resumen!B$7:D$24,2,FALSE)</f>
        <v>590272</v>
      </c>
      <c r="G445" s="2"/>
      <c r="H445" s="9" t="s">
        <v>13</v>
      </c>
      <c r="I445" s="12">
        <f t="shared" si="46"/>
        <v>2763.1974312064967</v>
      </c>
      <c r="J445" s="12">
        <f t="shared" si="47"/>
        <v>0</v>
      </c>
      <c r="K445" s="12">
        <f t="shared" si="48"/>
        <v>-216.41296646958781</v>
      </c>
      <c r="L445" s="12">
        <f t="shared" si="49"/>
        <v>2546.7844647369088</v>
      </c>
      <c r="M445" s="12">
        <f t="shared" si="50"/>
        <v>137.1379472122666</v>
      </c>
      <c r="N445" s="12">
        <f t="shared" si="51"/>
        <v>2683.9224119491751</v>
      </c>
    </row>
    <row r="446" spans="2:16">
      <c r="B446" s="325" t="s">
        <v>51</v>
      </c>
      <c r="C446" s="12">
        <f t="shared" si="44"/>
        <v>2212.4882783798803</v>
      </c>
      <c r="D446" s="12">
        <f t="shared" si="45"/>
        <v>2271.9844654051908</v>
      </c>
      <c r="E446" s="326">
        <f>VLOOKUP(B446,Resumen!B$7:D$24,3,FALSE)</f>
        <v>2743276.25737597</v>
      </c>
      <c r="F446" s="326">
        <f>VLOOKUP(B446,Resumen!B$7:D$24,2,FALSE)</f>
        <v>2507332.5</v>
      </c>
      <c r="G446" s="2"/>
      <c r="H446" s="9" t="s">
        <v>14</v>
      </c>
      <c r="I446" s="12">
        <f t="shared" si="46"/>
        <v>2426.9186332283671</v>
      </c>
      <c r="J446" s="12">
        <f t="shared" si="47"/>
        <v>0</v>
      </c>
      <c r="K446" s="12">
        <f t="shared" si="48"/>
        <v>-6.2318819490051451</v>
      </c>
      <c r="L446" s="12">
        <f t="shared" si="49"/>
        <v>2420.6867512793619</v>
      </c>
      <c r="M446" s="12">
        <f t="shared" si="50"/>
        <v>65.094867661522414</v>
      </c>
      <c r="N446" s="12">
        <f t="shared" si="51"/>
        <v>2485.7816189408845</v>
      </c>
    </row>
    <row r="447" spans="2:16">
      <c r="B447" s="325" t="s">
        <v>24</v>
      </c>
      <c r="C447" s="12">
        <f t="shared" si="44"/>
        <v>2041.1921225587942</v>
      </c>
      <c r="D447" s="12">
        <f t="shared" si="45"/>
        <v>2000.6750996577491</v>
      </c>
      <c r="E447" s="326">
        <f>VLOOKUP(B447,Resumen!B$7:D$24,3,FALSE)</f>
        <v>2220530.2471264098</v>
      </c>
      <c r="F447" s="326">
        <f>VLOOKUP(B447,Resumen!B$7:D$24,2,FALSE)</f>
        <v>2089804.5</v>
      </c>
      <c r="G447" s="2"/>
      <c r="H447" s="9" t="s">
        <v>15</v>
      </c>
      <c r="I447" s="12">
        <f t="shared" si="46"/>
        <v>2174.3077697484546</v>
      </c>
      <c r="J447" s="12">
        <f t="shared" si="47"/>
        <v>0</v>
      </c>
      <c r="K447" s="12">
        <f t="shared" si="48"/>
        <v>-5.4308014301451868</v>
      </c>
      <c r="L447" s="12">
        <f t="shared" si="49"/>
        <v>2168.8769683183095</v>
      </c>
      <c r="M447" s="12">
        <f t="shared" si="50"/>
        <v>-43.051527009001894</v>
      </c>
      <c r="N447" s="12">
        <f t="shared" si="51"/>
        <v>2125.8254413093073</v>
      </c>
    </row>
    <row r="448" spans="2:16">
      <c r="B448" s="325" t="s">
        <v>46</v>
      </c>
      <c r="C448" s="12">
        <f t="shared" si="44"/>
        <v>2000.0547423503515</v>
      </c>
      <c r="D448" s="12">
        <f t="shared" si="45"/>
        <v>2185.9187070714124</v>
      </c>
      <c r="E448" s="326">
        <f>VLOOKUP(B448,Resumen!B$7:D$24,3,FALSE)</f>
        <v>7435965.0079494203</v>
      </c>
      <c r="F448" s="326">
        <f>VLOOKUP(B448,Resumen!B$7:D$24,2,FALSE)</f>
        <v>7536276.5</v>
      </c>
      <c r="G448" s="2"/>
      <c r="H448" s="9" t="s">
        <v>16</v>
      </c>
      <c r="I448" s="12">
        <f t="shared" si="46"/>
        <v>2263.8639509823515</v>
      </c>
      <c r="J448" s="12">
        <f t="shared" si="47"/>
        <v>0</v>
      </c>
      <c r="K448" s="12">
        <f t="shared" si="48"/>
        <v>-290.43090641445298</v>
      </c>
      <c r="L448" s="12">
        <f t="shared" si="49"/>
        <v>1973.4330445678986</v>
      </c>
      <c r="M448" s="12">
        <f t="shared" si="50"/>
        <v>183.39002528696395</v>
      </c>
      <c r="N448" s="12">
        <f t="shared" si="51"/>
        <v>2156.8230698548628</v>
      </c>
    </row>
    <row r="449" spans="2:15">
      <c r="B449" s="325" t="s">
        <v>72</v>
      </c>
      <c r="C449" s="12">
        <f t="shared" si="44"/>
        <v>1881.9612219710443</v>
      </c>
      <c r="D449" s="12">
        <f t="shared" si="45"/>
        <v>1971.4133104684818</v>
      </c>
      <c r="E449" s="326">
        <f>VLOOKUP(B449,Resumen!B$7:D$24,3,FALSE)</f>
        <v>4903740.7270681104</v>
      </c>
      <c r="F449" s="326">
        <f>VLOOKUP(B449,Resumen!B$7:D$24,2,FALSE)</f>
        <v>5059329.5</v>
      </c>
      <c r="G449" s="2"/>
      <c r="H449" s="9" t="s">
        <v>17</v>
      </c>
      <c r="I449" s="12">
        <f t="shared" si="46"/>
        <v>1866.4719386005231</v>
      </c>
      <c r="J449" s="12">
        <f t="shared" si="47"/>
        <v>0</v>
      </c>
      <c r="K449" s="12">
        <f t="shared" si="48"/>
        <v>-42.386377274209785</v>
      </c>
      <c r="L449" s="12">
        <f t="shared" si="49"/>
        <v>1824.0855613263136</v>
      </c>
      <c r="M449" s="12">
        <f t="shared" si="50"/>
        <v>86.701182337735546</v>
      </c>
      <c r="N449" s="12">
        <f t="shared" si="51"/>
        <v>1910.7867436640493</v>
      </c>
    </row>
    <row r="450" spans="2:15">
      <c r="B450" s="325" t="s">
        <v>73</v>
      </c>
      <c r="C450" s="12">
        <f t="shared" si="44"/>
        <v>2234.1981885186915</v>
      </c>
      <c r="D450" s="12">
        <f t="shared" si="45"/>
        <v>2434.0915345770263</v>
      </c>
      <c r="E450" s="326">
        <f>VLOOKUP(B450,Resumen!B$7:D$24,3,FALSE)</f>
        <v>1180355.44840785</v>
      </c>
      <c r="F450" s="326">
        <f>VLOOKUP(B450,Resumen!B$7:D$24,2,FALSE)</f>
        <v>1101818</v>
      </c>
      <c r="G450" s="2"/>
      <c r="H450" s="9" t="s">
        <v>18</v>
      </c>
      <c r="I450" s="12">
        <f t="shared" si="46"/>
        <v>2400.3989054812755</v>
      </c>
      <c r="J450" s="12">
        <f t="shared" si="47"/>
        <v>0</v>
      </c>
      <c r="K450" s="12">
        <f t="shared" si="48"/>
        <v>-6.9473511946453455</v>
      </c>
      <c r="L450" s="12">
        <f t="shared" si="49"/>
        <v>2393.4515542866302</v>
      </c>
      <c r="M450" s="12">
        <f t="shared" si="50"/>
        <v>214.14171861453619</v>
      </c>
      <c r="N450" s="12">
        <f t="shared" si="51"/>
        <v>2607.5932729011665</v>
      </c>
    </row>
    <row r="451" spans="2:15">
      <c r="B451" s="325" t="s">
        <v>74</v>
      </c>
      <c r="C451" s="12">
        <f t="shared" si="44"/>
        <v>2156.6591169710255</v>
      </c>
      <c r="D451" s="12">
        <f t="shared" si="45"/>
        <v>2206.0455785687727</v>
      </c>
      <c r="E451" s="326">
        <f>VLOOKUP(B451,Resumen!B$7:D$24,3,FALSE)</f>
        <v>2980573.19813983</v>
      </c>
      <c r="F451" s="326">
        <f>VLOOKUP(B451,Resumen!B$7:D$24,2,FALSE)</f>
        <v>2757317.5</v>
      </c>
      <c r="G451" s="2"/>
      <c r="H451" s="9" t="s">
        <v>19</v>
      </c>
      <c r="I451" s="12">
        <f t="shared" si="46"/>
        <v>2412.9489380460509</v>
      </c>
      <c r="J451" s="12">
        <f t="shared" si="47"/>
        <v>0</v>
      </c>
      <c r="K451" s="12">
        <f t="shared" si="48"/>
        <v>-81.668495526192117</v>
      </c>
      <c r="L451" s="12">
        <f t="shared" si="49"/>
        <v>2331.2804425198588</v>
      </c>
      <c r="M451" s="12">
        <f t="shared" si="50"/>
        <v>53.385206378738765</v>
      </c>
      <c r="N451" s="12">
        <f t="shared" si="51"/>
        <v>2384.6656488985973</v>
      </c>
    </row>
    <row r="452" spans="2:15">
      <c r="B452" s="325" t="s">
        <v>37</v>
      </c>
      <c r="C452" s="12">
        <f t="shared" si="44"/>
        <v>1946.6544673867913</v>
      </c>
      <c r="D452" s="12">
        <f t="shared" si="45"/>
        <v>1914.6188529456822</v>
      </c>
      <c r="E452" s="326">
        <f>VLOOKUP(B452,Resumen!B$7:D$24,3,FALSE)</f>
        <v>6236263.20594797</v>
      </c>
      <c r="F452" s="326">
        <f>VLOOKUP(B452,Resumen!B$7:D$24,2,FALSE)</f>
        <v>6474995.5</v>
      </c>
      <c r="G452" s="2"/>
      <c r="H452" s="9" t="s">
        <v>20</v>
      </c>
      <c r="I452" s="12">
        <f t="shared" si="46"/>
        <v>2029.9651022458663</v>
      </c>
      <c r="J452" s="12">
        <f t="shared" si="47"/>
        <v>0</v>
      </c>
      <c r="K452" s="12">
        <f t="shared" si="48"/>
        <v>-155.08354755467181</v>
      </c>
      <c r="L452" s="12">
        <f t="shared" si="49"/>
        <v>1874.8815546911947</v>
      </c>
      <c r="M452" s="12">
        <f t="shared" si="50"/>
        <v>-30.854465245423686</v>
      </c>
      <c r="N452" s="12">
        <f t="shared" si="51"/>
        <v>1844.027089445771</v>
      </c>
    </row>
    <row r="453" spans="2:15">
      <c r="B453" s="325" t="s">
        <v>38</v>
      </c>
      <c r="C453" s="12">
        <f t="shared" si="44"/>
        <v>1914.9000557170332</v>
      </c>
      <c r="D453" s="12">
        <f t="shared" si="45"/>
        <v>2009.6609719173334</v>
      </c>
      <c r="E453" s="326">
        <f>VLOOKUP(B453,Resumen!B$7:D$24,3,FALSE)</f>
        <v>1442684.4608760001</v>
      </c>
      <c r="F453" s="326">
        <f>VLOOKUP(B453,Resumen!B$7:D$24,2,FALSE)</f>
        <v>1469433.5</v>
      </c>
      <c r="G453" s="2"/>
      <c r="H453" s="9" t="s">
        <v>60</v>
      </c>
      <c r="I453" s="12">
        <f t="shared" si="46"/>
        <v>1892.5816315943894</v>
      </c>
      <c r="J453" s="12">
        <f t="shared" si="47"/>
        <v>0</v>
      </c>
      <c r="K453" s="12">
        <f t="shared" si="48"/>
        <v>-12.5397280216515</v>
      </c>
      <c r="L453" s="12">
        <f t="shared" si="49"/>
        <v>1880.041903572738</v>
      </c>
      <c r="M453" s="12">
        <f t="shared" si="50"/>
        <v>93.035922551476858</v>
      </c>
      <c r="N453" s="12">
        <f t="shared" si="51"/>
        <v>1973.0778261242149</v>
      </c>
    </row>
    <row r="454" spans="2:15">
      <c r="B454" s="325" t="s">
        <v>33</v>
      </c>
      <c r="C454" s="12">
        <f t="shared" si="44"/>
        <v>3264.0560031580817</v>
      </c>
      <c r="D454" s="12">
        <f t="shared" si="45"/>
        <v>2722.5288109608309</v>
      </c>
      <c r="E454" s="326">
        <f>VLOOKUP(B454,Resumen!B$7:D$24,3,FALSE)</f>
        <v>642956</v>
      </c>
      <c r="F454" s="326">
        <f>VLOOKUP(B454,Resumen!B$7:D$24,2,FALSE)</f>
        <v>642633.5</v>
      </c>
      <c r="G454" s="2"/>
      <c r="H454" s="9" t="s">
        <v>61</v>
      </c>
      <c r="I454" s="12">
        <f t="shared" si="46"/>
        <v>4992.3310213152217</v>
      </c>
      <c r="J454" s="12">
        <f t="shared" si="47"/>
        <v>-893.39569132328143</v>
      </c>
      <c r="K454" s="12">
        <f t="shared" si="48"/>
        <v>-833.24128888373889</v>
      </c>
      <c r="L454" s="12">
        <f t="shared" si="49"/>
        <v>3265.6940411082019</v>
      </c>
      <c r="M454" s="12">
        <f t="shared" si="50"/>
        <v>-541.79895288119235</v>
      </c>
      <c r="N454" s="12">
        <f t="shared" si="51"/>
        <v>2723.8950882270096</v>
      </c>
    </row>
    <row r="455" spans="2:15">
      <c r="B455" s="325" t="s">
        <v>34</v>
      </c>
      <c r="C455" s="12">
        <f t="shared" si="44"/>
        <v>4092.7154714759113</v>
      </c>
      <c r="D455" s="12">
        <f t="shared" si="45"/>
        <v>3723.0913821254258</v>
      </c>
      <c r="E455" s="326">
        <f>VLOOKUP(B455,Resumen!B$7:D$24,3,FALSE)</f>
        <v>2231542</v>
      </c>
      <c r="F455" s="326">
        <f>VLOOKUP(B455,Resumen!B$7:D$24,2,FALSE)</f>
        <v>2190333.5</v>
      </c>
      <c r="G455" s="2"/>
      <c r="H455" s="9" t="s">
        <v>62</v>
      </c>
      <c r="I455" s="12">
        <f t="shared" si="46"/>
        <v>5705.2774335950944</v>
      </c>
      <c r="J455" s="12">
        <f t="shared" si="47"/>
        <v>-507.55070860213755</v>
      </c>
      <c r="K455" s="12">
        <f t="shared" si="48"/>
        <v>-1028.0117164573624</v>
      </c>
      <c r="L455" s="12">
        <f t="shared" si="49"/>
        <v>4169.7150085355943</v>
      </c>
      <c r="M455" s="12">
        <f t="shared" si="50"/>
        <v>-376.57812364982806</v>
      </c>
      <c r="N455" s="12">
        <f t="shared" si="51"/>
        <v>3793.136884885766</v>
      </c>
    </row>
    <row r="456" spans="2:15">
      <c r="B456" s="325" t="s">
        <v>88</v>
      </c>
      <c r="C456" s="12">
        <f t="shared" si="44"/>
        <v>2395.3781791633269</v>
      </c>
      <c r="D456" s="12">
        <f t="shared" si="45"/>
        <v>2453.0348801794116</v>
      </c>
      <c r="E456" s="326">
        <f>VLOOKUP(B456,Resumen!B$7:D$24,3,FALSE)</f>
        <v>332007.27359975001</v>
      </c>
      <c r="F456" s="326">
        <f>VLOOKUP(B456,Resumen!B$7:D$24,2,FALSE)</f>
        <v>320514.5</v>
      </c>
      <c r="G456" s="2"/>
      <c r="H456" s="9" t="s">
        <v>63</v>
      </c>
      <c r="I456" s="12">
        <f t="shared" si="46"/>
        <v>2697.8669605303153</v>
      </c>
      <c r="J456" s="12">
        <f t="shared" si="47"/>
        <v>0</v>
      </c>
      <c r="K456" s="12">
        <f t="shared" si="48"/>
        <v>-216.59706945097369</v>
      </c>
      <c r="L456" s="12">
        <f t="shared" si="49"/>
        <v>2481.269891079342</v>
      </c>
      <c r="M456" s="12">
        <f t="shared" si="50"/>
        <v>59.724112666060968</v>
      </c>
      <c r="N456" s="12">
        <f t="shared" si="51"/>
        <v>2540.9940037454026</v>
      </c>
    </row>
    <row r="457" spans="2:15">
      <c r="B457" s="325" t="s">
        <v>89</v>
      </c>
      <c r="C457" s="12">
        <f t="shared" si="44"/>
        <v>4456.5447899332703</v>
      </c>
      <c r="D457" s="12">
        <f t="shared" si="45"/>
        <v>4456.5447899332703</v>
      </c>
      <c r="E457" s="326">
        <f>VLOOKUP(B457,Resumen!B$7:D$24,3,FALSE)</f>
        <v>155994.01650540001</v>
      </c>
      <c r="F457" s="326">
        <f>VLOOKUP(B457,Resumen!B$7:D$24,2,FALSE)</f>
        <v>168665.5</v>
      </c>
      <c r="G457" s="2"/>
      <c r="H457" s="215" t="s">
        <v>64</v>
      </c>
      <c r="I457" s="61">
        <f t="shared" si="46"/>
        <v>433.65454108872297</v>
      </c>
      <c r="J457" s="61">
        <f t="shared" si="47"/>
        <v>0</v>
      </c>
      <c r="K457" s="61">
        <f t="shared" si="48"/>
        <v>3688.0794324737712</v>
      </c>
      <c r="L457" s="61">
        <f t="shared" si="49"/>
        <v>4121.7339735624946</v>
      </c>
      <c r="M457" s="61">
        <f t="shared" si="50"/>
        <v>0</v>
      </c>
      <c r="N457" s="61">
        <f t="shared" si="51"/>
        <v>4121.7339735624946</v>
      </c>
    </row>
    <row r="458" spans="2:15" ht="13.8" thickBot="1">
      <c r="B458" s="281" t="s">
        <v>495</v>
      </c>
      <c r="C458" s="291">
        <f t="shared" si="44"/>
        <v>2146.469059726076</v>
      </c>
      <c r="D458" s="291">
        <f t="shared" si="45"/>
        <v>2198.6031954398031</v>
      </c>
      <c r="E458" s="291">
        <f>SUM(E440:E457)</f>
        <v>47129782.440570578</v>
      </c>
      <c r="F458" s="291">
        <f>SUM(F440:F457)</f>
        <v>46950562</v>
      </c>
      <c r="H458" s="316" t="s">
        <v>84</v>
      </c>
      <c r="I458" s="291">
        <f t="shared" si="46"/>
        <v>2347.1903836896195</v>
      </c>
      <c r="J458" s="291">
        <f t="shared" si="47"/>
        <v>-35.90652056518514</v>
      </c>
      <c r="K458" s="291">
        <f t="shared" si="48"/>
        <v>-156.62126717284437</v>
      </c>
      <c r="L458" s="291">
        <f t="shared" si="49"/>
        <v>2154.6625959515895</v>
      </c>
      <c r="M458" s="291">
        <f t="shared" si="50"/>
        <v>52.333142975266789</v>
      </c>
      <c r="N458" s="291">
        <f t="shared" si="51"/>
        <v>2206.995738926857</v>
      </c>
    </row>
    <row r="459" spans="2:15">
      <c r="C459" s="12"/>
      <c r="D459" s="12"/>
      <c r="H459" s="9" t="s">
        <v>608</v>
      </c>
      <c r="I459" s="12"/>
      <c r="J459" s="12"/>
      <c r="K459" s="12"/>
      <c r="L459" s="12">
        <f>Q517*1000/E458</f>
        <v>2131.7184225383376</v>
      </c>
      <c r="M459" s="12"/>
      <c r="N459" s="12"/>
    </row>
    <row r="460" spans="2:15">
      <c r="B460" s="88" t="s">
        <v>1044</v>
      </c>
      <c r="C460" s="292">
        <f>Q518*1000/E460</f>
        <v>2023.5181509831514</v>
      </c>
      <c r="D460" s="292">
        <f>S518*1000/E460</f>
        <v>2105.8342217405602</v>
      </c>
      <c r="E460" s="292">
        <f>E458-E461-E457</f>
        <v>44099290.42406518</v>
      </c>
      <c r="F460" s="292">
        <f>F458-F461-F457</f>
        <v>43948929.5</v>
      </c>
      <c r="H460" s="88" t="s">
        <v>618</v>
      </c>
      <c r="I460" s="292">
        <f t="shared" ref="I460:N461" si="52">N518*1000/$F460</f>
        <v>2148.4952353217054</v>
      </c>
      <c r="J460" s="292">
        <f t="shared" si="52"/>
        <v>0</v>
      </c>
      <c r="K460" s="292">
        <f t="shared" si="52"/>
        <v>-118.05409298231415</v>
      </c>
      <c r="L460" s="292">
        <f t="shared" si="52"/>
        <v>2030.441142339391</v>
      </c>
      <c r="M460" s="292">
        <f t="shared" si="52"/>
        <v>82.597695830085328</v>
      </c>
      <c r="N460" s="292">
        <f t="shared" si="52"/>
        <v>2113.038838169477</v>
      </c>
      <c r="O460" s="9" t="s">
        <v>608</v>
      </c>
    </row>
    <row r="461" spans="2:15" ht="13.8" thickBot="1">
      <c r="B461" s="281" t="s">
        <v>1045</v>
      </c>
      <c r="C461" s="291">
        <f>Q519*1000/E461</f>
        <v>3907.3642981191169</v>
      </c>
      <c r="D461" s="291">
        <f>S519*1000/E461</f>
        <v>3499.2896231728355</v>
      </c>
      <c r="E461" s="291">
        <f>E454+E455</f>
        <v>2874498</v>
      </c>
      <c r="F461" s="291">
        <f>F454+F455</f>
        <v>2832967</v>
      </c>
      <c r="H461" s="281" t="s">
        <v>619</v>
      </c>
      <c r="I461" s="291">
        <f t="shared" si="52"/>
        <v>5543.5518475802</v>
      </c>
      <c r="J461" s="291">
        <f t="shared" si="52"/>
        <v>-595.0762292677606</v>
      </c>
      <c r="K461" s="291">
        <f t="shared" si="52"/>
        <v>-983.82976814376229</v>
      </c>
      <c r="L461" s="291">
        <f t="shared" si="52"/>
        <v>3964.6458501686766</v>
      </c>
      <c r="M461" s="291">
        <f t="shared" si="52"/>
        <v>-414.05700701198998</v>
      </c>
      <c r="N461" s="291">
        <f t="shared" si="52"/>
        <v>3550.5888431566868</v>
      </c>
    </row>
    <row r="462" spans="2:15">
      <c r="I462" s="12">
        <f t="shared" ref="I462:N462" si="53">I461*100/I460</f>
        <v>258.02020672157249</v>
      </c>
      <c r="J462" s="12" t="e">
        <f t="shared" si="53"/>
        <v>#DIV/0!</v>
      </c>
      <c r="K462" s="12">
        <f t="shared" si="53"/>
        <v>833.3720104826449</v>
      </c>
      <c r="L462" s="12">
        <f t="shared" si="53"/>
        <v>195.26031892757916</v>
      </c>
      <c r="M462" s="12">
        <f t="shared" si="53"/>
        <v>-501.29365335294762</v>
      </c>
      <c r="N462" s="12">
        <f t="shared" si="53"/>
        <v>168.03235127625754</v>
      </c>
    </row>
    <row r="466" spans="1:10">
      <c r="B466" s="100"/>
    </row>
    <row r="467" spans="1:10" ht="14.4">
      <c r="B467" s="296" t="s">
        <v>1046</v>
      </c>
      <c r="I467" s="9" t="s">
        <v>620</v>
      </c>
    </row>
    <row r="468" spans="1:10" ht="26.95" thickBot="1">
      <c r="A468" s="28"/>
      <c r="B468" s="324"/>
      <c r="C468" s="314" t="s">
        <v>1041</v>
      </c>
      <c r="D468" s="314" t="s">
        <v>1042</v>
      </c>
      <c r="E468" s="314" t="s">
        <v>590</v>
      </c>
      <c r="F468" s="314" t="s">
        <v>1043</v>
      </c>
      <c r="G468" s="28"/>
      <c r="H468" s="323"/>
      <c r="I468" s="323" t="s">
        <v>590</v>
      </c>
      <c r="J468" s="28"/>
    </row>
    <row r="469" spans="1:10">
      <c r="B469" s="9" t="s">
        <v>9</v>
      </c>
      <c r="C469" s="97">
        <f>L440*100/L$460</f>
        <v>93.484493705227663</v>
      </c>
      <c r="D469" s="97">
        <f t="shared" ref="D469:D477" si="54">N440*100/N$460</f>
        <v>94.183079802844702</v>
      </c>
      <c r="E469" s="97">
        <f t="shared" ref="E469:E477" si="55">C440*100/C$460</f>
        <v>96.602571284784332</v>
      </c>
      <c r="F469" s="97">
        <f t="shared" ref="F469:F477" si="56">D440*100/D$460</f>
        <v>97.324457991540257</v>
      </c>
      <c r="G469" s="97"/>
      <c r="H469" s="9" t="s">
        <v>9</v>
      </c>
      <c r="I469" s="97">
        <f t="shared" ref="I469:I489" si="57">E469*100/E$487</f>
        <v>91.069123750309686</v>
      </c>
    </row>
    <row r="470" spans="1:10">
      <c r="B470" s="9" t="s">
        <v>10</v>
      </c>
      <c r="C470" s="97">
        <f t="shared" ref="C470:C477" si="58">L441*100/L$460</f>
        <v>113.52991796063242</v>
      </c>
      <c r="D470" s="97">
        <f t="shared" si="54"/>
        <v>113.09025064079982</v>
      </c>
      <c r="E470" s="97">
        <f t="shared" si="55"/>
        <v>105.67430758860074</v>
      </c>
      <c r="F470" s="97">
        <f t="shared" si="56"/>
        <v>105.26506269150889</v>
      </c>
      <c r="G470" s="97"/>
      <c r="H470" s="9" t="s">
        <v>10</v>
      </c>
      <c r="I470" s="97">
        <f t="shared" si="57"/>
        <v>99.621226091839773</v>
      </c>
    </row>
    <row r="471" spans="1:10">
      <c r="B471" s="9" t="s">
        <v>11</v>
      </c>
      <c r="C471" s="97">
        <f t="shared" si="58"/>
        <v>112.41577487677905</v>
      </c>
      <c r="D471" s="97">
        <f t="shared" si="54"/>
        <v>116.39813226387827</v>
      </c>
      <c r="E471" s="97">
        <f t="shared" si="55"/>
        <v>106.0671075107015</v>
      </c>
      <c r="F471" s="97">
        <f t="shared" si="56"/>
        <v>109.82456174331688</v>
      </c>
      <c r="G471" s="97"/>
      <c r="H471" s="9" t="s">
        <v>11</v>
      </c>
      <c r="I471" s="97">
        <f t="shared" si="57"/>
        <v>99.991526221941399</v>
      </c>
    </row>
    <row r="472" spans="1:10">
      <c r="B472" s="9" t="s">
        <v>31</v>
      </c>
      <c r="C472" s="97">
        <f t="shared" si="58"/>
        <v>101.11472578141665</v>
      </c>
      <c r="D472" s="97">
        <f t="shared" si="54"/>
        <v>104.81481522336335</v>
      </c>
      <c r="E472" s="97">
        <f t="shared" si="55"/>
        <v>101.35273215111464</v>
      </c>
      <c r="F472" s="97">
        <f t="shared" si="56"/>
        <v>105.06153095610253</v>
      </c>
      <c r="G472" s="252"/>
      <c r="H472" s="9" t="s">
        <v>31</v>
      </c>
      <c r="I472" s="97">
        <f t="shared" si="57"/>
        <v>95.547192832906134</v>
      </c>
    </row>
    <row r="473" spans="1:10">
      <c r="B473" s="9" t="s">
        <v>12</v>
      </c>
      <c r="C473" s="97">
        <f t="shared" si="58"/>
        <v>104.8698286817731</v>
      </c>
      <c r="D473" s="97">
        <f t="shared" si="54"/>
        <v>102.13502604807616</v>
      </c>
      <c r="E473" s="97">
        <f t="shared" si="55"/>
        <v>102.55233039143701</v>
      </c>
      <c r="F473" s="97">
        <f t="shared" si="56"/>
        <v>99.877963638180304</v>
      </c>
      <c r="G473" s="97"/>
      <c r="H473" s="9" t="s">
        <v>12</v>
      </c>
      <c r="I473" s="97">
        <f t="shared" si="57"/>
        <v>96.678077437173172</v>
      </c>
    </row>
    <row r="474" spans="1:10">
      <c r="B474" s="9" t="s">
        <v>13</v>
      </c>
      <c r="C474" s="97">
        <f t="shared" si="58"/>
        <v>125.43010539092053</v>
      </c>
      <c r="D474" s="97">
        <f t="shared" si="54"/>
        <v>127.01718318979191</v>
      </c>
      <c r="E474" s="97">
        <f t="shared" si="55"/>
        <v>124.26311283470748</v>
      </c>
      <c r="F474" s="97">
        <f t="shared" si="56"/>
        <v>125.83542457744234</v>
      </c>
      <c r="G474" s="97"/>
      <c r="H474" s="9" t="s">
        <v>13</v>
      </c>
      <c r="I474" s="97">
        <f t="shared" si="57"/>
        <v>117.14525451896655</v>
      </c>
    </row>
    <row r="475" spans="1:10">
      <c r="B475" s="9" t="s">
        <v>14</v>
      </c>
      <c r="C475" s="97">
        <f t="shared" si="58"/>
        <v>119.21974495110683</v>
      </c>
      <c r="D475" s="97">
        <f t="shared" si="54"/>
        <v>117.64012918448363</v>
      </c>
      <c r="E475" s="97">
        <f t="shared" si="55"/>
        <v>109.33869198578306</v>
      </c>
      <c r="F475" s="97">
        <f t="shared" si="56"/>
        <v>107.88999637052628</v>
      </c>
      <c r="G475" s="97"/>
      <c r="H475" s="9" t="s">
        <v>14</v>
      </c>
      <c r="I475" s="97">
        <f t="shared" si="57"/>
        <v>103.07571256872576</v>
      </c>
    </row>
    <row r="476" spans="1:10">
      <c r="B476" s="9" t="s">
        <v>15</v>
      </c>
      <c r="C476" s="97">
        <f t="shared" si="58"/>
        <v>106.81801718317323</v>
      </c>
      <c r="D476" s="97">
        <f t="shared" si="54"/>
        <v>100.60512863790555</v>
      </c>
      <c r="E476" s="97">
        <f t="shared" si="55"/>
        <v>100.87342787446981</v>
      </c>
      <c r="F476" s="97">
        <f t="shared" si="56"/>
        <v>95.006296269803585</v>
      </c>
      <c r="G476" s="97"/>
      <c r="H476" s="9" t="s">
        <v>15</v>
      </c>
      <c r="I476" s="97">
        <f t="shared" si="57"/>
        <v>95.095343364478012</v>
      </c>
    </row>
    <row r="477" spans="1:10">
      <c r="B477" s="9" t="s">
        <v>16</v>
      </c>
      <c r="C477" s="97">
        <f t="shared" si="58"/>
        <v>97.192329460690004</v>
      </c>
      <c r="D477" s="97">
        <f t="shared" si="54"/>
        <v>102.07209781923913</v>
      </c>
      <c r="E477" s="97">
        <f t="shared" si="55"/>
        <v>98.840464632284139</v>
      </c>
      <c r="F477" s="97">
        <f t="shared" si="56"/>
        <v>103.80298147423299</v>
      </c>
      <c r="G477" s="97"/>
      <c r="H477" s="9" t="s">
        <v>16</v>
      </c>
      <c r="I477" s="97">
        <f t="shared" si="57"/>
        <v>93.178829356412479</v>
      </c>
    </row>
    <row r="478" spans="1:10">
      <c r="B478" s="9" t="s">
        <v>17</v>
      </c>
      <c r="C478" s="97">
        <f t="shared" ref="C478:C487" si="59">L449*100/L$460</f>
        <v>89.836908999227475</v>
      </c>
      <c r="D478" s="97">
        <f t="shared" ref="D478:D487" si="60">N449*100/N$460</f>
        <v>90.428377801108539</v>
      </c>
      <c r="E478" s="97">
        <f t="shared" ref="E478:E487" si="61">C449*100/C$460</f>
        <v>93.00441515964016</v>
      </c>
      <c r="F478" s="97">
        <f t="shared" ref="F478:F487" si="62">D449*100/D$460</f>
        <v>93.616738208339399</v>
      </c>
      <c r="G478" s="97"/>
      <c r="H478" s="9" t="s">
        <v>17</v>
      </c>
      <c r="I478" s="97">
        <f t="shared" si="57"/>
        <v>87.677071954217354</v>
      </c>
    </row>
    <row r="479" spans="1:10">
      <c r="B479" s="9" t="s">
        <v>18</v>
      </c>
      <c r="C479" s="97">
        <f t="shared" si="59"/>
        <v>117.87840112070391</v>
      </c>
      <c r="D479" s="97">
        <f t="shared" si="60"/>
        <v>123.40489089921894</v>
      </c>
      <c r="E479" s="97">
        <f t="shared" si="61"/>
        <v>110.41157142243466</v>
      </c>
      <c r="F479" s="97">
        <f t="shared" si="62"/>
        <v>115.587994033317</v>
      </c>
      <c r="G479" s="97"/>
      <c r="H479" s="9" t="s">
        <v>18</v>
      </c>
      <c r="I479" s="97">
        <f t="shared" si="57"/>
        <v>104.08713689093712</v>
      </c>
    </row>
    <row r="480" spans="1:10">
      <c r="B480" s="9" t="s">
        <v>19</v>
      </c>
      <c r="C480" s="97">
        <f t="shared" si="59"/>
        <v>114.81645017465776</v>
      </c>
      <c r="D480" s="97">
        <f t="shared" si="60"/>
        <v>112.85479499110534</v>
      </c>
      <c r="E480" s="97">
        <f t="shared" si="61"/>
        <v>106.57967737641424</v>
      </c>
      <c r="F480" s="97">
        <f t="shared" si="62"/>
        <v>104.75874861342996</v>
      </c>
      <c r="G480" s="97"/>
      <c r="H480" s="9" t="s">
        <v>19</v>
      </c>
      <c r="I480" s="97">
        <f t="shared" si="57"/>
        <v>100.47473580850264</v>
      </c>
    </row>
    <row r="481" spans="2:30">
      <c r="B481" s="9" t="s">
        <v>20</v>
      </c>
      <c r="C481" s="97">
        <f t="shared" si="59"/>
        <v>92.338631029266523</v>
      </c>
      <c r="D481" s="97">
        <f t="shared" si="60"/>
        <v>87.268963359104632</v>
      </c>
      <c r="E481" s="97">
        <f t="shared" si="61"/>
        <v>96.201482869871228</v>
      </c>
      <c r="F481" s="97">
        <f t="shared" si="62"/>
        <v>90.919733053021119</v>
      </c>
      <c r="G481" s="97"/>
      <c r="H481" s="9" t="s">
        <v>20</v>
      </c>
      <c r="I481" s="97">
        <f t="shared" si="57"/>
        <v>90.691009896747175</v>
      </c>
    </row>
    <row r="482" spans="2:30">
      <c r="B482" s="9" t="s">
        <v>60</v>
      </c>
      <c r="C482" s="97">
        <f t="shared" si="59"/>
        <v>92.592780178135612</v>
      </c>
      <c r="D482" s="97">
        <f t="shared" si="60"/>
        <v>93.376316160543922</v>
      </c>
      <c r="E482" s="97">
        <f t="shared" si="61"/>
        <v>94.632215420783609</v>
      </c>
      <c r="F482" s="97">
        <f t="shared" si="62"/>
        <v>95.433009453909648</v>
      </c>
      <c r="G482" s="97"/>
      <c r="H482" s="9" t="s">
        <v>60</v>
      </c>
      <c r="I482" s="97">
        <f t="shared" si="57"/>
        <v>89.21163093594302</v>
      </c>
    </row>
    <row r="483" spans="2:30">
      <c r="B483" s="9" t="s">
        <v>61</v>
      </c>
      <c r="C483" s="97">
        <f t="shared" si="59"/>
        <v>160.83667598192989</v>
      </c>
      <c r="D483" s="97">
        <f t="shared" si="60"/>
        <v>128.90889836112603</v>
      </c>
      <c r="E483" s="97">
        <f t="shared" si="61"/>
        <v>161.30599083443849</v>
      </c>
      <c r="F483" s="97">
        <f t="shared" si="62"/>
        <v>129.28504926235584</v>
      </c>
      <c r="H483" s="9" t="s">
        <v>61</v>
      </c>
      <c r="I483" s="97">
        <f t="shared" si="57"/>
        <v>152.06629643078236</v>
      </c>
    </row>
    <row r="484" spans="2:30">
      <c r="B484" s="9" t="s">
        <v>62</v>
      </c>
      <c r="C484" s="97">
        <f t="shared" si="59"/>
        <v>205.36005312281151</v>
      </c>
      <c r="D484" s="97">
        <f t="shared" si="60"/>
        <v>179.51098751084746</v>
      </c>
      <c r="E484" s="97">
        <f t="shared" si="61"/>
        <v>202.25741338111618</v>
      </c>
      <c r="F484" s="97">
        <f t="shared" si="62"/>
        <v>176.79888301217437</v>
      </c>
      <c r="H484" s="9" t="s">
        <v>62</v>
      </c>
      <c r="I484" s="97">
        <f t="shared" si="57"/>
        <v>190.67199934380639</v>
      </c>
      <c r="AD484" s="97"/>
    </row>
    <row r="485" spans="2:30">
      <c r="B485" s="9" t="s">
        <v>63</v>
      </c>
      <c r="C485" s="97">
        <f t="shared" si="59"/>
        <v>122.20348767266037</v>
      </c>
      <c r="D485" s="97">
        <f t="shared" si="60"/>
        <v>120.25306671346668</v>
      </c>
      <c r="E485" s="97">
        <f t="shared" si="61"/>
        <v>118.37690598423852</v>
      </c>
      <c r="F485" s="97">
        <f t="shared" si="62"/>
        <v>116.48755893765824</v>
      </c>
      <c r="G485" s="97"/>
      <c r="H485" s="9" t="s">
        <v>63</v>
      </c>
      <c r="I485" s="97">
        <f t="shared" si="57"/>
        <v>111.59621278067783</v>
      </c>
    </row>
    <row r="486" spans="2:30">
      <c r="B486" s="215" t="s">
        <v>64</v>
      </c>
      <c r="C486" s="319">
        <f t="shared" si="59"/>
        <v>202.9969688662633</v>
      </c>
      <c r="D486" s="319">
        <f t="shared" si="60"/>
        <v>195.06191268747088</v>
      </c>
      <c r="E486" s="319">
        <f t="shared" si="61"/>
        <v>220.23745068795171</v>
      </c>
      <c r="F486" s="319">
        <f t="shared" si="62"/>
        <v>211.62847217145844</v>
      </c>
      <c r="H486" s="215" t="s">
        <v>64</v>
      </c>
      <c r="I486" s="97">
        <f t="shared" si="57"/>
        <v>207.62213038849939</v>
      </c>
    </row>
    <row r="487" spans="2:30">
      <c r="B487" s="244" t="s">
        <v>621</v>
      </c>
      <c r="C487" s="319">
        <f t="shared" si="59"/>
        <v>106.11795392744433</v>
      </c>
      <c r="D487" s="319">
        <f t="shared" si="60"/>
        <v>104.44652975895013</v>
      </c>
      <c r="E487" s="319">
        <f t="shared" si="61"/>
        <v>106.07609616366364</v>
      </c>
      <c r="F487" s="319">
        <f t="shared" si="62"/>
        <v>104.40533128113786</v>
      </c>
      <c r="H487" s="244" t="s">
        <v>621</v>
      </c>
      <c r="I487" s="97">
        <f t="shared" si="57"/>
        <v>100</v>
      </c>
    </row>
    <row r="488" spans="2:30">
      <c r="B488" s="215" t="s">
        <v>618</v>
      </c>
      <c r="C488" s="319">
        <f>L460*100/L$460</f>
        <v>100</v>
      </c>
      <c r="D488" s="319">
        <f>N460*100/N$460</f>
        <v>100</v>
      </c>
      <c r="E488" s="319">
        <f>C460*100/C$460</f>
        <v>100</v>
      </c>
      <c r="F488" s="319">
        <f>D460*100/D$460</f>
        <v>100</v>
      </c>
      <c r="H488" s="215" t="s">
        <v>618</v>
      </c>
      <c r="I488" s="97">
        <f t="shared" si="57"/>
        <v>94.271945911085481</v>
      </c>
    </row>
    <row r="489" spans="2:30" ht="13.8" thickBot="1">
      <c r="B489" s="281" t="s">
        <v>1192</v>
      </c>
      <c r="C489" s="320">
        <f>L461*100/L$460</f>
        <v>195.26031892757916</v>
      </c>
      <c r="D489" s="320">
        <f>N461*100/N$460</f>
        <v>168.03235127625754</v>
      </c>
      <c r="E489" s="320">
        <f>C461*100/C$460</f>
        <v>193.09756604953981</v>
      </c>
      <c r="F489" s="320">
        <f>D461*100/D$460</f>
        <v>166.17118228236058</v>
      </c>
      <c r="H489" s="281" t="s">
        <v>619</v>
      </c>
      <c r="I489" s="320">
        <f t="shared" si="57"/>
        <v>182.03683302184473</v>
      </c>
    </row>
    <row r="493" spans="2:30" ht="14.4">
      <c r="B493" s="296" t="s">
        <v>597</v>
      </c>
    </row>
    <row r="494" spans="2:30">
      <c r="B494" s="47" t="s">
        <v>623</v>
      </c>
      <c r="M494" s="317"/>
    </row>
    <row r="495" spans="2:30" ht="14.4">
      <c r="B495" s="318"/>
      <c r="M495" s="9" t="s">
        <v>598</v>
      </c>
    </row>
    <row r="496" spans="2:30">
      <c r="B496" s="9" t="s">
        <v>599</v>
      </c>
      <c r="M496" s="9" t="s">
        <v>599</v>
      </c>
    </row>
    <row r="497" spans="2:19" ht="40.1" thickBot="1">
      <c r="B497" s="314"/>
      <c r="C497" s="315" t="s">
        <v>1038</v>
      </c>
      <c r="D497" s="315" t="s">
        <v>36</v>
      </c>
      <c r="E497" s="315" t="s">
        <v>622</v>
      </c>
      <c r="F497" s="315" t="s">
        <v>600</v>
      </c>
      <c r="G497" s="315" t="s">
        <v>5</v>
      </c>
      <c r="H497" s="315" t="s">
        <v>52</v>
      </c>
      <c r="I497" s="315" t="s">
        <v>57</v>
      </c>
      <c r="J497" s="315" t="s">
        <v>29</v>
      </c>
      <c r="K497" s="315" t="s">
        <v>601</v>
      </c>
      <c r="M497" s="284"/>
      <c r="N497" s="314" t="s">
        <v>602</v>
      </c>
      <c r="O497" s="314" t="s">
        <v>603</v>
      </c>
      <c r="P497" s="314" t="s">
        <v>604</v>
      </c>
      <c r="Q497" s="314" t="s">
        <v>605</v>
      </c>
      <c r="R497" s="314" t="s">
        <v>606</v>
      </c>
      <c r="S497" s="314" t="s">
        <v>607</v>
      </c>
    </row>
    <row r="498" spans="2:19">
      <c r="B498" s="9" t="s">
        <v>9</v>
      </c>
      <c r="C498" s="12">
        <f t="array" ref="C498:C515">TRANSPOSE(Gasto_o_ing_total!D108:U108)</f>
        <v>16808068.71668173</v>
      </c>
      <c r="D498" s="157">
        <f t="array" ref="D498:D515">TRANSPOSE(Gasto_o_ing_total!D123:U123)</f>
        <v>-823193.40301782207</v>
      </c>
      <c r="E498" s="157">
        <f t="array" ref="E498:E515">TRANSPOSE(Gasto_o_ing_total!D126:U126)</f>
        <v>0</v>
      </c>
      <c r="F498" s="157">
        <f t="array" ref="F498:F515">TRANSPOSE(Gasto_o_ing_total!D146:U146)</f>
        <v>0</v>
      </c>
      <c r="G498" s="157">
        <f t="array" ref="G498:G515">+TRANSPOSE(Gasto_o_ing_total!D158:U158)</f>
        <v>0</v>
      </c>
      <c r="H498" s="157">
        <f t="array" ref="H498:H515">TRANSPOSE(Gasto_o_ing_total!D163:U163)</f>
        <v>0</v>
      </c>
      <c r="I498" s="157">
        <f>SUM(C498:H498)</f>
        <v>15984875.313663907</v>
      </c>
      <c r="J498" s="157">
        <f t="array" ref="J498:J515">TRANSPOSE(Gasto_o_ing_total!D191:U191)</f>
        <v>774569.78915827163</v>
      </c>
      <c r="K498" s="157">
        <f>I498+J498</f>
        <v>16759445.102822179</v>
      </c>
      <c r="L498" s="157"/>
      <c r="M498" s="9" t="s">
        <v>9</v>
      </c>
      <c r="N498" s="12">
        <f>C498+F498</f>
        <v>16808068.71668173</v>
      </c>
      <c r="O498" s="12">
        <f>G498</f>
        <v>0</v>
      </c>
      <c r="P498" s="12">
        <f>D498+E498+H498</f>
        <v>-823193.40301782207</v>
      </c>
      <c r="Q498" s="12">
        <f>N498+O498+P498</f>
        <v>15984875.313663907</v>
      </c>
      <c r="R498" s="12">
        <f>J498</f>
        <v>774569.78915827163</v>
      </c>
      <c r="S498" s="12">
        <f>Q498+R498</f>
        <v>16759445.102822179</v>
      </c>
    </row>
    <row r="499" spans="2:19">
      <c r="B499" s="9" t="s">
        <v>10</v>
      </c>
      <c r="C499" s="12">
        <v>3166342.0503374944</v>
      </c>
      <c r="D499" s="157">
        <v>-86034.114578038309</v>
      </c>
      <c r="E499" s="157">
        <v>0</v>
      </c>
      <c r="F499" s="157">
        <v>0</v>
      </c>
      <c r="G499" s="157">
        <v>0</v>
      </c>
      <c r="H499" s="157">
        <v>0</v>
      </c>
      <c r="I499" s="157">
        <f t="shared" ref="I499:I515" si="63">SUM(C499:H499)</f>
        <v>3080307.9357594559</v>
      </c>
      <c r="J499" s="157">
        <v>112891.55993250519</v>
      </c>
      <c r="K499" s="157">
        <f t="shared" ref="K499:K515" si="64">I499+J499</f>
        <v>3193199.4956919611</v>
      </c>
      <c r="L499" s="157"/>
      <c r="M499" s="9" t="s">
        <v>10</v>
      </c>
      <c r="N499" s="12">
        <f t="shared" ref="N499:N515" si="65">C499+F499</f>
        <v>3166342.0503374944</v>
      </c>
      <c r="O499" s="12">
        <f t="shared" ref="O499:O515" si="66">G499</f>
        <v>0</v>
      </c>
      <c r="P499" s="12">
        <f t="shared" ref="P499:P515" si="67">D499+E499+H499</f>
        <v>-86034.114578038309</v>
      </c>
      <c r="Q499" s="12">
        <f t="shared" ref="Q499:Q515" si="68">N499+O499+P499</f>
        <v>3080307.9357594559</v>
      </c>
      <c r="R499" s="12">
        <f t="shared" ref="R499:R515" si="69">J499</f>
        <v>112891.55993250519</v>
      </c>
      <c r="S499" s="12">
        <f t="shared" ref="S499:S515" si="70">Q499+R499</f>
        <v>3193199.4956919611</v>
      </c>
    </row>
    <row r="500" spans="2:19">
      <c r="B500" s="9" t="s">
        <v>11</v>
      </c>
      <c r="C500" s="12">
        <v>2505901.8011072278</v>
      </c>
      <c r="D500" s="157">
        <v>-75090.968374594653</v>
      </c>
      <c r="E500" s="157">
        <v>0</v>
      </c>
      <c r="F500" s="157">
        <v>0</v>
      </c>
      <c r="G500" s="157">
        <v>0</v>
      </c>
      <c r="H500" s="157">
        <v>0</v>
      </c>
      <c r="I500" s="157">
        <f t="shared" si="63"/>
        <v>2430810.8327326332</v>
      </c>
      <c r="J500" s="157">
        <v>188499.71037277189</v>
      </c>
      <c r="K500" s="157">
        <f t="shared" si="64"/>
        <v>2619310.5431054053</v>
      </c>
      <c r="L500" s="157"/>
      <c r="M500" s="9" t="s">
        <v>11</v>
      </c>
      <c r="N500" s="12">
        <f t="shared" si="65"/>
        <v>2505901.8011072278</v>
      </c>
      <c r="O500" s="12">
        <f t="shared" si="66"/>
        <v>0</v>
      </c>
      <c r="P500" s="12">
        <f t="shared" si="67"/>
        <v>-75090.968374594653</v>
      </c>
      <c r="Q500" s="12">
        <f t="shared" si="68"/>
        <v>2430810.8327326332</v>
      </c>
      <c r="R500" s="12">
        <f t="shared" si="69"/>
        <v>188499.71037277189</v>
      </c>
      <c r="S500" s="12">
        <f t="shared" si="70"/>
        <v>2619310.5431054053</v>
      </c>
    </row>
    <row r="501" spans="2:19">
      <c r="B501" s="9" t="s">
        <v>31</v>
      </c>
      <c r="C501" s="12">
        <v>2330630.0599201443</v>
      </c>
      <c r="D501" s="157">
        <v>-56730.426568822302</v>
      </c>
      <c r="E501" s="157">
        <v>0</v>
      </c>
      <c r="F501" s="157">
        <v>0</v>
      </c>
      <c r="G501" s="157">
        <v>0</v>
      </c>
      <c r="H501" s="157">
        <v>0</v>
      </c>
      <c r="I501" s="157">
        <f t="shared" si="63"/>
        <v>2273899.6333513218</v>
      </c>
      <c r="J501" s="157">
        <v>179095.18611985486</v>
      </c>
      <c r="K501" s="157">
        <f t="shared" si="64"/>
        <v>2452994.8194711767</v>
      </c>
      <c r="L501" s="157"/>
      <c r="M501" s="9" t="s">
        <v>31</v>
      </c>
      <c r="N501" s="12">
        <f t="shared" si="65"/>
        <v>2330630.0599201443</v>
      </c>
      <c r="O501" s="12">
        <f t="shared" si="66"/>
        <v>0</v>
      </c>
      <c r="P501" s="12">
        <f t="shared" si="67"/>
        <v>-56730.426568822302</v>
      </c>
      <c r="Q501" s="12">
        <f t="shared" si="68"/>
        <v>2273899.6333513218</v>
      </c>
      <c r="R501" s="12">
        <f t="shared" si="69"/>
        <v>179095.18611985486</v>
      </c>
      <c r="S501" s="12">
        <f t="shared" si="70"/>
        <v>2452994.8194711767</v>
      </c>
    </row>
    <row r="502" spans="2:19">
      <c r="B502" s="9" t="s">
        <v>12</v>
      </c>
      <c r="C502" s="12">
        <v>4761101.2798664682</v>
      </c>
      <c r="D502" s="157">
        <v>-264515.84643763927</v>
      </c>
      <c r="E502" s="157">
        <v>0</v>
      </c>
      <c r="F502" s="157">
        <v>0</v>
      </c>
      <c r="G502" s="157">
        <v>0</v>
      </c>
      <c r="H502" s="157">
        <v>0</v>
      </c>
      <c r="I502" s="157">
        <f t="shared" si="63"/>
        <v>4496585.4334288286</v>
      </c>
      <c r="J502" s="157">
        <v>60887.19945192802</v>
      </c>
      <c r="K502" s="157">
        <f t="shared" si="64"/>
        <v>4557472.6328807566</v>
      </c>
      <c r="L502" s="157"/>
      <c r="M502" s="9" t="s">
        <v>12</v>
      </c>
      <c r="N502" s="12">
        <f t="shared" si="65"/>
        <v>4761101.2798664682</v>
      </c>
      <c r="O502" s="12">
        <f t="shared" si="66"/>
        <v>0</v>
      </c>
      <c r="P502" s="12">
        <f t="shared" si="67"/>
        <v>-264515.84643763927</v>
      </c>
      <c r="Q502" s="12">
        <f t="shared" si="68"/>
        <v>4496585.4334288286</v>
      </c>
      <c r="R502" s="12">
        <f t="shared" si="69"/>
        <v>60887.19945192802</v>
      </c>
      <c r="S502" s="12">
        <f t="shared" si="70"/>
        <v>4557472.6328807566</v>
      </c>
    </row>
    <row r="503" spans="2:19">
      <c r="B503" s="9" t="s">
        <v>13</v>
      </c>
      <c r="C503" s="12">
        <v>1631038.0741131213</v>
      </c>
      <c r="D503" s="157">
        <v>-127742.51454393653</v>
      </c>
      <c r="E503" s="157">
        <v>0</v>
      </c>
      <c r="F503" s="157">
        <v>0</v>
      </c>
      <c r="G503" s="157">
        <v>0</v>
      </c>
      <c r="H503" s="157">
        <v>0</v>
      </c>
      <c r="I503" s="157">
        <f t="shared" si="63"/>
        <v>1503295.5595691847</v>
      </c>
      <c r="J503" s="157">
        <v>80948.690376879036</v>
      </c>
      <c r="K503" s="157">
        <f t="shared" si="64"/>
        <v>1584244.2499460636</v>
      </c>
      <c r="L503" s="157"/>
      <c r="M503" s="9" t="s">
        <v>13</v>
      </c>
      <c r="N503" s="12">
        <f t="shared" si="65"/>
        <v>1631038.0741131213</v>
      </c>
      <c r="O503" s="12">
        <f t="shared" si="66"/>
        <v>0</v>
      </c>
      <c r="P503" s="12">
        <f t="shared" si="67"/>
        <v>-127742.51454393653</v>
      </c>
      <c r="Q503" s="12">
        <f t="shared" si="68"/>
        <v>1503295.5595691847</v>
      </c>
      <c r="R503" s="12">
        <f t="shared" si="69"/>
        <v>80948.690376879036</v>
      </c>
      <c r="S503" s="12">
        <f t="shared" si="70"/>
        <v>1584244.2499460636</v>
      </c>
    </row>
    <row r="504" spans="2:19">
      <c r="B504" s="9" t="s">
        <v>14</v>
      </c>
      <c r="C504" s="12">
        <v>6085091.9639490657</v>
      </c>
      <c r="D504" s="157">
        <v>-15625.400146903943</v>
      </c>
      <c r="E504" s="157">
        <v>0</v>
      </c>
      <c r="F504" s="157">
        <v>0</v>
      </c>
      <c r="G504" s="157">
        <v>0</v>
      </c>
      <c r="H504" s="157">
        <v>0</v>
      </c>
      <c r="I504" s="157">
        <f t="shared" si="63"/>
        <v>6069466.5638021613</v>
      </c>
      <c r="J504" s="157">
        <v>163214.47727093415</v>
      </c>
      <c r="K504" s="157">
        <f t="shared" si="64"/>
        <v>6232681.0410730951</v>
      </c>
      <c r="L504" s="157"/>
      <c r="M504" s="9" t="s">
        <v>14</v>
      </c>
      <c r="N504" s="12">
        <f t="shared" si="65"/>
        <v>6085091.9639490657</v>
      </c>
      <c r="O504" s="12">
        <f t="shared" si="66"/>
        <v>0</v>
      </c>
      <c r="P504" s="12">
        <f t="shared" si="67"/>
        <v>-15625.400146903943</v>
      </c>
      <c r="Q504" s="12">
        <f t="shared" si="68"/>
        <v>6069466.5638021613</v>
      </c>
      <c r="R504" s="12">
        <f t="shared" si="69"/>
        <v>163214.47727093415</v>
      </c>
      <c r="S504" s="12">
        <f t="shared" si="70"/>
        <v>6232681.0410730951</v>
      </c>
    </row>
    <row r="505" spans="2:19">
      <c r="B505" s="9" t="s">
        <v>15</v>
      </c>
      <c r="C505" s="12">
        <v>4543878.1616052845</v>
      </c>
      <c r="D505" s="157">
        <v>-11349.313267323847</v>
      </c>
      <c r="E505" s="157">
        <v>0</v>
      </c>
      <c r="F505" s="157">
        <v>0</v>
      </c>
      <c r="G505" s="157">
        <v>0</v>
      </c>
      <c r="H505" s="157">
        <v>0</v>
      </c>
      <c r="I505" s="157">
        <f t="shared" si="63"/>
        <v>4532528.8483379604</v>
      </c>
      <c r="J505" s="157">
        <v>-89969.274875283707</v>
      </c>
      <c r="K505" s="157">
        <f t="shared" si="64"/>
        <v>4442559.5734626763</v>
      </c>
      <c r="L505" s="157"/>
      <c r="M505" s="9" t="s">
        <v>15</v>
      </c>
      <c r="N505" s="12">
        <f t="shared" si="65"/>
        <v>4543878.1616052845</v>
      </c>
      <c r="O505" s="12">
        <f t="shared" si="66"/>
        <v>0</v>
      </c>
      <c r="P505" s="12">
        <f t="shared" si="67"/>
        <v>-11349.313267323847</v>
      </c>
      <c r="Q505" s="12">
        <f t="shared" si="68"/>
        <v>4532528.8483379604</v>
      </c>
      <c r="R505" s="12">
        <f t="shared" si="69"/>
        <v>-89969.274875283707</v>
      </c>
      <c r="S505" s="12">
        <f t="shared" si="70"/>
        <v>4442559.5734626763</v>
      </c>
    </row>
    <row r="506" spans="2:19">
      <c r="B506" s="9" t="s">
        <v>16</v>
      </c>
      <c r="C506" s="12">
        <v>17061104.692985449</v>
      </c>
      <c r="D506" s="157">
        <v>-2188767.6148849409</v>
      </c>
      <c r="E506" s="157">
        <v>0</v>
      </c>
      <c r="F506" s="157">
        <v>0</v>
      </c>
      <c r="G506" s="157">
        <v>0</v>
      </c>
      <c r="H506" s="157">
        <v>0</v>
      </c>
      <c r="I506" s="157">
        <f t="shared" si="63"/>
        <v>14872337.078100508</v>
      </c>
      <c r="J506" s="157">
        <v>1382077.9379045523</v>
      </c>
      <c r="K506" s="157">
        <f t="shared" si="64"/>
        <v>16254415.01600506</v>
      </c>
      <c r="L506" s="157"/>
      <c r="M506" s="9" t="s">
        <v>16</v>
      </c>
      <c r="N506" s="12">
        <f t="shared" si="65"/>
        <v>17061104.692985449</v>
      </c>
      <c r="O506" s="12">
        <f t="shared" si="66"/>
        <v>0</v>
      </c>
      <c r="P506" s="12">
        <f t="shared" si="67"/>
        <v>-2188767.6148849409</v>
      </c>
      <c r="Q506" s="12">
        <f t="shared" si="68"/>
        <v>14872337.078100508</v>
      </c>
      <c r="R506" s="12">
        <f t="shared" si="69"/>
        <v>1382077.9379045523</v>
      </c>
      <c r="S506" s="12">
        <f t="shared" si="70"/>
        <v>16254415.01600506</v>
      </c>
    </row>
    <row r="507" spans="2:19">
      <c r="B507" s="9" t="s">
        <v>17</v>
      </c>
      <c r="C507" s="12">
        <v>9443096.5398838166</v>
      </c>
      <c r="D507" s="157">
        <v>-214446.64894153914</v>
      </c>
      <c r="E507" s="157">
        <v>0</v>
      </c>
      <c r="F507" s="157">
        <v>0</v>
      </c>
      <c r="G507" s="157">
        <v>0</v>
      </c>
      <c r="H507" s="157">
        <v>0</v>
      </c>
      <c r="I507" s="157">
        <f t="shared" si="63"/>
        <v>9228649.8909422774</v>
      </c>
      <c r="J507" s="157">
        <v>438649.84948618442</v>
      </c>
      <c r="K507" s="157">
        <f t="shared" si="64"/>
        <v>9667299.7404284626</v>
      </c>
      <c r="L507" s="157"/>
      <c r="M507" s="9" t="s">
        <v>17</v>
      </c>
      <c r="N507" s="12">
        <f t="shared" si="65"/>
        <v>9443096.5398838166</v>
      </c>
      <c r="O507" s="12">
        <f t="shared" si="66"/>
        <v>0</v>
      </c>
      <c r="P507" s="12">
        <f t="shared" si="67"/>
        <v>-214446.64894153914</v>
      </c>
      <c r="Q507" s="12">
        <f t="shared" si="68"/>
        <v>9228649.8909422774</v>
      </c>
      <c r="R507" s="12">
        <f t="shared" si="69"/>
        <v>438649.84948618442</v>
      </c>
      <c r="S507" s="12">
        <f t="shared" si="70"/>
        <v>9667299.7404284626</v>
      </c>
    </row>
    <row r="508" spans="2:19">
      <c r="B508" s="9" t="s">
        <v>18</v>
      </c>
      <c r="C508" s="12">
        <v>2644802.7212395682</v>
      </c>
      <c r="D508" s="157">
        <v>-7654.7165985817455</v>
      </c>
      <c r="E508" s="157">
        <v>0</v>
      </c>
      <c r="F508" s="157">
        <v>0</v>
      </c>
      <c r="G508" s="157">
        <v>0</v>
      </c>
      <c r="H508" s="157">
        <v>0</v>
      </c>
      <c r="I508" s="157">
        <f t="shared" si="63"/>
        <v>2637148.0046409867</v>
      </c>
      <c r="J508" s="157">
        <v>235945.20012043102</v>
      </c>
      <c r="K508" s="157">
        <f t="shared" si="64"/>
        <v>2873093.2047614176</v>
      </c>
      <c r="L508" s="157"/>
      <c r="M508" s="9" t="s">
        <v>18</v>
      </c>
      <c r="N508" s="12">
        <f t="shared" si="65"/>
        <v>2644802.7212395682</v>
      </c>
      <c r="O508" s="12">
        <f t="shared" si="66"/>
        <v>0</v>
      </c>
      <c r="P508" s="12">
        <f t="shared" si="67"/>
        <v>-7654.7165985817455</v>
      </c>
      <c r="Q508" s="12">
        <f t="shared" si="68"/>
        <v>2637148.0046409867</v>
      </c>
      <c r="R508" s="12">
        <f t="shared" si="69"/>
        <v>235945.20012043102</v>
      </c>
      <c r="S508" s="12">
        <f t="shared" si="70"/>
        <v>2873093.2047614176</v>
      </c>
    </row>
    <row r="509" spans="2:19">
      <c r="B509" s="9" t="s">
        <v>19</v>
      </c>
      <c r="C509" s="12">
        <v>6653266.3334807921</v>
      </c>
      <c r="D509" s="157">
        <v>-225185.97191304123</v>
      </c>
      <c r="E509" s="157">
        <v>0</v>
      </c>
      <c r="F509" s="157">
        <v>0</v>
      </c>
      <c r="G509" s="157">
        <v>0</v>
      </c>
      <c r="H509" s="157">
        <v>0</v>
      </c>
      <c r="I509" s="157">
        <f t="shared" si="63"/>
        <v>6428080.3615677506</v>
      </c>
      <c r="J509" s="157">
        <v>147199.96378920804</v>
      </c>
      <c r="K509" s="157">
        <f t="shared" si="64"/>
        <v>6575280.3253569584</v>
      </c>
      <c r="L509" s="157"/>
      <c r="M509" s="9" t="s">
        <v>19</v>
      </c>
      <c r="N509" s="12">
        <f t="shared" si="65"/>
        <v>6653266.3334807921</v>
      </c>
      <c r="O509" s="12">
        <f t="shared" si="66"/>
        <v>0</v>
      </c>
      <c r="P509" s="12">
        <f t="shared" si="67"/>
        <v>-225185.97191304123</v>
      </c>
      <c r="Q509" s="12">
        <f t="shared" si="68"/>
        <v>6428080.3615677506</v>
      </c>
      <c r="R509" s="12">
        <f t="shared" si="69"/>
        <v>147199.96378920804</v>
      </c>
      <c r="S509" s="12">
        <f t="shared" si="70"/>
        <v>6575280.3253569584</v>
      </c>
    </row>
    <row r="510" spans="2:19">
      <c r="B510" s="9" t="s">
        <v>20</v>
      </c>
      <c r="C510" s="12">
        <v>13144014.902199024</v>
      </c>
      <c r="D510" s="157">
        <v>-1004165.2725405359</v>
      </c>
      <c r="E510" s="157">
        <v>0</v>
      </c>
      <c r="F510" s="157">
        <v>0</v>
      </c>
      <c r="G510" s="157">
        <v>0</v>
      </c>
      <c r="H510" s="157">
        <v>0</v>
      </c>
      <c r="I510" s="157">
        <f t="shared" si="63"/>
        <v>12139849.629658489</v>
      </c>
      <c r="J510" s="157">
        <v>-199782.52361902475</v>
      </c>
      <c r="K510" s="157">
        <f t="shared" si="64"/>
        <v>11940067.106039464</v>
      </c>
      <c r="L510" s="157"/>
      <c r="M510" s="9" t="s">
        <v>20</v>
      </c>
      <c r="N510" s="12">
        <f t="shared" si="65"/>
        <v>13144014.902199024</v>
      </c>
      <c r="O510" s="12">
        <f t="shared" si="66"/>
        <v>0</v>
      </c>
      <c r="P510" s="12">
        <f t="shared" si="67"/>
        <v>-1004165.2725405359</v>
      </c>
      <c r="Q510" s="12">
        <f t="shared" si="68"/>
        <v>12139849.629658489</v>
      </c>
      <c r="R510" s="12">
        <f t="shared" si="69"/>
        <v>-199782.52361902475</v>
      </c>
      <c r="S510" s="12">
        <f t="shared" si="70"/>
        <v>11940067.106039464</v>
      </c>
    </row>
    <row r="511" spans="2:19">
      <c r="B511" s="9" t="s">
        <v>60</v>
      </c>
      <c r="C511" s="12">
        <v>2781022.8509494541</v>
      </c>
      <c r="D511" s="157">
        <v>-18426.296435903441</v>
      </c>
      <c r="E511" s="157">
        <v>0</v>
      </c>
      <c r="F511" s="157">
        <v>0</v>
      </c>
      <c r="G511" s="157">
        <v>0</v>
      </c>
      <c r="H511" s="157">
        <v>0</v>
      </c>
      <c r="I511" s="157">
        <f t="shared" si="63"/>
        <v>2762596.5545135508</v>
      </c>
      <c r="J511" s="157">
        <v>136710.10130054556</v>
      </c>
      <c r="K511" s="157">
        <f t="shared" si="64"/>
        <v>2899306.6558140963</v>
      </c>
      <c r="L511" s="157"/>
      <c r="M511" s="9" t="s">
        <v>60</v>
      </c>
      <c r="N511" s="12">
        <f t="shared" si="65"/>
        <v>2781022.8509494541</v>
      </c>
      <c r="O511" s="12">
        <f t="shared" si="66"/>
        <v>0</v>
      </c>
      <c r="P511" s="12">
        <f t="shared" si="67"/>
        <v>-18426.296435903441</v>
      </c>
      <c r="Q511" s="12">
        <f t="shared" si="68"/>
        <v>2762596.5545135508</v>
      </c>
      <c r="R511" s="12">
        <f t="shared" si="69"/>
        <v>136710.10130054556</v>
      </c>
      <c r="S511" s="12">
        <f t="shared" si="70"/>
        <v>2899306.6558140963</v>
      </c>
    </row>
    <row r="512" spans="2:19" ht="12.7" customHeight="1">
      <c r="B512" s="215" t="s">
        <v>61</v>
      </c>
      <c r="C512" s="61">
        <v>0</v>
      </c>
      <c r="D512" s="165">
        <v>0</v>
      </c>
      <c r="E512" s="165">
        <v>0</v>
      </c>
      <c r="F512" s="165">
        <v>3208239.1573863756</v>
      </c>
      <c r="G512" s="165">
        <v>-574126</v>
      </c>
      <c r="H512" s="165">
        <v>-535468.76581986819</v>
      </c>
      <c r="I512" s="165">
        <f t="shared" si="63"/>
        <v>2098644.3915665075</v>
      </c>
      <c r="J512" s="165">
        <v>-348178.15738637571</v>
      </c>
      <c r="K512" s="165">
        <f t="shared" si="64"/>
        <v>1750466.2341801319</v>
      </c>
      <c r="L512" s="157"/>
      <c r="M512" s="9" t="s">
        <v>61</v>
      </c>
      <c r="N512" s="12">
        <f t="shared" si="65"/>
        <v>3208239.1573863756</v>
      </c>
      <c r="O512" s="12">
        <f t="shared" si="66"/>
        <v>-574126</v>
      </c>
      <c r="P512" s="12">
        <f t="shared" si="67"/>
        <v>-535468.76581986819</v>
      </c>
      <c r="Q512" s="12">
        <f t="shared" si="68"/>
        <v>2098644.3915665075</v>
      </c>
      <c r="R512" s="12">
        <f t="shared" si="69"/>
        <v>-348178.15738637571</v>
      </c>
      <c r="S512" s="12">
        <f t="shared" si="70"/>
        <v>1750466.2341801319</v>
      </c>
    </row>
    <row r="513" spans="2:20">
      <c r="B513" s="215" t="s">
        <v>62</v>
      </c>
      <c r="C513" s="61">
        <v>0</v>
      </c>
      <c r="D513" s="165">
        <v>0</v>
      </c>
      <c r="E513" s="165">
        <v>0</v>
      </c>
      <c r="F513" s="165">
        <v>12496460.28959736</v>
      </c>
      <c r="G513" s="165">
        <v>-1111705.32</v>
      </c>
      <c r="H513" s="165">
        <v>-2251688.5009490619</v>
      </c>
      <c r="I513" s="165">
        <f t="shared" si="63"/>
        <v>9133066.4686482977</v>
      </c>
      <c r="J513" s="165">
        <v>-824831.67959736066</v>
      </c>
      <c r="K513" s="165">
        <f t="shared" si="64"/>
        <v>8308234.7890509367</v>
      </c>
      <c r="L513" s="157"/>
      <c r="M513" s="9" t="s">
        <v>62</v>
      </c>
      <c r="N513" s="12">
        <f t="shared" si="65"/>
        <v>12496460.28959736</v>
      </c>
      <c r="O513" s="12">
        <f t="shared" si="66"/>
        <v>-1111705.32</v>
      </c>
      <c r="P513" s="12">
        <f t="shared" si="67"/>
        <v>-2251688.5009490619</v>
      </c>
      <c r="Q513" s="12">
        <f t="shared" si="68"/>
        <v>9133066.4686482977</v>
      </c>
      <c r="R513" s="12">
        <f t="shared" si="69"/>
        <v>-824831.67959736066</v>
      </c>
      <c r="S513" s="12">
        <f t="shared" si="70"/>
        <v>8308234.7890509367</v>
      </c>
    </row>
    <row r="514" spans="2:20">
      <c r="B514" s="215" t="s">
        <v>63</v>
      </c>
      <c r="C514" s="61">
        <v>864705.47992089379</v>
      </c>
      <c r="D514" s="165">
        <v>-69422.50141654411</v>
      </c>
      <c r="E514" s="165">
        <v>0</v>
      </c>
      <c r="F514" s="165">
        <v>0</v>
      </c>
      <c r="G514" s="165">
        <v>0</v>
      </c>
      <c r="H514" s="165">
        <v>0</v>
      </c>
      <c r="I514" s="165">
        <f t="shared" si="63"/>
        <v>795282.97850434971</v>
      </c>
      <c r="J514" s="165">
        <v>19142.444109106196</v>
      </c>
      <c r="K514" s="165">
        <f t="shared" si="64"/>
        <v>814425.42261345591</v>
      </c>
      <c r="L514" s="157"/>
      <c r="M514" s="9" t="s">
        <v>63</v>
      </c>
      <c r="N514" s="12">
        <f t="shared" si="65"/>
        <v>864705.47992089379</v>
      </c>
      <c r="O514" s="12">
        <f t="shared" si="66"/>
        <v>0</v>
      </c>
      <c r="P514" s="12">
        <f t="shared" si="67"/>
        <v>-69422.50141654411</v>
      </c>
      <c r="Q514" s="12">
        <f t="shared" si="68"/>
        <v>795282.97850434971</v>
      </c>
      <c r="R514" s="12">
        <f t="shared" si="69"/>
        <v>19142.444109106196</v>
      </c>
      <c r="S514" s="12">
        <f t="shared" si="70"/>
        <v>814425.42261345591</v>
      </c>
    </row>
    <row r="515" spans="2:20">
      <c r="B515" s="215" t="s">
        <v>64</v>
      </c>
      <c r="C515" s="61">
        <v>73142.559999999998</v>
      </c>
      <c r="D515" s="165">
        <v>0</v>
      </c>
      <c r="E515" s="165">
        <v>622051.76151790493</v>
      </c>
      <c r="F515" s="165">
        <v>0</v>
      </c>
      <c r="G515" s="165">
        <v>0</v>
      </c>
      <c r="H515" s="165">
        <v>0</v>
      </c>
      <c r="I515" s="165">
        <f t="shared" si="63"/>
        <v>695194.32151790499</v>
      </c>
      <c r="J515" s="165">
        <v>0</v>
      </c>
      <c r="K515" s="165">
        <f t="shared" si="64"/>
        <v>695194.32151790499</v>
      </c>
      <c r="L515" s="157"/>
      <c r="M515" s="9" t="s">
        <v>64</v>
      </c>
      <c r="N515" s="12">
        <f t="shared" si="65"/>
        <v>73142.559999999998</v>
      </c>
      <c r="O515" s="12">
        <f t="shared" si="66"/>
        <v>0</v>
      </c>
      <c r="P515" s="12">
        <f t="shared" si="67"/>
        <v>622051.76151790493</v>
      </c>
      <c r="Q515" s="12">
        <f t="shared" si="68"/>
        <v>695194.32151790499</v>
      </c>
      <c r="R515" s="12">
        <f t="shared" si="69"/>
        <v>0</v>
      </c>
      <c r="S515" s="12">
        <f t="shared" si="70"/>
        <v>695194.32151790499</v>
      </c>
    </row>
    <row r="516" spans="2:20" ht="13.8" thickBot="1">
      <c r="B516" s="316" t="s">
        <v>84</v>
      </c>
      <c r="C516" s="291">
        <f>SUM(C498:C515)</f>
        <v>94497208.18823953</v>
      </c>
      <c r="D516" s="172">
        <f t="shared" ref="D516:K516" si="71">SUM(D498:D515)</f>
        <v>-5188351.0096661681</v>
      </c>
      <c r="E516" s="172">
        <f t="shared" si="71"/>
        <v>622051.76151790493</v>
      </c>
      <c r="F516" s="172">
        <f t="shared" si="71"/>
        <v>15704699.446983736</v>
      </c>
      <c r="G516" s="172">
        <f t="shared" si="71"/>
        <v>-1685831.32</v>
      </c>
      <c r="H516" s="172">
        <f t="shared" si="71"/>
        <v>-2787157.26676893</v>
      </c>
      <c r="I516" s="172">
        <f t="shared" si="71"/>
        <v>101162619.80030607</v>
      </c>
      <c r="J516" s="172">
        <f t="shared" si="71"/>
        <v>2457070.4739151276</v>
      </c>
      <c r="K516" s="172">
        <f t="shared" si="71"/>
        <v>103619690.27422121</v>
      </c>
      <c r="L516" s="157"/>
      <c r="M516" s="316" t="s">
        <v>84</v>
      </c>
      <c r="N516" s="291">
        <f t="shared" ref="N516:S516" si="72">SUM(N498:N515)</f>
        <v>110201907.63522327</v>
      </c>
      <c r="O516" s="291">
        <f t="shared" si="72"/>
        <v>-1685831.32</v>
      </c>
      <c r="P516" s="291">
        <f t="shared" si="72"/>
        <v>-7353456.5149171939</v>
      </c>
      <c r="Q516" s="291">
        <f t="shared" si="72"/>
        <v>101162619.80030607</v>
      </c>
      <c r="R516" s="291">
        <f t="shared" si="72"/>
        <v>2457070.4739151276</v>
      </c>
      <c r="S516" s="291">
        <f t="shared" si="72"/>
        <v>103619690.27422121</v>
      </c>
    </row>
    <row r="517" spans="2:20">
      <c r="L517" s="14"/>
      <c r="M517" s="9" t="s">
        <v>608</v>
      </c>
      <c r="Q517" s="12">
        <f>Q516-Q515</f>
        <v>100467425.47878817</v>
      </c>
    </row>
    <row r="518" spans="2:20">
      <c r="B518" s="88" t="s">
        <v>609</v>
      </c>
      <c r="C518" s="292">
        <f>C516-C519</f>
        <v>94497208.18823953</v>
      </c>
      <c r="D518" s="292">
        <f t="shared" ref="D518:K518" si="73">D516-D519</f>
        <v>-5188351.0096661681</v>
      </c>
      <c r="E518" s="292">
        <f t="shared" si="73"/>
        <v>622051.76151790493</v>
      </c>
      <c r="F518" s="292">
        <f t="shared" si="73"/>
        <v>0</v>
      </c>
      <c r="G518" s="292">
        <f t="shared" si="73"/>
        <v>0</v>
      </c>
      <c r="H518" s="292">
        <f t="shared" si="73"/>
        <v>0</v>
      </c>
      <c r="I518" s="292">
        <f t="shared" si="73"/>
        <v>89930908.940091267</v>
      </c>
      <c r="J518" s="292">
        <f t="shared" si="73"/>
        <v>3630080.3108988637</v>
      </c>
      <c r="K518" s="292">
        <f t="shared" si="73"/>
        <v>93560989.250990137</v>
      </c>
      <c r="L518" s="14"/>
      <c r="M518" s="88" t="s">
        <v>610</v>
      </c>
      <c r="N518" s="292">
        <f t="shared" ref="N518:S518" si="74">N516-N519-N515</f>
        <v>94424065.628239527</v>
      </c>
      <c r="O518" s="292">
        <f t="shared" si="74"/>
        <v>0</v>
      </c>
      <c r="P518" s="292">
        <f t="shared" si="74"/>
        <v>-5188351.0096661691</v>
      </c>
      <c r="Q518" s="292">
        <f t="shared" si="74"/>
        <v>89235714.618573368</v>
      </c>
      <c r="R518" s="292">
        <f t="shared" si="74"/>
        <v>3630080.3108988637</v>
      </c>
      <c r="S518" s="292">
        <f t="shared" si="74"/>
        <v>92865794.929472238</v>
      </c>
      <c r="T518" s="9" t="s">
        <v>611</v>
      </c>
    </row>
    <row r="519" spans="2:20" ht="13.8" thickBot="1">
      <c r="B519" s="281" t="s">
        <v>612</v>
      </c>
      <c r="C519" s="291">
        <f>C512+C513</f>
        <v>0</v>
      </c>
      <c r="D519" s="291">
        <f t="shared" ref="D519:K519" si="75">D512+D513</f>
        <v>0</v>
      </c>
      <c r="E519" s="291">
        <f t="shared" si="75"/>
        <v>0</v>
      </c>
      <c r="F519" s="291">
        <f t="shared" si="75"/>
        <v>15704699.446983736</v>
      </c>
      <c r="G519" s="291">
        <f t="shared" si="75"/>
        <v>-1685831.32</v>
      </c>
      <c r="H519" s="291">
        <f t="shared" si="75"/>
        <v>-2787157.26676893</v>
      </c>
      <c r="I519" s="291">
        <f t="shared" si="75"/>
        <v>11231710.860214805</v>
      </c>
      <c r="J519" s="291">
        <f t="shared" si="75"/>
        <v>-1173009.8369837364</v>
      </c>
      <c r="K519" s="291">
        <f t="shared" si="75"/>
        <v>10058701.023231069</v>
      </c>
      <c r="M519" s="281" t="s">
        <v>612</v>
      </c>
      <c r="N519" s="291">
        <f t="shared" ref="N519:S519" si="76">N512+N513</f>
        <v>15704699.446983736</v>
      </c>
      <c r="O519" s="291">
        <f t="shared" si="76"/>
        <v>-1685831.32</v>
      </c>
      <c r="P519" s="291">
        <f t="shared" si="76"/>
        <v>-2787157.26676893</v>
      </c>
      <c r="Q519" s="291">
        <f t="shared" si="76"/>
        <v>11231710.860214805</v>
      </c>
      <c r="R519" s="291">
        <f t="shared" si="76"/>
        <v>-1173009.8369837364</v>
      </c>
      <c r="S519" s="291">
        <f t="shared" si="76"/>
        <v>10058701.023231069</v>
      </c>
    </row>
  </sheetData>
  <mergeCells count="17">
    <mergeCell ref="B398:H398"/>
    <mergeCell ref="B432:F433"/>
    <mergeCell ref="G43:I43"/>
    <mergeCell ref="B304:B305"/>
    <mergeCell ref="B317:J317"/>
    <mergeCell ref="B318:J318"/>
    <mergeCell ref="E304:E305"/>
    <mergeCell ref="F304:F305"/>
    <mergeCell ref="G304:G305"/>
    <mergeCell ref="H304:H305"/>
    <mergeCell ref="C69:E69"/>
    <mergeCell ref="F69:H69"/>
    <mergeCell ref="C94:E94"/>
    <mergeCell ref="F94:H94"/>
    <mergeCell ref="I304:I305"/>
    <mergeCell ref="J304:J305"/>
    <mergeCell ref="C43:E4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4:P95"/>
  <sheetViews>
    <sheetView topLeftCell="A79" zoomScale="85" zoomScaleNormal="85" workbookViewId="0">
      <selection activeCell="E94" sqref="E94"/>
    </sheetView>
  </sheetViews>
  <sheetFormatPr baseColWidth="10" defaultRowHeight="12.55"/>
  <cols>
    <col min="1" max="1" width="6.19921875" bestFit="1" customWidth="1"/>
    <col min="4" max="4" width="17.09765625" customWidth="1"/>
    <col min="5" max="5" width="15.09765625" customWidth="1"/>
    <col min="6" max="6" width="17.3984375" customWidth="1"/>
    <col min="10" max="11" width="11.19921875" bestFit="1" customWidth="1"/>
    <col min="12" max="12" width="13.5" bestFit="1" customWidth="1"/>
    <col min="13" max="13" width="11.5" bestFit="1" customWidth="1"/>
    <col min="15" max="15" width="27.3984375" customWidth="1"/>
    <col min="16" max="16" width="18.8984375" bestFit="1" customWidth="1"/>
  </cols>
  <sheetData>
    <row r="4" spans="1:16" ht="16.899999999999999">
      <c r="B4" s="380" t="s">
        <v>1202</v>
      </c>
    </row>
    <row r="6" spans="1:16">
      <c r="H6" s="101" t="s">
        <v>1205</v>
      </c>
    </row>
    <row r="7" spans="1:16" ht="40.1" thickBot="1">
      <c r="A7" s="258" t="s">
        <v>1166</v>
      </c>
      <c r="B7" s="258" t="s">
        <v>1167</v>
      </c>
      <c r="C7" s="258" t="s">
        <v>1156</v>
      </c>
      <c r="D7" s="258" t="s">
        <v>1165</v>
      </c>
      <c r="E7" s="258" t="s">
        <v>480</v>
      </c>
      <c r="F7" s="258" t="s">
        <v>1155</v>
      </c>
      <c r="I7" s="258" t="s">
        <v>1167</v>
      </c>
      <c r="J7" s="258" t="s">
        <v>1156</v>
      </c>
      <c r="K7" s="258" t="s">
        <v>1165</v>
      </c>
      <c r="L7" s="258" t="s">
        <v>1185</v>
      </c>
      <c r="M7" s="258" t="s">
        <v>1172</v>
      </c>
    </row>
    <row r="8" spans="1:16" ht="13.15">
      <c r="A8" s="381">
        <v>1</v>
      </c>
      <c r="B8" s="209" t="s">
        <v>9</v>
      </c>
      <c r="C8" s="2">
        <f>+E8/F8*1000</f>
        <v>16470.593217771002</v>
      </c>
      <c r="D8" s="2">
        <f>+'Cuadros Informe Corto'!I45</f>
        <v>730.74350454761861</v>
      </c>
      <c r="E8" s="2">
        <f>+Resumen!AD111</f>
        <v>138703847.84129798</v>
      </c>
      <c r="F8" s="2">
        <f>+Resumen!C7</f>
        <v>8421302.5</v>
      </c>
      <c r="I8" t="str">
        <f>+B8</f>
        <v>Andalucía</v>
      </c>
      <c r="J8" s="2">
        <f t="shared" ref="J8:K8" si="0">+C8</f>
        <v>16470.593217771002</v>
      </c>
      <c r="K8" s="2">
        <f t="shared" si="0"/>
        <v>730.74350454761861</v>
      </c>
      <c r="L8" s="406">
        <f>+J8*$J$38+$J$37</f>
        <v>1714.6828717206399</v>
      </c>
      <c r="M8" s="406">
        <f>+K8-L8</f>
        <v>-983.93936717302131</v>
      </c>
      <c r="O8" s="447" t="s">
        <v>1173</v>
      </c>
      <c r="P8" s="445">
        <f>SUMSQ(M8:M22)</f>
        <v>11017663.243374238</v>
      </c>
    </row>
    <row r="9" spans="1:16" ht="25.05">
      <c r="A9" s="381">
        <v>2</v>
      </c>
      <c r="B9" s="209" t="s">
        <v>10</v>
      </c>
      <c r="C9" s="2">
        <f t="shared" ref="C9:C25" si="1">+E9/F9*1000</f>
        <v>24461.060110250659</v>
      </c>
      <c r="D9" s="2">
        <f>+'Cuadros Informe Corto'!I46</f>
        <v>571.09438158766079</v>
      </c>
      <c r="E9" s="2">
        <f>+Resumen!AD112</f>
        <v>32686519.640874375</v>
      </c>
      <c r="F9" s="2">
        <f>+Resumen!C8</f>
        <v>1336267.5</v>
      </c>
      <c r="I9" t="str">
        <f t="shared" ref="I9:I21" si="2">+B9</f>
        <v>Aragón</v>
      </c>
      <c r="J9" s="2">
        <f t="shared" ref="J9:J21" si="3">+C9</f>
        <v>24461.060110250659</v>
      </c>
      <c r="K9" s="2">
        <f t="shared" ref="K9:K21" si="4">+D9</f>
        <v>571.09438158766079</v>
      </c>
      <c r="L9" s="406">
        <f t="shared" ref="L9:L25" si="5">+J9*$J$38+$J$37</f>
        <v>-530.64566095638747</v>
      </c>
      <c r="M9" s="406">
        <f t="shared" ref="M9:M22" si="6">+K9-L9</f>
        <v>1101.7400425440483</v>
      </c>
      <c r="O9" s="448" t="s">
        <v>1197</v>
      </c>
      <c r="P9" s="445">
        <f>DEVSQ(J8:J22)</f>
        <v>213793016.46967933</v>
      </c>
    </row>
    <row r="10" spans="1:16" ht="25.05">
      <c r="A10" s="381">
        <v>3</v>
      </c>
      <c r="B10" s="209" t="s">
        <v>11</v>
      </c>
      <c r="C10" s="2">
        <f t="shared" si="1"/>
        <v>19472.109233436342</v>
      </c>
      <c r="D10" s="2">
        <f>+'Cuadros Informe Corto'!I47</f>
        <v>1934.5693211061789</v>
      </c>
      <c r="E10" s="2">
        <f>+Resumen!AD113</f>
        <v>20737027.185294982</v>
      </c>
      <c r="F10" s="2">
        <f>+Resumen!C9</f>
        <v>1064960.5</v>
      </c>
      <c r="I10" t="str">
        <f t="shared" si="2"/>
        <v>Asturias</v>
      </c>
      <c r="J10" s="2">
        <f t="shared" si="3"/>
        <v>19472.109233436342</v>
      </c>
      <c r="K10" s="2">
        <f t="shared" si="4"/>
        <v>1934.5693211061789</v>
      </c>
      <c r="L10" s="406">
        <f t="shared" si="5"/>
        <v>871.25411568595428</v>
      </c>
      <c r="M10" s="406">
        <f t="shared" si="6"/>
        <v>1063.3152054202246</v>
      </c>
      <c r="O10" s="448" t="s">
        <v>1198</v>
      </c>
      <c r="P10" s="445">
        <f>SUMSQ(J8:J22)</f>
        <v>6723686739.4218483</v>
      </c>
    </row>
    <row r="11" spans="1:16" ht="13.15">
      <c r="A11" s="381">
        <v>4</v>
      </c>
      <c r="B11" s="209" t="s">
        <v>31</v>
      </c>
      <c r="C11" s="2">
        <f t="shared" si="1"/>
        <v>23348.8288603041</v>
      </c>
      <c r="D11" s="2">
        <f>+'Cuadros Informe Corto'!I48</f>
        <v>-1363.879732147846</v>
      </c>
      <c r="E11" s="2">
        <f>+Resumen!AD114</f>
        <v>25860182.194860686</v>
      </c>
      <c r="F11" s="2">
        <f>+Resumen!C10</f>
        <v>1107558</v>
      </c>
      <c r="I11" t="str">
        <f t="shared" si="2"/>
        <v>Baleares</v>
      </c>
      <c r="J11" s="2">
        <f t="shared" si="3"/>
        <v>23348.8288603041</v>
      </c>
      <c r="K11" s="2">
        <f t="shared" si="4"/>
        <v>-1363.879732147846</v>
      </c>
      <c r="L11" s="406">
        <f t="shared" si="5"/>
        <v>-218.10765860380434</v>
      </c>
      <c r="M11" s="406">
        <f t="shared" si="6"/>
        <v>-1145.7720735440416</v>
      </c>
      <c r="P11" s="406"/>
    </row>
    <row r="12" spans="1:16" ht="13.15">
      <c r="A12" s="381">
        <v>5</v>
      </c>
      <c r="B12" s="209" t="s">
        <v>12</v>
      </c>
      <c r="C12" s="2">
        <f t="shared" si="1"/>
        <v>18951.386979592367</v>
      </c>
      <c r="D12" s="2">
        <f>+'Cuadros Informe Corto'!I49</f>
        <v>1690.2595762892406</v>
      </c>
      <c r="E12" s="2">
        <f>+Resumen!AD115</f>
        <v>40020534.599993244</v>
      </c>
      <c r="F12" s="2">
        <f>+Resumen!C11</f>
        <v>2111747</v>
      </c>
      <c r="I12" t="str">
        <f t="shared" si="2"/>
        <v>Canarias</v>
      </c>
      <c r="J12" s="2">
        <f t="shared" si="3"/>
        <v>18951.386979592367</v>
      </c>
      <c r="K12" s="2">
        <f t="shared" si="4"/>
        <v>1690.2595762892406</v>
      </c>
      <c r="L12" s="406">
        <f t="shared" si="5"/>
        <v>1017.5775470809549</v>
      </c>
      <c r="M12" s="406">
        <f t="shared" si="6"/>
        <v>672.68202920828571</v>
      </c>
      <c r="O12" s="447" t="s">
        <v>1174</v>
      </c>
      <c r="P12" s="446">
        <f>(+P8/(COUNT(J8:J22)-2))^0.5/(P9^0.5)</f>
        <v>6.296168081619799E-2</v>
      </c>
    </row>
    <row r="13" spans="1:16" ht="13.15">
      <c r="A13" s="381">
        <v>6</v>
      </c>
      <c r="B13" s="209" t="s">
        <v>13</v>
      </c>
      <c r="C13" s="2">
        <f t="shared" si="1"/>
        <v>19935.064918190699</v>
      </c>
      <c r="D13" s="2">
        <f>+'Cuadros Informe Corto'!I50</f>
        <v>783.62066008695547</v>
      </c>
      <c r="E13" s="2">
        <f>+Resumen!AD116</f>
        <v>11767110.639390262</v>
      </c>
      <c r="F13" s="2">
        <f>+Resumen!C12</f>
        <v>590272</v>
      </c>
      <c r="I13" t="str">
        <f t="shared" si="2"/>
        <v>Cantabria</v>
      </c>
      <c r="J13" s="2">
        <f t="shared" si="3"/>
        <v>19935.064918190699</v>
      </c>
      <c r="K13" s="2">
        <f t="shared" si="4"/>
        <v>783.62066008695547</v>
      </c>
      <c r="L13" s="406">
        <f t="shared" si="5"/>
        <v>741.16314323948609</v>
      </c>
      <c r="M13" s="406">
        <f t="shared" si="6"/>
        <v>42.457516847469378</v>
      </c>
      <c r="O13" s="447" t="s">
        <v>1175</v>
      </c>
      <c r="P13" s="446">
        <f>+J38/P12</f>
        <v>-4.4630466410294405</v>
      </c>
    </row>
    <row r="14" spans="1:16" ht="13.15">
      <c r="A14" s="381">
        <v>7</v>
      </c>
      <c r="B14" s="209" t="s">
        <v>14</v>
      </c>
      <c r="C14" s="2">
        <f t="shared" si="1"/>
        <v>20800.644251526912</v>
      </c>
      <c r="D14" s="2">
        <f>+'Cuadros Informe Corto'!I51</f>
        <v>1839.2266205394699</v>
      </c>
      <c r="E14" s="2">
        <f>+Resumen!AD117</f>
        <v>52154131.3527916</v>
      </c>
      <c r="F14" s="2">
        <f>+Resumen!C13</f>
        <v>2507332.5</v>
      </c>
      <c r="I14" t="str">
        <f t="shared" si="2"/>
        <v>Castilla y León</v>
      </c>
      <c r="J14" s="2">
        <f t="shared" si="3"/>
        <v>20800.644251526912</v>
      </c>
      <c r="K14" s="2">
        <f t="shared" si="4"/>
        <v>1839.2266205394699</v>
      </c>
      <c r="L14" s="406">
        <f t="shared" si="5"/>
        <v>497.93455590067606</v>
      </c>
      <c r="M14" s="406">
        <f t="shared" si="6"/>
        <v>1341.2920646387938</v>
      </c>
      <c r="P14" s="406"/>
    </row>
    <row r="15" spans="1:16" ht="13.15">
      <c r="A15" s="381">
        <v>8</v>
      </c>
      <c r="B15" s="209" t="s">
        <v>501</v>
      </c>
      <c r="C15" s="2">
        <f t="shared" si="1"/>
        <v>17642.120819456366</v>
      </c>
      <c r="D15" s="2">
        <f>+'Cuadros Informe Corto'!I52</f>
        <v>1179.4330382674225</v>
      </c>
      <c r="E15" s="2">
        <f>+Resumen!AD118</f>
        <v>36868583.478043601</v>
      </c>
      <c r="F15" s="2">
        <f>+Resumen!C14</f>
        <v>2089804.5</v>
      </c>
      <c r="I15" t="str">
        <f t="shared" si="2"/>
        <v>C. - La Mancha</v>
      </c>
      <c r="J15" s="2">
        <f t="shared" si="3"/>
        <v>17642.120819456366</v>
      </c>
      <c r="K15" s="2">
        <f t="shared" si="4"/>
        <v>1179.4330382674225</v>
      </c>
      <c r="L15" s="406">
        <f t="shared" si="5"/>
        <v>1385.4825400906402</v>
      </c>
      <c r="M15" s="406">
        <f t="shared" si="6"/>
        <v>-206.04950182321772</v>
      </c>
      <c r="O15" s="447" t="s">
        <v>1176</v>
      </c>
      <c r="P15" s="446">
        <f>+P12*(P10/COUNT(J8:J22))^0.5</f>
        <v>1333.0131062588889</v>
      </c>
    </row>
    <row r="16" spans="1:16" ht="13.15">
      <c r="A16" s="381">
        <v>9</v>
      </c>
      <c r="B16" s="209" t="s">
        <v>16</v>
      </c>
      <c r="C16" s="2">
        <f t="shared" si="1"/>
        <v>25799.890953734975</v>
      </c>
      <c r="D16" s="2">
        <f>+'Cuadros Informe Corto'!I53</f>
        <v>-1167.6989121306924</v>
      </c>
      <c r="E16" s="2">
        <f>+Resumen!AD119</f>
        <v>194435111.89719549</v>
      </c>
      <c r="F16" s="2">
        <f>+Resumen!C15</f>
        <v>7536276.5</v>
      </c>
      <c r="I16" t="str">
        <f t="shared" si="2"/>
        <v>Cataluña</v>
      </c>
      <c r="J16" s="2">
        <f t="shared" si="3"/>
        <v>25799.890953734975</v>
      </c>
      <c r="K16" s="2">
        <f t="shared" si="4"/>
        <v>-1167.6989121306924</v>
      </c>
      <c r="L16" s="406">
        <f t="shared" si="5"/>
        <v>-906.85835712970311</v>
      </c>
      <c r="M16" s="406">
        <f t="shared" si="6"/>
        <v>-260.8405550009893</v>
      </c>
      <c r="O16" s="447" t="s">
        <v>1177</v>
      </c>
      <c r="P16" s="446">
        <f>+J37/P15</f>
        <v>4.7583438283236017</v>
      </c>
    </row>
    <row r="17" spans="1:13" ht="13.15">
      <c r="A17" s="381">
        <v>10</v>
      </c>
      <c r="B17" s="209" t="s">
        <v>17</v>
      </c>
      <c r="C17" s="2">
        <f t="shared" si="1"/>
        <v>18968.246158602175</v>
      </c>
      <c r="D17" s="2">
        <f>+'Cuadros Informe Corto'!I54</f>
        <v>-279.95027996775934</v>
      </c>
      <c r="E17" s="2">
        <f>+Resumen!AD120</f>
        <v>95966607.353477657</v>
      </c>
      <c r="F17" s="2">
        <f>+Resumen!C16</f>
        <v>5059329.5</v>
      </c>
      <c r="I17" t="str">
        <f t="shared" si="2"/>
        <v>Valencia</v>
      </c>
      <c r="J17" s="2">
        <f t="shared" si="3"/>
        <v>18968.246158602175</v>
      </c>
      <c r="K17" s="2">
        <f t="shared" si="4"/>
        <v>-279.95027996775934</v>
      </c>
      <c r="L17" s="406">
        <f t="shared" si="5"/>
        <v>1012.8401023011183</v>
      </c>
      <c r="M17" s="406">
        <f t="shared" si="6"/>
        <v>-1292.7903822688777</v>
      </c>
    </row>
    <row r="18" spans="1:13" ht="13.15">
      <c r="A18" s="381">
        <v>11</v>
      </c>
      <c r="B18" s="209" t="s">
        <v>18</v>
      </c>
      <c r="C18" s="2">
        <f t="shared" si="1"/>
        <v>15297.811139232717</v>
      </c>
      <c r="D18" s="2">
        <f>+'Cuadros Informe Corto'!I55</f>
        <v>2477.7701983893312</v>
      </c>
      <c r="E18" s="2">
        <f>+Resumen!AD121</f>
        <v>16855403.673807114</v>
      </c>
      <c r="F18" s="2">
        <f>+Resumen!C17</f>
        <v>1101818</v>
      </c>
      <c r="I18" t="str">
        <f t="shared" si="2"/>
        <v>Extremadura</v>
      </c>
      <c r="J18" s="2">
        <f t="shared" si="3"/>
        <v>15297.811139232717</v>
      </c>
      <c r="K18" s="2">
        <f t="shared" si="4"/>
        <v>2477.7701983893312</v>
      </c>
      <c r="L18" s="406">
        <f t="shared" si="5"/>
        <v>2044.2357124980208</v>
      </c>
      <c r="M18" s="406">
        <f t="shared" si="6"/>
        <v>433.5344858913104</v>
      </c>
    </row>
    <row r="19" spans="1:13" ht="13.15">
      <c r="A19" s="381">
        <v>12</v>
      </c>
      <c r="B19" s="209" t="s">
        <v>19</v>
      </c>
      <c r="C19" s="2">
        <f t="shared" si="1"/>
        <v>19564.318659991954</v>
      </c>
      <c r="D19" s="2">
        <f>+'Cuadros Informe Corto'!I56</f>
        <v>1325.5115807328339</v>
      </c>
      <c r="E19" s="2">
        <f>+Resumen!AD122</f>
        <v>53945038.216772363</v>
      </c>
      <c r="F19" s="2">
        <f>+Resumen!C18</f>
        <v>2757317.5</v>
      </c>
      <c r="I19" t="str">
        <f t="shared" si="2"/>
        <v>Galicia</v>
      </c>
      <c r="J19" s="2">
        <f t="shared" si="3"/>
        <v>19564.318659991954</v>
      </c>
      <c r="K19" s="2">
        <f t="shared" si="4"/>
        <v>1325.5115807328339</v>
      </c>
      <c r="L19" s="406">
        <f t="shared" si="5"/>
        <v>845.34318216816973</v>
      </c>
      <c r="M19" s="406">
        <f t="shared" si="6"/>
        <v>480.16839856466413</v>
      </c>
    </row>
    <row r="20" spans="1:13" ht="13.15">
      <c r="A20" s="381">
        <v>13</v>
      </c>
      <c r="B20" s="209" t="s">
        <v>20</v>
      </c>
      <c r="C20" s="2">
        <f t="shared" si="1"/>
        <v>29961.494219143809</v>
      </c>
      <c r="D20" s="2">
        <f>+'Cuadros Informe Corto'!I57</f>
        <v>-2716.7377569735054</v>
      </c>
      <c r="E20" s="2">
        <f>+Resumen!AD123</f>
        <v>194000540.24223217</v>
      </c>
      <c r="F20" s="2">
        <f>+Resumen!C19</f>
        <v>6474995.5</v>
      </c>
      <c r="I20" t="str">
        <f t="shared" si="2"/>
        <v>Madrid</v>
      </c>
      <c r="J20" s="2">
        <f t="shared" si="3"/>
        <v>29961.494219143809</v>
      </c>
      <c r="K20" s="2">
        <f t="shared" si="4"/>
        <v>-2716.7377569735054</v>
      </c>
      <c r="L20" s="406">
        <f t="shared" si="5"/>
        <v>-2076.2726953955607</v>
      </c>
      <c r="M20" s="406">
        <f t="shared" si="6"/>
        <v>-640.46506157794465</v>
      </c>
    </row>
    <row r="21" spans="1:13" ht="13.15">
      <c r="A21" s="381">
        <v>14</v>
      </c>
      <c r="B21" s="209" t="s">
        <v>60</v>
      </c>
      <c r="C21" s="2">
        <f t="shared" si="1"/>
        <v>18154.381411946932</v>
      </c>
      <c r="D21" s="2">
        <f>+'Cuadros Informe Corto'!I58</f>
        <v>118.75764057739434</v>
      </c>
      <c r="E21" s="2">
        <f>+Resumen!AD124</f>
        <v>26676656.218492124</v>
      </c>
      <c r="F21" s="2">
        <f>+Resumen!C20</f>
        <v>1469433.5</v>
      </c>
      <c r="I21" t="str">
        <f t="shared" si="2"/>
        <v>Murcia</v>
      </c>
      <c r="J21" s="2">
        <f t="shared" si="3"/>
        <v>18154.381411946932</v>
      </c>
      <c r="K21" s="2">
        <f t="shared" si="4"/>
        <v>118.75764057739434</v>
      </c>
      <c r="L21" s="406">
        <f t="shared" si="5"/>
        <v>1241.5368433044323</v>
      </c>
      <c r="M21" s="406">
        <f t="shared" si="6"/>
        <v>-1122.779202727038</v>
      </c>
    </row>
    <row r="22" spans="1:13" ht="13.15">
      <c r="A22" s="381">
        <v>15</v>
      </c>
      <c r="B22" s="209" t="s">
        <v>61</v>
      </c>
      <c r="C22" s="2">
        <f t="shared" si="1"/>
        <v>27182.834250632837</v>
      </c>
      <c r="D22" s="2">
        <f>+'Cuadros Informe Corto'!I59</f>
        <v>-273.26967379817688</v>
      </c>
      <c r="E22" s="2">
        <f>+Resumen!AD125</f>
        <v>17468599.914404057</v>
      </c>
      <c r="F22" s="2">
        <f>+Resumen!C21</f>
        <v>642633.5</v>
      </c>
      <c r="I22" s="424" t="s">
        <v>63</v>
      </c>
      <c r="J22" s="425">
        <f>+C24</f>
        <v>23659.498165630841</v>
      </c>
      <c r="K22" s="425">
        <f>+D24</f>
        <v>212.04038238035264</v>
      </c>
      <c r="L22" s="426">
        <f t="shared" si="5"/>
        <v>-305.40601861998766</v>
      </c>
      <c r="M22" s="426">
        <f t="shared" si="6"/>
        <v>517.4464010003403</v>
      </c>
    </row>
    <row r="23" spans="1:13" ht="13.15">
      <c r="A23" s="381">
        <v>16</v>
      </c>
      <c r="B23" s="209" t="s">
        <v>62</v>
      </c>
      <c r="C23" s="2">
        <f t="shared" si="1"/>
        <v>28566.750119427812</v>
      </c>
      <c r="D23" s="2">
        <f>+'Cuadros Informe Corto'!I60</f>
        <v>970.83062272697498</v>
      </c>
      <c r="E23" s="2">
        <f>+Resumen!AD126</f>
        <v>62570709.772711739</v>
      </c>
      <c r="F23" s="2">
        <f>+Resumen!C22</f>
        <v>2190333.5</v>
      </c>
    </row>
    <row r="24" spans="1:13" ht="13.15">
      <c r="A24" s="381">
        <v>17</v>
      </c>
      <c r="B24" s="209" t="s">
        <v>63</v>
      </c>
      <c r="C24" s="378">
        <f t="shared" si="1"/>
        <v>23659.498165630841</v>
      </c>
      <c r="D24" s="378">
        <f>+'Cuadros Informe Corto'!I61</f>
        <v>212.04038238035264</v>
      </c>
      <c r="E24" s="378">
        <f>+Resumen!AD127</f>
        <v>7583212.2248080857</v>
      </c>
      <c r="F24" s="378">
        <f>+Resumen!C23</f>
        <v>320514.5</v>
      </c>
      <c r="I24" s="427" t="s">
        <v>1183</v>
      </c>
      <c r="J24" s="428">
        <f>MAX(J8:J22)</f>
        <v>29961.494219143809</v>
      </c>
      <c r="K24" s="427"/>
      <c r="L24" s="429">
        <f t="shared" si="5"/>
        <v>-2076.2726953955607</v>
      </c>
    </row>
    <row r="25" spans="1:13" ht="13.15">
      <c r="A25" s="381">
        <v>18</v>
      </c>
      <c r="B25" s="209" t="s">
        <v>64</v>
      </c>
      <c r="C25" s="2">
        <f t="shared" si="1"/>
        <v>17621.763511521003</v>
      </c>
      <c r="D25" s="2">
        <f>+'Cuadros Informe Corto'!I62</f>
        <v>3878.8142581954889</v>
      </c>
      <c r="E25" s="2">
        <f>+Resumen!AD128</f>
        <v>2972183.5535524455</v>
      </c>
      <c r="F25" s="2">
        <f>+Resumen!C24</f>
        <v>168665.5</v>
      </c>
      <c r="I25" s="424" t="s">
        <v>1184</v>
      </c>
      <c r="J25" s="425">
        <f>MIN(J8:J22)</f>
        <v>15297.811139232717</v>
      </c>
      <c r="K25" s="424"/>
      <c r="L25" s="426">
        <f t="shared" si="5"/>
        <v>2044.2357124980208</v>
      </c>
    </row>
    <row r="26" spans="1:13" ht="13.15">
      <c r="A26" s="381"/>
      <c r="B26" s="209" t="str">
        <f>+I24</f>
        <v xml:space="preserve">Máximo </v>
      </c>
      <c r="C26" s="2">
        <f>+J24</f>
        <v>29961.494219143809</v>
      </c>
      <c r="D26" s="2">
        <f>+L24</f>
        <v>-2076.2726953955607</v>
      </c>
      <c r="E26" s="2"/>
      <c r="F26" s="2"/>
      <c r="J26" s="2"/>
      <c r="L26" s="406"/>
    </row>
    <row r="27" spans="1:13" ht="13.8" thickBot="1">
      <c r="A27" s="382"/>
      <c r="B27" s="54" t="str">
        <f>+I25</f>
        <v>Mínimo</v>
      </c>
      <c r="C27" s="379">
        <f>+J25</f>
        <v>15297.811139232717</v>
      </c>
      <c r="D27" s="379">
        <f>+L25</f>
        <v>2044.2357124980208</v>
      </c>
      <c r="E27" s="379"/>
      <c r="F27" s="379"/>
      <c r="J27" s="2"/>
      <c r="L27" s="406"/>
    </row>
    <row r="28" spans="1:13" ht="13.15">
      <c r="A28" s="209"/>
      <c r="B28" s="209"/>
      <c r="C28" s="378"/>
      <c r="D28" s="378"/>
      <c r="E28" s="378"/>
      <c r="F28" s="378"/>
      <c r="J28" s="2"/>
      <c r="L28" s="406"/>
    </row>
    <row r="30" spans="1:13">
      <c r="A30" t="s">
        <v>1169</v>
      </c>
      <c r="D30">
        <f>SUM(E8:E25)/SUM(F8:F25)*1000</f>
        <v>21965.061887864089</v>
      </c>
    </row>
    <row r="36" spans="1:11" ht="26.3">
      <c r="I36" s="397" t="s">
        <v>1178</v>
      </c>
      <c r="J36" s="398" t="s">
        <v>1195</v>
      </c>
      <c r="K36" s="399" t="s">
        <v>1179</v>
      </c>
    </row>
    <row r="37" spans="1:11" ht="13.15">
      <c r="I37" s="400" t="s">
        <v>1180</v>
      </c>
      <c r="J37" s="401">
        <f>INTERCEPT(K8:K22,J8:J22)</f>
        <v>6342.9346872414571</v>
      </c>
      <c r="K37" s="402">
        <f>+P16</f>
        <v>4.7583438283236017</v>
      </c>
    </row>
    <row r="38" spans="1:11" ht="13.15">
      <c r="I38" s="400" t="s">
        <v>1181</v>
      </c>
      <c r="J38" s="401">
        <f>SLOPE(K8:K22,J8:J22)</f>
        <v>-0.2810009180803002</v>
      </c>
      <c r="K38" s="402">
        <f>+P13</f>
        <v>-4.4630466410294405</v>
      </c>
    </row>
    <row r="39" spans="1:11" ht="13.15">
      <c r="I39" s="403" t="s">
        <v>1182</v>
      </c>
      <c r="J39" s="404">
        <f>RSQ(K8:K22,J8:J22)</f>
        <v>0.60508870926959335</v>
      </c>
      <c r="K39" s="405"/>
    </row>
    <row r="44" spans="1:11" ht="16.899999999999999">
      <c r="B44" s="380" t="s">
        <v>1196</v>
      </c>
    </row>
    <row r="45" spans="1:11" ht="16.899999999999999">
      <c r="B45" s="380"/>
    </row>
    <row r="46" spans="1:11" ht="13.15">
      <c r="A46" s="386"/>
      <c r="F46" s="391"/>
    </row>
    <row r="47" spans="1:11" ht="87.65" customHeight="1" thickBot="1">
      <c r="B47" s="258"/>
      <c r="C47" s="258" t="s">
        <v>590</v>
      </c>
      <c r="D47" s="258" t="s">
        <v>1043</v>
      </c>
      <c r="F47" s="258"/>
      <c r="G47" s="258" t="s">
        <v>1186</v>
      </c>
      <c r="H47" s="258" t="s">
        <v>1191</v>
      </c>
    </row>
    <row r="48" spans="1:11" ht="13.15">
      <c r="B48" s="209" t="str">
        <f>+'Cuadros Informe Corto'!B469</f>
        <v>Andalucía</v>
      </c>
      <c r="C48" s="2">
        <f>+'Cuadros Informe Corto'!E469</f>
        <v>96.602571284784332</v>
      </c>
      <c r="D48" s="2">
        <f>+'Cuadros Informe Corto'!F469</f>
        <v>97.324457991540257</v>
      </c>
      <c r="E48" s="388"/>
      <c r="F48" s="209" t="s">
        <v>17</v>
      </c>
      <c r="G48" s="389">
        <v>93.00441515964016</v>
      </c>
      <c r="H48" s="389">
        <v>93.616738208339399</v>
      </c>
    </row>
    <row r="49" spans="2:8" ht="13.15">
      <c r="B49" s="209" t="str">
        <f>+'Cuadros Informe Corto'!B470</f>
        <v>Aragón</v>
      </c>
      <c r="C49" s="2">
        <f>+'Cuadros Informe Corto'!E470</f>
        <v>105.67430758860074</v>
      </c>
      <c r="D49" s="2">
        <f>+'Cuadros Informe Corto'!F470</f>
        <v>105.26506269150889</v>
      </c>
      <c r="E49" s="388"/>
      <c r="F49" s="209" t="s">
        <v>60</v>
      </c>
      <c r="G49" s="389">
        <v>94.632215420783609</v>
      </c>
      <c r="H49" s="389">
        <v>95.433009453909648</v>
      </c>
    </row>
    <row r="50" spans="2:8" ht="13.15">
      <c r="B50" s="209" t="str">
        <f>+'Cuadros Informe Corto'!B471</f>
        <v>Asturias</v>
      </c>
      <c r="C50" s="2">
        <f>+'Cuadros Informe Corto'!E471</f>
        <v>106.0671075107015</v>
      </c>
      <c r="D50" s="2">
        <f>+'Cuadros Informe Corto'!F471</f>
        <v>109.82456174331688</v>
      </c>
      <c r="E50" s="388"/>
      <c r="F50" s="209" t="s">
        <v>20</v>
      </c>
      <c r="G50" s="389">
        <v>96.201482869871228</v>
      </c>
      <c r="H50" s="389">
        <v>90.919733053021119</v>
      </c>
    </row>
    <row r="51" spans="2:8" ht="13.15">
      <c r="B51" s="209" t="str">
        <f>+'Cuadros Informe Corto'!B472</f>
        <v>Baleares</v>
      </c>
      <c r="C51" s="2">
        <f>+'Cuadros Informe Corto'!E472</f>
        <v>101.35273215111464</v>
      </c>
      <c r="D51" s="2">
        <f>+'Cuadros Informe Corto'!F472</f>
        <v>105.06153095610253</v>
      </c>
      <c r="E51" s="388"/>
      <c r="F51" s="209" t="s">
        <v>9</v>
      </c>
      <c r="G51" s="389">
        <v>96.602571284784332</v>
      </c>
      <c r="H51" s="389">
        <v>97.324457991540257</v>
      </c>
    </row>
    <row r="52" spans="2:8" ht="13.15">
      <c r="B52" s="209" t="str">
        <f>+'Cuadros Informe Corto'!B473</f>
        <v>Canarias</v>
      </c>
      <c r="C52" s="2">
        <f>+'Cuadros Informe Corto'!E473</f>
        <v>102.55233039143701</v>
      </c>
      <c r="D52" s="2">
        <f>+'Cuadros Informe Corto'!F473</f>
        <v>99.877963638180304</v>
      </c>
      <c r="E52" s="388"/>
      <c r="F52" s="209" t="s">
        <v>16</v>
      </c>
      <c r="G52" s="389">
        <v>98.840464632284139</v>
      </c>
      <c r="H52" s="389">
        <v>103.80298147423299</v>
      </c>
    </row>
    <row r="53" spans="2:8" ht="13.15">
      <c r="B53" s="209" t="str">
        <f>+'Cuadros Informe Corto'!B474</f>
        <v>Cantabria</v>
      </c>
      <c r="C53" s="2">
        <f>+'Cuadros Informe Corto'!E474</f>
        <v>124.26311283470748</v>
      </c>
      <c r="D53" s="2">
        <f>+'Cuadros Informe Corto'!F474</f>
        <v>125.83542457744234</v>
      </c>
      <c r="E53" s="388"/>
      <c r="F53" s="209" t="s">
        <v>15</v>
      </c>
      <c r="G53" s="389">
        <v>100.87342787446981</v>
      </c>
      <c r="H53" s="389">
        <v>95.006296269803585</v>
      </c>
    </row>
    <row r="54" spans="2:8" ht="13.15">
      <c r="B54" s="209" t="str">
        <f>+'Cuadros Informe Corto'!B475</f>
        <v>Castilla y León</v>
      </c>
      <c r="C54" s="2">
        <f>+'Cuadros Informe Corto'!E475</f>
        <v>109.33869198578306</v>
      </c>
      <c r="D54" s="2">
        <f>+'Cuadros Informe Corto'!F475</f>
        <v>107.88999637052628</v>
      </c>
      <c r="E54" s="388"/>
      <c r="F54" s="209" t="s">
        <v>31</v>
      </c>
      <c r="G54" s="389">
        <v>101.35273215111464</v>
      </c>
      <c r="H54" s="389">
        <v>105.06153095610253</v>
      </c>
    </row>
    <row r="55" spans="2:8" ht="13.15">
      <c r="B55" s="209" t="str">
        <f>+'Cuadros Informe Corto'!B476</f>
        <v>Cast. - La Mancha</v>
      </c>
      <c r="C55" s="2">
        <f>+'Cuadros Informe Corto'!E476</f>
        <v>100.87342787446981</v>
      </c>
      <c r="D55" s="2">
        <f>+'Cuadros Informe Corto'!F476</f>
        <v>95.006296269803585</v>
      </c>
      <c r="E55" s="388"/>
      <c r="F55" s="209" t="s">
        <v>12</v>
      </c>
      <c r="G55" s="389">
        <v>102.55233039143701</v>
      </c>
      <c r="H55" s="389">
        <v>99.877963638180304</v>
      </c>
    </row>
    <row r="56" spans="2:8" ht="13.15">
      <c r="B56" s="209" t="str">
        <f>+'Cuadros Informe Corto'!B477</f>
        <v>Cataluña</v>
      </c>
      <c r="C56" s="2">
        <f>+'Cuadros Informe Corto'!E477</f>
        <v>98.840464632284139</v>
      </c>
      <c r="D56" s="2">
        <f>+'Cuadros Informe Corto'!F477</f>
        <v>103.80298147423299</v>
      </c>
      <c r="E56" s="388"/>
      <c r="F56" s="209" t="s">
        <v>10</v>
      </c>
      <c r="G56" s="389">
        <v>105.67430758860074</v>
      </c>
      <c r="H56" s="389">
        <v>105.26506269150889</v>
      </c>
    </row>
    <row r="57" spans="2:8" ht="13.15">
      <c r="B57" s="209" t="str">
        <f>+'Cuadros Informe Corto'!B478</f>
        <v>Valencia</v>
      </c>
      <c r="C57" s="2">
        <f>+'Cuadros Informe Corto'!E478</f>
        <v>93.00441515964016</v>
      </c>
      <c r="D57" s="2">
        <f>+'Cuadros Informe Corto'!F478</f>
        <v>93.616738208339399</v>
      </c>
      <c r="E57" s="388"/>
      <c r="F57" s="209" t="s">
        <v>11</v>
      </c>
      <c r="G57" s="389">
        <v>106.0671075107015</v>
      </c>
      <c r="H57" s="389">
        <v>109.82456174331688</v>
      </c>
    </row>
    <row r="58" spans="2:8" ht="13.15">
      <c r="B58" s="209" t="str">
        <f>+'Cuadros Informe Corto'!B479</f>
        <v>Extremadura</v>
      </c>
      <c r="C58" s="2">
        <f>+'Cuadros Informe Corto'!E479</f>
        <v>110.41157142243466</v>
      </c>
      <c r="D58" s="2">
        <f>+'Cuadros Informe Corto'!F479</f>
        <v>115.587994033317</v>
      </c>
      <c r="E58" s="388"/>
      <c r="F58" s="209" t="s">
        <v>19</v>
      </c>
      <c r="G58" s="389">
        <v>106.57967737641424</v>
      </c>
      <c r="H58" s="389">
        <v>104.75874861342996</v>
      </c>
    </row>
    <row r="59" spans="2:8" ht="13.15">
      <c r="B59" s="209" t="str">
        <f>+'Cuadros Informe Corto'!B480</f>
        <v>Galicia</v>
      </c>
      <c r="C59" s="2">
        <f>+'Cuadros Informe Corto'!E480</f>
        <v>106.57967737641424</v>
      </c>
      <c r="D59" s="2">
        <f>+'Cuadros Informe Corto'!F480</f>
        <v>104.75874861342996</v>
      </c>
      <c r="E59" s="388"/>
      <c r="F59" s="209" t="s">
        <v>14</v>
      </c>
      <c r="G59" s="389">
        <v>109.33869198578306</v>
      </c>
      <c r="H59" s="389">
        <v>107.88999637052628</v>
      </c>
    </row>
    <row r="60" spans="2:8" ht="13.15">
      <c r="B60" s="209" t="str">
        <f>+'Cuadros Informe Corto'!B481</f>
        <v>Madrid</v>
      </c>
      <c r="C60" s="2">
        <f>+'Cuadros Informe Corto'!E481</f>
        <v>96.201482869871228</v>
      </c>
      <c r="D60" s="2">
        <f>+'Cuadros Informe Corto'!F481</f>
        <v>90.919733053021119</v>
      </c>
      <c r="E60" s="388"/>
      <c r="F60" s="209" t="s">
        <v>18</v>
      </c>
      <c r="G60" s="389">
        <v>110.41157142243466</v>
      </c>
      <c r="H60" s="389">
        <v>115.587994033317</v>
      </c>
    </row>
    <row r="61" spans="2:8" ht="13.15">
      <c r="B61" s="209" t="str">
        <f>+'Cuadros Informe Corto'!B482</f>
        <v>Murcia</v>
      </c>
      <c r="C61" s="2">
        <f>+'Cuadros Informe Corto'!E482</f>
        <v>94.632215420783609</v>
      </c>
      <c r="D61" s="2">
        <f>+'Cuadros Informe Corto'!F482</f>
        <v>95.433009453909648</v>
      </c>
      <c r="E61" s="388"/>
      <c r="F61" s="209" t="s">
        <v>63</v>
      </c>
      <c r="G61" s="389">
        <v>118.37690598423852</v>
      </c>
      <c r="H61" s="389">
        <v>116.48755893765824</v>
      </c>
    </row>
    <row r="62" spans="2:8" ht="13.15">
      <c r="B62" s="209" t="str">
        <f>+'Cuadros Informe Corto'!B483</f>
        <v>Navarra</v>
      </c>
      <c r="C62" s="2">
        <f>+'Cuadros Informe Corto'!E483</f>
        <v>161.30599083443849</v>
      </c>
      <c r="D62" s="2">
        <f>+'Cuadros Informe Corto'!F483</f>
        <v>129.28504926235584</v>
      </c>
      <c r="E62" s="388"/>
      <c r="F62" s="209" t="s">
        <v>13</v>
      </c>
      <c r="G62" s="389">
        <v>124.26311283470748</v>
      </c>
      <c r="H62" s="389">
        <v>125.83542457744234</v>
      </c>
    </row>
    <row r="63" spans="2:8" ht="13.15">
      <c r="B63" s="209" t="str">
        <f>+'Cuadros Informe Corto'!B484</f>
        <v>País Vasco</v>
      </c>
      <c r="C63" s="2">
        <f>+'Cuadros Informe Corto'!E484</f>
        <v>202.25741338111618</v>
      </c>
      <c r="D63" s="2">
        <f>+'Cuadros Informe Corto'!F484</f>
        <v>176.79888301217437</v>
      </c>
      <c r="E63" s="388"/>
      <c r="F63" s="209" t="s">
        <v>61</v>
      </c>
      <c r="G63" s="389">
        <v>161.30599083443849</v>
      </c>
      <c r="H63" s="389">
        <v>129.28504926235584</v>
      </c>
    </row>
    <row r="64" spans="2:8" ht="13.15">
      <c r="B64" s="209" t="str">
        <f>+'Cuadros Informe Corto'!B485</f>
        <v>La Rioja</v>
      </c>
      <c r="C64" s="378">
        <f>+'Cuadros Informe Corto'!E485</f>
        <v>118.37690598423852</v>
      </c>
      <c r="D64" s="378">
        <f>+'Cuadros Informe Corto'!F485</f>
        <v>116.48755893765824</v>
      </c>
      <c r="E64" s="388"/>
      <c r="F64" s="209" t="s">
        <v>62</v>
      </c>
      <c r="G64" s="390">
        <v>202.25741338111618</v>
      </c>
      <c r="H64" s="390">
        <v>176.79888301217437</v>
      </c>
    </row>
    <row r="65" spans="2:8" ht="13.8" thickBot="1">
      <c r="B65" s="54" t="str">
        <f>+'Cuadros Informe Corto'!B486</f>
        <v>Ceuta y Melilla</v>
      </c>
      <c r="C65" s="379">
        <f>+'Cuadros Informe Corto'!E486</f>
        <v>220.23745068795171</v>
      </c>
      <c r="D65" s="379">
        <f>+'Cuadros Informe Corto'!F486</f>
        <v>211.62847217145844</v>
      </c>
      <c r="E65" s="388"/>
      <c r="F65" s="209"/>
      <c r="G65" s="378"/>
      <c r="H65" s="378"/>
    </row>
    <row r="66" spans="2:8" ht="13.8" thickBot="1">
      <c r="B66" s="387" t="str">
        <f>+'Cuadros Informe Corto'!B487</f>
        <v>media España</v>
      </c>
      <c r="C66" s="387">
        <f>+'Cuadros Informe Corto'!E487</f>
        <v>106.07609616366364</v>
      </c>
      <c r="D66" s="387">
        <f>+'Cuadros Informe Corto'!F487</f>
        <v>104.40533128113786</v>
      </c>
      <c r="F66" s="388" t="str">
        <f>+B67</f>
        <v>media reg comun sin CyMel</v>
      </c>
      <c r="G66" s="388">
        <f>+C67</f>
        <v>100</v>
      </c>
      <c r="H66" s="388">
        <f>+D67</f>
        <v>100</v>
      </c>
    </row>
    <row r="67" spans="2:8" ht="40.1" thickBot="1">
      <c r="B67" s="387" t="str">
        <f>+'Cuadros Informe Corto'!B488</f>
        <v>media reg comun sin CyMel</v>
      </c>
      <c r="C67" s="387">
        <f>+'Cuadros Informe Corto'!E488</f>
        <v>100</v>
      </c>
      <c r="D67" s="387">
        <f>+'Cuadros Informe Corto'!F488</f>
        <v>100</v>
      </c>
    </row>
    <row r="68" spans="2:8" ht="13.15">
      <c r="B68" s="209" t="str">
        <f>+'Cuadros Informe Corto'!B489</f>
        <v>media forales</v>
      </c>
      <c r="C68" s="2">
        <f>+'Cuadros Informe Corto'!E489</f>
        <v>193.09756604953981</v>
      </c>
      <c r="D68" s="2">
        <f>+'Cuadros Informe Corto'!F489</f>
        <v>166.17118228236058</v>
      </c>
    </row>
    <row r="81" spans="3:5" ht="13.15">
      <c r="C81" s="209"/>
      <c r="D81" s="2"/>
      <c r="E81" s="2"/>
    </row>
    <row r="82" spans="3:5" ht="13.15">
      <c r="C82" s="209"/>
      <c r="D82" s="2"/>
      <c r="E82" s="2"/>
    </row>
    <row r="83" spans="3:5" ht="13.15">
      <c r="C83" s="209"/>
      <c r="D83" s="2"/>
      <c r="E83" s="2"/>
    </row>
    <row r="84" spans="3:5" ht="13.15">
      <c r="C84" s="209"/>
      <c r="D84" s="2"/>
      <c r="E84" s="2"/>
    </row>
    <row r="85" spans="3:5" ht="13.15">
      <c r="C85" s="209"/>
      <c r="D85" s="2"/>
      <c r="E85" s="2"/>
    </row>
    <row r="86" spans="3:5" ht="13.15">
      <c r="C86" s="209"/>
      <c r="D86" s="2"/>
      <c r="E86" s="2"/>
    </row>
    <row r="87" spans="3:5" ht="13.15">
      <c r="C87" s="209"/>
      <c r="D87" s="2"/>
      <c r="E87" s="2"/>
    </row>
    <row r="88" spans="3:5" ht="13.15">
      <c r="C88" s="209"/>
      <c r="D88" s="2"/>
      <c r="E88" s="2"/>
    </row>
    <row r="89" spans="3:5" ht="13.15">
      <c r="C89" s="209"/>
      <c r="D89" s="2"/>
      <c r="E89" s="2"/>
    </row>
    <row r="90" spans="3:5" ht="13.15">
      <c r="C90" s="209"/>
      <c r="D90" s="2"/>
      <c r="E90" s="2"/>
    </row>
    <row r="91" spans="3:5" ht="13.15">
      <c r="C91" s="209"/>
      <c r="D91" s="2"/>
      <c r="E91" s="2"/>
    </row>
    <row r="92" spans="3:5" ht="13.15">
      <c r="C92" s="209"/>
      <c r="D92" s="2"/>
      <c r="E92" s="2"/>
    </row>
    <row r="93" spans="3:5" ht="13.15">
      <c r="C93" s="209"/>
      <c r="D93" s="2"/>
      <c r="E93" s="2"/>
    </row>
    <row r="94" spans="3:5" ht="13.15">
      <c r="C94" s="209"/>
      <c r="D94" s="378"/>
      <c r="E94" s="378"/>
    </row>
    <row r="95" spans="3:5" ht="13.15">
      <c r="C95" s="209"/>
      <c r="D95" s="2"/>
      <c r="E95" s="2"/>
    </row>
  </sheetData>
  <sortState ref="C81:E98">
    <sortCondition ref="D81:D98"/>
  </sortState>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Autor xmlns="25d85ab0-3809-4eca-a8fb-a26131ff49e9"/>
    <MinhacCargo_x005f_x0020_del_x005f_x0020_Responsable xmlns="25d85ab0-3809-4eca-a8fb-a26131ff49e9" xsi:nil="true"/>
    <MinhacUnidad_x005f_x0020_Responsable xmlns="25d85ab0-3809-4eca-a8fb-a26131ff49e9" xsi:nil="true"/>
    <MinhacCategoriasPorOrganigrama xmlns="25d85ab0-3809-4eca-a8fb-a26131ff49e9">
      <Value>117</Value>
      <Value>97</Value>
    </MinhacCategoriasPorOrganigrama>
    <MinhacFechaInfo xmlns="25d85ab0-3809-4eca-a8fb-a26131ff49e9"/>
    <MinhacPalabras_x005f_x0020_clave xmlns="25d85ab0-3809-4eca-a8fb-a26131ff49e9"/>
    <MinhacDescripci_x005f_x00f3_n xmlns="25d85ab0-3809-4eca-a8fb-a26131ff49e9" xsi:nil="true"/>
    <MinhacFecha_x005f_x0020_Caducidad xmlns="25d85ab0-3809-4eca-a8fb-a26131ff49e9" xsi:nil="true"/>
    <MinhacCategoriasGeneral xmlns="25d85ab0-3809-4eca-a8fb-a26131ff49e9">
      <Value>201</Value>
    </MinhacCategoriasGeneral>
    <MinhacCentroDirectivo xmlns="25d85ab0-3809-4eca-a8fb-a26131ff49e9"/>
    <MinPortalIdiomaDocumentos xmlns="25d85ab0-3809-4eca-a8fb-a26131ff49e9">Español</MinPortalIdiomaDocumentos>
  </documentManagement>
</p:properties>
</file>

<file path=customXml/itemProps1.xml><?xml version="1.0" encoding="utf-8"?>
<ds:datastoreItem xmlns:ds="http://schemas.openxmlformats.org/officeDocument/2006/customXml" ds:itemID="{DD356642-6D6D-4F84-A52A-EFFCCFD43E19}"/>
</file>

<file path=customXml/itemProps2.xml><?xml version="1.0" encoding="utf-8"?>
<ds:datastoreItem xmlns:ds="http://schemas.openxmlformats.org/officeDocument/2006/customXml" ds:itemID="{DDB8BF81-0CB5-4E04-B8C4-2A3BF3E536CC}"/>
</file>

<file path=customXml/itemProps3.xml><?xml version="1.0" encoding="utf-8"?>
<ds:datastoreItem xmlns:ds="http://schemas.openxmlformats.org/officeDocument/2006/customXml" ds:itemID="{725616FF-E32C-4B7E-BBE1-1062EB7C38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Tot_res</vt:lpstr>
      <vt:lpstr>Resumen</vt:lpstr>
      <vt:lpstr>Gasto_o_ing_total</vt:lpstr>
      <vt:lpstr>Gasto_o_ing_per_capita</vt:lpstr>
      <vt:lpstr>Indices_per_capita</vt:lpstr>
      <vt:lpstr>Saldo_relativo_per_capita</vt:lpstr>
      <vt:lpstr>Saldo_relativo_total</vt:lpstr>
      <vt:lpstr>Cuadros Informe Corto</vt:lpstr>
      <vt:lpstr>Gráficos</vt:lpstr>
      <vt:lpstr>Gasto_o_ing_total!_Toc409002302</vt:lpstr>
      <vt:lpstr>Gasto_o_ing_total!_Toc409683604</vt:lpstr>
      <vt:lpstr>Gasto_o_ing_total!_Toc409700208</vt:lpstr>
      <vt:lpstr>Gasto_o_ing_total!_Toc410736660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MICROSOFT OFFICE 2004</dc:creator>
  <cp:lastModifiedBy>SCPT</cp:lastModifiedBy>
  <cp:lastPrinted>2016-06-29T12:14:57Z</cp:lastPrinted>
  <dcterms:created xsi:type="dcterms:W3CDTF">2013-04-24T12:08:14Z</dcterms:created>
  <dcterms:modified xsi:type="dcterms:W3CDTF">2016-07-29T11:26:07Z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CategoriasGeneral">
    <vt:lpwstr>201;#:Presupuesto y gasto público</vt:lpwstr>
  </property>
  <property fmtid="{D5CDD505-2E9C-101B-9397-08002B2CF9AE}" pid="6" name="CategoriasPorOrganigrama">
    <vt:lpwstr>117;#:Central de Información Económico-Financiera. CdI;#97;#*:Secretaría de Estado de Presupuestos y Gastos</vt:lpwstr>
  </property>
  <property fmtid="{D5CDD505-2E9C-101B-9397-08002B2CF9AE}" pid="7" name="Fecha Caducidad">
    <vt:lpwstr/>
  </property>
  <property fmtid="{D5CDD505-2E9C-101B-9397-08002B2CF9AE}" pid="8" name="Descripción">
    <vt:lpwstr/>
  </property>
  <property fmtid="{D5CDD505-2E9C-101B-9397-08002B2CF9AE}" pid="9" name="CentroDirectivo">
    <vt:lpwstr/>
  </property>
  <property fmtid="{D5CDD505-2E9C-101B-9397-08002B2CF9AE}" pid="10" name="FechaInfo">
    <vt:lpwstr/>
  </property>
  <property fmtid="{D5CDD505-2E9C-101B-9397-08002B2CF9AE}" pid="11" name="Unidad Responsable">
    <vt:lpwstr/>
  </property>
  <property fmtid="{D5CDD505-2E9C-101B-9397-08002B2CF9AE}" pid="12" name="Palabras clave">
    <vt:lpwstr/>
  </property>
  <property fmtid="{D5CDD505-2E9C-101B-9397-08002B2CF9AE}" pid="13" name="Cargo del Responsable">
    <vt:lpwstr/>
  </property>
</Properties>
</file>